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48" windowWidth="15180" windowHeight="8832" activeTab="1"/>
  </bookViews>
  <sheets>
    <sheet name="Natural Gas" sheetId="1" r:id="rId1"/>
    <sheet name="Natural Gas Trading" sheetId="2" r:id="rId2"/>
    <sheet name="Natural Gas Orig" sheetId="3" r:id="rId3"/>
    <sheet name="Natural Gas A&amp;A" sheetId="4" r:id="rId4"/>
    <sheet name="Natural Gas Admin" sheetId="5" r:id="rId5"/>
  </sheets>
  <externalReferences>
    <externalReference r:id="rId6"/>
    <externalReference r:id="rId7"/>
  </externalReferences>
  <definedNames>
    <definedName name="_xlnm.Print_Area" localSheetId="0">'Natural Gas'!$B$1:$L$34</definedName>
    <definedName name="_xlnm.Print_Area" localSheetId="3">'Natural Gas A&amp;A'!$B$1:$L$34</definedName>
    <definedName name="_xlnm.Print_Area" localSheetId="4">'Natural Gas Admin'!$B$1:$L$34</definedName>
    <definedName name="_xlnm.Print_Area" localSheetId="2">'Natural Gas Orig'!$B$1:$L$34</definedName>
    <definedName name="_xlnm.Print_Area" localSheetId="1">'Natural Gas Trading'!$B$1:$L$36</definedName>
    <definedName name="SAPFuncF4Help" localSheetId="3" hidden="1">Main.SAPF4Help()</definedName>
    <definedName name="SAPFuncF4Help" localSheetId="4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92512" calcOnSave="0"/>
</workbook>
</file>

<file path=xl/calcChain.xml><?xml version="1.0" encoding="utf-8"?>
<calcChain xmlns="http://schemas.openxmlformats.org/spreadsheetml/2006/main">
  <c r="B1" i="1" l="1"/>
  <c r="C8" i="1"/>
  <c r="E8" i="1"/>
  <c r="G8" i="1"/>
  <c r="H8" i="1"/>
  <c r="L8" i="1"/>
  <c r="C9" i="1"/>
  <c r="G9" i="1"/>
  <c r="C10" i="1"/>
  <c r="E10" i="1"/>
  <c r="G10" i="1"/>
  <c r="H10" i="1"/>
  <c r="C11" i="1"/>
  <c r="E11" i="1"/>
  <c r="G11" i="1"/>
  <c r="H11" i="1"/>
  <c r="J11" i="1"/>
  <c r="K11" i="1"/>
  <c r="L11" i="1"/>
  <c r="C12" i="1"/>
  <c r="E12" i="1"/>
  <c r="G12" i="1"/>
  <c r="H12" i="1"/>
  <c r="C13" i="1"/>
  <c r="E13" i="1"/>
  <c r="G13" i="1"/>
  <c r="H13" i="1"/>
  <c r="L13" i="1"/>
  <c r="C14" i="1"/>
  <c r="E14" i="1"/>
  <c r="G14" i="1"/>
  <c r="H14" i="1"/>
  <c r="C15" i="1"/>
  <c r="E15" i="1"/>
  <c r="G15" i="1"/>
  <c r="H15" i="1"/>
  <c r="C16" i="1"/>
  <c r="E16" i="1"/>
  <c r="G16" i="1"/>
  <c r="H16" i="1"/>
  <c r="K16" i="1"/>
  <c r="L16" i="1"/>
  <c r="C17" i="1"/>
  <c r="E17" i="1"/>
  <c r="G17" i="1"/>
  <c r="H17" i="1"/>
  <c r="K17" i="1"/>
  <c r="L17" i="1"/>
  <c r="C18" i="1"/>
  <c r="E18" i="1"/>
  <c r="G18" i="1"/>
  <c r="H18" i="1"/>
  <c r="L18" i="1"/>
  <c r="C19" i="1"/>
  <c r="E19" i="1"/>
  <c r="G19" i="1"/>
  <c r="H19" i="1"/>
  <c r="K19" i="1"/>
  <c r="L19" i="1"/>
  <c r="C20" i="1"/>
  <c r="E20" i="1"/>
  <c r="G20" i="1"/>
  <c r="H20" i="1"/>
  <c r="K20" i="1"/>
  <c r="L20" i="1"/>
  <c r="C21" i="1"/>
  <c r="E21" i="1"/>
  <c r="G21" i="1"/>
  <c r="H21" i="1"/>
  <c r="K21" i="1"/>
  <c r="L21" i="1"/>
  <c r="C22" i="1"/>
  <c r="E22" i="1"/>
  <c r="G22" i="1"/>
  <c r="H22" i="1"/>
  <c r="K22" i="1"/>
  <c r="L22" i="1"/>
  <c r="C23" i="1"/>
  <c r="E23" i="1"/>
  <c r="G23" i="1"/>
  <c r="H23" i="1"/>
  <c r="K23" i="1"/>
  <c r="L23" i="1"/>
  <c r="K24" i="1"/>
  <c r="L24" i="1"/>
  <c r="E25" i="1"/>
  <c r="H25" i="1"/>
  <c r="L25" i="1"/>
  <c r="K26" i="1"/>
  <c r="L26" i="1"/>
  <c r="E27" i="1"/>
  <c r="H27" i="1"/>
  <c r="K27" i="1"/>
  <c r="L27" i="1"/>
  <c r="K28" i="1"/>
  <c r="L28" i="1"/>
  <c r="E29" i="1"/>
  <c r="H29" i="1"/>
  <c r="L30" i="1"/>
  <c r="H34" i="1"/>
  <c r="I34" i="1"/>
  <c r="J34" i="1"/>
  <c r="K34" i="1"/>
  <c r="L34" i="1"/>
  <c r="B1" i="4"/>
  <c r="C8" i="4"/>
  <c r="E8" i="4"/>
  <c r="G8" i="4"/>
  <c r="H8" i="4"/>
  <c r="L8" i="4"/>
  <c r="C9" i="4"/>
  <c r="G9" i="4"/>
  <c r="C10" i="4"/>
  <c r="E10" i="4"/>
  <c r="G10" i="4"/>
  <c r="H10" i="4"/>
  <c r="C11" i="4"/>
  <c r="E11" i="4"/>
  <c r="G11" i="4"/>
  <c r="H11" i="4"/>
  <c r="J11" i="4"/>
  <c r="K11" i="4"/>
  <c r="L11" i="4"/>
  <c r="C12" i="4"/>
  <c r="E12" i="4"/>
  <c r="G12" i="4"/>
  <c r="H12" i="4"/>
  <c r="C13" i="4"/>
  <c r="E13" i="4"/>
  <c r="G13" i="4"/>
  <c r="H13" i="4"/>
  <c r="L13" i="4"/>
  <c r="C14" i="4"/>
  <c r="E14" i="4"/>
  <c r="G14" i="4"/>
  <c r="H14" i="4"/>
  <c r="C15" i="4"/>
  <c r="E15" i="4"/>
  <c r="G15" i="4"/>
  <c r="H15" i="4"/>
  <c r="C16" i="4"/>
  <c r="E16" i="4"/>
  <c r="G16" i="4"/>
  <c r="H16" i="4"/>
  <c r="K16" i="4"/>
  <c r="L16" i="4"/>
  <c r="C17" i="4"/>
  <c r="E17" i="4"/>
  <c r="G17" i="4"/>
  <c r="H17" i="4"/>
  <c r="L17" i="4"/>
  <c r="C18" i="4"/>
  <c r="E18" i="4"/>
  <c r="G18" i="4"/>
  <c r="H18" i="4"/>
  <c r="L18" i="4"/>
  <c r="C19" i="4"/>
  <c r="E19" i="4"/>
  <c r="G19" i="4"/>
  <c r="H19" i="4"/>
  <c r="L19" i="4"/>
  <c r="C20" i="4"/>
  <c r="E20" i="4"/>
  <c r="G20" i="4"/>
  <c r="H20" i="4"/>
  <c r="L20" i="4"/>
  <c r="C21" i="4"/>
  <c r="E21" i="4"/>
  <c r="G21" i="4"/>
  <c r="H21" i="4"/>
  <c r="K21" i="4"/>
  <c r="L21" i="4"/>
  <c r="C22" i="4"/>
  <c r="E22" i="4"/>
  <c r="G22" i="4"/>
  <c r="H22" i="4"/>
  <c r="K22" i="4"/>
  <c r="L22" i="4"/>
  <c r="C23" i="4"/>
  <c r="E23" i="4"/>
  <c r="G23" i="4"/>
  <c r="H23" i="4"/>
  <c r="L23" i="4"/>
  <c r="L24" i="4"/>
  <c r="E25" i="4"/>
  <c r="H25" i="4"/>
  <c r="L25" i="4"/>
  <c r="L26" i="4"/>
  <c r="E27" i="4"/>
  <c r="H27" i="4"/>
  <c r="L27" i="4"/>
  <c r="K28" i="4"/>
  <c r="L28" i="4"/>
  <c r="E29" i="4"/>
  <c r="H29" i="4"/>
  <c r="L30" i="4"/>
  <c r="H34" i="4"/>
  <c r="I34" i="4"/>
  <c r="J34" i="4"/>
  <c r="K34" i="4"/>
  <c r="L34" i="4"/>
  <c r="B1" i="5"/>
  <c r="C8" i="5"/>
  <c r="E8" i="5"/>
  <c r="G8" i="5"/>
  <c r="H8" i="5"/>
  <c r="L8" i="5"/>
  <c r="C9" i="5"/>
  <c r="G9" i="5"/>
  <c r="C10" i="5"/>
  <c r="E10" i="5"/>
  <c r="G10" i="5"/>
  <c r="H10" i="5"/>
  <c r="C11" i="5"/>
  <c r="E11" i="5"/>
  <c r="G11" i="5"/>
  <c r="H11" i="5"/>
  <c r="J11" i="5"/>
  <c r="K11" i="5"/>
  <c r="L11" i="5"/>
  <c r="C12" i="5"/>
  <c r="E12" i="5"/>
  <c r="G12" i="5"/>
  <c r="H12" i="5"/>
  <c r="C13" i="5"/>
  <c r="E13" i="5"/>
  <c r="G13" i="5"/>
  <c r="H13" i="5"/>
  <c r="L13" i="5"/>
  <c r="C14" i="5"/>
  <c r="E14" i="5"/>
  <c r="G14" i="5"/>
  <c r="H14" i="5"/>
  <c r="C15" i="5"/>
  <c r="E15" i="5"/>
  <c r="G15" i="5"/>
  <c r="H15" i="5"/>
  <c r="C16" i="5"/>
  <c r="E16" i="5"/>
  <c r="G16" i="5"/>
  <c r="H16" i="5"/>
  <c r="K16" i="5"/>
  <c r="L16" i="5"/>
  <c r="C17" i="5"/>
  <c r="E17" i="5"/>
  <c r="G17" i="5"/>
  <c r="H17" i="5"/>
  <c r="K17" i="5"/>
  <c r="L17" i="5"/>
  <c r="C18" i="5"/>
  <c r="E18" i="5"/>
  <c r="G18" i="5"/>
  <c r="H18" i="5"/>
  <c r="L18" i="5"/>
  <c r="C19" i="5"/>
  <c r="E19" i="5"/>
  <c r="G19" i="5"/>
  <c r="H19" i="5"/>
  <c r="L19" i="5"/>
  <c r="C20" i="5"/>
  <c r="E20" i="5"/>
  <c r="G20" i="5"/>
  <c r="H20" i="5"/>
  <c r="L20" i="5"/>
  <c r="C21" i="5"/>
  <c r="E21" i="5"/>
  <c r="G21" i="5"/>
  <c r="H21" i="5"/>
  <c r="L21" i="5"/>
  <c r="C22" i="5"/>
  <c r="E22" i="5"/>
  <c r="G22" i="5"/>
  <c r="H22" i="5"/>
  <c r="L22" i="5"/>
  <c r="C23" i="5"/>
  <c r="E23" i="5"/>
  <c r="G23" i="5"/>
  <c r="H23" i="5"/>
  <c r="L23" i="5"/>
  <c r="L24" i="5"/>
  <c r="E25" i="5"/>
  <c r="H25" i="5"/>
  <c r="L25" i="5"/>
  <c r="L26" i="5"/>
  <c r="E27" i="5"/>
  <c r="H27" i="5"/>
  <c r="L27" i="5"/>
  <c r="K28" i="5"/>
  <c r="L28" i="5"/>
  <c r="E29" i="5"/>
  <c r="H29" i="5"/>
  <c r="L30" i="5"/>
  <c r="H34" i="5"/>
  <c r="I34" i="5"/>
  <c r="J34" i="5"/>
  <c r="K34" i="5"/>
  <c r="L34" i="5"/>
  <c r="B1" i="3"/>
  <c r="C8" i="3"/>
  <c r="E8" i="3"/>
  <c r="G8" i="3"/>
  <c r="H8" i="3"/>
  <c r="L8" i="3"/>
  <c r="C9" i="3"/>
  <c r="G9" i="3"/>
  <c r="C10" i="3"/>
  <c r="E10" i="3"/>
  <c r="G10" i="3"/>
  <c r="H10" i="3"/>
  <c r="C11" i="3"/>
  <c r="E11" i="3"/>
  <c r="G11" i="3"/>
  <c r="H11" i="3"/>
  <c r="J11" i="3"/>
  <c r="K11" i="3"/>
  <c r="L11" i="3"/>
  <c r="C12" i="3"/>
  <c r="E12" i="3"/>
  <c r="G12" i="3"/>
  <c r="H12" i="3"/>
  <c r="C13" i="3"/>
  <c r="E13" i="3"/>
  <c r="G13" i="3"/>
  <c r="H13" i="3"/>
  <c r="L13" i="3"/>
  <c r="C14" i="3"/>
  <c r="E14" i="3"/>
  <c r="G14" i="3"/>
  <c r="H14" i="3"/>
  <c r="C15" i="3"/>
  <c r="E15" i="3"/>
  <c r="G15" i="3"/>
  <c r="H15" i="3"/>
  <c r="C16" i="3"/>
  <c r="E16" i="3"/>
  <c r="G16" i="3"/>
  <c r="H16" i="3"/>
  <c r="K16" i="3"/>
  <c r="L16" i="3"/>
  <c r="C17" i="3"/>
  <c r="E17" i="3"/>
  <c r="G17" i="3"/>
  <c r="H17" i="3"/>
  <c r="L17" i="3"/>
  <c r="C18" i="3"/>
  <c r="E18" i="3"/>
  <c r="G18" i="3"/>
  <c r="H18" i="3"/>
  <c r="L18" i="3"/>
  <c r="C19" i="3"/>
  <c r="E19" i="3"/>
  <c r="G19" i="3"/>
  <c r="H19" i="3"/>
  <c r="L19" i="3"/>
  <c r="C20" i="3"/>
  <c r="E20" i="3"/>
  <c r="G20" i="3"/>
  <c r="H20" i="3"/>
  <c r="L20" i="3"/>
  <c r="C21" i="3"/>
  <c r="E21" i="3"/>
  <c r="G21" i="3"/>
  <c r="H21" i="3"/>
  <c r="L21" i="3"/>
  <c r="C22" i="3"/>
  <c r="E22" i="3"/>
  <c r="G22" i="3"/>
  <c r="H22" i="3"/>
  <c r="L22" i="3"/>
  <c r="C23" i="3"/>
  <c r="E23" i="3"/>
  <c r="G23" i="3"/>
  <c r="H23" i="3"/>
  <c r="L23" i="3"/>
  <c r="L24" i="3"/>
  <c r="E25" i="3"/>
  <c r="H25" i="3"/>
  <c r="L25" i="3"/>
  <c r="L26" i="3"/>
  <c r="E27" i="3"/>
  <c r="H27" i="3"/>
  <c r="L27" i="3"/>
  <c r="K28" i="3"/>
  <c r="L28" i="3"/>
  <c r="E29" i="3"/>
  <c r="H29" i="3"/>
  <c r="L30" i="3"/>
  <c r="H34" i="3"/>
  <c r="I34" i="3"/>
  <c r="J34" i="3"/>
  <c r="K34" i="3"/>
  <c r="L34" i="3"/>
  <c r="B1" i="2"/>
  <c r="C8" i="2"/>
  <c r="E8" i="2"/>
  <c r="G8" i="2"/>
  <c r="H8" i="2"/>
  <c r="L8" i="2"/>
  <c r="O8" i="2"/>
  <c r="R8" i="2"/>
  <c r="T8" i="2"/>
  <c r="Z8" i="2"/>
  <c r="C9" i="2"/>
  <c r="G9" i="2"/>
  <c r="O9" i="2"/>
  <c r="P9" i="2"/>
  <c r="T9" i="2"/>
  <c r="C10" i="2"/>
  <c r="E10" i="2"/>
  <c r="G10" i="2"/>
  <c r="H10" i="2"/>
  <c r="O10" i="2"/>
  <c r="S10" i="2"/>
  <c r="T10" i="2"/>
  <c r="C11" i="2"/>
  <c r="E11" i="2"/>
  <c r="G11" i="2"/>
  <c r="H11" i="2"/>
  <c r="J11" i="2"/>
  <c r="K11" i="2"/>
  <c r="L11" i="2"/>
  <c r="O11" i="2"/>
  <c r="R11" i="2"/>
  <c r="T11" i="2"/>
  <c r="C12" i="2"/>
  <c r="E12" i="2"/>
  <c r="G12" i="2"/>
  <c r="H12" i="2"/>
  <c r="O12" i="2"/>
  <c r="T12" i="2"/>
  <c r="Y12" i="2"/>
  <c r="C13" i="2"/>
  <c r="E13" i="2"/>
  <c r="G13" i="2"/>
  <c r="H13" i="2"/>
  <c r="L13" i="2"/>
  <c r="O13" i="2"/>
  <c r="T13" i="2"/>
  <c r="C14" i="2"/>
  <c r="E14" i="2"/>
  <c r="G14" i="2"/>
  <c r="H14" i="2"/>
  <c r="O14" i="2"/>
  <c r="P14" i="2"/>
  <c r="R14" i="2"/>
  <c r="T14" i="2"/>
  <c r="C15" i="2"/>
  <c r="E15" i="2"/>
  <c r="G15" i="2"/>
  <c r="H15" i="2"/>
  <c r="O15" i="2"/>
  <c r="T15" i="2"/>
  <c r="C16" i="2"/>
  <c r="E16" i="2"/>
  <c r="G16" i="2"/>
  <c r="H16" i="2"/>
  <c r="K16" i="2"/>
  <c r="L16" i="2"/>
  <c r="O16" i="2"/>
  <c r="P16" i="2"/>
  <c r="T16" i="2"/>
  <c r="C17" i="2"/>
  <c r="E17" i="2"/>
  <c r="G17" i="2"/>
  <c r="H17" i="2"/>
  <c r="L17" i="2"/>
  <c r="O17" i="2"/>
  <c r="T17" i="2"/>
  <c r="C18" i="2"/>
  <c r="E18" i="2"/>
  <c r="G18" i="2"/>
  <c r="H18" i="2"/>
  <c r="L18" i="2"/>
  <c r="O18" i="2"/>
  <c r="T18" i="2"/>
  <c r="C19" i="2"/>
  <c r="E19" i="2"/>
  <c r="G19" i="2"/>
  <c r="H19" i="2"/>
  <c r="K19" i="2"/>
  <c r="L19" i="2"/>
  <c r="O19" i="2"/>
  <c r="R19" i="2"/>
  <c r="T19" i="2"/>
  <c r="C20" i="2"/>
  <c r="E20" i="2"/>
  <c r="G20" i="2"/>
  <c r="H20" i="2"/>
  <c r="K20" i="2"/>
  <c r="L20" i="2"/>
  <c r="O20" i="2"/>
  <c r="T20" i="2"/>
  <c r="C21" i="2"/>
  <c r="E21" i="2"/>
  <c r="G21" i="2"/>
  <c r="H21" i="2"/>
  <c r="L21" i="2"/>
  <c r="O21" i="2"/>
  <c r="T21" i="2"/>
  <c r="C22" i="2"/>
  <c r="E22" i="2"/>
  <c r="G22" i="2"/>
  <c r="H22" i="2"/>
  <c r="L22" i="2"/>
  <c r="O22" i="2"/>
  <c r="T22" i="2"/>
  <c r="C23" i="2"/>
  <c r="E23" i="2"/>
  <c r="G23" i="2"/>
  <c r="H23" i="2"/>
  <c r="K23" i="2"/>
  <c r="L23" i="2"/>
  <c r="O23" i="2"/>
  <c r="P23" i="2"/>
  <c r="R23" i="2"/>
  <c r="S23" i="2"/>
  <c r="T23" i="2"/>
  <c r="K24" i="2"/>
  <c r="L24" i="2"/>
  <c r="E25" i="2"/>
  <c r="H25" i="2"/>
  <c r="L25" i="2"/>
  <c r="K26" i="2"/>
  <c r="L26" i="2"/>
  <c r="E27" i="2"/>
  <c r="H27" i="2"/>
  <c r="K27" i="2"/>
  <c r="L27" i="2"/>
  <c r="K30" i="2"/>
  <c r="L30" i="2"/>
  <c r="E31" i="2"/>
  <c r="H31" i="2"/>
  <c r="L32" i="2"/>
  <c r="H36" i="2"/>
  <c r="I36" i="2"/>
  <c r="J36" i="2"/>
  <c r="K36" i="2"/>
  <c r="L36" i="2"/>
</calcChain>
</file>

<file path=xl/sharedStrings.xml><?xml version="1.0" encoding="utf-8"?>
<sst xmlns="http://schemas.openxmlformats.org/spreadsheetml/2006/main" count="371" uniqueCount="91">
  <si>
    <t>Natural Gas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</si>
  <si>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</si>
  <si>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</si>
  <si>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</si>
  <si>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</si>
  <si>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</si>
  <si>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</si>
  <si>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</si>
  <si>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</si>
  <si>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</si>
  <si>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</si>
  <si>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</si>
  <si>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</si>
  <si>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</si>
  <si>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</si>
  <si>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</si>
  <si>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</si>
  <si>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</si>
  <si>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</si>
  <si>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</si>
  <si>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</si>
  <si>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</si>
  <si>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</si>
  <si>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</si>
  <si>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</si>
  <si>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</si>
  <si>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</si>
  <si>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</si>
  <si>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</si>
  <si>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</si>
  <si>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</si>
  <si>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</si>
  <si>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</si>
  <si>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</si>
  <si>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</si>
  <si>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</si>
  <si>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</si>
  <si>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</si>
  <si>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</si>
  <si>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</si>
  <si>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</si>
  <si>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</si>
  <si>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</si>
  <si>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</si>
  <si>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</si>
  <si>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</si>
  <si>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</si>
  <si>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</si>
  <si>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</si>
  <si>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</si>
  <si>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</si>
  <si>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</si>
  <si>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</si>
  <si>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</si>
  <si>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</si>
  <si>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</si>
  <si>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</si>
  <si>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</si>
  <si>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</si>
  <si>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</si>
  <si>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</si>
  <si>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</si>
  <si>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</si>
  <si>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</si>
  <si>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 Trading</t>
  </si>
  <si>
    <t>Natural Gas Origination</t>
  </si>
  <si>
    <t>Natural Gas Analyst &amp; Associate</t>
  </si>
  <si>
    <t>Natural Gas Admins</t>
  </si>
  <si>
    <t>Variance</t>
  </si>
  <si>
    <t>Outside Legal &amp; Temps not included</t>
  </si>
  <si>
    <t>Controllable Infra.and System Dev.not included</t>
  </si>
  <si>
    <t>Revised</t>
  </si>
  <si>
    <t>Total Trading Plan</t>
  </si>
  <si>
    <t>TX Allocated Plan</t>
  </si>
  <si>
    <t>TX Plan 09/01</t>
  </si>
  <si>
    <t>TX Plan 09/01 Adj.</t>
  </si>
  <si>
    <t>Administration</t>
  </si>
  <si>
    <t>Tom Martin</t>
  </si>
  <si>
    <t>Jim Schwieger</t>
  </si>
  <si>
    <t>Mgr</t>
  </si>
  <si>
    <t>Eric Bass</t>
  </si>
  <si>
    <t>Assoc</t>
  </si>
  <si>
    <t>Charlie Weldon</t>
  </si>
  <si>
    <t>Dave Bambach</t>
  </si>
  <si>
    <t>Laura Vuittonet</t>
  </si>
  <si>
    <t>(not in compensation number)</t>
  </si>
  <si>
    <t>A</t>
  </si>
  <si>
    <t>B</t>
  </si>
  <si>
    <t>A - B</t>
  </si>
  <si>
    <t>Not sure what this is</t>
  </si>
  <si>
    <t>Seems more reasonable based on 9/01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</si>
</sst>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</font>
    <font>
      <u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 applyProtection="1">
      <alignment horizontal="center"/>
    </xf>
    <xf numFmtId="165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4" fillId="0" borderId="0" xfId="0" applyNumberFormat="1" applyFont="1" applyFill="1" applyBorder="1" applyAlignment="1" applyProtection="1">
      <alignment horizontal="center"/>
    </xf>
    <xf numFmtId="17" fontId="4" fillId="0" borderId="0" xfId="0" quotePrefix="1" applyNumberFormat="1" applyFont="1" applyFill="1" applyBorder="1" applyAlignment="1" applyProtection="1">
      <alignment horizont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2" applyNumberFormat="1" applyFont="1" applyProtection="1"/>
    <xf numFmtId="0" fontId="7" fillId="0" borderId="0" xfId="2" applyNumberFormat="1" applyFont="1" applyProtection="1"/>
    <xf numFmtId="165" fontId="7" fillId="0" borderId="0" xfId="3" applyNumberFormat="1" applyFont="1" applyProtection="1"/>
    <xf numFmtId="169" fontId="7" fillId="0" borderId="0" xfId="5" applyNumberFormat="1" applyFont="1" applyProtection="1"/>
    <xf numFmtId="165" fontId="7" fillId="2" borderId="0" xfId="3" applyNumberFormat="1" applyFont="1" applyFill="1" applyProtection="1"/>
    <xf numFmtId="165" fontId="7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7" fillId="0" borderId="0" xfId="3" applyNumberFormat="1" applyFont="1" applyBorder="1" applyProtection="1"/>
    <xf numFmtId="49" fontId="6" fillId="0" borderId="0" xfId="1" applyNumberFormat="1" applyFont="1" applyProtection="1"/>
    <xf numFmtId="0" fontId="4" fillId="0" borderId="0" xfId="1" applyNumberFormat="1" applyFont="1" applyProtection="1"/>
    <xf numFmtId="166" fontId="7" fillId="0" borderId="9" xfId="4" applyNumberFormat="1" applyFont="1" applyBorder="1"/>
    <xf numFmtId="169" fontId="7" fillId="0" borderId="9" xfId="5" applyNumberFormat="1" applyFont="1" applyBorder="1"/>
    <xf numFmtId="166" fontId="7" fillId="0" borderId="0" xfId="4" applyNumberFormat="1" applyFont="1" applyBorder="1"/>
    <xf numFmtId="165" fontId="7" fillId="0" borderId="9" xfId="3" applyNumberFormat="1" applyFont="1" applyBorder="1" applyProtection="1"/>
    <xf numFmtId="9" fontId="1" fillId="0" borderId="0" xfId="5"/>
    <xf numFmtId="0" fontId="8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7" fillId="0" borderId="0" xfId="0" applyFont="1"/>
    <xf numFmtId="0" fontId="7" fillId="0" borderId="0" xfId="0" applyFont="1" applyBorder="1"/>
    <xf numFmtId="41" fontId="7" fillId="0" borderId="0" xfId="0" applyNumberFormat="1" applyFont="1"/>
    <xf numFmtId="41" fontId="7" fillId="0" borderId="0" xfId="0" applyNumberFormat="1" applyFont="1" applyBorder="1"/>
    <xf numFmtId="0" fontId="4" fillId="0" borderId="0" xfId="0" applyFont="1"/>
    <xf numFmtId="0" fontId="5" fillId="0" borderId="0" xfId="0" applyFont="1"/>
    <xf numFmtId="42" fontId="7" fillId="0" borderId="0" xfId="0" applyNumberFormat="1" applyFont="1"/>
    <xf numFmtId="165" fontId="7" fillId="0" borderId="10" xfId="3" applyNumberFormat="1" applyFont="1" applyBorder="1" applyProtection="1"/>
    <xf numFmtId="165" fontId="9" fillId="0" borderId="4" xfId="3" applyNumberFormat="1" applyFont="1" applyBorder="1"/>
    <xf numFmtId="165" fontId="9" fillId="0" borderId="0" xfId="3" applyNumberFormat="1" applyFont="1" applyBorder="1"/>
    <xf numFmtId="165" fontId="9" fillId="0" borderId="5" xfId="3" applyNumberFormat="1" applyFont="1" applyBorder="1"/>
    <xf numFmtId="0" fontId="9" fillId="0" borderId="0" xfId="0" applyFont="1" applyBorder="1"/>
    <xf numFmtId="165" fontId="9" fillId="0" borderId="6" xfId="3" applyNumberFormat="1" applyFont="1" applyBorder="1"/>
    <xf numFmtId="165" fontId="9" fillId="0" borderId="7" xfId="3" applyNumberFormat="1" applyFont="1" applyBorder="1"/>
    <xf numFmtId="165" fontId="9" fillId="0" borderId="8" xfId="3" applyNumberFormat="1" applyFont="1" applyBorder="1"/>
    <xf numFmtId="165" fontId="2" fillId="0" borderId="4" xfId="3" applyNumberFormat="1" applyFont="1" applyBorder="1"/>
    <xf numFmtId="165" fontId="2" fillId="0" borderId="0" xfId="3" applyNumberFormat="1" applyFont="1" applyBorder="1"/>
    <xf numFmtId="165" fontId="2" fillId="0" borderId="5" xfId="3" applyNumberFormat="1" applyFont="1" applyBorder="1"/>
    <xf numFmtId="0" fontId="2" fillId="0" borderId="0" xfId="0" applyFont="1" applyBorder="1"/>
    <xf numFmtId="0" fontId="4" fillId="0" borderId="0" xfId="0" applyFont="1" applyBorder="1"/>
    <xf numFmtId="165" fontId="7" fillId="0" borderId="4" xfId="3" applyNumberFormat="1" applyFont="1" applyBorder="1" applyProtection="1"/>
    <xf numFmtId="41" fontId="7" fillId="0" borderId="5" xfId="0" applyNumberFormat="1" applyFont="1" applyBorder="1"/>
    <xf numFmtId="165" fontId="7" fillId="0" borderId="4" xfId="3" applyNumberFormat="1" applyFont="1" applyFill="1" applyBorder="1" applyProtection="1"/>
    <xf numFmtId="166" fontId="7" fillId="0" borderId="11" xfId="4" applyNumberFormat="1" applyFont="1" applyBorder="1"/>
    <xf numFmtId="166" fontId="7" fillId="0" borderId="12" xfId="4" applyNumberFormat="1" applyFont="1" applyBorder="1"/>
    <xf numFmtId="0" fontId="9" fillId="0" borderId="4" xfId="0" applyFont="1" applyBorder="1"/>
    <xf numFmtId="165" fontId="7" fillId="0" borderId="11" xfId="3" applyNumberFormat="1" applyFont="1" applyBorder="1" applyProtection="1"/>
    <xf numFmtId="165" fontId="7" fillId="0" borderId="13" xfId="3" applyNumberFormat="1" applyFont="1" applyBorder="1" applyProtection="1"/>
    <xf numFmtId="9" fontId="9" fillId="0" borderId="7" xfId="5" applyFont="1" applyBorder="1"/>
    <xf numFmtId="0" fontId="9" fillId="0" borderId="7" xfId="0" applyFont="1" applyBorder="1"/>
    <xf numFmtId="41" fontId="7" fillId="0" borderId="7" xfId="0" applyNumberFormat="1" applyFont="1" applyBorder="1"/>
    <xf numFmtId="41" fontId="7" fillId="0" borderId="8" xfId="0" applyNumberFormat="1" applyFont="1" applyBorder="1"/>
    <xf numFmtId="17" fontId="7" fillId="0" borderId="0" xfId="0" quotePrefix="1" applyNumberFormat="1" applyFont="1" applyFill="1" applyBorder="1" applyAlignment="1" applyProtection="1">
      <alignment horizontal="center"/>
    </xf>
    <xf numFmtId="17" fontId="10" fillId="0" borderId="0" xfId="0" applyNumberFormat="1" applyFont="1" applyFill="1" applyBorder="1" applyAlignment="1" applyProtection="1">
      <alignment horizontal="center"/>
    </xf>
    <xf numFmtId="17" fontId="4" fillId="0" borderId="1" xfId="0" quotePrefix="1" applyNumberFormat="1" applyFont="1" applyFill="1" applyBorder="1" applyAlignment="1" applyProtection="1">
      <alignment horizontal="center"/>
    </xf>
    <xf numFmtId="165" fontId="2" fillId="0" borderId="1" xfId="3" applyNumberFormat="1" applyFont="1" applyBorder="1"/>
    <xf numFmtId="165" fontId="2" fillId="0" borderId="2" xfId="3" applyNumberFormat="1" applyFont="1" applyBorder="1"/>
    <xf numFmtId="165" fontId="2" fillId="0" borderId="3" xfId="3" applyNumberFormat="1" applyFont="1" applyBorder="1"/>
    <xf numFmtId="0" fontId="2" fillId="0" borderId="2" xfId="0" applyFont="1" applyBorder="1"/>
    <xf numFmtId="0" fontId="4" fillId="0" borderId="2" xfId="0" applyFont="1" applyBorder="1"/>
    <xf numFmtId="17" fontId="4" fillId="0" borderId="3" xfId="0" quotePrefix="1" applyNumberFormat="1" applyFont="1" applyFill="1" applyBorder="1" applyAlignment="1" applyProtection="1">
      <alignment horizontal="center"/>
    </xf>
    <xf numFmtId="17" fontId="5" fillId="0" borderId="4" xfId="0" applyNumberFormat="1" applyFont="1" applyFill="1" applyBorder="1" applyAlignment="1" applyProtection="1">
      <alignment horizontal="center"/>
    </xf>
    <xf numFmtId="17" fontId="5" fillId="0" borderId="5" xfId="0" applyNumberFormat="1" applyFont="1" applyFill="1" applyBorder="1" applyAlignment="1" applyProtection="1">
      <alignment horizontal="center"/>
    </xf>
    <xf numFmtId="0" fontId="0" fillId="0" borderId="14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41" fontId="7" fillId="0" borderId="4" xfId="3" applyNumberFormat="1" applyFont="1" applyBorder="1" applyProtection="1"/>
    <xf numFmtId="41" fontId="7" fillId="0" borderId="5" xfId="3" applyNumberFormat="1" applyFont="1" applyBorder="1" applyProtection="1"/>
    <xf numFmtId="41" fontId="7" fillId="0" borderId="6" xfId="0" applyNumberFormat="1" applyFont="1" applyBorder="1"/>
    <xf numFmtId="41" fontId="7" fillId="0" borderId="15" xfId="0" applyNumberFormat="1" applyFont="1" applyBorder="1"/>
    <xf numFmtId="165" fontId="9" fillId="0" borderId="9" xfId="3" applyNumberFormat="1" applyFont="1" applyBorder="1"/>
    <xf numFmtId="0" fontId="9" fillId="0" borderId="9" xfId="0" applyFont="1" applyBorder="1"/>
    <xf numFmtId="41" fontId="7" fillId="0" borderId="9" xfId="0" applyNumberFormat="1" applyFont="1" applyBorder="1"/>
    <xf numFmtId="41" fontId="7" fillId="0" borderId="16" xfId="0" applyNumberFormat="1" applyFont="1" applyBorder="1"/>
    <xf numFmtId="41" fontId="7" fillId="0" borderId="17" xfId="0" applyNumberFormat="1" applyFont="1" applyBorder="1"/>
    <xf numFmtId="0" fontId="8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AN8" sqref="AN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17" width="10.6640625" hidden="1" customWidth="1"/>
    <col min="18" max="39" width="0" hidden="1" customWidth="1"/>
  </cols>
  <sheetData>
    <row r="1" spans="1:44" ht="18" x14ac:dyDescent="0.3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99" t="s">
        <v>0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5">
      <c r="K28" s="22">
        <f>SUM(K16:K27)</f>
        <v>90</v>
      </c>
      <c r="L28" s="22">
        <f>SUM(L16:L27)*1.2</f>
        <v>13056780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5">
      <c r="L30" s="22">
        <f>L28*1.2</f>
        <v>15668136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T49"/>
  <sheetViews>
    <sheetView tabSelected="1" topLeftCell="A13" zoomScaleNormal="100" workbookViewId="0">
      <selection activeCell="V42" sqref="V42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4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hidden="1" customWidth="1"/>
    <col min="15" max="15" width="9.88671875" hidden="1" customWidth="1"/>
    <col min="16" max="16" width="13.109375" customWidth="1"/>
    <col min="17" max="17" width="2.44140625" customWidth="1"/>
    <col min="18" max="18" width="10.6640625" customWidth="1"/>
    <col min="19" max="19" width="14.5546875" customWidth="1"/>
    <col min="20" max="20" width="10.44140625" customWidth="1"/>
  </cols>
  <sheetData>
    <row r="1" spans="1:46" ht="18" x14ac:dyDescent="0.3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" x14ac:dyDescent="0.35">
      <c r="B2" s="99" t="s">
        <v>64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600000000000001" thickBot="1" x14ac:dyDescent="0.4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x14ac:dyDescent="0.25">
      <c r="I4" s="4"/>
      <c r="J4" s="5"/>
      <c r="K4" s="5"/>
      <c r="L4" s="6"/>
    </row>
    <row r="5" spans="1:46" ht="14.4" thickBot="1" x14ac:dyDescent="0.35">
      <c r="I5" s="7"/>
      <c r="J5" s="8" t="s">
        <v>2</v>
      </c>
      <c r="K5" s="8" t="s">
        <v>3</v>
      </c>
      <c r="L5" s="9" t="s">
        <v>4</v>
      </c>
      <c r="P5" s="98" t="s">
        <v>86</v>
      </c>
      <c r="S5" s="98" t="s">
        <v>87</v>
      </c>
      <c r="Z5" s="39" t="s">
        <v>71</v>
      </c>
    </row>
    <row r="6" spans="1:46" ht="13.8" x14ac:dyDescent="0.3">
      <c r="C6" s="10">
        <v>37135</v>
      </c>
      <c r="E6" s="11" t="s">
        <v>5</v>
      </c>
      <c r="G6" s="10" t="s">
        <v>6</v>
      </c>
      <c r="H6" s="73" t="s">
        <v>7</v>
      </c>
      <c r="I6" s="74"/>
      <c r="J6" s="75"/>
      <c r="K6" s="75"/>
      <c r="L6" s="76"/>
      <c r="M6" s="77"/>
      <c r="N6" s="77"/>
      <c r="O6" s="78"/>
      <c r="P6" s="79" t="s">
        <v>7</v>
      </c>
      <c r="Q6" s="71"/>
      <c r="R6" s="73" t="s">
        <v>7</v>
      </c>
      <c r="S6" s="79" t="s">
        <v>7</v>
      </c>
      <c r="T6" s="43" t="s">
        <v>88</v>
      </c>
      <c r="Z6" s="11" t="s">
        <v>7</v>
      </c>
    </row>
    <row r="7" spans="1:46" ht="13.8" x14ac:dyDescent="0.3">
      <c r="C7" s="12" t="s">
        <v>8</v>
      </c>
      <c r="E7" s="12" t="s">
        <v>9</v>
      </c>
      <c r="G7" s="12" t="s">
        <v>10</v>
      </c>
      <c r="H7" s="80" t="s">
        <v>72</v>
      </c>
      <c r="I7" s="54"/>
      <c r="J7" s="55"/>
      <c r="K7" s="55"/>
      <c r="L7" s="56"/>
      <c r="M7" s="57"/>
      <c r="N7" s="57"/>
      <c r="O7" s="58"/>
      <c r="P7" s="81" t="s">
        <v>73</v>
      </c>
      <c r="Q7" s="72"/>
      <c r="R7" s="80" t="s">
        <v>74</v>
      </c>
      <c r="S7" s="81" t="s">
        <v>75</v>
      </c>
      <c r="T7" s="44" t="s">
        <v>68</v>
      </c>
      <c r="Z7" s="12" t="s">
        <v>11</v>
      </c>
    </row>
    <row r="8" spans="1:46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59">
        <f>L30-H10</f>
        <v>5652900</v>
      </c>
      <c r="I8" s="47" t="s">
        <v>13</v>
      </c>
      <c r="J8" s="48">
        <v>0</v>
      </c>
      <c r="K8" s="48"/>
      <c r="L8" s="49">
        <f>L32</f>
        <v>6783480</v>
      </c>
      <c r="M8" s="50"/>
      <c r="N8" s="50"/>
      <c r="O8" s="42">
        <f>H8/$H$25</f>
        <v>171300</v>
      </c>
      <c r="P8" s="60">
        <v>642840</v>
      </c>
      <c r="Q8" s="42"/>
      <c r="R8" s="89">
        <f>740264+40000</f>
        <v>780264</v>
      </c>
      <c r="S8" s="90">
        <v>642840</v>
      </c>
      <c r="T8" s="41">
        <f>P8-S8</f>
        <v>0</v>
      </c>
      <c r="Z8" s="45">
        <f>(180000+180000+100000+45000)</f>
        <v>505000</v>
      </c>
    </row>
    <row r="9" spans="1:46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59">
        <v>0</v>
      </c>
      <c r="I9" s="47"/>
      <c r="J9" s="48"/>
      <c r="K9" s="48"/>
      <c r="L9" s="49"/>
      <c r="M9" s="50"/>
      <c r="N9" s="50"/>
      <c r="O9" s="42">
        <f t="shared" ref="O9:O22" si="1">H9/$H$25</f>
        <v>0</v>
      </c>
      <c r="P9" s="60">
        <f>O9*2</f>
        <v>0</v>
      </c>
      <c r="Q9" s="42"/>
      <c r="R9" s="89"/>
      <c r="S9" s="90"/>
      <c r="T9" s="41">
        <f t="shared" ref="T9:T22" si="2">P9-S9</f>
        <v>0</v>
      </c>
      <c r="Z9" s="45"/>
    </row>
    <row r="10" spans="1:46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59">
        <f>L21+L22</f>
        <v>0</v>
      </c>
      <c r="I10" s="47"/>
      <c r="J10" s="48"/>
      <c r="K10" s="48"/>
      <c r="L10" s="49"/>
      <c r="M10" s="50"/>
      <c r="N10" s="50"/>
      <c r="O10" s="42">
        <f t="shared" si="1"/>
        <v>0</v>
      </c>
      <c r="P10" s="60">
        <v>178200</v>
      </c>
      <c r="Q10" s="42"/>
      <c r="R10" s="89">
        <v>392400</v>
      </c>
      <c r="S10" s="90">
        <f>89100+89100</f>
        <v>178200</v>
      </c>
      <c r="T10" s="41">
        <f t="shared" si="2"/>
        <v>0</v>
      </c>
      <c r="Z10" s="45"/>
    </row>
    <row r="11" spans="1:46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59">
        <f>L32-L30</f>
        <v>1130580</v>
      </c>
      <c r="I11" s="47" t="s">
        <v>18</v>
      </c>
      <c r="J11" s="48">
        <f>(E12+E13+E14+E15+E16+E17+E18+E19+E20+E21+E22)/E31</f>
        <v>48270.181250000009</v>
      </c>
      <c r="K11" s="48">
        <f>K30</f>
        <v>33</v>
      </c>
      <c r="L11" s="49">
        <f>J11*K11</f>
        <v>1592915.9812500002</v>
      </c>
      <c r="M11" s="50"/>
      <c r="N11" s="50"/>
      <c r="O11" s="42">
        <f t="shared" si="1"/>
        <v>34260</v>
      </c>
      <c r="P11" s="60">
        <v>164208</v>
      </c>
      <c r="Q11" s="42"/>
      <c r="R11" s="89">
        <f>99804+35396</f>
        <v>135200</v>
      </c>
      <c r="S11" s="90">
        <v>164208</v>
      </c>
      <c r="T11" s="41">
        <f t="shared" si="2"/>
        <v>0</v>
      </c>
      <c r="Z11" s="45"/>
    </row>
    <row r="12" spans="1:46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61">
        <f t="shared" ref="H12:H21" si="3">(E12/$E$31)*$K$11</f>
        <v>203361.63374999992</v>
      </c>
      <c r="I12" s="47"/>
      <c r="J12" s="48"/>
      <c r="K12" s="48"/>
      <c r="L12" s="49"/>
      <c r="M12" s="50"/>
      <c r="N12" s="50"/>
      <c r="O12" s="42">
        <f t="shared" si="1"/>
        <v>6162.4737499999974</v>
      </c>
      <c r="P12" s="60">
        <v>30812</v>
      </c>
      <c r="Q12" s="42"/>
      <c r="R12" s="89">
        <v>105000</v>
      </c>
      <c r="S12" s="90">
        <v>50000</v>
      </c>
      <c r="T12" s="41">
        <f t="shared" si="2"/>
        <v>-19188</v>
      </c>
      <c r="U12" t="s">
        <v>90</v>
      </c>
      <c r="Y12">
        <f>5000+1800+24000+10000+1500+15000</f>
        <v>57300</v>
      </c>
      <c r="Z12" s="45"/>
    </row>
    <row r="13" spans="1:46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61">
        <f t="shared" si="3"/>
        <v>181003.57825000005</v>
      </c>
      <c r="I13" s="51" t="s">
        <v>23</v>
      </c>
      <c r="J13" s="52"/>
      <c r="K13" s="52"/>
      <c r="L13" s="53">
        <f>L8+L11</f>
        <v>8376395.9812500002</v>
      </c>
      <c r="M13" s="50"/>
      <c r="N13" s="48"/>
      <c r="O13" s="42">
        <f t="shared" si="1"/>
        <v>5484.9569166666679</v>
      </c>
      <c r="P13" s="60">
        <v>27425</v>
      </c>
      <c r="Q13" s="42"/>
      <c r="R13" s="89">
        <v>55000</v>
      </c>
      <c r="S13" s="90">
        <v>35000</v>
      </c>
      <c r="T13" s="41">
        <f t="shared" si="2"/>
        <v>-7575</v>
      </c>
      <c r="U13" t="s">
        <v>90</v>
      </c>
      <c r="Z13" s="45"/>
    </row>
    <row r="14" spans="1:46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Origination'!C14+[2]Fundamentals!C14-C34</f>
        <v>0.2400000000197906</v>
      </c>
      <c r="E14" s="17">
        <f>(C14/9)*12</f>
        <v>0.32000000002638745</v>
      </c>
      <c r="G14" s="16">
        <f t="shared" si="0"/>
        <v>1.4674947071167709E-8</v>
      </c>
      <c r="H14" s="61">
        <f t="shared" si="3"/>
        <v>6.6000000005442414E-2</v>
      </c>
      <c r="I14" s="48"/>
      <c r="J14" s="48"/>
      <c r="K14" s="48"/>
      <c r="L14" s="48"/>
      <c r="M14" s="50"/>
      <c r="N14" s="50"/>
      <c r="O14" s="42">
        <f t="shared" si="1"/>
        <v>2.0000000001649215E-3</v>
      </c>
      <c r="P14" s="60">
        <f>O14*2</f>
        <v>4.000000000329843E-3</v>
      </c>
      <c r="Q14" s="42"/>
      <c r="R14" s="89">
        <f>5000+50000</f>
        <v>55000</v>
      </c>
      <c r="S14" s="90">
        <v>25000</v>
      </c>
      <c r="T14" s="41">
        <f t="shared" si="2"/>
        <v>-24999.995999999999</v>
      </c>
      <c r="U14" t="s">
        <v>69</v>
      </c>
      <c r="Z14" s="45"/>
    </row>
    <row r="15" spans="1:46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61">
        <f t="shared" si="3"/>
        <v>28754.824999999997</v>
      </c>
      <c r="I15" s="48"/>
      <c r="J15" s="48"/>
      <c r="K15" s="48"/>
      <c r="L15" s="48"/>
      <c r="M15" s="50"/>
      <c r="N15" s="50"/>
      <c r="O15" s="42">
        <f t="shared" si="1"/>
        <v>871.35833333333323</v>
      </c>
      <c r="P15" s="60">
        <v>4357</v>
      </c>
      <c r="Q15" s="42"/>
      <c r="R15" s="89">
        <v>90600</v>
      </c>
      <c r="S15" s="90">
        <v>20000</v>
      </c>
      <c r="T15" s="41">
        <f t="shared" si="2"/>
        <v>-15643</v>
      </c>
      <c r="U15" t="s">
        <v>90</v>
      </c>
      <c r="Z15" s="45"/>
    </row>
    <row r="16" spans="1:46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61">
        <f t="shared" si="3"/>
        <v>0</v>
      </c>
      <c r="I16" s="48" t="s">
        <v>30</v>
      </c>
      <c r="J16" s="48">
        <v>33000</v>
      </c>
      <c r="K16" s="48">
        <f>1-1</f>
        <v>0</v>
      </c>
      <c r="L16" s="48">
        <f t="shared" ref="L16:L27" si="4">J16*K16</f>
        <v>0</v>
      </c>
      <c r="M16" s="50"/>
      <c r="N16" s="50"/>
      <c r="O16" s="42">
        <f t="shared" si="1"/>
        <v>0</v>
      </c>
      <c r="P16" s="60">
        <f>O16*2</f>
        <v>0</v>
      </c>
      <c r="Q16" s="42"/>
      <c r="R16" s="89">
        <v>0</v>
      </c>
      <c r="S16" s="90">
        <v>0</v>
      </c>
      <c r="T16" s="41">
        <f t="shared" si="2"/>
        <v>0</v>
      </c>
      <c r="Z16" s="45"/>
    </row>
    <row r="17" spans="1:26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61">
        <f t="shared" si="3"/>
        <v>1622.5</v>
      </c>
      <c r="I17" s="48" t="s">
        <v>33</v>
      </c>
      <c r="J17" s="48">
        <v>48400</v>
      </c>
      <c r="K17" s="48">
        <v>0</v>
      </c>
      <c r="L17" s="48">
        <f t="shared" si="4"/>
        <v>0</v>
      </c>
      <c r="M17" s="50"/>
      <c r="N17" s="50"/>
      <c r="O17" s="42">
        <f t="shared" si="1"/>
        <v>49.166666666666664</v>
      </c>
      <c r="P17" s="60">
        <v>246</v>
      </c>
      <c r="Q17" s="42"/>
      <c r="R17" s="89">
        <v>0</v>
      </c>
      <c r="S17" s="90">
        <v>246</v>
      </c>
      <c r="T17" s="41">
        <f t="shared" si="2"/>
        <v>0</v>
      </c>
      <c r="Z17" s="45"/>
    </row>
    <row r="18" spans="1:26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61">
        <f t="shared" si="3"/>
        <v>29467.603000000003</v>
      </c>
      <c r="I18" s="48" t="s">
        <v>36</v>
      </c>
      <c r="J18" s="48">
        <v>49500</v>
      </c>
      <c r="K18" s="48">
        <v>0</v>
      </c>
      <c r="L18" s="48">
        <f t="shared" si="4"/>
        <v>0</v>
      </c>
      <c r="M18" s="50"/>
      <c r="N18" s="50"/>
      <c r="O18" s="42">
        <f t="shared" si="1"/>
        <v>892.9576666666668</v>
      </c>
      <c r="P18" s="60">
        <v>4465</v>
      </c>
      <c r="Q18" s="42"/>
      <c r="R18" s="89">
        <v>0</v>
      </c>
      <c r="S18" s="60">
        <v>4465</v>
      </c>
      <c r="T18" s="41">
        <f t="shared" si="2"/>
        <v>0</v>
      </c>
      <c r="U18" t="s">
        <v>89</v>
      </c>
      <c r="Z18" s="45"/>
    </row>
    <row r="19" spans="1:26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61">
        <f t="shared" si="3"/>
        <v>30032.838</v>
      </c>
      <c r="I19" s="48" t="s">
        <v>39</v>
      </c>
      <c r="J19" s="48">
        <v>57750</v>
      </c>
      <c r="K19" s="48">
        <f>1</f>
        <v>1</v>
      </c>
      <c r="L19" s="48">
        <f t="shared" si="4"/>
        <v>57750</v>
      </c>
      <c r="M19" s="50"/>
      <c r="N19" s="50"/>
      <c r="O19" s="42">
        <f t="shared" si="1"/>
        <v>910.08600000000001</v>
      </c>
      <c r="P19" s="60">
        <v>4550</v>
      </c>
      <c r="Q19" s="42"/>
      <c r="R19" s="89">
        <f>820000+1397000</f>
        <v>2217000</v>
      </c>
      <c r="S19" s="60">
        <v>4550</v>
      </c>
      <c r="T19" s="41">
        <f t="shared" si="2"/>
        <v>0</v>
      </c>
      <c r="U19" t="s">
        <v>70</v>
      </c>
      <c r="Z19" s="45"/>
    </row>
    <row r="20" spans="1:26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61">
        <f t="shared" si="3"/>
        <v>4.4000000000000004</v>
      </c>
      <c r="I20" s="48" t="s">
        <v>42</v>
      </c>
      <c r="J20" s="48">
        <v>71500</v>
      </c>
      <c r="K20" s="48">
        <f>2+1-1</f>
        <v>2</v>
      </c>
      <c r="L20" s="48">
        <f t="shared" si="4"/>
        <v>143000</v>
      </c>
      <c r="M20" s="50"/>
      <c r="N20" s="50"/>
      <c r="O20" s="42">
        <f t="shared" si="1"/>
        <v>0.13333333333333333</v>
      </c>
      <c r="P20" s="60">
        <v>1</v>
      </c>
      <c r="Q20" s="42"/>
      <c r="R20" s="89">
        <v>0</v>
      </c>
      <c r="S20" s="60">
        <v>1</v>
      </c>
      <c r="T20" s="41">
        <f t="shared" si="2"/>
        <v>0</v>
      </c>
      <c r="Z20" s="45"/>
    </row>
    <row r="21" spans="1:26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61">
        <f t="shared" si="3"/>
        <v>37341.950249999965</v>
      </c>
      <c r="I21" s="48" t="s">
        <v>45</v>
      </c>
      <c r="J21" s="48">
        <v>60500</v>
      </c>
      <c r="K21" s="48">
        <v>0</v>
      </c>
      <c r="L21" s="48">
        <f t="shared" si="4"/>
        <v>0</v>
      </c>
      <c r="M21" s="50"/>
      <c r="N21" s="50"/>
      <c r="O21" s="42">
        <f t="shared" si="1"/>
        <v>1131.574249999999</v>
      </c>
      <c r="P21" s="60">
        <v>5658</v>
      </c>
      <c r="Q21" s="42"/>
      <c r="R21" s="89">
        <v>6000</v>
      </c>
      <c r="S21" s="90">
        <v>6000</v>
      </c>
      <c r="T21" s="41">
        <f t="shared" si="2"/>
        <v>-342</v>
      </c>
      <c r="Z21" s="45"/>
    </row>
    <row r="22" spans="1:26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61">
        <f>(E22/$E$31)*$K$11+557047+65535+393210+393210+1081327</f>
        <v>3571655.5870000003</v>
      </c>
      <c r="I22" s="48" t="s">
        <v>48</v>
      </c>
      <c r="J22" s="48">
        <v>89100</v>
      </c>
      <c r="K22" s="48">
        <v>0</v>
      </c>
      <c r="L22" s="48">
        <f t="shared" si="4"/>
        <v>0</v>
      </c>
      <c r="M22" s="50"/>
      <c r="N22" s="50"/>
      <c r="O22" s="42">
        <f t="shared" si="1"/>
        <v>108231.98748484849</v>
      </c>
      <c r="P22" s="60">
        <v>0</v>
      </c>
      <c r="Q22" s="42"/>
      <c r="R22" s="89">
        <v>0</v>
      </c>
      <c r="S22" s="90">
        <v>0</v>
      </c>
      <c r="T22" s="41">
        <f t="shared" si="2"/>
        <v>0</v>
      </c>
      <c r="Z22" s="45"/>
    </row>
    <row r="23" spans="1:26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62">
        <f>SUM(H8:H22)</f>
        <v>10866724.981250001</v>
      </c>
      <c r="I23" s="48" t="s">
        <v>51</v>
      </c>
      <c r="J23" s="48">
        <v>110000</v>
      </c>
      <c r="K23" s="48">
        <f>1+8+11-11</f>
        <v>9</v>
      </c>
      <c r="L23" s="48">
        <f t="shared" si="4"/>
        <v>990000</v>
      </c>
      <c r="M23" s="50"/>
      <c r="N23" s="50"/>
      <c r="O23" s="29">
        <f>SUM(O8:O22)</f>
        <v>329294.69640151516</v>
      </c>
      <c r="P23" s="63">
        <f>SUM(P8:P22)</f>
        <v>1062762.004</v>
      </c>
      <c r="Q23" s="29"/>
      <c r="R23" s="62">
        <f>SUM(R8:R22)</f>
        <v>3836464</v>
      </c>
      <c r="S23" s="63">
        <f>SUM(S8:S22)</f>
        <v>1130510</v>
      </c>
      <c r="T23" s="29">
        <f>SUM(T8:T22)</f>
        <v>-67747.995999999999</v>
      </c>
      <c r="Z23" s="45"/>
    </row>
    <row r="24" spans="1:26" ht="14.4" thickBot="1" x14ac:dyDescent="0.35">
      <c r="H24" s="64"/>
      <c r="I24" s="48" t="s">
        <v>52</v>
      </c>
      <c r="J24" s="48">
        <v>143000</v>
      </c>
      <c r="K24" s="48">
        <f>1+11+14-14</f>
        <v>12</v>
      </c>
      <c r="L24" s="48">
        <f t="shared" si="4"/>
        <v>1716000</v>
      </c>
      <c r="M24" s="50"/>
      <c r="N24" s="50"/>
      <c r="O24" s="42"/>
      <c r="P24" s="82"/>
      <c r="Q24" s="42"/>
      <c r="R24" s="91"/>
      <c r="S24" s="70"/>
      <c r="T24" s="39"/>
    </row>
    <row r="25" spans="1:26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65">
        <f>+K16+K17+K18+K19+K20+K23+K24+K25+K26+K27</f>
        <v>33</v>
      </c>
      <c r="I25" s="48" t="s">
        <v>54</v>
      </c>
      <c r="J25" s="48">
        <v>165000</v>
      </c>
      <c r="K25" s="48">
        <v>0</v>
      </c>
      <c r="L25" s="48">
        <f t="shared" si="4"/>
        <v>0</v>
      </c>
      <c r="M25" s="50"/>
      <c r="N25" s="50"/>
      <c r="O25" s="42"/>
      <c r="P25" s="60">
        <v>3</v>
      </c>
      <c r="Q25" s="42"/>
      <c r="R25" s="83">
        <v>6</v>
      </c>
      <c r="S25" s="84">
        <v>3</v>
      </c>
      <c r="T25" s="39"/>
    </row>
    <row r="26" spans="1:26" ht="13.8" x14ac:dyDescent="0.3">
      <c r="C26" s="15"/>
      <c r="E26" s="15"/>
      <c r="H26" s="59"/>
      <c r="I26" s="48" t="s">
        <v>55</v>
      </c>
      <c r="J26" s="48">
        <v>198000</v>
      </c>
      <c r="K26" s="48">
        <f>8+6-6</f>
        <v>8</v>
      </c>
      <c r="L26" s="48">
        <f t="shared" si="4"/>
        <v>1584000</v>
      </c>
      <c r="M26" s="50"/>
      <c r="N26" s="50"/>
      <c r="O26" s="42"/>
      <c r="P26" s="92"/>
      <c r="Q26" s="42"/>
      <c r="R26" s="85"/>
      <c r="S26" s="86"/>
      <c r="T26" s="39"/>
    </row>
    <row r="27" spans="1:26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46">
        <f>+K21+K22</f>
        <v>0</v>
      </c>
      <c r="I27" s="93" t="s">
        <v>57</v>
      </c>
      <c r="J27" s="93">
        <v>220000</v>
      </c>
      <c r="K27" s="93">
        <f>1+1-1</f>
        <v>1</v>
      </c>
      <c r="L27" s="93">
        <f t="shared" si="4"/>
        <v>220000</v>
      </c>
      <c r="M27" s="94"/>
      <c r="N27" s="94"/>
      <c r="O27" s="95"/>
      <c r="P27" s="96">
        <v>2</v>
      </c>
      <c r="Q27" s="42"/>
      <c r="R27" s="85">
        <v>3</v>
      </c>
      <c r="S27" s="86">
        <v>2</v>
      </c>
      <c r="T27" s="39"/>
    </row>
    <row r="28" spans="1:26" ht="13.8" x14ac:dyDescent="0.3">
      <c r="B28" s="28"/>
      <c r="C28" s="15"/>
      <c r="E28" s="26"/>
      <c r="H28" s="59"/>
      <c r="I28" s="48"/>
      <c r="J28" s="48"/>
      <c r="K28" s="48"/>
      <c r="L28" s="48"/>
      <c r="M28" s="50"/>
      <c r="N28" s="50"/>
      <c r="O28" s="42"/>
      <c r="P28" s="60"/>
      <c r="Q28" s="42"/>
      <c r="R28" s="85"/>
      <c r="S28" s="86"/>
      <c r="T28" s="39"/>
    </row>
    <row r="29" spans="1:26" ht="13.8" x14ac:dyDescent="0.3">
      <c r="B29" s="28" t="s">
        <v>76</v>
      </c>
      <c r="C29" s="15"/>
      <c r="E29" s="26"/>
      <c r="H29" s="46"/>
      <c r="I29" s="93"/>
      <c r="J29" s="93"/>
      <c r="K29" s="93"/>
      <c r="L29" s="93"/>
      <c r="M29" s="94"/>
      <c r="N29" s="94"/>
      <c r="O29" s="95"/>
      <c r="P29" s="96"/>
      <c r="Q29" s="42"/>
      <c r="R29" s="85">
        <v>1</v>
      </c>
      <c r="S29" s="86"/>
      <c r="T29" s="39"/>
    </row>
    <row r="30" spans="1:26" ht="13.8" x14ac:dyDescent="0.3">
      <c r="H30" s="64"/>
      <c r="I30" s="48"/>
      <c r="J30" s="48"/>
      <c r="K30" s="48">
        <f>SUM(K16:K27)</f>
        <v>33</v>
      </c>
      <c r="L30" s="48">
        <f>SUM(L16:L27)*1.2</f>
        <v>5652900</v>
      </c>
      <c r="M30" s="50"/>
      <c r="N30" s="50"/>
      <c r="O30" s="42"/>
      <c r="P30" s="97"/>
      <c r="Q30" s="42"/>
      <c r="R30" s="85"/>
      <c r="S30" s="86"/>
      <c r="T30" s="39"/>
      <c r="U30">
        <v>198000</v>
      </c>
      <c r="V30" t="s">
        <v>55</v>
      </c>
    </row>
    <row r="31" spans="1:26" ht="14.4" thickBot="1" x14ac:dyDescent="0.35">
      <c r="B31" s="28" t="s">
        <v>58</v>
      </c>
      <c r="C31" s="15"/>
      <c r="E31" s="32">
        <f>SUM(E25:E27)</f>
        <v>160</v>
      </c>
      <c r="G31" s="22"/>
      <c r="H31" s="66">
        <f>SUM(H25:H27)</f>
        <v>33</v>
      </c>
      <c r="I31" s="52"/>
      <c r="J31" s="52"/>
      <c r="K31" s="52"/>
      <c r="L31" s="67">
        <v>0.2</v>
      </c>
      <c r="M31" s="68"/>
      <c r="N31" s="68"/>
      <c r="O31" s="69"/>
      <c r="P31" s="70">
        <v>5</v>
      </c>
      <c r="Q31" s="42"/>
      <c r="R31" s="87">
        <v>10</v>
      </c>
      <c r="S31" s="88">
        <v>5</v>
      </c>
      <c r="T31" s="39"/>
      <c r="U31">
        <v>110000</v>
      </c>
      <c r="V31" t="s">
        <v>79</v>
      </c>
    </row>
    <row r="32" spans="1:26" ht="13.8" hidden="1" x14ac:dyDescent="0.3">
      <c r="L32" s="22">
        <f>L30*1.2</f>
        <v>6783480</v>
      </c>
      <c r="O32" s="39"/>
      <c r="P32" s="40"/>
      <c r="Q32" s="40"/>
      <c r="R32" s="40"/>
      <c r="S32" s="40"/>
      <c r="T32" s="39"/>
    </row>
    <row r="33" spans="2:22" ht="13.8" hidden="1" x14ac:dyDescent="0.3">
      <c r="H33" s="34" t="s">
        <v>59</v>
      </c>
      <c r="L33"/>
      <c r="O33" s="39"/>
      <c r="P33" s="40"/>
      <c r="Q33" s="40"/>
      <c r="R33" s="40"/>
      <c r="S33" s="40"/>
      <c r="T33" s="39"/>
    </row>
    <row r="34" spans="2:22" ht="13.8" hidden="1" x14ac:dyDescent="0.3">
      <c r="B34" s="14" t="s">
        <v>25</v>
      </c>
      <c r="C34" s="15">
        <v>254512</v>
      </c>
      <c r="L34"/>
      <c r="O34" s="39"/>
      <c r="P34" s="40"/>
      <c r="Q34" s="40"/>
      <c r="R34" s="40"/>
      <c r="S34" s="40"/>
      <c r="T34" s="39"/>
    </row>
    <row r="35" spans="2:22" ht="13.8" hidden="1" x14ac:dyDescent="0.3">
      <c r="H35" s="35" t="s">
        <v>60</v>
      </c>
      <c r="I35" s="36" t="s">
        <v>61</v>
      </c>
      <c r="J35" s="36" t="s">
        <v>62</v>
      </c>
      <c r="K35" s="36" t="s">
        <v>3</v>
      </c>
      <c r="L35" s="36" t="s">
        <v>63</v>
      </c>
      <c r="O35" s="39"/>
      <c r="P35" s="40"/>
      <c r="Q35" s="40"/>
      <c r="R35" s="40"/>
      <c r="S35" s="40"/>
      <c r="T35" s="39"/>
    </row>
    <row r="36" spans="2:22" ht="13.8" hidden="1" x14ac:dyDescent="0.3">
      <c r="H36" s="37">
        <f>SUM(E12:E22)</f>
        <v>7723229.0000000019</v>
      </c>
      <c r="I36" s="38">
        <f>+E31</f>
        <v>160</v>
      </c>
      <c r="J36" s="38">
        <f>+H36/I36</f>
        <v>48270.181250000009</v>
      </c>
      <c r="K36" s="38">
        <f>+K11</f>
        <v>33</v>
      </c>
      <c r="L36" s="38">
        <f>+J36*K36</f>
        <v>1592915.9812500002</v>
      </c>
      <c r="O36" s="39"/>
      <c r="P36" s="40"/>
      <c r="Q36" s="40"/>
      <c r="R36" s="40"/>
      <c r="S36" s="40"/>
      <c r="T36" s="39"/>
    </row>
    <row r="37" spans="2:22" ht="13.8" hidden="1" x14ac:dyDescent="0.3">
      <c r="O37" s="39"/>
      <c r="P37" s="40"/>
      <c r="Q37" s="40"/>
      <c r="R37" s="40"/>
      <c r="S37" s="40"/>
      <c r="T37" s="39"/>
    </row>
    <row r="38" spans="2:22" ht="13.8" hidden="1" x14ac:dyDescent="0.3">
      <c r="O38" s="39"/>
      <c r="P38" s="40"/>
      <c r="Q38" s="40"/>
      <c r="R38" s="40"/>
      <c r="S38" s="40"/>
      <c r="T38" s="39"/>
    </row>
    <row r="39" spans="2:22" ht="13.8" hidden="1" x14ac:dyDescent="0.3">
      <c r="O39" s="39"/>
      <c r="P39" s="40"/>
      <c r="Q39" s="40"/>
      <c r="R39" s="40"/>
      <c r="S39" s="40"/>
      <c r="T39" s="39"/>
    </row>
    <row r="40" spans="2:22" ht="13.8" hidden="1" x14ac:dyDescent="0.3">
      <c r="O40" s="39"/>
      <c r="P40" s="40"/>
      <c r="Q40" s="40"/>
      <c r="R40" s="40"/>
      <c r="S40" s="40"/>
      <c r="T40" s="39"/>
    </row>
    <row r="41" spans="2:22" ht="13.8" x14ac:dyDescent="0.3">
      <c r="O41" s="39"/>
      <c r="P41" s="40"/>
      <c r="Q41" s="40"/>
      <c r="R41" s="40"/>
      <c r="S41" s="40"/>
      <c r="T41" s="39"/>
      <c r="U41">
        <v>89100</v>
      </c>
      <c r="V41" t="s">
        <v>81</v>
      </c>
    </row>
    <row r="42" spans="2:22" ht="13.8" x14ac:dyDescent="0.3">
      <c r="O42" s="39"/>
      <c r="P42" s="39"/>
      <c r="Q42" s="39"/>
      <c r="R42" s="39"/>
      <c r="S42" s="39"/>
      <c r="T42" s="39"/>
    </row>
    <row r="43" spans="2:22" ht="13.8" x14ac:dyDescent="0.3">
      <c r="O43" s="39"/>
      <c r="P43" s="39"/>
      <c r="Q43" s="39"/>
      <c r="R43" s="39"/>
      <c r="S43" s="39"/>
      <c r="T43" s="39"/>
    </row>
    <row r="44" spans="2:22" ht="13.8" x14ac:dyDescent="0.3">
      <c r="B44" t="s">
        <v>55</v>
      </c>
      <c r="O44" s="39"/>
      <c r="P44" s="39"/>
      <c r="Q44" s="39"/>
      <c r="R44" s="39"/>
      <c r="S44" s="39" t="s">
        <v>77</v>
      </c>
      <c r="T44" s="39"/>
    </row>
    <row r="45" spans="2:22" ht="13.8" x14ac:dyDescent="0.3">
      <c r="B45" t="s">
        <v>55</v>
      </c>
      <c r="O45" s="39"/>
      <c r="P45" s="39"/>
      <c r="Q45" s="39"/>
      <c r="R45" s="39"/>
      <c r="S45" s="39" t="s">
        <v>78</v>
      </c>
      <c r="T45" s="39"/>
    </row>
    <row r="46" spans="2:22" x14ac:dyDescent="0.25">
      <c r="B46" t="s">
        <v>79</v>
      </c>
      <c r="S46" t="s">
        <v>80</v>
      </c>
    </row>
    <row r="47" spans="2:22" ht="13.8" x14ac:dyDescent="0.3">
      <c r="B47" t="s">
        <v>81</v>
      </c>
      <c r="S47" s="39" t="s">
        <v>82</v>
      </c>
    </row>
    <row r="48" spans="2:22" ht="13.8" x14ac:dyDescent="0.3">
      <c r="B48" t="s">
        <v>81</v>
      </c>
      <c r="S48" s="39" t="s">
        <v>83</v>
      </c>
    </row>
    <row r="49" spans="2:20" ht="13.8" x14ac:dyDescent="0.3">
      <c r="B49" t="s">
        <v>33</v>
      </c>
      <c r="S49" s="39" t="s">
        <v>84</v>
      </c>
      <c r="T49" t="s">
        <v>85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customWidth="1"/>
    <col min="16" max="16" width="10.33203125" customWidth="1"/>
    <col min="17" max="17" width="10.6640625" customWidth="1"/>
  </cols>
  <sheetData>
    <row r="1" spans="1:44" ht="18" x14ac:dyDescent="0.3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99" t="s">
        <v>65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5629800</v>
      </c>
      <c r="I8" s="7" t="s">
        <v>13</v>
      </c>
      <c r="J8" s="8">
        <v>0</v>
      </c>
      <c r="K8" s="8"/>
      <c r="L8" s="9">
        <f>L30</f>
        <v>6755760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1125960</v>
      </c>
      <c r="I11" s="7" t="s">
        <v>18</v>
      </c>
      <c r="J11" s="8">
        <f>(E12+E13+E14+E15+E16+E17+E18+E19+E20+E21+E22)/E29</f>
        <v>48270.181250000009</v>
      </c>
      <c r="K11" s="8">
        <f>K28</f>
        <v>33</v>
      </c>
      <c r="L11" s="9">
        <f>J11*K11</f>
        <v>1592915.9812500002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203361.63374999992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181003.57825000005</v>
      </c>
      <c r="I13" s="19" t="s">
        <v>23</v>
      </c>
      <c r="J13" s="20"/>
      <c r="K13" s="20"/>
      <c r="L13" s="21">
        <f>L8+L11</f>
        <v>8348675.9812500002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6.6000000005442414E-2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28754.824999999997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1622.5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29467.603000000003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30032.838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4.4000000000000004</v>
      </c>
      <c r="I20" s="22" t="s">
        <v>42</v>
      </c>
      <c r="J20" s="22">
        <v>71500</v>
      </c>
      <c r="K20" s="22">
        <v>1</v>
      </c>
      <c r="L20" s="22">
        <f t="shared" si="2"/>
        <v>71500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37341.950249999965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(E22/$E$29)*$K$11-1081327</f>
        <v>-0.41299999947659671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7267348.9812500011</v>
      </c>
      <c r="I23" s="22" t="s">
        <v>51</v>
      </c>
      <c r="J23" s="22">
        <v>110000</v>
      </c>
      <c r="K23" s="22">
        <v>11</v>
      </c>
      <c r="L23" s="22">
        <f t="shared" si="2"/>
        <v>1210000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v>14</v>
      </c>
      <c r="L24" s="22">
        <f t="shared" si="2"/>
        <v>2002000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33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6</v>
      </c>
      <c r="L26" s="22">
        <f t="shared" si="2"/>
        <v>1188000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1</v>
      </c>
      <c r="L27" s="22">
        <f t="shared" si="2"/>
        <v>220000</v>
      </c>
      <c r="P27" s="25"/>
      <c r="Q27" s="26"/>
    </row>
    <row r="28" spans="1:17" x14ac:dyDescent="0.25">
      <c r="K28" s="22">
        <f>SUM(K16:K27)</f>
        <v>33</v>
      </c>
      <c r="L28" s="22">
        <f>SUM(L16:L27)*1.2</f>
        <v>5629800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33</v>
      </c>
      <c r="L29" s="33">
        <v>0.2</v>
      </c>
      <c r="P29" s="25"/>
      <c r="Q29" s="26"/>
    </row>
    <row r="30" spans="1:17" hidden="1" x14ac:dyDescent="0.25">
      <c r="L30" s="22">
        <f>L28*1.2</f>
        <v>6755760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33</v>
      </c>
      <c r="L34" s="38">
        <f>+J34*K34</f>
        <v>1592915.9812500002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O10" sqref="O1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99" t="s">
        <v>66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179520</v>
      </c>
      <c r="I8" s="7" t="s">
        <v>13</v>
      </c>
      <c r="J8" s="8">
        <v>0</v>
      </c>
      <c r="K8" s="8"/>
      <c r="L8" s="9">
        <f>L30</f>
        <v>1292544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215424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1871786.175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1478576.1750000003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5">
      <c r="K28" s="22">
        <f>SUM(K16:K27)</f>
        <v>12</v>
      </c>
      <c r="L28" s="22">
        <f>SUM(L16:L27)*1.2</f>
        <v>1077120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5">
      <c r="L30" s="22">
        <f>L28*1.2</f>
        <v>1292544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99" t="s">
        <v>67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696960</v>
      </c>
      <c r="I8" s="7" t="s">
        <v>13</v>
      </c>
      <c r="J8" s="8">
        <v>0</v>
      </c>
      <c r="K8" s="8"/>
      <c r="L8" s="9">
        <f>L30</f>
        <v>836352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139392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1415594.175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1022384.175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12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5">
      <c r="K28" s="22">
        <f>SUM(K16:K27)</f>
        <v>12</v>
      </c>
      <c r="L28" s="22">
        <f>SUM(L16:L27)*1.2</f>
        <v>696960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5">
      <c r="L30" s="22">
        <f>L28*1.2</f>
        <v>836352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Natural Gas</vt:lpstr>
      <vt:lpstr>Natural Gas Trading</vt:lpstr>
      <vt:lpstr>Natural Gas Orig</vt:lpstr>
      <vt:lpstr>Natural Gas A&amp;A</vt:lpstr>
      <vt:lpstr>Natural Gas Admin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dcterms:created xsi:type="dcterms:W3CDTF">2002-01-02T15:46:57Z</dcterms:created>
  <dcterms:modified xsi:type="dcterms:W3CDTF">2023-09-10T11:45:42Z</dcterms:modified>
</cp:coreProperties>
</file>