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5952" windowHeight="8076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92512"/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C48" i="11"/>
  <c r="E48" i="11"/>
  <c r="C49" i="11"/>
  <c r="E49" i="11"/>
  <c r="E50" i="11"/>
  <c r="C51" i="11"/>
  <c r="E51" i="11"/>
  <c r="E52" i="11"/>
  <c r="C53" i="11"/>
  <c r="E53" i="11"/>
  <c r="E54" i="11"/>
  <c r="C55" i="11"/>
  <c r="E55" i="11"/>
  <c r="C56" i="11"/>
  <c r="E56" i="11"/>
  <c r="E57" i="11"/>
  <c r="E58" i="11"/>
  <c r="E59" i="11"/>
  <c r="E60" i="11"/>
  <c r="E61" i="11"/>
  <c r="E62" i="11"/>
  <c r="E63" i="11"/>
  <c r="C64" i="11"/>
  <c r="E64" i="11"/>
  <c r="C65" i="11"/>
  <c r="E65" i="11"/>
  <c r="C66" i="11"/>
  <c r="E66" i="11"/>
  <c r="C67" i="11"/>
  <c r="E67" i="11"/>
  <c r="C68" i="11"/>
  <c r="D68" i="11"/>
  <c r="E68" i="11"/>
  <c r="E70" i="11"/>
  <c r="C71" i="11"/>
  <c r="D71" i="11"/>
  <c r="E71" i="11"/>
  <c r="C72" i="11"/>
  <c r="D72" i="11"/>
  <c r="E72" i="11"/>
  <c r="C74" i="11"/>
  <c r="D74" i="11"/>
  <c r="E74" i="11"/>
  <c r="D76" i="11"/>
  <c r="D77" i="11"/>
  <c r="O91" i="11"/>
  <c r="P91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C48" i="9"/>
  <c r="E48" i="9"/>
  <c r="I48" i="9"/>
  <c r="C49" i="9"/>
  <c r="E49" i="9"/>
  <c r="I49" i="9"/>
  <c r="C50" i="9"/>
  <c r="E50" i="9"/>
  <c r="I50" i="9"/>
  <c r="C51" i="9"/>
  <c r="E51" i="9"/>
  <c r="G51" i="9"/>
  <c r="I51" i="9"/>
  <c r="C52" i="9"/>
  <c r="E52" i="9"/>
  <c r="G52" i="9"/>
  <c r="I52" i="9"/>
  <c r="C53" i="9"/>
  <c r="E53" i="9"/>
  <c r="G53" i="9"/>
  <c r="I53" i="9"/>
  <c r="C54" i="9"/>
  <c r="E54" i="9"/>
  <c r="G54" i="9"/>
  <c r="I54" i="9"/>
  <c r="E55" i="9"/>
  <c r="I55" i="9"/>
  <c r="C56" i="9"/>
  <c r="E56" i="9"/>
  <c r="G56" i="9"/>
  <c r="I56" i="9"/>
  <c r="C57" i="9"/>
  <c r="E57" i="9"/>
  <c r="G57" i="9"/>
  <c r="I57" i="9"/>
  <c r="E58" i="9"/>
  <c r="G58" i="9"/>
  <c r="I58" i="9"/>
  <c r="E59" i="9"/>
  <c r="G59" i="9"/>
  <c r="I59" i="9"/>
  <c r="E60" i="9"/>
  <c r="G60" i="9"/>
  <c r="I60" i="9"/>
  <c r="E61" i="9"/>
  <c r="G61" i="9"/>
  <c r="I61" i="9"/>
  <c r="C62" i="9"/>
  <c r="E62" i="9"/>
  <c r="G62" i="9"/>
  <c r="I62" i="9"/>
  <c r="E63" i="9"/>
  <c r="I63" i="9"/>
  <c r="C64" i="9"/>
  <c r="E64" i="9"/>
  <c r="G64" i="9"/>
  <c r="I64" i="9"/>
  <c r="C65" i="9"/>
  <c r="E65" i="9"/>
  <c r="G65" i="9"/>
  <c r="I65" i="9"/>
  <c r="C66" i="9"/>
  <c r="E66" i="9"/>
  <c r="G66" i="9"/>
  <c r="I66" i="9"/>
  <c r="C67" i="9"/>
  <c r="D67" i="9"/>
  <c r="E67" i="9"/>
  <c r="G67" i="9"/>
  <c r="I67" i="9"/>
  <c r="C68" i="9"/>
  <c r="D68" i="9"/>
  <c r="E68" i="9"/>
  <c r="G68" i="9"/>
  <c r="H68" i="9"/>
  <c r="I68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E82" i="9"/>
  <c r="I82" i="9"/>
  <c r="C83" i="9"/>
  <c r="D83" i="9"/>
  <c r="E83" i="9"/>
  <c r="I83" i="9"/>
  <c r="C84" i="9"/>
  <c r="D84" i="9"/>
  <c r="E84" i="9"/>
  <c r="G84" i="9"/>
  <c r="H84" i="9"/>
  <c r="I84" i="9"/>
  <c r="C85" i="9"/>
  <c r="E85" i="9"/>
  <c r="I85" i="9"/>
  <c r="C86" i="9"/>
  <c r="E86" i="9"/>
  <c r="I86" i="9"/>
  <c r="C87" i="9"/>
  <c r="D87" i="9"/>
  <c r="E87" i="9"/>
  <c r="G87" i="9"/>
  <c r="H87" i="9"/>
  <c r="I87" i="9"/>
  <c r="E88" i="9"/>
  <c r="I88" i="9"/>
  <c r="C89" i="9"/>
  <c r="D89" i="9"/>
  <c r="E89" i="9"/>
  <c r="G89" i="9"/>
  <c r="H89" i="9"/>
  <c r="I89" i="9"/>
  <c r="O91" i="9"/>
  <c r="P91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H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I49" i="8"/>
  <c r="L49" i="8"/>
  <c r="N49" i="8"/>
  <c r="I50" i="8"/>
  <c r="L50" i="8"/>
  <c r="N50" i="8"/>
  <c r="I51" i="8"/>
  <c r="L51" i="8"/>
  <c r="N51" i="8"/>
  <c r="I52" i="8"/>
  <c r="L52" i="8"/>
  <c r="N52" i="8"/>
  <c r="I53" i="8"/>
  <c r="L53" i="8"/>
  <c r="N53" i="8"/>
  <c r="I54" i="8"/>
  <c r="L54" i="8"/>
  <c r="N54" i="8"/>
  <c r="I55" i="8"/>
  <c r="L55" i="8"/>
  <c r="N55" i="8"/>
  <c r="I56" i="8"/>
  <c r="L56" i="8"/>
  <c r="N56" i="8"/>
  <c r="I57" i="8"/>
  <c r="L57" i="8"/>
  <c r="M57" i="8"/>
  <c r="N57" i="8"/>
  <c r="I58" i="8"/>
  <c r="L58" i="8"/>
  <c r="N58" i="8"/>
  <c r="I59" i="8"/>
  <c r="L59" i="8"/>
  <c r="N59" i="8"/>
  <c r="I60" i="8"/>
  <c r="L60" i="8"/>
  <c r="N60" i="8"/>
  <c r="I61" i="8"/>
  <c r="L61" i="8"/>
  <c r="N61" i="8"/>
  <c r="I62" i="8"/>
  <c r="L62" i="8"/>
  <c r="N62" i="8"/>
  <c r="I63" i="8"/>
  <c r="L63" i="8"/>
  <c r="N63" i="8"/>
  <c r="H64" i="8"/>
  <c r="I64" i="8"/>
  <c r="L64" i="8"/>
  <c r="N64" i="8"/>
  <c r="I65" i="8"/>
  <c r="L65" i="8"/>
  <c r="N65" i="8"/>
  <c r="I66" i="8"/>
  <c r="L66" i="8"/>
  <c r="M66" i="8"/>
  <c r="N66" i="8"/>
  <c r="I67" i="8"/>
  <c r="L67" i="8"/>
  <c r="N67" i="8"/>
  <c r="I68" i="8"/>
  <c r="L68" i="8"/>
  <c r="N68" i="8"/>
  <c r="I69" i="8"/>
  <c r="L69" i="8"/>
  <c r="M69" i="8"/>
  <c r="N69" i="8"/>
  <c r="C71" i="8"/>
  <c r="D71" i="8"/>
  <c r="E71" i="8"/>
  <c r="F71" i="8"/>
  <c r="G71" i="8"/>
  <c r="H71" i="8"/>
  <c r="I71" i="8"/>
  <c r="J71" i="8"/>
  <c r="K71" i="8"/>
  <c r="L71" i="8"/>
  <c r="M71" i="8"/>
  <c r="N71" i="8"/>
  <c r="O91" i="8"/>
  <c r="P91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L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C70" i="12"/>
  <c r="D70" i="12"/>
  <c r="E70" i="12"/>
  <c r="G70" i="12"/>
  <c r="H70" i="12"/>
  <c r="I70" i="12"/>
  <c r="K70" i="12"/>
  <c r="L70" i="12"/>
  <c r="M70" i="12"/>
  <c r="O70" i="12"/>
  <c r="P70" i="12"/>
  <c r="Q70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E85" i="12"/>
  <c r="G85" i="12"/>
  <c r="H85" i="12"/>
  <c r="I85" i="12"/>
  <c r="M85" i="12"/>
  <c r="O85" i="12"/>
  <c r="P85" i="12"/>
  <c r="Q85" i="12"/>
  <c r="C86" i="12"/>
  <c r="D86" i="12"/>
  <c r="E86" i="12"/>
  <c r="G86" i="12"/>
  <c r="H86" i="12"/>
  <c r="I86" i="12"/>
  <c r="K86" i="12"/>
  <c r="L86" i="12"/>
  <c r="M86" i="12"/>
  <c r="O86" i="12"/>
  <c r="P86" i="12"/>
  <c r="Q86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G88" i="12"/>
  <c r="H88" i="12"/>
  <c r="I88" i="12"/>
  <c r="K88" i="12"/>
  <c r="L88" i="12"/>
  <c r="M88" i="12"/>
  <c r="O88" i="12"/>
  <c r="P88" i="12"/>
  <c r="Q88" i="12"/>
  <c r="C89" i="12"/>
  <c r="D89" i="12"/>
  <c r="E89" i="12"/>
  <c r="I89" i="12"/>
  <c r="M89" i="12"/>
  <c r="O89" i="12"/>
  <c r="P89" i="12"/>
  <c r="Q89" i="12"/>
  <c r="C90" i="12"/>
  <c r="E90" i="12"/>
  <c r="I90" i="12"/>
  <c r="K90" i="12"/>
  <c r="L90" i="12"/>
  <c r="M90" i="12"/>
  <c r="O90" i="12"/>
  <c r="P90" i="12"/>
  <c r="Q90" i="12"/>
  <c r="C91" i="12"/>
  <c r="D91" i="12"/>
  <c r="E91" i="12"/>
  <c r="G91" i="12"/>
  <c r="H91" i="12"/>
  <c r="I91" i="12"/>
  <c r="K91" i="12"/>
  <c r="L91" i="12"/>
  <c r="M91" i="12"/>
  <c r="O91" i="12"/>
  <c r="P91" i="12"/>
  <c r="Q91" i="12"/>
  <c r="E92" i="12"/>
  <c r="G92" i="12"/>
  <c r="H92" i="12"/>
  <c r="I92" i="12"/>
  <c r="L92" i="12"/>
  <c r="O92" i="12"/>
  <c r="P92" i="12"/>
  <c r="Q92" i="12"/>
  <c r="C93" i="12"/>
  <c r="D93" i="12"/>
  <c r="E93" i="12"/>
  <c r="G93" i="12"/>
  <c r="H93" i="12"/>
  <c r="I93" i="12"/>
  <c r="K93" i="12"/>
  <c r="L93" i="12"/>
  <c r="M93" i="12"/>
  <c r="O93" i="12"/>
  <c r="P93" i="12"/>
  <c r="Q93" i="12"/>
  <c r="E103" i="12"/>
  <c r="M103" i="12"/>
  <c r="E109" i="12"/>
  <c r="M109" i="12"/>
  <c r="C111" i="12"/>
  <c r="D111" i="12"/>
  <c r="E111" i="12"/>
  <c r="E112" i="12"/>
  <c r="C113" i="12"/>
  <c r="D113" i="12"/>
  <c r="E113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L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L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C64" i="13"/>
  <c r="E64" i="13"/>
  <c r="G64" i="13"/>
  <c r="I64" i="13"/>
  <c r="K64" i="13"/>
  <c r="M64" i="13"/>
  <c r="O64" i="13"/>
  <c r="P64" i="13"/>
  <c r="Q64" i="13"/>
  <c r="C65" i="13"/>
  <c r="E65" i="13"/>
  <c r="G65" i="13"/>
  <c r="I65" i="13"/>
  <c r="K65" i="13"/>
  <c r="M65" i="13"/>
  <c r="O65" i="13"/>
  <c r="P65" i="13"/>
  <c r="Q65" i="13"/>
  <c r="C66" i="13"/>
  <c r="E66" i="13"/>
  <c r="G66" i="13"/>
  <c r="I66" i="13"/>
  <c r="K66" i="13"/>
  <c r="M66" i="13"/>
  <c r="O66" i="13"/>
  <c r="P66" i="13"/>
  <c r="Q66" i="13"/>
  <c r="C67" i="13"/>
  <c r="D67" i="13"/>
  <c r="E67" i="13"/>
  <c r="G67" i="13"/>
  <c r="H67" i="13"/>
  <c r="I67" i="13"/>
  <c r="K67" i="13"/>
  <c r="L67" i="13"/>
  <c r="M67" i="13"/>
  <c r="O67" i="13"/>
  <c r="P67" i="13"/>
  <c r="Q67" i="13"/>
  <c r="C68" i="13"/>
  <c r="D68" i="13"/>
  <c r="E68" i="13"/>
  <c r="G68" i="13"/>
  <c r="I68" i="13"/>
  <c r="K68" i="13"/>
  <c r="L68" i="13"/>
  <c r="M68" i="13"/>
  <c r="O68" i="13"/>
  <c r="P68" i="13"/>
  <c r="Q68" i="13"/>
  <c r="C69" i="13"/>
  <c r="D69" i="13"/>
  <c r="E69" i="13"/>
  <c r="G69" i="13"/>
  <c r="H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2" i="13"/>
  <c r="E72" i="13"/>
  <c r="G72" i="13"/>
  <c r="I72" i="13"/>
  <c r="K72" i="13"/>
  <c r="M72" i="13"/>
  <c r="O72" i="13"/>
  <c r="P72" i="13"/>
  <c r="Q72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D86" i="13"/>
  <c r="E86" i="13"/>
  <c r="G86" i="13"/>
  <c r="H86" i="13"/>
  <c r="I86" i="13"/>
  <c r="K86" i="13"/>
  <c r="L86" i="13"/>
  <c r="M86" i="13"/>
  <c r="O86" i="13"/>
  <c r="P86" i="13"/>
  <c r="Q86" i="13"/>
  <c r="C87" i="13"/>
  <c r="E87" i="13"/>
  <c r="G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D91" i="13"/>
  <c r="E91" i="13"/>
  <c r="G91" i="13"/>
  <c r="H91" i="13"/>
  <c r="I91" i="13"/>
  <c r="K91" i="13"/>
  <c r="L91" i="13"/>
  <c r="M91" i="13"/>
  <c r="O91" i="13"/>
  <c r="P91" i="13"/>
  <c r="Q91" i="13"/>
  <c r="E92" i="13"/>
  <c r="G92" i="13"/>
  <c r="I92" i="13"/>
  <c r="L92" i="13"/>
  <c r="O92" i="13"/>
  <c r="P92" i="13"/>
  <c r="Q92" i="13"/>
  <c r="C93" i="13"/>
  <c r="D93" i="13"/>
  <c r="E93" i="13"/>
  <c r="G93" i="13"/>
  <c r="H93" i="13"/>
  <c r="I93" i="13"/>
  <c r="K93" i="13"/>
  <c r="L93" i="13"/>
  <c r="M93" i="13"/>
  <c r="O93" i="13"/>
  <c r="P93" i="13"/>
  <c r="Q93" i="13"/>
</calcChain>
</file>

<file path=xl/sharedStrings.xml><?xml version="1.0" encoding="utf-8"?>
<sst xmlns="http://schemas.openxmlformats.org/spreadsheetml/2006/main" count="670" uniqueCount="159">
  <si>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</si>
  <si>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</si>
  <si>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</si>
  <si>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</si>
  <si>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</si>
  <si>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</si>
  <si>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</si>
  <si>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</si>
  <si>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</si>
  <si>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</si>
  <si>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</si>
  <si>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</si>
  <si>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</si>
  <si>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</si>
  <si>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</si>
  <si>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</si>
  <si>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</si>
  <si>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</si>
  <si>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</si>
  <si>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</si>
  <si>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</si>
  <si>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</si>
  <si>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</si>
  <si>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</si>
  <si>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</si>
  <si>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</si>
  <si>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</si>
  <si>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</si>
  <si>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</si>
  <si>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</si>
  <si>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</si>
  <si>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</si>
  <si>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</si>
  <si>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</si>
  <si>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</si>
  <si>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</si>
  <si>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</si>
  <si>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</si>
  <si>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</si>
  <si>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</si>
  <si>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</si>
  <si>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</si>
  <si>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</si>
  <si>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</si>
  <si>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</si>
  <si>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</si>
  <si>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</si>
  <si>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</si>
  <si>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</si>
  <si>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</si>
  <si>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</si>
  <si>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</si>
  <si>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</si>
  <si>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</si>
  <si>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</si>
  <si>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</si>
  <si>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</si>
  <si>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</si>
  <si>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</si>
  <si>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</si>
  <si>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</si>
  <si>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</si>
  <si>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</si>
  <si>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</si>
  <si>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</si>
  <si>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</si>
  <si>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</si>
  <si>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</si>
  <si>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</si>
  <si>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</si>
  <si>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</si>
  <si>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</si>
  <si>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</si>
  <si>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</si>
  <si>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</si>
  <si>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</si>
  <si>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</si>
  <si>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</si>
  <si>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</si>
  <si>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</si>
  <si>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</si>
  <si>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</si>
  <si>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</si>
  <si>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</si>
  <si>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</si>
  <si>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</si>
  <si>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</si>
  <si>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</si>
  <si>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</si>
  <si>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</si>
  <si>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</si>
  <si>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</si>
  <si>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</si>
  <si>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</si>
  <si>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</si>
  <si>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</si>
  <si>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</si>
  <si>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</si>
  <si>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</si>
  <si>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</si>
  <si>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</si>
  <si>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</si>
  <si>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</si>
  <si>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</si>
  <si>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</si>
  <si>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</si>
  <si>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</si>
  <si>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</si>
  <si>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</si>
  <si>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</si>
  <si>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</si>
  <si>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</si>
  <si>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</si>
  <si>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</si>
  <si>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</si>
  <si>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</si>
  <si>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</si>
  <si>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</si>
  <si>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</si>
  <si>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</si>
  <si>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</si>
  <si>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</si>
  <si>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</si>
  <si>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</si>
  <si>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</si>
  <si>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</si>
  <si>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</si>
  <si>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</si>
  <si>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</si>
  <si>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</si>
  <si>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</si>
  <si>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</si>
  <si>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</si>
  <si>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</si>
  <si>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</si>
  <si>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</si>
  <si>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</si>
  <si>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</si>
  <si>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</si>
  <si>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</si>
  <si>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</si>
  <si>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</si>
  <si>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</si>
  <si>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</si>
  <si>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</si>
  <si>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</si>
  <si>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</si>
  <si>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</si>
  <si>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</si>
  <si>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</si>
  <si>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</si>
  <si>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Southeast (Herndon/Croll)</t>
  </si>
  <si>
    <t xml:space="preserve">    Options (Arrora)</t>
  </si>
  <si>
    <t xml:space="preserve">    Services (Will)</t>
  </si>
  <si>
    <t>Results based on activity through May 11, 2001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</si>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</sst>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7972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83820</xdr:rowOff>
    </xdr:from>
    <xdr:to>
      <xdr:col>13</xdr:col>
      <xdr:colOff>381000</xdr:colOff>
      <xdr:row>2</xdr:row>
      <xdr:rowOff>45720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7056120" y="8382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60960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446520" y="76200"/>
          <a:ext cx="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15240</xdr:rowOff>
    </xdr:from>
    <xdr:to>
      <xdr:col>8</xdr:col>
      <xdr:colOff>0</xdr:colOff>
      <xdr:row>2</xdr:row>
      <xdr:rowOff>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15840" y="15240"/>
          <a:ext cx="163068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1">
          <cell r="C61">
            <v>4599</v>
          </cell>
          <cell r="G61">
            <v>700</v>
          </cell>
          <cell r="K61">
            <v>13695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ColWidth="9.109375" defaultRowHeight="10.199999999999999" x14ac:dyDescent="0.2"/>
  <cols>
    <col min="1" max="1" width="27.44140625" style="10" customWidth="1"/>
    <col min="2" max="2" width="0.88671875" style="10" customWidth="1"/>
    <col min="3" max="4" width="8.6640625" style="10" customWidth="1"/>
    <col min="5" max="5" width="11.6640625" style="10" customWidth="1"/>
    <col min="6" max="6" width="0.88671875" style="10" customWidth="1"/>
    <col min="7" max="9" width="8.6640625" style="216" customWidth="1"/>
    <col min="10" max="10" width="1.109375" style="216" customWidth="1"/>
    <col min="11" max="12" width="8.6640625" style="216" customWidth="1"/>
    <col min="13" max="13" width="7.3320312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5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3">
      <c r="A5" s="45"/>
      <c r="B5" s="257"/>
      <c r="C5" s="345"/>
      <c r="D5" s="346"/>
      <c r="E5" s="347"/>
      <c r="F5" s="261"/>
      <c r="G5" s="351" t="s">
        <v>121</v>
      </c>
      <c r="H5" s="352"/>
      <c r="I5" s="353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5">
      <c r="A6" s="238"/>
      <c r="B6" s="258"/>
      <c r="C6" s="348" t="s">
        <v>0</v>
      </c>
      <c r="D6" s="349"/>
      <c r="E6" s="350"/>
      <c r="F6" s="262"/>
      <c r="G6" s="339" t="s">
        <v>114</v>
      </c>
      <c r="H6" s="340"/>
      <c r="I6" s="341"/>
      <c r="J6" s="265"/>
      <c r="K6" s="339" t="s">
        <v>99</v>
      </c>
      <c r="L6" s="340"/>
      <c r="M6" s="341"/>
      <c r="N6" s="278"/>
      <c r="O6" s="339" t="s">
        <v>1</v>
      </c>
      <c r="P6" s="340"/>
      <c r="Q6" s="341"/>
    </row>
    <row r="7" spans="1:26" ht="15" customHeight="1" thickBot="1" x14ac:dyDescent="0.35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">
      <c r="A9" s="11" t="s">
        <v>20</v>
      </c>
      <c r="B9" s="17"/>
      <c r="C9" s="153">
        <f>GrossMargin!I8</f>
        <v>3706</v>
      </c>
      <c r="D9" s="154">
        <f>GrossMargin!M8</f>
        <v>8750</v>
      </c>
      <c r="E9" s="50">
        <f t="shared" ref="E9:E17" si="0">-D9+C9</f>
        <v>-5044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2700</v>
      </c>
      <c r="P9" s="196">
        <f>D9-H9-L9</f>
        <v>7744</v>
      </c>
      <c r="Q9" s="200">
        <f t="shared" ref="Q9:Q17" si="1">O9-P9</f>
        <v>-5044</v>
      </c>
    </row>
    <row r="10" spans="1:26" s="18" customFormat="1" ht="12.75" customHeight="1" x14ac:dyDescent="0.2">
      <c r="A10" s="11" t="s">
        <v>21</v>
      </c>
      <c r="B10" s="19"/>
      <c r="C10" s="21">
        <f>GrossMargin!I9</f>
        <v>-1173</v>
      </c>
      <c r="D10" s="251">
        <f>GrossMargin!M9</f>
        <v>20000</v>
      </c>
      <c r="E10" s="24">
        <f t="shared" si="0"/>
        <v>-21173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-2667</v>
      </c>
      <c r="P10" s="202">
        <f>D10-H10-L10</f>
        <v>18432</v>
      </c>
      <c r="Q10" s="198">
        <f t="shared" si="1"/>
        <v>-21099</v>
      </c>
    </row>
    <row r="11" spans="1:26" ht="12" customHeight="1" x14ac:dyDescent="0.2">
      <c r="A11" s="11" t="s">
        <v>22</v>
      </c>
      <c r="B11" s="20"/>
      <c r="C11" s="21">
        <f>GrossMargin!I10</f>
        <v>52705</v>
      </c>
      <c r="D11" s="251">
        <f>GrossMargin!M10</f>
        <v>20000</v>
      </c>
      <c r="E11" s="24">
        <f t="shared" si="0"/>
        <v>32705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51248</v>
      </c>
      <c r="P11" s="202">
        <f t="shared" ref="P11:P17" si="5">D11-H11-L11</f>
        <v>18543</v>
      </c>
      <c r="Q11" s="198">
        <f t="shared" si="1"/>
        <v>32705</v>
      </c>
    </row>
    <row r="12" spans="1:26" ht="12" customHeight="1" x14ac:dyDescent="0.2">
      <c r="A12" s="11" t="s">
        <v>23</v>
      </c>
      <c r="B12" s="20"/>
      <c r="C12" s="21">
        <f>GrossMargin!I11</f>
        <v>53579</v>
      </c>
      <c r="D12" s="251">
        <f>GrossMargin!M11</f>
        <v>20000</v>
      </c>
      <c r="E12" s="24">
        <f t="shared" si="0"/>
        <v>33579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51694</v>
      </c>
      <c r="P12" s="202">
        <f t="shared" si="5"/>
        <v>18115</v>
      </c>
      <c r="Q12" s="198">
        <f t="shared" si="1"/>
        <v>33579</v>
      </c>
    </row>
    <row r="13" spans="1:26" ht="12" customHeight="1" x14ac:dyDescent="0.2">
      <c r="A13" s="11" t="s">
        <v>24</v>
      </c>
      <c r="B13" s="20"/>
      <c r="C13" s="21">
        <f>GrossMargin!I12</f>
        <v>17601</v>
      </c>
      <c r="D13" s="251">
        <f>GrossMargin!M12</f>
        <v>6250</v>
      </c>
      <c r="E13" s="24">
        <f t="shared" si="0"/>
        <v>11351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15018</v>
      </c>
      <c r="P13" s="202">
        <f t="shared" si="5"/>
        <v>3667</v>
      </c>
      <c r="Q13" s="198">
        <f t="shared" si="1"/>
        <v>11351</v>
      </c>
    </row>
    <row r="14" spans="1:26" ht="12" customHeight="1" x14ac:dyDescent="0.2">
      <c r="A14" s="11" t="s">
        <v>64</v>
      </c>
      <c r="B14" s="20"/>
      <c r="C14" s="21">
        <f>GrossMargin!I15</f>
        <v>-2278</v>
      </c>
      <c r="D14" s="251">
        <f>GrossMargin!M15</f>
        <v>-5000</v>
      </c>
      <c r="E14" s="24">
        <f t="shared" si="0"/>
        <v>2722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-2434</v>
      </c>
      <c r="P14" s="202">
        <f t="shared" si="5"/>
        <v>-5156</v>
      </c>
      <c r="Q14" s="198">
        <f t="shared" si="1"/>
        <v>2722</v>
      </c>
    </row>
    <row r="15" spans="1:26" ht="12" customHeight="1" x14ac:dyDescent="0.2">
      <c r="A15" s="11" t="s">
        <v>27</v>
      </c>
      <c r="B15" s="20"/>
      <c r="C15" s="21">
        <f>GrossMargin!I16</f>
        <v>2025</v>
      </c>
      <c r="D15" s="251">
        <f>GrossMargin!M16</f>
        <v>6000</v>
      </c>
      <c r="E15" s="24">
        <f t="shared" si="0"/>
        <v>-3975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0</v>
      </c>
      <c r="L15" s="202">
        <f>CapChrg!E16</f>
        <v>49</v>
      </c>
      <c r="M15" s="198">
        <f t="shared" si="3"/>
        <v>-49</v>
      </c>
      <c r="N15" s="203"/>
      <c r="O15" s="201">
        <f t="shared" si="4"/>
        <v>-71</v>
      </c>
      <c r="P15" s="202">
        <f t="shared" si="5"/>
        <v>3855</v>
      </c>
      <c r="Q15" s="198">
        <f t="shared" si="1"/>
        <v>-3926</v>
      </c>
    </row>
    <row r="16" spans="1:26" ht="12" customHeight="1" x14ac:dyDescent="0.2">
      <c r="A16" s="11" t="s">
        <v>28</v>
      </c>
      <c r="B16" s="20"/>
      <c r="C16" s="21">
        <f>GrossMargin!I17</f>
        <v>-250</v>
      </c>
      <c r="D16" s="251">
        <f>GrossMargin!M17</f>
        <v>0</v>
      </c>
      <c r="E16" s="24">
        <f t="shared" si="0"/>
        <v>-250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-980</v>
      </c>
      <c r="P16" s="202">
        <f t="shared" si="5"/>
        <v>-730</v>
      </c>
      <c r="Q16" s="198">
        <f t="shared" si="1"/>
        <v>-250</v>
      </c>
    </row>
    <row r="17" spans="1:17" ht="12" customHeight="1" x14ac:dyDescent="0.2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">
      <c r="A18" s="25" t="s">
        <v>7</v>
      </c>
      <c r="B18" s="155"/>
      <c r="C18" s="26">
        <f>SUM(C8:C17)</f>
        <v>125915</v>
      </c>
      <c r="D18" s="27">
        <f>SUM(D8:D17)</f>
        <v>76000</v>
      </c>
      <c r="E18" s="28">
        <f>SUM(E8:E17)</f>
        <v>49915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0</v>
      </c>
      <c r="L18" s="205">
        <f>SUM(L9:L17)</f>
        <v>123</v>
      </c>
      <c r="M18" s="206">
        <f>SUM(M9:M17)</f>
        <v>-123</v>
      </c>
      <c r="N18" s="207"/>
      <c r="O18" s="204">
        <f>SUM(O9:O17)</f>
        <v>113774</v>
      </c>
      <c r="P18" s="205">
        <f>SUM(P9:P17)</f>
        <v>63736</v>
      </c>
      <c r="Q18" s="206">
        <f>SUM(Q9:Q17)</f>
        <v>50038</v>
      </c>
    </row>
    <row r="19" spans="1:17" ht="7.5" customHeight="1" x14ac:dyDescent="0.2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">
      <c r="A20" s="11" t="s">
        <v>25</v>
      </c>
      <c r="B20" s="9"/>
      <c r="C20" s="21">
        <f>GrossMargin!I21</f>
        <v>19710</v>
      </c>
      <c r="D20" s="251">
        <f>GrossMargin!M21</f>
        <v>12000</v>
      </c>
      <c r="E20" s="24">
        <f t="shared" ref="E20:E25" si="6">-D20+C20</f>
        <v>7710</v>
      </c>
      <c r="F20" s="23"/>
      <c r="G20" s="240">
        <f>Expenses!C21+Expenses!G21</f>
        <v>1422</v>
      </c>
      <c r="H20" s="240">
        <f>Expenses!D21+Expenses!H21</f>
        <v>1422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-111</v>
      </c>
      <c r="M20" s="198">
        <f t="shared" ref="M20:M25" si="8">K20-L20</f>
        <v>222</v>
      </c>
      <c r="N20" s="203"/>
      <c r="O20" s="201">
        <f t="shared" ref="O20:P25" si="9">C20-G20-K20</f>
        <v>18177</v>
      </c>
      <c r="P20" s="202">
        <f t="shared" si="9"/>
        <v>10689</v>
      </c>
      <c r="Q20" s="198">
        <f t="shared" ref="Q20:Q25" si="10">O20-P20</f>
        <v>7488</v>
      </c>
    </row>
    <row r="21" spans="1:17" ht="14.25" customHeight="1" x14ac:dyDescent="0.2">
      <c r="A21" s="11" t="s">
        <v>26</v>
      </c>
      <c r="B21" s="9"/>
      <c r="C21" s="21">
        <f>GrossMargin!I22</f>
        <v>536</v>
      </c>
      <c r="D21" s="251">
        <f>GrossMargin!M22</f>
        <v>10000</v>
      </c>
      <c r="E21" s="24">
        <f t="shared" si="6"/>
        <v>-9464</v>
      </c>
      <c r="F21" s="23"/>
      <c r="G21" s="240">
        <f>Expenses!C22+Expenses!G22</f>
        <v>567</v>
      </c>
      <c r="H21" s="240">
        <f>Expenses!D22+Expenses!H22</f>
        <v>567</v>
      </c>
      <c r="I21" s="273">
        <f t="shared" si="7"/>
        <v>0</v>
      </c>
      <c r="J21" s="269"/>
      <c r="K21" s="240">
        <f>CapChrg!D22</f>
        <v>4139</v>
      </c>
      <c r="L21" s="197">
        <f>CapChrg!E22</f>
        <v>-1720</v>
      </c>
      <c r="M21" s="198">
        <f t="shared" si="8"/>
        <v>5859</v>
      </c>
      <c r="N21" s="203"/>
      <c r="O21" s="201">
        <f t="shared" si="9"/>
        <v>-4170</v>
      </c>
      <c r="P21" s="202">
        <f t="shared" si="9"/>
        <v>11153</v>
      </c>
      <c r="Q21" s="198">
        <f t="shared" si="10"/>
        <v>-15323</v>
      </c>
    </row>
    <row r="22" spans="1:17" ht="14.25" customHeight="1" x14ac:dyDescent="0.2">
      <c r="A22" s="11" t="s">
        <v>32</v>
      </c>
      <c r="B22" s="9"/>
      <c r="C22" s="21">
        <f>GrossMargin!I23</f>
        <v>35360</v>
      </c>
      <c r="D22" s="251">
        <f>GrossMargin!M23</f>
        <v>6000</v>
      </c>
      <c r="E22" s="24">
        <f t="shared" si="6"/>
        <v>29360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0</v>
      </c>
      <c r="L22" s="197">
        <f>CapChrg!E23</f>
        <v>419</v>
      </c>
      <c r="M22" s="198">
        <f t="shared" si="8"/>
        <v>-419</v>
      </c>
      <c r="N22" s="203"/>
      <c r="O22" s="201">
        <f t="shared" si="9"/>
        <v>33266</v>
      </c>
      <c r="P22" s="202">
        <f t="shared" si="9"/>
        <v>3487</v>
      </c>
      <c r="Q22" s="198">
        <f t="shared" si="10"/>
        <v>29779</v>
      </c>
    </row>
    <row r="23" spans="1:17" ht="14.25" customHeight="1" x14ac:dyDescent="0.2">
      <c r="A23" s="11" t="s">
        <v>30</v>
      </c>
      <c r="B23" s="9"/>
      <c r="C23" s="21">
        <f>GrossMargin!I24</f>
        <v>81615</v>
      </c>
      <c r="D23" s="251">
        <f>GrossMargin!M24</f>
        <v>62499</v>
      </c>
      <c r="E23" s="24">
        <f t="shared" si="6"/>
        <v>19116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78913</v>
      </c>
      <c r="P23" s="202">
        <f t="shared" si="9"/>
        <v>59797</v>
      </c>
      <c r="Q23" s="198">
        <f t="shared" si="10"/>
        <v>19116</v>
      </c>
    </row>
    <row r="24" spans="1:17" ht="14.25" customHeight="1" x14ac:dyDescent="0.2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">
      <c r="A26" s="25" t="s">
        <v>8</v>
      </c>
      <c r="B26" s="155"/>
      <c r="C26" s="26">
        <f>SUM(C20:C25)</f>
        <v>153621</v>
      </c>
      <c r="D26" s="27">
        <f>SUM(D20:D25)</f>
        <v>102998</v>
      </c>
      <c r="E26" s="28">
        <f>SUM(E20:E25)</f>
        <v>50623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-1412</v>
      </c>
      <c r="M26" s="206">
        <f>SUM(M20:M25)</f>
        <v>5662</v>
      </c>
      <c r="N26" s="207"/>
      <c r="O26" s="204">
        <f>SUM(O20:O25)</f>
        <v>141875</v>
      </c>
      <c r="P26" s="205">
        <f>SUM(P20:P25)</f>
        <v>96914</v>
      </c>
      <c r="Q26" s="206">
        <f>SUM(Q20:Q25)</f>
        <v>44961</v>
      </c>
    </row>
    <row r="27" spans="1:17" ht="7.5" customHeight="1" x14ac:dyDescent="0.2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">
      <c r="A28" s="11" t="s">
        <v>34</v>
      </c>
      <c r="B28" s="9"/>
      <c r="C28" s="21">
        <f>GrossMargin!I29</f>
        <v>-441707</v>
      </c>
      <c r="D28" s="251">
        <f>GrossMargin!M29</f>
        <v>31500</v>
      </c>
      <c r="E28" s="24">
        <f t="shared" ref="E28:E36" si="11">-D28+C28</f>
        <v>-473207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">
      <c r="A29" s="11" t="s">
        <v>35</v>
      </c>
      <c r="B29" s="9"/>
      <c r="C29" s="21">
        <f>GrossMargin!I30</f>
        <v>31590</v>
      </c>
      <c r="D29" s="251">
        <f>GrossMargin!M30</f>
        <v>19250</v>
      </c>
      <c r="E29" s="24">
        <f t="shared" si="11"/>
        <v>12340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90</v>
      </c>
      <c r="M29" s="198">
        <f t="shared" si="13"/>
        <v>54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">
      <c r="A30" s="11" t="s">
        <v>36</v>
      </c>
      <c r="B30" s="9"/>
      <c r="C30" s="21">
        <f>GrossMargin!I31</f>
        <v>21231</v>
      </c>
      <c r="D30" s="251">
        <f>GrossMargin!M31</f>
        <v>21000</v>
      </c>
      <c r="E30" s="24">
        <f t="shared" si="11"/>
        <v>231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-796</v>
      </c>
      <c r="M30" s="198">
        <f t="shared" si="13"/>
        <v>2368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">
      <c r="A31" s="11" t="s">
        <v>37</v>
      </c>
      <c r="B31" s="9"/>
      <c r="C31" s="21">
        <f>GrossMargin!I32</f>
        <v>28094</v>
      </c>
      <c r="D31" s="251">
        <f>GrossMargin!M32</f>
        <v>10000</v>
      </c>
      <c r="E31" s="24">
        <f t="shared" si="11"/>
        <v>18094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">
      <c r="A32" s="11" t="s">
        <v>38</v>
      </c>
      <c r="B32" s="9"/>
      <c r="C32" s="21">
        <f>GrossMargin!I33</f>
        <v>133865</v>
      </c>
      <c r="D32" s="251">
        <f>GrossMargin!M33</f>
        <v>31250</v>
      </c>
      <c r="E32" s="24">
        <f t="shared" si="11"/>
        <v>102615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">
      <c r="A33" s="11" t="s">
        <v>39</v>
      </c>
      <c r="B33" s="9"/>
      <c r="C33" s="21">
        <f>GrossMargin!I34</f>
        <v>4101</v>
      </c>
      <c r="D33" s="251">
        <f>GrossMargin!M34</f>
        <v>6250</v>
      </c>
      <c r="E33" s="24">
        <f t="shared" si="11"/>
        <v>-2149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2" x14ac:dyDescent="0.2">
      <c r="A37" s="25" t="s">
        <v>9</v>
      </c>
      <c r="B37" s="155"/>
      <c r="C37" s="26">
        <f>SUM(C28:C35)</f>
        <v>-222826</v>
      </c>
      <c r="D37" s="27">
        <f>SUM(D28:D35)</f>
        <v>119250</v>
      </c>
      <c r="E37" s="28">
        <f>SUM(E28:E35)</f>
        <v>-342076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-706</v>
      </c>
      <c r="M37" s="206">
        <f>SUM(M28:M35)</f>
        <v>2422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">
      <c r="A39" s="11" t="s">
        <v>42</v>
      </c>
      <c r="B39" s="9"/>
      <c r="C39" s="21">
        <f>GrossMargin!I40</f>
        <v>-45525</v>
      </c>
      <c r="D39" s="251">
        <f>GrossMargin!M40</f>
        <v>12500</v>
      </c>
      <c r="E39" s="24">
        <f t="shared" ref="E39:E44" si="16">-D39+C39</f>
        <v>-58025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-107</v>
      </c>
      <c r="M39" s="198">
        <f t="shared" ref="M39:M44" si="18">K39-L39</f>
        <v>206</v>
      </c>
      <c r="N39" s="203"/>
      <c r="O39" s="201">
        <f t="shared" ref="O39:O44" si="19">C39-G39-K39</f>
        <v>-46841</v>
      </c>
      <c r="P39" s="202">
        <f t="shared" ref="P39:P44" si="20">D39-H39-L39</f>
        <v>11390</v>
      </c>
      <c r="Q39" s="198">
        <f t="shared" ref="Q39:Q44" si="21">O39-P39</f>
        <v>-58231</v>
      </c>
    </row>
    <row r="40" spans="1:17" ht="13.5" customHeight="1" x14ac:dyDescent="0.2">
      <c r="A40" s="11" t="s">
        <v>43</v>
      </c>
      <c r="B40" s="9"/>
      <c r="C40" s="21">
        <f>GrossMargin!I41</f>
        <v>-1103</v>
      </c>
      <c r="D40" s="251">
        <f>GrossMargin!M41</f>
        <v>5000</v>
      </c>
      <c r="E40" s="24">
        <f t="shared" si="16"/>
        <v>-6103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1662</v>
      </c>
      <c r="M40" s="198">
        <f t="shared" si="18"/>
        <v>-1358</v>
      </c>
      <c r="N40" s="203"/>
      <c r="O40" s="201">
        <f t="shared" si="19"/>
        <v>-1830</v>
      </c>
      <c r="P40" s="202">
        <f t="shared" si="20"/>
        <v>2915</v>
      </c>
      <c r="Q40" s="198">
        <f t="shared" si="21"/>
        <v>-4745</v>
      </c>
    </row>
    <row r="41" spans="1:17" ht="13.5" customHeight="1" x14ac:dyDescent="0.2">
      <c r="A41" s="11" t="s">
        <v>65</v>
      </c>
      <c r="B41" s="9"/>
      <c r="C41" s="21">
        <f>GrossMargin!I42</f>
        <v>-3323</v>
      </c>
      <c r="D41" s="251">
        <f>GrossMargin!M42</f>
        <v>38750</v>
      </c>
      <c r="E41" s="24">
        <f t="shared" si="16"/>
        <v>-42073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-3897</v>
      </c>
      <c r="P41" s="202">
        <f t="shared" si="20"/>
        <v>38176</v>
      </c>
      <c r="Q41" s="198">
        <f t="shared" si="21"/>
        <v>-42073</v>
      </c>
    </row>
    <row r="42" spans="1:17" ht="13.5" customHeight="1" x14ac:dyDescent="0.2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">
      <c r="A45" s="25" t="s">
        <v>10</v>
      </c>
      <c r="B45" s="155"/>
      <c r="C45" s="26">
        <f>SUM(C39:C44)</f>
        <v>-49951</v>
      </c>
      <c r="D45" s="27">
        <f>SUM(D39:D44)</f>
        <v>71250</v>
      </c>
      <c r="E45" s="28">
        <f>SUM(E39:E44)</f>
        <v>-121201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1108</v>
      </c>
      <c r="M45" s="206">
        <f>SUM(M39:M44)</f>
        <v>-258</v>
      </c>
      <c r="N45" s="207"/>
      <c r="O45" s="204">
        <f>SUM(O39:O44)</f>
        <v>-55484</v>
      </c>
      <c r="P45" s="205">
        <f>SUM(P39:P44)</f>
        <v>65459</v>
      </c>
      <c r="Q45" s="206">
        <f>SUM(Q39:Q44)</f>
        <v>-120943</v>
      </c>
    </row>
    <row r="46" spans="1:17" ht="8.25" customHeight="1" x14ac:dyDescent="0.2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">
      <c r="A47" s="11" t="s">
        <v>74</v>
      </c>
      <c r="B47" s="9"/>
      <c r="C47" s="21">
        <f>GrossMargin!I49</f>
        <v>-347</v>
      </c>
      <c r="D47" s="251">
        <f>GrossMargin!M49</f>
        <v>0</v>
      </c>
      <c r="E47" s="24">
        <f t="shared" ref="E47:E66" si="22">-D47+C47</f>
        <v>-347</v>
      </c>
      <c r="F47" s="23"/>
      <c r="G47" s="240">
        <f>Expenses!C48+Expenses!G48</f>
        <v>221</v>
      </c>
      <c r="H47" s="240">
        <f>Expenses!D48+Expenses!H48</f>
        <v>221</v>
      </c>
      <c r="I47" s="275">
        <f>G47-H47</f>
        <v>0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-568</v>
      </c>
      <c r="P47" s="202">
        <f t="shared" ref="P47:P66" si="25">D47-H47-L47</f>
        <v>-221</v>
      </c>
      <c r="Q47" s="198">
        <f t="shared" ref="Q47:Q66" si="26">O47-P47</f>
        <v>-347</v>
      </c>
    </row>
    <row r="48" spans="1:17" x14ac:dyDescent="0.2">
      <c r="A48" s="11" t="s">
        <v>102</v>
      </c>
      <c r="B48" s="9"/>
      <c r="C48" s="21">
        <f>GrossMargin!I50</f>
        <v>2873</v>
      </c>
      <c r="D48" s="251">
        <f>GrossMargin!M50</f>
        <v>4334</v>
      </c>
      <c r="E48" s="24">
        <f t="shared" si="22"/>
        <v>-1461</v>
      </c>
      <c r="F48" s="23"/>
      <c r="G48" s="240">
        <f>Expenses!C49+Expenses!G49</f>
        <v>1223</v>
      </c>
      <c r="H48" s="240">
        <f>Expenses!D49+Expenses!H49</f>
        <v>767</v>
      </c>
      <c r="I48" s="275">
        <f t="shared" ref="I48:I66" si="27">G48-H48</f>
        <v>456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1650</v>
      </c>
      <c r="P48" s="202">
        <f t="shared" si="25"/>
        <v>3567</v>
      </c>
      <c r="Q48" s="198">
        <f t="shared" si="26"/>
        <v>-1917</v>
      </c>
    </row>
    <row r="49" spans="1:17" x14ac:dyDescent="0.2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1487</v>
      </c>
      <c r="H49" s="240">
        <f>Expenses!D50+Expenses!H50</f>
        <v>1484</v>
      </c>
      <c r="I49" s="275">
        <f t="shared" si="27"/>
        <v>3</v>
      </c>
      <c r="J49" s="269"/>
      <c r="K49" s="240">
        <f>CapChrg!D50</f>
        <v>653</v>
      </c>
      <c r="L49" s="197">
        <f>CapChrg!E50</f>
        <v>-719</v>
      </c>
      <c r="M49" s="198">
        <f t="shared" si="23"/>
        <v>1372</v>
      </c>
      <c r="N49" s="203"/>
      <c r="O49" s="201">
        <f t="shared" si="24"/>
        <v>-830</v>
      </c>
      <c r="P49" s="202">
        <f t="shared" si="25"/>
        <v>5416</v>
      </c>
      <c r="Q49" s="198">
        <f t="shared" si="26"/>
        <v>-6246</v>
      </c>
    </row>
    <row r="50" spans="1:17" x14ac:dyDescent="0.2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265</v>
      </c>
      <c r="H50" s="240">
        <f>Expenses!D51+Expenses!H51</f>
        <v>265</v>
      </c>
      <c r="I50" s="275">
        <f t="shared" si="27"/>
        <v>0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-15</v>
      </c>
      <c r="P50" s="202">
        <f t="shared" si="25"/>
        <v>1735</v>
      </c>
      <c r="Q50" s="198">
        <f t="shared" si="26"/>
        <v>-1750</v>
      </c>
    </row>
    <row r="51" spans="1:17" x14ac:dyDescent="0.2">
      <c r="A51" s="11" t="s">
        <v>105</v>
      </c>
      <c r="B51" s="9"/>
      <c r="C51" s="21">
        <f>GrossMargin!I53</f>
        <v>881</v>
      </c>
      <c r="D51" s="251">
        <f>GrossMargin!M53</f>
        <v>1000</v>
      </c>
      <c r="E51" s="24">
        <f t="shared" si="22"/>
        <v>-119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695</v>
      </c>
      <c r="P51" s="202">
        <f t="shared" si="25"/>
        <v>787</v>
      </c>
      <c r="Q51" s="198">
        <f t="shared" si="26"/>
        <v>-92</v>
      </c>
    </row>
    <row r="52" spans="1:17" x14ac:dyDescent="0.2">
      <c r="A52" s="11" t="s">
        <v>106</v>
      </c>
      <c r="B52" s="9"/>
      <c r="C52" s="21">
        <f>GrossMargin!I54</f>
        <v>-50</v>
      </c>
      <c r="D52" s="251">
        <f>GrossMargin!M54</f>
        <v>500</v>
      </c>
      <c r="E52" s="24">
        <f t="shared" si="22"/>
        <v>-550</v>
      </c>
      <c r="F52" s="23"/>
      <c r="G52" s="240">
        <f>Expenses!C53+Expenses!G53</f>
        <v>144</v>
      </c>
      <c r="H52" s="240">
        <f>Expenses!D53+Expenses!H53</f>
        <v>144</v>
      </c>
      <c r="I52" s="275">
        <f t="shared" si="27"/>
        <v>0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-194</v>
      </c>
      <c r="P52" s="202">
        <f t="shared" si="25"/>
        <v>356</v>
      </c>
      <c r="Q52" s="198">
        <f t="shared" si="26"/>
        <v>-550</v>
      </c>
    </row>
    <row r="53" spans="1:17" x14ac:dyDescent="0.2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1582</v>
      </c>
      <c r="M53" s="198">
        <f t="shared" si="23"/>
        <v>4700</v>
      </c>
      <c r="N53" s="203"/>
      <c r="O53" s="201">
        <f t="shared" si="24"/>
        <v>-3882</v>
      </c>
      <c r="P53" s="202">
        <f t="shared" si="25"/>
        <v>1327</v>
      </c>
      <c r="Q53" s="198">
        <f t="shared" si="26"/>
        <v>-5209</v>
      </c>
    </row>
    <row r="54" spans="1:17" x14ac:dyDescent="0.2">
      <c r="A54" s="11" t="s">
        <v>68</v>
      </c>
      <c r="B54" s="9"/>
      <c r="C54" s="21">
        <f>GrossMargin!I56</f>
        <v>9017</v>
      </c>
      <c r="D54" s="251">
        <f>GrossMargin!M56</f>
        <v>9445</v>
      </c>
      <c r="E54" s="24">
        <f t="shared" si="22"/>
        <v>-428</v>
      </c>
      <c r="F54" s="23"/>
      <c r="G54" s="240">
        <f>Expenses!C55+Expenses!G55</f>
        <v>69723</v>
      </c>
      <c r="H54" s="240">
        <f>Expenses!D55+Expenses!H55</f>
        <v>63228</v>
      </c>
      <c r="I54" s="275">
        <f t="shared" si="27"/>
        <v>6495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-60706</v>
      </c>
      <c r="P54" s="202">
        <f t="shared" si="25"/>
        <v>-53783</v>
      </c>
      <c r="Q54" s="198">
        <f t="shared" si="26"/>
        <v>-6923</v>
      </c>
    </row>
    <row r="55" spans="1:17" x14ac:dyDescent="0.2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40</v>
      </c>
      <c r="M56" s="198">
        <f t="shared" si="23"/>
        <v>-40</v>
      </c>
      <c r="N56" s="203"/>
      <c r="O56" s="201">
        <f t="shared" si="24"/>
        <v>-983</v>
      </c>
      <c r="P56" s="202">
        <f t="shared" si="25"/>
        <v>13544</v>
      </c>
      <c r="Q56" s="198">
        <f t="shared" si="26"/>
        <v>-14527</v>
      </c>
    </row>
    <row r="57" spans="1:17" ht="12" customHeight="1" x14ac:dyDescent="0.2">
      <c r="A57" s="11" t="s">
        <v>47</v>
      </c>
      <c r="B57" s="9"/>
      <c r="C57" s="21">
        <f>GrossMargin!I59</f>
        <v>0</v>
      </c>
      <c r="D57" s="251">
        <f>GrossMargin!M59</f>
        <v>20000</v>
      </c>
      <c r="E57" s="24">
        <f t="shared" si="22"/>
        <v>-20000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-16947</v>
      </c>
      <c r="P57" s="202">
        <f t="shared" si="25"/>
        <v>11499</v>
      </c>
      <c r="Q57" s="198">
        <f t="shared" si="26"/>
        <v>-28446</v>
      </c>
    </row>
    <row r="58" spans="1:17" ht="12" customHeight="1" x14ac:dyDescent="0.2">
      <c r="A58" s="11" t="s">
        <v>48</v>
      </c>
      <c r="B58" s="9"/>
      <c r="C58" s="21">
        <f>GrossMargin!I60</f>
        <v>1675</v>
      </c>
      <c r="D58" s="251">
        <f>GrossMargin!M60</f>
        <v>15781</v>
      </c>
      <c r="E58" s="24">
        <f t="shared" si="22"/>
        <v>-14106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-2197</v>
      </c>
      <c r="M58" s="198">
        <f t="shared" si="23"/>
        <v>9306</v>
      </c>
      <c r="N58" s="203"/>
      <c r="O58" s="201">
        <f t="shared" si="24"/>
        <v>-6263</v>
      </c>
      <c r="P58" s="202">
        <f t="shared" si="25"/>
        <v>17087</v>
      </c>
      <c r="Q58" s="198">
        <f t="shared" si="26"/>
        <v>-23350</v>
      </c>
    </row>
    <row r="59" spans="1:17" ht="12" customHeight="1" x14ac:dyDescent="0.2">
      <c r="A59" s="11" t="s">
        <v>63</v>
      </c>
      <c r="B59" s="9"/>
      <c r="C59" s="21">
        <f>GrossMargin!I61</f>
        <v>3467</v>
      </c>
      <c r="D59" s="251">
        <f>GrossMargin!M61</f>
        <v>7150</v>
      </c>
      <c r="E59" s="24">
        <f t="shared" si="22"/>
        <v>-3683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7606</v>
      </c>
      <c r="L59" s="197">
        <f>CapChrg!E60</f>
        <v>2494</v>
      </c>
      <c r="M59" s="198">
        <f t="shared" si="23"/>
        <v>5112</v>
      </c>
      <c r="N59" s="203"/>
      <c r="O59" s="201">
        <f t="shared" si="24"/>
        <v>-5925</v>
      </c>
      <c r="P59" s="202">
        <f t="shared" si="25"/>
        <v>2402</v>
      </c>
      <c r="Q59" s="198">
        <f t="shared" si="26"/>
        <v>-8327</v>
      </c>
    </row>
    <row r="60" spans="1:17" ht="12" customHeight="1" x14ac:dyDescent="0.2">
      <c r="A60" s="11" t="s">
        <v>49</v>
      </c>
      <c r="B60" s="9"/>
      <c r="C60" s="21">
        <f>GrossMargin!I62</f>
        <v>3153</v>
      </c>
      <c r="D60" s="251">
        <f>GrossMargin!M62</f>
        <v>5000</v>
      </c>
      <c r="E60" s="24">
        <f t="shared" si="22"/>
        <v>-1847</v>
      </c>
      <c r="F60" s="23"/>
      <c r="G60" s="240">
        <f>Expenses!C61+Expenses!G61</f>
        <v>810</v>
      </c>
      <c r="H60" s="240">
        <f>Expenses!D61+Expenses!H61</f>
        <v>720</v>
      </c>
      <c r="I60" s="275">
        <f t="shared" si="27"/>
        <v>90</v>
      </c>
      <c r="J60" s="269"/>
      <c r="K60" s="240">
        <f>CapChrg!D61</f>
        <v>13627</v>
      </c>
      <c r="L60" s="197">
        <f>CapChrg!E61</f>
        <v>447</v>
      </c>
      <c r="M60" s="198">
        <f t="shared" si="23"/>
        <v>13180</v>
      </c>
      <c r="N60" s="203"/>
      <c r="O60" s="201">
        <f t="shared" si="24"/>
        <v>-11284</v>
      </c>
      <c r="P60" s="202">
        <f t="shared" si="25"/>
        <v>3833</v>
      </c>
      <c r="Q60" s="198">
        <f t="shared" si="26"/>
        <v>-15117</v>
      </c>
    </row>
    <row r="61" spans="1:17" ht="12" customHeight="1" x14ac:dyDescent="0.2">
      <c r="A61" s="11" t="s">
        <v>50</v>
      </c>
      <c r="B61" s="9"/>
      <c r="C61" s="21">
        <f>GrossMargin!I63</f>
        <v>9659</v>
      </c>
      <c r="D61" s="251">
        <f>GrossMargin!M63</f>
        <v>-7900</v>
      </c>
      <c r="E61" s="24">
        <f t="shared" si="22"/>
        <v>17559</v>
      </c>
      <c r="F61" s="23"/>
      <c r="G61" s="240">
        <f>Expenses!C62+Expenses!G62</f>
        <v>1628</v>
      </c>
      <c r="H61" s="240">
        <f>Expenses!D62+Expenses!H62</f>
        <v>1637</v>
      </c>
      <c r="I61" s="275">
        <f t="shared" si="27"/>
        <v>-9</v>
      </c>
      <c r="J61" s="269"/>
      <c r="K61" s="240">
        <f>CapChrg!D62</f>
        <v>13372</v>
      </c>
      <c r="L61" s="197">
        <f>CapChrg!E62</f>
        <v>-5252</v>
      </c>
      <c r="M61" s="198">
        <f t="shared" si="23"/>
        <v>18624</v>
      </c>
      <c r="N61" s="203"/>
      <c r="O61" s="201">
        <f t="shared" si="24"/>
        <v>-5341</v>
      </c>
      <c r="P61" s="202">
        <f t="shared" si="25"/>
        <v>-4285</v>
      </c>
      <c r="Q61" s="198">
        <f t="shared" si="26"/>
        <v>-1056</v>
      </c>
    </row>
    <row r="62" spans="1:17" ht="12" customHeight="1" x14ac:dyDescent="0.2">
      <c r="A62" s="11" t="s">
        <v>71</v>
      </c>
      <c r="B62" s="20"/>
      <c r="C62" s="21">
        <f>GrossMargin!I64</f>
        <v>429628</v>
      </c>
      <c r="D62" s="251">
        <f>GrossMargin!M64</f>
        <v>-12065</v>
      </c>
      <c r="E62" s="24">
        <f t="shared" si="22"/>
        <v>441693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-16592</v>
      </c>
      <c r="M62" s="198">
        <f t="shared" si="23"/>
        <v>49480</v>
      </c>
      <c r="N62" s="203"/>
      <c r="O62" s="201">
        <f t="shared" si="24"/>
        <v>395258</v>
      </c>
      <c r="P62" s="202">
        <f t="shared" si="25"/>
        <v>3533</v>
      </c>
      <c r="Q62" s="198">
        <f t="shared" si="26"/>
        <v>391725</v>
      </c>
    </row>
    <row r="63" spans="1:17" ht="12" customHeight="1" x14ac:dyDescent="0.2">
      <c r="A63" s="11" t="s">
        <v>73</v>
      </c>
      <c r="B63" s="20"/>
      <c r="C63" s="21">
        <f>GrossMargin!I65</f>
        <v>9672</v>
      </c>
      <c r="D63" s="251">
        <f>GrossMargin!M65</f>
        <v>0</v>
      </c>
      <c r="E63" s="24">
        <f t="shared" si="22"/>
        <v>9672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9672</v>
      </c>
      <c r="P63" s="202">
        <f t="shared" si="25"/>
        <v>0</v>
      </c>
      <c r="Q63" s="198">
        <f t="shared" si="26"/>
        <v>9672</v>
      </c>
    </row>
    <row r="64" spans="1:17" ht="12" customHeight="1" x14ac:dyDescent="0.2">
      <c r="A64" s="29" t="s">
        <v>72</v>
      </c>
      <c r="B64" s="9"/>
      <c r="C64" s="30">
        <f>GrossMargin!I66</f>
        <v>-6600</v>
      </c>
      <c r="D64" s="251">
        <f>GrossMargin!M66</f>
        <v>63802</v>
      </c>
      <c r="E64" s="24">
        <f t="shared" si="22"/>
        <v>-70402</v>
      </c>
      <c r="F64" s="23"/>
      <c r="G64" s="240">
        <f>Expenses!C65+Expenses!G65</f>
        <v>1373</v>
      </c>
      <c r="H64" s="240">
        <f>Expenses!D65+Expenses!H65</f>
        <v>1373</v>
      </c>
      <c r="I64" s="275">
        <f t="shared" si="27"/>
        <v>0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5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>
        <f>SUM(K47:K66)+K45+K37+K26+K18</f>
        <v>103563</v>
      </c>
      <c r="L67" s="205">
        <f>SUM(L47:L66)+L45+L37+L26+L18</f>
        <v>-14326</v>
      </c>
      <c r="M67" s="206">
        <f>SUM(M47:M66)+M45+M37+M26+M18</f>
        <v>117889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2631</v>
      </c>
      <c r="H69" s="240">
        <f>Expenses!D70+Expenses!H70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47811</v>
      </c>
      <c r="H82" s="240">
        <f>Expenses!D83+Expenses!H83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5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260078</v>
      </c>
      <c r="H87" s="240">
        <f>Expenses!D87+Expenses!H87</f>
        <v>245652</v>
      </c>
      <c r="I87" s="275">
        <f>G87-H87</f>
        <v>14426</v>
      </c>
      <c r="J87" s="269"/>
      <c r="K87" s="240">
        <f>CapChrg!D71</f>
        <v>-103563</v>
      </c>
      <c r="L87" s="209">
        <f>CapChrg!E71</f>
        <v>14326</v>
      </c>
      <c r="M87" s="198">
        <f t="shared" si="29"/>
        <v>-117889</v>
      </c>
      <c r="N87" s="203"/>
      <c r="O87" s="201">
        <f t="shared" si="30"/>
        <v>-156515</v>
      </c>
      <c r="P87" s="202">
        <f t="shared" si="31"/>
        <v>-259978</v>
      </c>
      <c r="Q87" s="198">
        <f>O87-P87</f>
        <v>103463</v>
      </c>
    </row>
    <row r="88" spans="1:17" s="157" customFormat="1" ht="12" customHeight="1" x14ac:dyDescent="0.25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>
        <f>SUM(L84:L87)+L83+L67</f>
        <v>0</v>
      </c>
      <c r="M88" s="206">
        <f>M87+M84+M83+M67</f>
        <v>0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25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3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>
        <f>SUM(L88:L89)</f>
        <v>0</v>
      </c>
      <c r="M90" s="214">
        <f>SUM(M88:M89)</f>
        <v>0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3">
      <c r="A91" s="38"/>
      <c r="C91" s="39"/>
      <c r="D91" s="40"/>
      <c r="E91" s="38"/>
      <c r="F91" s="41"/>
    </row>
    <row r="92" spans="1:17" x14ac:dyDescent="0.2">
      <c r="A92" s="43"/>
      <c r="C92" s="41"/>
      <c r="D92" s="40"/>
      <c r="E92" s="41"/>
      <c r="F92" s="41"/>
    </row>
    <row r="93" spans="1:17" ht="13.5" customHeight="1" x14ac:dyDescent="0.2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8" x14ac:dyDescent="0.3">
      <c r="C95" s="342" t="s">
        <v>111</v>
      </c>
      <c r="D95" s="343"/>
      <c r="E95" s="344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8" x14ac:dyDescent="0.3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8" x14ac:dyDescent="0.3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8" x14ac:dyDescent="0.3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8" x14ac:dyDescent="0.3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4.4" thickBot="1" x14ac:dyDescent="0.25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0.8" thickTop="1" x14ac:dyDescent="0.2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17"/>
  <sheetViews>
    <sheetView tabSelected="1" workbookViewId="0">
      <pane ySplit="8" topLeftCell="A9" activePane="bottomLeft" state="frozen"/>
      <selection activeCell="A4" sqref="A4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140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5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">
        <v>150</v>
      </c>
      <c r="B10" s="17"/>
      <c r="C10" s="153">
        <f>GrossMargin!I8</f>
        <v>3706</v>
      </c>
      <c r="D10" s="154">
        <f>GrossMargin!M8</f>
        <v>8750</v>
      </c>
      <c r="E10" s="295">
        <f t="shared" ref="E10:E20" si="0">-D10+C10</f>
        <v>-5044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2700</v>
      </c>
      <c r="P10" s="196">
        <f>(D10-H10-L10)</f>
        <v>7744</v>
      </c>
      <c r="Q10" s="200">
        <f>O10-P10</f>
        <v>-5044</v>
      </c>
    </row>
    <row r="11" spans="1:26" s="18" customFormat="1" ht="12.75" customHeight="1" x14ac:dyDescent="0.2">
      <c r="A11" s="11" t="s">
        <v>151</v>
      </c>
      <c r="B11" s="19"/>
      <c r="C11" s="240">
        <f>GrossMargin!I9</f>
        <v>-1173</v>
      </c>
      <c r="D11" s="240">
        <f>GrossMargin!M9</f>
        <v>20000</v>
      </c>
      <c r="E11" s="294">
        <f t="shared" si="0"/>
        <v>-21173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-2741</v>
      </c>
      <c r="P11" s="202">
        <f>D11-H11-L11</f>
        <v>18506</v>
      </c>
      <c r="Q11" s="198">
        <f>O11-P11</f>
        <v>-21247</v>
      </c>
    </row>
    <row r="12" spans="1:26" ht="12" customHeight="1" x14ac:dyDescent="0.2">
      <c r="A12" s="11" t="s">
        <v>22</v>
      </c>
      <c r="B12" s="20"/>
      <c r="C12" s="240">
        <f>GrossMargin!I10</f>
        <v>52705</v>
      </c>
      <c r="D12" s="240">
        <f>GrossMargin!M10</f>
        <v>20000</v>
      </c>
      <c r="E12" s="294">
        <f t="shared" si="0"/>
        <v>32705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51248</v>
      </c>
      <c r="P12" s="202">
        <f t="shared" ref="P12:P20" si="4">D12-H12-L12</f>
        <v>18543</v>
      </c>
      <c r="Q12" s="198">
        <f t="shared" ref="Q12:Q20" si="5">O12-P12</f>
        <v>32705</v>
      </c>
    </row>
    <row r="13" spans="1:26" ht="12" customHeight="1" x14ac:dyDescent="0.2">
      <c r="A13" s="11" t="s">
        <v>149</v>
      </c>
      <c r="B13" s="20"/>
      <c r="C13" s="240">
        <f>GrossMargin!I11</f>
        <v>53579</v>
      </c>
      <c r="D13" s="240">
        <f>GrossMargin!M11</f>
        <v>20000</v>
      </c>
      <c r="E13" s="294">
        <f t="shared" si="0"/>
        <v>33579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51694</v>
      </c>
      <c r="P13" s="202">
        <f t="shared" si="4"/>
        <v>18115</v>
      </c>
      <c r="Q13" s="198">
        <f t="shared" si="5"/>
        <v>33579</v>
      </c>
    </row>
    <row r="14" spans="1:26" ht="12" customHeight="1" x14ac:dyDescent="0.2">
      <c r="A14" s="11" t="s">
        <v>24</v>
      </c>
      <c r="B14" s="20"/>
      <c r="C14" s="240">
        <f>GrossMargin!I12</f>
        <v>17601</v>
      </c>
      <c r="D14" s="240">
        <f>GrossMargin!M12</f>
        <v>6250</v>
      </c>
      <c r="E14" s="294">
        <f t="shared" si="0"/>
        <v>11351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15018</v>
      </c>
      <c r="P14" s="202">
        <f t="shared" si="4"/>
        <v>3667</v>
      </c>
      <c r="Q14" s="198">
        <f t="shared" si="5"/>
        <v>11351</v>
      </c>
    </row>
    <row r="15" spans="1:26" ht="12" customHeight="1" x14ac:dyDescent="0.2">
      <c r="A15" s="11" t="s">
        <v>152</v>
      </c>
      <c r="B15" s="20"/>
      <c r="C15" s="240">
        <f>GrossMargin!I13</f>
        <v>3731</v>
      </c>
      <c r="D15" s="240">
        <f>GrossMargin!M13</f>
        <v>0</v>
      </c>
      <c r="E15" s="294">
        <f t="shared" si="0"/>
        <v>3731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4"/>
        <v>0</v>
      </c>
      <c r="Q15" s="198">
        <f t="shared" si="5"/>
        <v>3731</v>
      </c>
    </row>
    <row r="16" spans="1:26" ht="12" customHeight="1" x14ac:dyDescent="0.2">
      <c r="A16" s="11" t="s">
        <v>153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">
      <c r="A17" s="11" t="s">
        <v>64</v>
      </c>
      <c r="B17" s="20"/>
      <c r="C17" s="240">
        <f>GrossMargin!I15</f>
        <v>-2278</v>
      </c>
      <c r="D17" s="240">
        <f>GrossMargin!M15</f>
        <v>-5000</v>
      </c>
      <c r="E17" s="294">
        <f t="shared" si="0"/>
        <v>2722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-2434</v>
      </c>
      <c r="P17" s="202">
        <f t="shared" si="4"/>
        <v>-5156</v>
      </c>
      <c r="Q17" s="198">
        <f t="shared" si="5"/>
        <v>2722</v>
      </c>
    </row>
    <row r="18" spans="1:17" ht="12" customHeight="1" x14ac:dyDescent="0.2">
      <c r="A18" s="11" t="s">
        <v>27</v>
      </c>
      <c r="B18" s="20"/>
      <c r="C18" s="240">
        <f>GrossMargin!I16</f>
        <v>2025</v>
      </c>
      <c r="D18" s="240">
        <f>GrossMargin!M16</f>
        <v>6000</v>
      </c>
      <c r="E18" s="294">
        <f t="shared" si="0"/>
        <v>-3975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-120</v>
      </c>
      <c r="P18" s="202">
        <f t="shared" si="4"/>
        <v>3904</v>
      </c>
      <c r="Q18" s="198">
        <f t="shared" si="5"/>
        <v>-4024</v>
      </c>
    </row>
    <row r="19" spans="1:17" ht="12" customHeight="1" x14ac:dyDescent="0.2">
      <c r="A19" s="11" t="s">
        <v>28</v>
      </c>
      <c r="B19" s="20"/>
      <c r="C19" s="323">
        <f>GrossMargin!I17</f>
        <v>-250</v>
      </c>
      <c r="D19" s="298">
        <f>GrossMargin!M17</f>
        <v>0</v>
      </c>
      <c r="E19" s="294">
        <f t="shared" si="0"/>
        <v>-250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-980</v>
      </c>
      <c r="P19" s="202">
        <f t="shared" si="4"/>
        <v>-730</v>
      </c>
      <c r="Q19" s="198">
        <f t="shared" si="5"/>
        <v>-250</v>
      </c>
    </row>
    <row r="20" spans="1:17" ht="12" customHeight="1" x14ac:dyDescent="0.2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">
      <c r="A21" s="25" t="s">
        <v>7</v>
      </c>
      <c r="B21" s="155"/>
      <c r="C21" s="27">
        <f>SUM(C9:C20)</f>
        <v>129646</v>
      </c>
      <c r="D21" s="27">
        <f>SUM(D9:D20)</f>
        <v>76000</v>
      </c>
      <c r="E21" s="28">
        <f>SUM(E9:E20)</f>
        <v>53646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0</v>
      </c>
      <c r="M21" s="206">
        <f>SUM(M10:M20)</f>
        <v>123</v>
      </c>
      <c r="N21" s="207"/>
      <c r="O21" s="204">
        <f>SUM(O10:O20)</f>
        <v>117382</v>
      </c>
      <c r="P21" s="205">
        <f>SUM(P10:P20)</f>
        <v>63859</v>
      </c>
      <c r="Q21" s="206">
        <f>SUM(Q10:Q20)</f>
        <v>53523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">
        <v>157</v>
      </c>
      <c r="B23" s="9"/>
      <c r="C23" s="21">
        <f>GrossMargin!I21</f>
        <v>19710</v>
      </c>
      <c r="D23" s="240">
        <f>GrossMargin!M21</f>
        <v>12000</v>
      </c>
      <c r="E23" s="294">
        <f t="shared" ref="E23:E28" si="6">-D23+C23</f>
        <v>7710</v>
      </c>
      <c r="F23" s="23"/>
      <c r="G23" s="240">
        <f>Expenses!C21+Expenses!G21</f>
        <v>1422</v>
      </c>
      <c r="H23" s="240">
        <f>Expenses!D21+Expenses!H21</f>
        <v>1422</v>
      </c>
      <c r="I23" s="293">
        <f t="shared" ref="I23:I28" si="7">G23-H23</f>
        <v>0</v>
      </c>
      <c r="J23" s="9"/>
      <c r="K23" s="240">
        <f>CapChrg!C21</f>
        <v>0</v>
      </c>
      <c r="L23" s="202">
        <f>CapChrg!D21</f>
        <v>111</v>
      </c>
      <c r="M23" s="293">
        <f t="shared" ref="M23:M28" si="8">K23-L23</f>
        <v>-111</v>
      </c>
      <c r="N23" s="203"/>
      <c r="O23" s="201">
        <f t="shared" ref="O23:O28" si="9">C23-G23-K23</f>
        <v>18288</v>
      </c>
      <c r="P23" s="202">
        <f t="shared" ref="P23:P28" si="10">D23-H23-L23</f>
        <v>10467</v>
      </c>
      <c r="Q23" s="198">
        <f t="shared" ref="Q23:Q28" si="11">O23-P23</f>
        <v>7821</v>
      </c>
    </row>
    <row r="24" spans="1:17" ht="14.25" customHeight="1" x14ac:dyDescent="0.2">
      <c r="A24" s="11" t="s">
        <v>156</v>
      </c>
      <c r="B24" s="9"/>
      <c r="C24" s="21">
        <f>GrossMargin!I22</f>
        <v>536</v>
      </c>
      <c r="D24" s="240">
        <f>GrossMargin!M22</f>
        <v>10000</v>
      </c>
      <c r="E24" s="294">
        <f t="shared" si="6"/>
        <v>-9464</v>
      </c>
      <c r="F24" s="23"/>
      <c r="G24" s="240">
        <f>Expenses!C22+Expenses!G22</f>
        <v>567</v>
      </c>
      <c r="H24" s="240">
        <f>Expenses!D22+Expenses!H22</f>
        <v>567</v>
      </c>
      <c r="I24" s="293">
        <f t="shared" si="7"/>
        <v>0</v>
      </c>
      <c r="J24" s="9"/>
      <c r="K24" s="240">
        <f>CapChrg!C22</f>
        <v>2419</v>
      </c>
      <c r="L24" s="202">
        <f>CapChrg!D22</f>
        <v>4139</v>
      </c>
      <c r="M24" s="293">
        <f t="shared" si="8"/>
        <v>-1720</v>
      </c>
      <c r="N24" s="203"/>
      <c r="O24" s="201">
        <f t="shared" si="9"/>
        <v>-2450</v>
      </c>
      <c r="P24" s="202">
        <f t="shared" si="10"/>
        <v>5294</v>
      </c>
      <c r="Q24" s="198">
        <f t="shared" si="11"/>
        <v>-7744</v>
      </c>
    </row>
    <row r="25" spans="1:17" ht="14.25" customHeight="1" x14ac:dyDescent="0.2">
      <c r="A25" s="11" t="s">
        <v>155</v>
      </c>
      <c r="B25" s="9"/>
      <c r="C25" s="21">
        <f>GrossMargin!I23</f>
        <v>35360</v>
      </c>
      <c r="D25" s="240">
        <f>GrossMargin!M23</f>
        <v>6000</v>
      </c>
      <c r="E25" s="294">
        <f t="shared" si="6"/>
        <v>29360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32847</v>
      </c>
      <c r="P25" s="202">
        <f t="shared" si="10"/>
        <v>3906</v>
      </c>
      <c r="Q25" s="198">
        <f t="shared" si="11"/>
        <v>28941</v>
      </c>
    </row>
    <row r="26" spans="1:17" ht="14.25" customHeight="1" x14ac:dyDescent="0.2">
      <c r="A26" s="11" t="s">
        <v>30</v>
      </c>
      <c r="B26" s="9"/>
      <c r="C26" s="21">
        <f>GrossMargin!I24</f>
        <v>81615</v>
      </c>
      <c r="D26" s="240">
        <f>GrossMargin!M24</f>
        <v>62499</v>
      </c>
      <c r="E26" s="294">
        <f t="shared" si="6"/>
        <v>19116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78913</v>
      </c>
      <c r="P26" s="202">
        <f t="shared" si="10"/>
        <v>59797</v>
      </c>
      <c r="Q26" s="198">
        <f t="shared" si="11"/>
        <v>19116</v>
      </c>
    </row>
    <row r="27" spans="1:17" ht="14.25" customHeight="1" x14ac:dyDescent="0.2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">
      <c r="A28" s="11" t="s">
        <v>33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153621</v>
      </c>
      <c r="D29" s="27">
        <f>SUM(D23:D28)</f>
        <v>102998</v>
      </c>
      <c r="E29" s="28">
        <f>SUM(E23:E28)</f>
        <v>50623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2838</v>
      </c>
      <c r="L29" s="205">
        <f>SUM(L23:L28)</f>
        <v>4250</v>
      </c>
      <c r="M29" s="206">
        <f>SUM(M23:M28)</f>
        <v>-1412</v>
      </c>
      <c r="N29" s="207"/>
      <c r="O29" s="204">
        <f>SUM(O23:O28)</f>
        <v>143287</v>
      </c>
      <c r="P29" s="205">
        <f>SUM(P23:P28)</f>
        <v>91252</v>
      </c>
      <c r="Q29" s="206">
        <f>SUM(Q23:Q28)</f>
        <v>52035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GrossMargin!I29</f>
        <v>-441707</v>
      </c>
      <c r="D31" s="240">
        <f>GrossMargin!M29</f>
        <v>31500</v>
      </c>
      <c r="E31" s="294">
        <f t="shared" ref="E31:E39" si="12">-D31+C31</f>
        <v>-473207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-443511</v>
      </c>
      <c r="P31" s="202">
        <f t="shared" ref="P31:P39" si="16">D31-H31-L31</f>
        <v>29696</v>
      </c>
      <c r="Q31" s="198">
        <f t="shared" ref="Q31:Q39" si="17">O31-P31</f>
        <v>-473207</v>
      </c>
    </row>
    <row r="32" spans="1:17" x14ac:dyDescent="0.2">
      <c r="A32" s="11" t="s">
        <v>136</v>
      </c>
      <c r="B32" s="9"/>
      <c r="C32" s="21">
        <f>GrossMargin!I30</f>
        <v>31590</v>
      </c>
      <c r="D32" s="240">
        <f>GrossMargin!M30</f>
        <v>19250</v>
      </c>
      <c r="E32" s="294">
        <f t="shared" si="12"/>
        <v>12340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234</v>
      </c>
      <c r="L32" s="202">
        <f>CapChrg!D30</f>
        <v>144</v>
      </c>
      <c r="M32" s="293">
        <f t="shared" si="14"/>
        <v>90</v>
      </c>
      <c r="N32" s="203"/>
      <c r="O32" s="201">
        <f t="shared" si="15"/>
        <v>28789</v>
      </c>
      <c r="P32" s="202">
        <f t="shared" si="16"/>
        <v>16539</v>
      </c>
      <c r="Q32" s="198">
        <f t="shared" si="17"/>
        <v>12250</v>
      </c>
    </row>
    <row r="33" spans="1:17" x14ac:dyDescent="0.2">
      <c r="A33" s="11" t="s">
        <v>36</v>
      </c>
      <c r="B33" s="9"/>
      <c r="C33" s="21">
        <f>GrossMargin!I31</f>
        <v>21231</v>
      </c>
      <c r="D33" s="240">
        <f>GrossMargin!M31</f>
        <v>21000</v>
      </c>
      <c r="E33" s="294">
        <f t="shared" si="12"/>
        <v>231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776</v>
      </c>
      <c r="L33" s="202">
        <f>CapChrg!D31</f>
        <v>1572</v>
      </c>
      <c r="M33" s="293">
        <f t="shared" si="14"/>
        <v>-796</v>
      </c>
      <c r="N33" s="203"/>
      <c r="O33" s="201">
        <f t="shared" si="15"/>
        <v>17577</v>
      </c>
      <c r="P33" s="202">
        <f t="shared" si="16"/>
        <v>16550</v>
      </c>
      <c r="Q33" s="198">
        <f t="shared" si="17"/>
        <v>1027</v>
      </c>
    </row>
    <row r="34" spans="1:17" x14ac:dyDescent="0.2">
      <c r="A34" s="11" t="s">
        <v>37</v>
      </c>
      <c r="B34" s="9"/>
      <c r="C34" s="21">
        <f>GrossMargin!I32</f>
        <v>28094</v>
      </c>
      <c r="D34" s="240">
        <f>GrossMargin!M32</f>
        <v>10000</v>
      </c>
      <c r="E34" s="294">
        <f t="shared" si="12"/>
        <v>18094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26726</v>
      </c>
      <c r="P34" s="202">
        <f t="shared" si="16"/>
        <v>8632</v>
      </c>
      <c r="Q34" s="198">
        <f t="shared" si="17"/>
        <v>18094</v>
      </c>
    </row>
    <row r="35" spans="1:17" x14ac:dyDescent="0.2">
      <c r="A35" s="11" t="s">
        <v>38</v>
      </c>
      <c r="B35" s="9"/>
      <c r="C35" s="21">
        <f>GrossMargin!I33</f>
        <v>133865</v>
      </c>
      <c r="D35" s="240">
        <f>GrossMargin!M33</f>
        <v>31250</v>
      </c>
      <c r="E35" s="294">
        <f t="shared" si="12"/>
        <v>102615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133463</v>
      </c>
      <c r="P35" s="202">
        <f t="shared" si="16"/>
        <v>30848</v>
      </c>
      <c r="Q35" s="198">
        <f t="shared" si="17"/>
        <v>102615</v>
      </c>
    </row>
    <row r="36" spans="1:17" x14ac:dyDescent="0.2">
      <c r="A36" s="11" t="s">
        <v>39</v>
      </c>
      <c r="B36" s="9"/>
      <c r="C36" s="21">
        <f>GrossMargin!I34</f>
        <v>4101</v>
      </c>
      <c r="D36" s="240">
        <f>GrossMargin!M34</f>
        <v>6250</v>
      </c>
      <c r="E36" s="294">
        <f t="shared" si="12"/>
        <v>-2149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2995</v>
      </c>
      <c r="P36" s="202">
        <f t="shared" si="16"/>
        <v>5144</v>
      </c>
      <c r="Q36" s="198">
        <f t="shared" si="17"/>
        <v>-2149</v>
      </c>
    </row>
    <row r="37" spans="1:17" x14ac:dyDescent="0.2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2" x14ac:dyDescent="0.2">
      <c r="A40" s="25" t="s">
        <v>9</v>
      </c>
      <c r="B40" s="155"/>
      <c r="C40" s="26">
        <f>SUM(C31:C39)</f>
        <v>-221826</v>
      </c>
      <c r="D40" s="26">
        <f>SUM(D31:D39)</f>
        <v>119250</v>
      </c>
      <c r="E40" s="26">
        <f>SUM(E31:E39)</f>
        <v>-341076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1010</v>
      </c>
      <c r="L40" s="204">
        <f>SUM(L31:L39)</f>
        <v>1716</v>
      </c>
      <c r="M40" s="204">
        <f>SUM(M31:M39)</f>
        <v>-706</v>
      </c>
      <c r="N40" s="207"/>
      <c r="O40" s="204">
        <f>SUM(O31:O39)</f>
        <v>-234133</v>
      </c>
      <c r="P40" s="204">
        <f>SUM(P31:P39)</f>
        <v>106237</v>
      </c>
      <c r="Q40" s="204">
        <f>SUM(Q31:Q39)</f>
        <v>-340370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GrossMargin!I40</f>
        <v>-45525</v>
      </c>
      <c r="D42" s="240">
        <f>GrossMargin!M40</f>
        <v>12500</v>
      </c>
      <c r="E42" s="294">
        <f t="shared" ref="E42:E47" si="18">-D42+C42</f>
        <v>-58025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-8</v>
      </c>
      <c r="L42" s="202">
        <f>CapChrg!D40</f>
        <v>99</v>
      </c>
      <c r="M42" s="293">
        <f t="shared" ref="M42:M47" si="20">K42-L42</f>
        <v>-107</v>
      </c>
      <c r="N42" s="203"/>
      <c r="O42" s="201">
        <f t="shared" ref="O42:O47" si="21">C42-G42-K42</f>
        <v>-46734</v>
      </c>
      <c r="P42" s="202">
        <f t="shared" ref="P42:P47" si="22">D42-H42-L42</f>
        <v>11184</v>
      </c>
      <c r="Q42" s="198">
        <f t="shared" ref="Q42:Q47" si="23">O42-P42</f>
        <v>-57918</v>
      </c>
    </row>
    <row r="43" spans="1:17" ht="13.5" customHeight="1" x14ac:dyDescent="0.2">
      <c r="A43" s="11" t="s">
        <v>43</v>
      </c>
      <c r="B43" s="9"/>
      <c r="C43" s="21">
        <f>GrossMargin!I41</f>
        <v>-1103</v>
      </c>
      <c r="D43" s="240">
        <f>GrossMargin!M41</f>
        <v>5000</v>
      </c>
      <c r="E43" s="294">
        <f t="shared" si="18"/>
        <v>-6103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1966</v>
      </c>
      <c r="L43" s="202">
        <f>CapChrg!D41</f>
        <v>304</v>
      </c>
      <c r="M43" s="293">
        <f t="shared" si="20"/>
        <v>1662</v>
      </c>
      <c r="N43" s="203"/>
      <c r="O43" s="201">
        <f t="shared" si="21"/>
        <v>-3492</v>
      </c>
      <c r="P43" s="202">
        <f t="shared" si="22"/>
        <v>4273</v>
      </c>
      <c r="Q43" s="198">
        <f t="shared" si="23"/>
        <v>-7765</v>
      </c>
    </row>
    <row r="44" spans="1:17" ht="13.5" customHeight="1" x14ac:dyDescent="0.2">
      <c r="A44" s="11" t="s">
        <v>65</v>
      </c>
      <c r="B44" s="9"/>
      <c r="C44" s="21">
        <f>GrossMargin!I42</f>
        <v>-3323</v>
      </c>
      <c r="D44" s="240">
        <f>GrossMargin!M42</f>
        <v>38750</v>
      </c>
      <c r="E44" s="294">
        <f t="shared" si="18"/>
        <v>-42073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-3897</v>
      </c>
      <c r="P44" s="202">
        <f t="shared" si="22"/>
        <v>38176</v>
      </c>
      <c r="Q44" s="198">
        <f t="shared" si="23"/>
        <v>-42073</v>
      </c>
    </row>
    <row r="45" spans="1:17" ht="13.5" customHeight="1" x14ac:dyDescent="0.2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">
      <c r="A49" s="25" t="s">
        <v>10</v>
      </c>
      <c r="B49" s="303"/>
      <c r="C49" s="27">
        <f>SUM(C42:C48)</f>
        <v>-49951</v>
      </c>
      <c r="D49" s="304">
        <f>SUM(D42:D48)</f>
        <v>71250</v>
      </c>
      <c r="E49" s="305">
        <f>SUM(E42:E48)</f>
        <v>-121201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1958</v>
      </c>
      <c r="L49" s="304">
        <f>SUM(L42:L48)</f>
        <v>850</v>
      </c>
      <c r="M49" s="305">
        <f>SUM(M42:M48)</f>
        <v>1108</v>
      </c>
      <c r="N49" s="207"/>
      <c r="O49" s="27">
        <f>SUM(O42:O48)</f>
        <v>-56592</v>
      </c>
      <c r="P49" s="304">
        <f>SUM(P42:P48)</f>
        <v>65717</v>
      </c>
      <c r="Q49" s="305">
        <f>SUM(Q42:Q48)</f>
        <v>-122309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">
        <v>74</v>
      </c>
      <c r="B51" s="9"/>
      <c r="C51" s="202">
        <f>GrossMargin!I49</f>
        <v>-347</v>
      </c>
      <c r="D51" s="202">
        <f>GrossMargin!M49</f>
        <v>0</v>
      </c>
      <c r="E51" s="294">
        <f t="shared" ref="E51:E68" si="24">-D51+C51</f>
        <v>-347</v>
      </c>
      <c r="F51" s="23"/>
      <c r="G51" s="240">
        <f>Expenses!C48+Expenses!G48</f>
        <v>221</v>
      </c>
      <c r="H51" s="240">
        <f>Expenses!D48+Expenses!H48</f>
        <v>221</v>
      </c>
      <c r="I51" s="202">
        <f t="shared" ref="I51:I69" si="25">G51-H51</f>
        <v>0</v>
      </c>
      <c r="J51" s="9"/>
      <c r="K51" s="240">
        <f>CapChrg!C48</f>
        <v>0</v>
      </c>
      <c r="L51" s="202">
        <f>CapChrg!D48</f>
        <v>0</v>
      </c>
      <c r="M51" s="293">
        <f t="shared" ref="M51:M68" si="26">K51-L51</f>
        <v>0</v>
      </c>
      <c r="N51" s="203"/>
      <c r="O51" s="201">
        <f t="shared" ref="O51:O68" si="27">C51-G51-K51</f>
        <v>-568</v>
      </c>
      <c r="P51" s="202">
        <f t="shared" ref="P51:P68" si="28">D51-H51-L51</f>
        <v>-221</v>
      </c>
      <c r="Q51" s="198">
        <f t="shared" ref="Q51:Q68" si="29">O51-P51</f>
        <v>-347</v>
      </c>
    </row>
    <row r="52" spans="1:17" x14ac:dyDescent="0.2">
      <c r="A52" s="11" t="s">
        <v>102</v>
      </c>
      <c r="B52" s="9"/>
      <c r="C52" s="202">
        <f>GrossMargin!I50</f>
        <v>2873</v>
      </c>
      <c r="D52" s="240">
        <f>GrossMargin!M50</f>
        <v>4334</v>
      </c>
      <c r="E52" s="294">
        <f t="shared" si="24"/>
        <v>-1461</v>
      </c>
      <c r="F52" s="23"/>
      <c r="G52" s="240">
        <f>Expenses!C49+Expenses!G49</f>
        <v>1223</v>
      </c>
      <c r="H52" s="240">
        <f>Expenses!D49+Expenses!H49</f>
        <v>767</v>
      </c>
      <c r="I52" s="202">
        <f t="shared" si="25"/>
        <v>456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1650</v>
      </c>
      <c r="P52" s="202">
        <f t="shared" si="28"/>
        <v>3567</v>
      </c>
      <c r="Q52" s="198">
        <f t="shared" si="29"/>
        <v>-1917</v>
      </c>
    </row>
    <row r="53" spans="1:17" x14ac:dyDescent="0.2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4">
        <f t="shared" si="24"/>
        <v>-4871</v>
      </c>
      <c r="F53" s="23"/>
      <c r="G53" s="240">
        <f>Expenses!C50+Expenses!G50</f>
        <v>1487</v>
      </c>
      <c r="H53" s="240">
        <f>Expenses!D50+Expenses!H50</f>
        <v>1484</v>
      </c>
      <c r="I53" s="202">
        <f t="shared" si="25"/>
        <v>3</v>
      </c>
      <c r="J53" s="9"/>
      <c r="K53" s="202">
        <f>CapChrg!C50</f>
        <v>-66</v>
      </c>
      <c r="L53" s="202">
        <f>CapChrg!D50</f>
        <v>653</v>
      </c>
      <c r="M53" s="293">
        <f t="shared" si="26"/>
        <v>-719</v>
      </c>
      <c r="N53" s="203"/>
      <c r="O53" s="201">
        <f t="shared" si="27"/>
        <v>-111</v>
      </c>
      <c r="P53" s="202">
        <f t="shared" si="28"/>
        <v>4044</v>
      </c>
      <c r="Q53" s="198">
        <f t="shared" si="29"/>
        <v>-4155</v>
      </c>
    </row>
    <row r="54" spans="1:17" x14ac:dyDescent="0.2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265</v>
      </c>
      <c r="H54" s="240">
        <f>Expenses!D51+Expenses!H51</f>
        <v>265</v>
      </c>
      <c r="I54" s="202">
        <f t="shared" si="25"/>
        <v>0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-15</v>
      </c>
      <c r="P54" s="202">
        <f t="shared" si="28"/>
        <v>1735</v>
      </c>
      <c r="Q54" s="198">
        <f t="shared" si="29"/>
        <v>-1750</v>
      </c>
    </row>
    <row r="55" spans="1:17" x14ac:dyDescent="0.2">
      <c r="A55" s="11" t="s">
        <v>105</v>
      </c>
      <c r="B55" s="9"/>
      <c r="C55" s="202">
        <f>GrossMargin!I53</f>
        <v>881</v>
      </c>
      <c r="D55" s="240">
        <f>GrossMargin!M53</f>
        <v>1000</v>
      </c>
      <c r="E55" s="294">
        <f t="shared" si="24"/>
        <v>-119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668</v>
      </c>
      <c r="P55" s="202">
        <f t="shared" si="28"/>
        <v>814</v>
      </c>
      <c r="Q55" s="198">
        <f t="shared" si="29"/>
        <v>-146</v>
      </c>
    </row>
    <row r="56" spans="1:17" x14ac:dyDescent="0.2">
      <c r="A56" s="11" t="s">
        <v>106</v>
      </c>
      <c r="B56" s="9"/>
      <c r="C56" s="202">
        <f>GrossMargin!I54</f>
        <v>-50</v>
      </c>
      <c r="D56" s="240">
        <f>GrossMargin!M54</f>
        <v>500</v>
      </c>
      <c r="E56" s="294">
        <f t="shared" si="24"/>
        <v>-550</v>
      </c>
      <c r="F56" s="23"/>
      <c r="G56" s="202">
        <f>Expenses!C53+Expenses!G53</f>
        <v>144</v>
      </c>
      <c r="H56" s="202">
        <f>Expenses!D53+Expenses!H53</f>
        <v>144</v>
      </c>
      <c r="I56" s="202">
        <f t="shared" si="25"/>
        <v>0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-194</v>
      </c>
      <c r="P56" s="202">
        <f t="shared" si="28"/>
        <v>356</v>
      </c>
      <c r="Q56" s="198">
        <f t="shared" si="29"/>
        <v>-550</v>
      </c>
    </row>
    <row r="57" spans="1:17" x14ac:dyDescent="0.2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7864</v>
      </c>
      <c r="L57" s="202">
        <f>CapChrg!D54</f>
        <v>6282</v>
      </c>
      <c r="M57" s="293">
        <f t="shared" si="26"/>
        <v>1582</v>
      </c>
      <c r="N57" s="203"/>
      <c r="O57" s="201">
        <f t="shared" si="27"/>
        <v>-5464</v>
      </c>
      <c r="P57" s="202">
        <f t="shared" si="28"/>
        <v>-3373</v>
      </c>
      <c r="Q57" s="198">
        <f t="shared" si="29"/>
        <v>-2091</v>
      </c>
    </row>
    <row r="58" spans="1:17" x14ac:dyDescent="0.2">
      <c r="A58" s="11" t="s">
        <v>68</v>
      </c>
      <c r="B58" s="9"/>
      <c r="C58" s="202">
        <f>GrossMargin!I56</f>
        <v>9017</v>
      </c>
      <c r="D58" s="240">
        <f>GrossMargin!M56</f>
        <v>9445</v>
      </c>
      <c r="E58" s="294">
        <f t="shared" si="24"/>
        <v>-428</v>
      </c>
      <c r="F58" s="23"/>
      <c r="G58" s="240">
        <f>Expenses!C55+Expenses!G55</f>
        <v>69723</v>
      </c>
      <c r="H58" s="240">
        <f>Expenses!D55+Expenses!H55</f>
        <v>63228</v>
      </c>
      <c r="I58" s="202">
        <f t="shared" si="25"/>
        <v>6495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-60706</v>
      </c>
      <c r="P58" s="202">
        <f t="shared" si="28"/>
        <v>-53783</v>
      </c>
      <c r="Q58" s="198">
        <f t="shared" si="29"/>
        <v>-6923</v>
      </c>
    </row>
    <row r="59" spans="1:17" x14ac:dyDescent="0.2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40</v>
      </c>
      <c r="L60" s="202">
        <f>CapChrg!D57</f>
        <v>0</v>
      </c>
      <c r="M60" s="293">
        <f t="shared" si="26"/>
        <v>40</v>
      </c>
      <c r="N60" s="203"/>
      <c r="O60" s="201">
        <f t="shared" si="27"/>
        <v>-1023</v>
      </c>
      <c r="P60" s="202">
        <f t="shared" si="28"/>
        <v>13584</v>
      </c>
      <c r="Q60" s="198">
        <f t="shared" si="29"/>
        <v>-14607</v>
      </c>
    </row>
    <row r="61" spans="1:17" ht="12" customHeight="1" x14ac:dyDescent="0.2">
      <c r="A61" s="11" t="s">
        <v>47</v>
      </c>
      <c r="B61" s="9"/>
      <c r="C61" s="202">
        <f>GrossMargin!I59</f>
        <v>0</v>
      </c>
      <c r="D61" s="240">
        <f>GrossMargin!M59</f>
        <v>20000</v>
      </c>
      <c r="E61" s="294">
        <f t="shared" si="24"/>
        <v>-20000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-23678</v>
      </c>
      <c r="P61" s="202">
        <f t="shared" si="28"/>
        <v>3020</v>
      </c>
      <c r="Q61" s="198">
        <f t="shared" si="29"/>
        <v>-26698</v>
      </c>
    </row>
    <row r="62" spans="1:17" ht="12" customHeight="1" x14ac:dyDescent="0.2">
      <c r="A62" s="11" t="s">
        <v>48</v>
      </c>
      <c r="B62" s="9"/>
      <c r="C62" s="21">
        <f>GrossMargin!I60</f>
        <v>1675</v>
      </c>
      <c r="D62" s="240">
        <f>GrossMargin!M60</f>
        <v>15781</v>
      </c>
      <c r="E62" s="294">
        <f t="shared" si="24"/>
        <v>-14106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4912</v>
      </c>
      <c r="L62" s="202">
        <f>CapChrg!D59</f>
        <v>7109</v>
      </c>
      <c r="M62" s="293">
        <f t="shared" si="26"/>
        <v>-2197</v>
      </c>
      <c r="N62" s="203"/>
      <c r="O62" s="201">
        <f t="shared" si="27"/>
        <v>-4066</v>
      </c>
      <c r="P62" s="202">
        <f t="shared" si="28"/>
        <v>7781</v>
      </c>
      <c r="Q62" s="198">
        <f t="shared" si="29"/>
        <v>-11847</v>
      </c>
    </row>
    <row r="63" spans="1:17" ht="12" customHeight="1" x14ac:dyDescent="0.2">
      <c r="A63" s="11" t="s">
        <v>63</v>
      </c>
      <c r="B63" s="9"/>
      <c r="C63" s="202">
        <f>GrossMargin!I61</f>
        <v>3467</v>
      </c>
      <c r="D63" s="240">
        <f>GrossMargin!M61</f>
        <v>7150</v>
      </c>
      <c r="E63" s="294">
        <f t="shared" si="24"/>
        <v>-3683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10100</v>
      </c>
      <c r="L63" s="202">
        <f>CapChrg!D60</f>
        <v>7606</v>
      </c>
      <c r="M63" s="293">
        <f t="shared" si="26"/>
        <v>2494</v>
      </c>
      <c r="N63" s="203"/>
      <c r="O63" s="201">
        <f t="shared" si="27"/>
        <v>-8419</v>
      </c>
      <c r="P63" s="202">
        <f t="shared" si="28"/>
        <v>-2710</v>
      </c>
      <c r="Q63" s="198">
        <f t="shared" si="29"/>
        <v>-5709</v>
      </c>
    </row>
    <row r="64" spans="1:17" ht="12" customHeight="1" x14ac:dyDescent="0.2">
      <c r="A64" s="11" t="s">
        <v>49</v>
      </c>
      <c r="B64" s="9"/>
      <c r="C64" s="202">
        <f>GrossMargin!I62</f>
        <v>3153</v>
      </c>
      <c r="D64" s="240">
        <f>GrossMargin!M62</f>
        <v>5000</v>
      </c>
      <c r="E64" s="294">
        <f t="shared" si="24"/>
        <v>-1847</v>
      </c>
      <c r="F64" s="23"/>
      <c r="G64" s="240">
        <f>Expenses!C61+Expenses!G61</f>
        <v>810</v>
      </c>
      <c r="H64" s="240">
        <f>Expenses!D61+Expenses!H61</f>
        <v>720</v>
      </c>
      <c r="I64" s="202">
        <f t="shared" si="25"/>
        <v>90</v>
      </c>
      <c r="J64" s="9"/>
      <c r="K64" s="240">
        <f>CapChrg!C61</f>
        <v>14074</v>
      </c>
      <c r="L64" s="202">
        <f>CapChrg!D61</f>
        <v>13627</v>
      </c>
      <c r="M64" s="293">
        <f t="shared" si="26"/>
        <v>447</v>
      </c>
      <c r="N64" s="203"/>
      <c r="O64" s="201">
        <f t="shared" si="27"/>
        <v>-11731</v>
      </c>
      <c r="P64" s="202">
        <f t="shared" si="28"/>
        <v>-9347</v>
      </c>
      <c r="Q64" s="198">
        <f t="shared" si="29"/>
        <v>-2384</v>
      </c>
    </row>
    <row r="65" spans="1:17" ht="12" customHeight="1" x14ac:dyDescent="0.2">
      <c r="A65" s="11" t="s">
        <v>134</v>
      </c>
      <c r="B65" s="9"/>
      <c r="C65" s="21">
        <f>GrossMargin!I63</f>
        <v>9659</v>
      </c>
      <c r="D65" s="240">
        <f>GrossMargin!M63</f>
        <v>-7900</v>
      </c>
      <c r="E65" s="294">
        <f t="shared" si="24"/>
        <v>17559</v>
      </c>
      <c r="F65" s="23"/>
      <c r="G65" s="240">
        <f>Expenses!C62+Expenses!G62</f>
        <v>1628</v>
      </c>
      <c r="H65" s="240">
        <f>Expenses!D62+Expenses!H62</f>
        <v>1637</v>
      </c>
      <c r="I65" s="202">
        <f t="shared" si="25"/>
        <v>-9</v>
      </c>
      <c r="J65" s="9"/>
      <c r="K65" s="240">
        <f>CapChrg!C62</f>
        <v>8120</v>
      </c>
      <c r="L65" s="202">
        <f>CapChrg!D62</f>
        <v>13372</v>
      </c>
      <c r="M65" s="293">
        <f t="shared" si="26"/>
        <v>-5252</v>
      </c>
      <c r="N65" s="203"/>
      <c r="O65" s="201">
        <f t="shared" si="27"/>
        <v>-89</v>
      </c>
      <c r="P65" s="202">
        <f t="shared" si="28"/>
        <v>-22909</v>
      </c>
      <c r="Q65" s="198">
        <f t="shared" si="29"/>
        <v>22820</v>
      </c>
    </row>
    <row r="66" spans="1:17" ht="12" customHeight="1" x14ac:dyDescent="0.2">
      <c r="A66" s="11" t="s">
        <v>71</v>
      </c>
      <c r="B66" s="20"/>
      <c r="C66" s="202">
        <f>GrossMargin!I64</f>
        <v>429628</v>
      </c>
      <c r="D66" s="240">
        <f>GrossMargin!M64</f>
        <v>-12065</v>
      </c>
      <c r="E66" s="294">
        <f t="shared" si="24"/>
        <v>441693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16296</v>
      </c>
      <c r="L66" s="202">
        <f>CapChrg!D63</f>
        <v>32888</v>
      </c>
      <c r="M66" s="293">
        <f t="shared" si="26"/>
        <v>-16592</v>
      </c>
      <c r="N66" s="203"/>
      <c r="O66" s="201">
        <f t="shared" si="27"/>
        <v>411850</v>
      </c>
      <c r="P66" s="202">
        <f t="shared" si="28"/>
        <v>-45947</v>
      </c>
      <c r="Q66" s="198">
        <f t="shared" si="29"/>
        <v>457797</v>
      </c>
    </row>
    <row r="67" spans="1:17" ht="12" customHeight="1" x14ac:dyDescent="0.2">
      <c r="A67" s="11" t="s">
        <v>73</v>
      </c>
      <c r="B67" s="20"/>
      <c r="C67" s="21">
        <f>GrossMargin!I65</f>
        <v>9672</v>
      </c>
      <c r="D67" s="240">
        <f>GrossMargin!M65</f>
        <v>0</v>
      </c>
      <c r="E67" s="294">
        <f t="shared" si="24"/>
        <v>9672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9672</v>
      </c>
      <c r="P67" s="202">
        <f t="shared" si="28"/>
        <v>0</v>
      </c>
      <c r="Q67" s="198">
        <f t="shared" si="29"/>
        <v>9672</v>
      </c>
    </row>
    <row r="68" spans="1:17" ht="12" customHeight="1" x14ac:dyDescent="0.2">
      <c r="A68" s="29" t="s">
        <v>129</v>
      </c>
      <c r="B68" s="9"/>
      <c r="C68" s="202">
        <f>GrossMargin!I66</f>
        <v>-6600</v>
      </c>
      <c r="D68" s="240">
        <f>GrossMargin!M66</f>
        <v>63802</v>
      </c>
      <c r="E68" s="294">
        <f t="shared" si="24"/>
        <v>-70402</v>
      </c>
      <c r="F68" s="23"/>
      <c r="G68" s="240">
        <f>Expenses!C65+Expenses!G65</f>
        <v>1373</v>
      </c>
      <c r="H68" s="240">
        <f>Expenses!D65+Expenses!H65</f>
        <v>1373</v>
      </c>
      <c r="I68" s="202">
        <f t="shared" si="25"/>
        <v>0</v>
      </c>
      <c r="J68" s="9"/>
      <c r="K68" s="202">
        <f>CapChrg!C65</f>
        <v>0</v>
      </c>
      <c r="L68" s="202">
        <f>CapChrg!D65</f>
        <v>0</v>
      </c>
      <c r="M68" s="293">
        <f t="shared" si="26"/>
        <v>0</v>
      </c>
      <c r="N68" s="203"/>
      <c r="O68" s="201">
        <f t="shared" si="27"/>
        <v>-7973</v>
      </c>
      <c r="P68" s="202">
        <f t="shared" si="28"/>
        <v>62429</v>
      </c>
      <c r="Q68" s="198">
        <f t="shared" si="29"/>
        <v>-70402</v>
      </c>
    </row>
    <row r="69" spans="1:17" ht="12" customHeight="1" x14ac:dyDescent="0.2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4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3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17" s="157" customFormat="1" ht="12" customHeight="1" x14ac:dyDescent="0.2">
      <c r="A70" s="25" t="s">
        <v>12</v>
      </c>
      <c r="B70" s="155"/>
      <c r="C70" s="26">
        <f>SUM(C51:C69)+C49+C40+C29+C21</f>
        <v>478911</v>
      </c>
      <c r="D70" s="27">
        <f>SUM(D51:D69)+D49+D40+D29+D21</f>
        <v>502635</v>
      </c>
      <c r="E70" s="28">
        <f>SUM(E51:E69)+E49+E40+E29+E21</f>
        <v>-23724</v>
      </c>
      <c r="F70" s="156"/>
      <c r="G70" s="204">
        <f>SUM(G51:G69)+G49+G40+G29+G21</f>
        <v>120221</v>
      </c>
      <c r="H70" s="205">
        <f>SUM(H51:H69)+H49+H40+H29+H21</f>
        <v>113261</v>
      </c>
      <c r="I70" s="205">
        <f>SUM(I51:I69)+I49+I40+I29+I21</f>
        <v>6960</v>
      </c>
      <c r="J70" s="9"/>
      <c r="K70" s="205">
        <f>SUM(K51:K69)+K49+K40+K29+K21</f>
        <v>89237</v>
      </c>
      <c r="L70" s="205">
        <f>SUM(L51:L69)+L49+L40+L29+L21</f>
        <v>103563</v>
      </c>
      <c r="M70" s="206">
        <f>SUM(M51:M69)+M49+M40+M29+M21</f>
        <v>-14326</v>
      </c>
      <c r="N70" s="207"/>
      <c r="O70" s="204">
        <f>SUM(O51:O69)+O49+O40+O29+O21</f>
        <v>269453</v>
      </c>
      <c r="P70" s="205">
        <f>SUM(P51:P69)+P49+P40+P29+P21</f>
        <v>285811</v>
      </c>
      <c r="Q70" s="206">
        <f>SUM(Q51:Q69)+Q49+Q40+Q29+Q21</f>
        <v>-16358</v>
      </c>
    </row>
    <row r="71" spans="1:17" ht="6.75" customHeight="1" x14ac:dyDescent="0.2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2631</v>
      </c>
      <c r="H72" s="240">
        <f>Expenses!D70+Expenses!H70</f>
        <v>2631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-2631</v>
      </c>
      <c r="P72" s="202">
        <f t="shared" ref="P72:P85" si="34">D72-H72-L72</f>
        <v>-2631</v>
      </c>
      <c r="Q72" s="198">
        <f t="shared" ref="Q72:Q85" si="35">O72-P72</f>
        <v>0</v>
      </c>
    </row>
    <row r="73" spans="1:17" ht="12" customHeight="1" x14ac:dyDescent="0.2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17" ht="12" customHeight="1" x14ac:dyDescent="0.2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17" ht="12" customHeight="1" x14ac:dyDescent="0.2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17" ht="12" customHeight="1" x14ac:dyDescent="0.2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17" ht="12" customHeight="1" x14ac:dyDescent="0.2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17" ht="12" customHeight="1" x14ac:dyDescent="0.2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17" ht="12" customHeight="1" x14ac:dyDescent="0.2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17" ht="12" customHeight="1" x14ac:dyDescent="0.2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47811</v>
      </c>
      <c r="H85" s="240">
        <f>Expenses!D83+Expenses!H83</f>
        <v>46611</v>
      </c>
      <c r="I85" s="202">
        <f t="shared" si="31"/>
        <v>1200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-47811</v>
      </c>
      <c r="P85" s="202">
        <f t="shared" si="34"/>
        <v>-46611</v>
      </c>
      <c r="Q85" s="198">
        <f t="shared" si="35"/>
        <v>-1200</v>
      </c>
    </row>
    <row r="86" spans="1:17" s="157" customFormat="1" ht="12" customHeight="1" x14ac:dyDescent="0.2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98020</v>
      </c>
      <c r="H86" s="205">
        <f>SUM(H72:H85)</f>
        <v>91577</v>
      </c>
      <c r="I86" s="205">
        <f>SUM(I72:I85)</f>
        <v>6443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-98020</v>
      </c>
      <c r="P86" s="205">
        <f>SUM(P72:P85)</f>
        <v>-91577</v>
      </c>
      <c r="Q86" s="206">
        <f>SUM(Q72:Q85)</f>
        <v>-6443</v>
      </c>
    </row>
    <row r="87" spans="1:17" s="33" customFormat="1" ht="12" customHeight="1" x14ac:dyDescent="0.2">
      <c r="A87" s="181" t="s">
        <v>119</v>
      </c>
      <c r="B87" s="9"/>
      <c r="C87" s="202">
        <v>0</v>
      </c>
      <c r="D87" s="202">
        <v>0</v>
      </c>
      <c r="E87" s="292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">
      <c r="A88" s="181" t="s">
        <v>120</v>
      </c>
      <c r="B88" s="9"/>
      <c r="C88" s="30">
        <f>GrossMargin!I68</f>
        <v>22255</v>
      </c>
      <c r="D88" s="240">
        <f>GrossMargin!M68</f>
        <v>32910</v>
      </c>
      <c r="E88" s="294">
        <f>-D88+C88</f>
        <v>-10655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3">
        <f>K88-L88</f>
        <v>0</v>
      </c>
      <c r="N88" s="203"/>
      <c r="O88" s="201">
        <f t="shared" si="37"/>
        <v>19195</v>
      </c>
      <c r="P88" s="202">
        <f t="shared" si="37"/>
        <v>29850</v>
      </c>
      <c r="Q88" s="198">
        <f>O88-P88</f>
        <v>-10655</v>
      </c>
    </row>
    <row r="89" spans="1:17" s="33" customFormat="1" ht="12" customHeight="1" x14ac:dyDescent="0.2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4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3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25">
      <c r="A90" s="29" t="s">
        <v>115</v>
      </c>
      <c r="B90" s="9"/>
      <c r="C90" s="202">
        <f>2902+2871</f>
        <v>5773</v>
      </c>
      <c r="D90" s="202">
        <v>0</v>
      </c>
      <c r="E90" s="294">
        <f>-D90+C90</f>
        <v>5773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-89237</v>
      </c>
      <c r="L90" s="240">
        <f>CapChrg!D71</f>
        <v>-103563</v>
      </c>
      <c r="M90" s="293">
        <f>K90-L90</f>
        <v>14326</v>
      </c>
      <c r="N90" s="203"/>
      <c r="O90" s="201">
        <f t="shared" si="37"/>
        <v>95010</v>
      </c>
      <c r="P90" s="202">
        <f t="shared" si="37"/>
        <v>103563</v>
      </c>
      <c r="Q90" s="198">
        <f>O90-P90</f>
        <v>-8553</v>
      </c>
    </row>
    <row r="91" spans="1:17" s="157" customFormat="1" ht="12" customHeight="1" thickBot="1" x14ac:dyDescent="0.25">
      <c r="A91" s="25" t="s">
        <v>141</v>
      </c>
      <c r="B91" s="303"/>
      <c r="C91" s="310">
        <f>C70+C86+C87+C88+C89+C90</f>
        <v>489815</v>
      </c>
      <c r="D91" s="310">
        <f>D70+D86+D87+D88+D89+D90</f>
        <v>522545</v>
      </c>
      <c r="E91" s="310">
        <f>E70+E86+E87+E88+E89+E90</f>
        <v>-32730</v>
      </c>
      <c r="F91" s="156"/>
      <c r="G91" s="310">
        <f>G70+G86+G87+G88+G89+G90</f>
        <v>260078</v>
      </c>
      <c r="H91" s="310">
        <f>H70+H86+H87+H88+H89+H90</f>
        <v>245652</v>
      </c>
      <c r="I91" s="310">
        <f>I70+I86+I87+I88+I89+I90</f>
        <v>14426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229737</v>
      </c>
      <c r="P91" s="318">
        <f>P70+P86+P87+P88+P89+P90</f>
        <v>276893</v>
      </c>
      <c r="Q91" s="319">
        <f>Q70+Q86+Q87+Q88+Q89+Q90</f>
        <v>-47156</v>
      </c>
    </row>
    <row r="92" spans="1:17" ht="12.75" customHeight="1" thickBot="1" x14ac:dyDescent="0.25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f>Expenses!D88</f>
        <v>25828</v>
      </c>
      <c r="I92" s="202">
        <f t="shared" si="36"/>
        <v>-24736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-25828</v>
      </c>
      <c r="Q92" s="316">
        <f>O92-P92</f>
        <v>24736</v>
      </c>
    </row>
    <row r="93" spans="1:17" s="157" customFormat="1" ht="12" customHeight="1" thickBot="1" x14ac:dyDescent="0.3">
      <c r="A93" s="35" t="s">
        <v>142</v>
      </c>
      <c r="B93" s="158"/>
      <c r="C93" s="36">
        <f>SUM(C91:C92)</f>
        <v>489815</v>
      </c>
      <c r="D93" s="37">
        <f>SUM(D91:D92)</f>
        <v>522545</v>
      </c>
      <c r="E93" s="51">
        <f>SUM(E91:E92)</f>
        <v>-32730</v>
      </c>
      <c r="F93" s="159"/>
      <c r="G93" s="212">
        <f>SUM(G91:G92)</f>
        <v>261170</v>
      </c>
      <c r="H93" s="213">
        <f>SUM(H91:H92)</f>
        <v>271480</v>
      </c>
      <c r="I93" s="213">
        <f t="shared" si="36"/>
        <v>-10310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228645</v>
      </c>
      <c r="P93" s="312">
        <f>SUM(P91:P92)</f>
        <v>251065</v>
      </c>
      <c r="Q93" s="313">
        <f>SUM(Q91:Q92)</f>
        <v>-22420</v>
      </c>
    </row>
    <row r="94" spans="1:17" ht="3" customHeight="1" x14ac:dyDescent="0.3">
      <c r="A94" s="38"/>
      <c r="C94" s="39"/>
      <c r="D94" s="40"/>
      <c r="E94" s="38"/>
      <c r="F94" s="41"/>
    </row>
    <row r="95" spans="1:17" x14ac:dyDescent="0.2">
      <c r="A95" s="43"/>
      <c r="C95" s="41"/>
      <c r="D95" s="40"/>
      <c r="E95" s="41"/>
      <c r="F95" s="41"/>
    </row>
    <row r="96" spans="1:17" ht="13.5" hidden="1" customHeight="1" x14ac:dyDescent="0.2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  <row r="97" spans="1:13" ht="13.5" hidden="1" customHeight="1" x14ac:dyDescent="0.2">
      <c r="A97" s="42"/>
      <c r="C97" s="306"/>
      <c r="D97" s="307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8" hidden="1" x14ac:dyDescent="0.3">
      <c r="C98" s="342" t="s">
        <v>111</v>
      </c>
      <c r="D98" s="343"/>
      <c r="E98" s="344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8" hidden="1" x14ac:dyDescent="0.3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"/>
    <row r="105" spans="1:13" hidden="1" x14ac:dyDescent="0.2"/>
    <row r="106" spans="1:13" ht="13.8" hidden="1" x14ac:dyDescent="0.3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8" hidden="1" x14ac:dyDescent="0.3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8" hidden="1" x14ac:dyDescent="0.3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4.4" hidden="1" thickBot="1" x14ac:dyDescent="0.25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0.8" hidden="1" thickTop="1" x14ac:dyDescent="0.2">
      <c r="C110" s="10" t="s">
        <v>0</v>
      </c>
      <c r="D110" s="10" t="s">
        <v>139</v>
      </c>
      <c r="E110" s="10" t="s">
        <v>1</v>
      </c>
    </row>
    <row r="111" spans="1:13" hidden="1" x14ac:dyDescent="0.2">
      <c r="A111" s="10" t="s">
        <v>137</v>
      </c>
      <c r="C111" s="309">
        <f>C91/1000</f>
        <v>489.815</v>
      </c>
      <c r="D111" s="309">
        <f>G91/1000</f>
        <v>260.07799999999997</v>
      </c>
      <c r="E111" s="309">
        <f>C111-D111</f>
        <v>229.73700000000002</v>
      </c>
    </row>
    <row r="112" spans="1:13" hidden="1" x14ac:dyDescent="0.2">
      <c r="A112" s="10" t="s">
        <v>138</v>
      </c>
      <c r="C112" s="308">
        <v>9.3000000000000007</v>
      </c>
      <c r="D112" s="308">
        <v>18.7</v>
      </c>
      <c r="E112" s="308">
        <f>C112-D112</f>
        <v>-9.3999999999999986</v>
      </c>
    </row>
    <row r="113" spans="3:5" hidden="1" x14ac:dyDescent="0.2">
      <c r="C113" s="309">
        <f>SUM(C111:C112)</f>
        <v>499.11500000000001</v>
      </c>
      <c r="D113" s="309">
        <f>SUM(D111:D112)</f>
        <v>278.77799999999996</v>
      </c>
      <c r="E113" s="309">
        <f>C113-D113</f>
        <v>220.33700000000005</v>
      </c>
    </row>
    <row r="114" spans="3:5" hidden="1" x14ac:dyDescent="0.2"/>
    <row r="115" spans="3:5" hidden="1" x14ac:dyDescent="0.2"/>
    <row r="116" spans="3:5" hidden="1" x14ac:dyDescent="0.2"/>
    <row r="117" spans="3:5" hidden="1" x14ac:dyDescent="0.2"/>
  </sheetData>
  <sheetProtection sheet="1" objects="1" scenarios="1"/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ColWidth="9.109375" defaultRowHeight="10.199999999999999" x14ac:dyDescent="0.2"/>
  <cols>
    <col min="1" max="1" width="26.88671875" style="10" customWidth="1"/>
    <col min="2" max="2" width="2.109375" style="10" customWidth="1"/>
    <col min="3" max="4" width="8.6640625" style="10" customWidth="1"/>
    <col min="5" max="5" width="9.6640625" style="10" customWidth="1"/>
    <col min="6" max="11" width="8.6640625" style="10" customWidth="1"/>
    <col min="12" max="18" width="9.6640625" style="10" customWidth="1"/>
    <col min="19" max="16384" width="9.109375" style="10"/>
  </cols>
  <sheetData>
    <row r="1" spans="1:14" ht="15.6" x14ac:dyDescent="0.3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4" ht="13.8" x14ac:dyDescent="0.25">
      <c r="A2" s="362" t="s">
        <v>109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4" ht="14.4" thickBot="1" x14ac:dyDescent="0.35">
      <c r="A3" s="363" t="s">
        <v>76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N3" s="52"/>
    </row>
    <row r="4" spans="1:14" ht="3" customHeight="1" x14ac:dyDescent="0.2">
      <c r="A4" s="44"/>
      <c r="B4" s="94"/>
    </row>
    <row r="5" spans="1:14" ht="12.75" customHeight="1" x14ac:dyDescent="0.2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2.6" thickBot="1" x14ac:dyDescent="0.25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25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2" x14ac:dyDescent="0.3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3.8" thickBot="1" x14ac:dyDescent="0.35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2" x14ac:dyDescent="0.3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2" x14ac:dyDescent="0.2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2" x14ac:dyDescent="0.3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2" x14ac:dyDescent="0.2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2" x14ac:dyDescent="0.3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2" x14ac:dyDescent="0.2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7" activePane="bottomLeft" state="frozen"/>
      <selection activeCell="A9" sqref="A9"/>
      <selection pane="bottomLeft" activeCell="A7" sqref="A7"/>
    </sheetView>
  </sheetViews>
  <sheetFormatPr defaultColWidth="9.109375" defaultRowHeight="10.199999999999999" x14ac:dyDescent="0.2"/>
  <cols>
    <col min="1" max="1" width="27.44140625" style="10" customWidth="1"/>
    <col min="2" max="2" width="2.109375" style="10" customWidth="1"/>
    <col min="3" max="5" width="8.6640625" style="10" customWidth="1"/>
    <col min="6" max="6" width="9.6640625" style="10" customWidth="1"/>
    <col min="7" max="14" width="8.6640625" style="10" customWidth="1"/>
    <col min="15" max="19" width="9.6640625" style="10" customWidth="1"/>
    <col min="20" max="16384" width="9.109375" style="10"/>
  </cols>
  <sheetData>
    <row r="1" spans="1:15" ht="15.6" x14ac:dyDescent="0.3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</row>
    <row r="2" spans="1:15" ht="13.8" x14ac:dyDescent="0.25">
      <c r="A2" s="362" t="s">
        <v>143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</row>
    <row r="3" spans="1:15" ht="13.8" x14ac:dyDescent="0.3">
      <c r="A3" s="16"/>
      <c r="B3" s="322"/>
      <c r="C3" s="322"/>
      <c r="D3" s="322"/>
      <c r="E3" s="322"/>
      <c r="F3" s="322"/>
      <c r="G3" s="322" t="str">
        <f>'QTD Mgmt Summary'!Q3</f>
        <v>Results based on activity through May 11,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0.8" thickBot="1" x14ac:dyDescent="0.25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25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">
      <c r="A8" s="11" t="str">
        <f>'QTD Mgmt Summary'!A10</f>
        <v xml:space="preserve">    ERCOT (Smith/Tingleaf)</v>
      </c>
      <c r="B8" s="90"/>
      <c r="C8" s="154">
        <v>1694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3706</v>
      </c>
      <c r="J8" s="154">
        <v>0</v>
      </c>
      <c r="K8" s="172">
        <v>0</v>
      </c>
      <c r="L8" s="173">
        <f>SUM(I8:K8)</f>
        <v>3706</v>
      </c>
      <c r="M8" s="109">
        <f>35000/4</f>
        <v>8750</v>
      </c>
      <c r="N8" s="170">
        <f>L8-M8</f>
        <v>-5044</v>
      </c>
    </row>
    <row r="9" spans="1:15" s="18" customFormat="1" x14ac:dyDescent="0.2">
      <c r="A9" s="11" t="str">
        <f>'QTD Mgmt Summary'!A11</f>
        <v xml:space="preserve">    Southeast (Herndon/Croll)</v>
      </c>
      <c r="B9" s="90"/>
      <c r="C9" s="22">
        <v>-1345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-1173</v>
      </c>
      <c r="J9" s="22">
        <v>0</v>
      </c>
      <c r="K9" s="40">
        <v>0</v>
      </c>
      <c r="L9" s="173">
        <f t="shared" ref="L9:L15" si="1">SUM(I9:K9)</f>
        <v>-1173</v>
      </c>
      <c r="M9" s="101">
        <f>80000/4</f>
        <v>20000</v>
      </c>
      <c r="N9" s="171">
        <f>L9-M9</f>
        <v>-21173</v>
      </c>
    </row>
    <row r="10" spans="1:15" x14ac:dyDescent="0.2">
      <c r="A10" s="11" t="str">
        <f>'QTD Mgmt Summary'!A12</f>
        <v xml:space="preserve">    Midwest (Sturm/Baughman)</v>
      </c>
      <c r="B10" s="16"/>
      <c r="C10" s="22">
        <v>51905</v>
      </c>
      <c r="D10" s="40">
        <v>0</v>
      </c>
      <c r="E10" s="65">
        <v>800</v>
      </c>
      <c r="F10" s="40">
        <v>0</v>
      </c>
      <c r="G10" s="40">
        <v>0</v>
      </c>
      <c r="H10" s="40">
        <v>0</v>
      </c>
      <c r="I10" s="321">
        <f t="shared" si="0"/>
        <v>52705</v>
      </c>
      <c r="J10" s="22">
        <v>0</v>
      </c>
      <c r="K10" s="40">
        <v>0</v>
      </c>
      <c r="L10" s="173">
        <f t="shared" si="1"/>
        <v>52705</v>
      </c>
      <c r="M10" s="101">
        <f>80000/4</f>
        <v>20000</v>
      </c>
      <c r="N10" s="70">
        <f t="shared" ref="N10:N18" si="2">L10-M10</f>
        <v>32705</v>
      </c>
    </row>
    <row r="11" spans="1:15" x14ac:dyDescent="0.2">
      <c r="A11" s="11" t="str">
        <f>'QTD Mgmt Summary'!A13</f>
        <v xml:space="preserve">    Northeast (Davis)</v>
      </c>
      <c r="B11" s="16"/>
      <c r="C11" s="22">
        <v>54081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53579</v>
      </c>
      <c r="J11" s="22">
        <v>0</v>
      </c>
      <c r="K11" s="40">
        <v>0</v>
      </c>
      <c r="L11" s="173">
        <f t="shared" si="1"/>
        <v>53579</v>
      </c>
      <c r="M11" s="101">
        <f>80000/4</f>
        <v>20000</v>
      </c>
      <c r="N11" s="70">
        <f t="shared" si="2"/>
        <v>33579</v>
      </c>
    </row>
    <row r="12" spans="1:15" x14ac:dyDescent="0.2">
      <c r="A12" s="11" t="str">
        <f>'QTD Mgmt Summary'!A14</f>
        <v xml:space="preserve">    Management Book (Presto)</v>
      </c>
      <c r="B12" s="16"/>
      <c r="C12" s="22">
        <v>17601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17601</v>
      </c>
      <c r="J12" s="22">
        <v>0</v>
      </c>
      <c r="K12" s="40">
        <v>0</v>
      </c>
      <c r="L12" s="173">
        <f t="shared" si="1"/>
        <v>17601</v>
      </c>
      <c r="M12" s="101">
        <f>25000/4</f>
        <v>6250</v>
      </c>
      <c r="N12" s="70">
        <f t="shared" si="2"/>
        <v>11351</v>
      </c>
    </row>
    <row r="13" spans="1:15" x14ac:dyDescent="0.2">
      <c r="A13" s="11" t="str">
        <f>'QTD Mgmt Summary'!A15</f>
        <v xml:space="preserve">    Options (Arrora)</v>
      </c>
      <c r="B13" s="16"/>
      <c r="C13" s="22">
        <v>3731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3731</v>
      </c>
      <c r="J13" s="22"/>
      <c r="K13" s="40"/>
      <c r="L13" s="173">
        <f t="shared" si="1"/>
        <v>3731</v>
      </c>
      <c r="M13" s="101">
        <v>0</v>
      </c>
      <c r="N13" s="70">
        <f t="shared" si="2"/>
        <v>3731</v>
      </c>
    </row>
    <row r="14" spans="1:15" x14ac:dyDescent="0.2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">
      <c r="A15" s="11" t="str">
        <f>'QTD Mgmt Summary'!A17</f>
        <v xml:space="preserve">    New Albany (Presto)   </v>
      </c>
      <c r="B15" s="16"/>
      <c r="C15" s="22">
        <v>-2278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-2278</v>
      </c>
      <c r="J15" s="22">
        <v>0</v>
      </c>
      <c r="K15" s="40">
        <v>0</v>
      </c>
      <c r="L15" s="173">
        <f t="shared" si="1"/>
        <v>-2278</v>
      </c>
      <c r="M15" s="101">
        <f>-2050-2950</f>
        <v>-5000</v>
      </c>
      <c r="N15" s="70">
        <f t="shared" si="2"/>
        <v>2722</v>
      </c>
    </row>
    <row r="16" spans="1:15" x14ac:dyDescent="0.2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f>2029-4</f>
        <v>2025</v>
      </c>
      <c r="I16" s="321">
        <f t="shared" si="0"/>
        <v>2025</v>
      </c>
      <c r="J16" s="22">
        <v>0</v>
      </c>
      <c r="K16" s="40">
        <v>0</v>
      </c>
      <c r="L16" s="173">
        <f>SUM(I16:K16)</f>
        <v>2025</v>
      </c>
      <c r="M16" s="101">
        <f>24000/4</f>
        <v>6000</v>
      </c>
      <c r="N16" s="70">
        <f t="shared" si="2"/>
        <v>-3975</v>
      </c>
    </row>
    <row r="17" spans="1:14" x14ac:dyDescent="0.2">
      <c r="A17" s="11" t="str">
        <f>'QTD Mgmt Summary'!A19</f>
        <v xml:space="preserve">    Structuring (Aucoin)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-250</v>
      </c>
      <c r="I17" s="321">
        <f>SUM(C17:H17)</f>
        <v>-250</v>
      </c>
      <c r="J17" s="22">
        <v>0</v>
      </c>
      <c r="K17" s="40">
        <v>0</v>
      </c>
      <c r="L17" s="173">
        <f>SUM(I17:K17)</f>
        <v>-250</v>
      </c>
      <c r="M17" s="101">
        <f>0/4</f>
        <v>0</v>
      </c>
      <c r="N17" s="70">
        <f t="shared" si="2"/>
        <v>-250</v>
      </c>
    </row>
    <row r="18" spans="1:14" x14ac:dyDescent="0.2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2" x14ac:dyDescent="0.3">
      <c r="A19" s="96" t="s">
        <v>7</v>
      </c>
      <c r="B19" s="114"/>
      <c r="C19" s="104">
        <f t="shared" ref="C19:N19" si="3">SUM(C8:C18)</f>
        <v>125389</v>
      </c>
      <c r="D19" s="104">
        <f t="shared" si="3"/>
        <v>0</v>
      </c>
      <c r="E19" s="104">
        <f t="shared" si="3"/>
        <v>2532</v>
      </c>
      <c r="F19" s="104">
        <f t="shared" si="3"/>
        <v>0</v>
      </c>
      <c r="G19" s="104">
        <f t="shared" si="3"/>
        <v>0</v>
      </c>
      <c r="H19" s="104">
        <f t="shared" si="3"/>
        <v>1725</v>
      </c>
      <c r="I19" s="89">
        <f t="shared" si="3"/>
        <v>129646</v>
      </c>
      <c r="J19" s="335">
        <f t="shared" si="3"/>
        <v>0</v>
      </c>
      <c r="K19" s="335">
        <f t="shared" si="3"/>
        <v>0</v>
      </c>
      <c r="L19" s="334">
        <f t="shared" si="3"/>
        <v>129646</v>
      </c>
      <c r="M19" s="252">
        <f t="shared" si="3"/>
        <v>76000</v>
      </c>
      <c r="N19" s="88">
        <f t="shared" si="3"/>
        <v>53646</v>
      </c>
    </row>
    <row r="20" spans="1:14" ht="6" customHeight="1" x14ac:dyDescent="0.2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19710</v>
      </c>
      <c r="F21" s="40">
        <v>0</v>
      </c>
      <c r="G21" s="40">
        <v>0</v>
      </c>
      <c r="H21" s="40">
        <v>0</v>
      </c>
      <c r="I21" s="22">
        <f t="shared" ref="I21:I26" si="4">SUM(C21:H21)</f>
        <v>19710</v>
      </c>
      <c r="J21" s="22">
        <v>0</v>
      </c>
      <c r="K21" s="40">
        <v>0</v>
      </c>
      <c r="L21" s="64">
        <f t="shared" ref="L21:L26" si="5">SUM(I21:K21)</f>
        <v>19710</v>
      </c>
      <c r="M21" s="101">
        <v>12000</v>
      </c>
      <c r="N21" s="70">
        <f t="shared" ref="N21:N26" si="6">L21-M21</f>
        <v>7710</v>
      </c>
    </row>
    <row r="22" spans="1:14" x14ac:dyDescent="0.2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0</v>
      </c>
      <c r="F22" s="40">
        <v>536</v>
      </c>
      <c r="G22" s="40">
        <v>0</v>
      </c>
      <c r="H22" s="40">
        <v>0</v>
      </c>
      <c r="I22" s="22">
        <f t="shared" si="4"/>
        <v>536</v>
      </c>
      <c r="J22" s="22">
        <v>0</v>
      </c>
      <c r="K22" s="40">
        <v>0</v>
      </c>
      <c r="L22" s="64">
        <f t="shared" si="5"/>
        <v>536</v>
      </c>
      <c r="M22" s="101">
        <v>10000</v>
      </c>
      <c r="N22" s="70">
        <f t="shared" si="6"/>
        <v>-9464</v>
      </c>
    </row>
    <row r="23" spans="1:14" x14ac:dyDescent="0.2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0</v>
      </c>
      <c r="G23" s="40">
        <v>0</v>
      </c>
      <c r="H23" s="40">
        <v>-1000</v>
      </c>
      <c r="I23" s="22">
        <f t="shared" si="4"/>
        <v>35360</v>
      </c>
      <c r="J23" s="22">
        <v>0</v>
      </c>
      <c r="K23" s="40">
        <v>0</v>
      </c>
      <c r="L23" s="64">
        <f t="shared" si="5"/>
        <v>35360</v>
      </c>
      <c r="M23" s="101">
        <v>6000</v>
      </c>
      <c r="N23" s="70">
        <f t="shared" si="6"/>
        <v>29360</v>
      </c>
    </row>
    <row r="24" spans="1:14" x14ac:dyDescent="0.2">
      <c r="A24" s="11" t="str">
        <f>'QTD Mgmt Summary'!A26</f>
        <v xml:space="preserve">    Trading (Belden)</v>
      </c>
      <c r="B24" s="16"/>
      <c r="C24" s="22">
        <v>81615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81615</v>
      </c>
      <c r="J24" s="22">
        <v>0</v>
      </c>
      <c r="K24" s="40">
        <v>0</v>
      </c>
      <c r="L24" s="64">
        <f t="shared" si="5"/>
        <v>81615</v>
      </c>
      <c r="M24" s="101">
        <v>62499</v>
      </c>
      <c r="N24" s="70">
        <f t="shared" si="6"/>
        <v>19116</v>
      </c>
    </row>
    <row r="25" spans="1:14" x14ac:dyDescent="0.2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">
      <c r="A26" s="11" t="str">
        <f>'QTD Mgmt Summary'!A28</f>
        <v xml:space="preserve">    Fundamentals (Heisenreiker)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3.8" thickBot="1" x14ac:dyDescent="0.35">
      <c r="A27" s="25" t="s">
        <v>8</v>
      </c>
      <c r="B27" s="112"/>
      <c r="C27" s="104">
        <f t="shared" ref="C27:N27" si="7">SUM(C21:C26)</f>
        <v>81615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153621</v>
      </c>
      <c r="J27" s="87">
        <f t="shared" si="7"/>
        <v>0</v>
      </c>
      <c r="K27" s="87">
        <f t="shared" si="7"/>
        <v>0</v>
      </c>
      <c r="L27" s="88">
        <f t="shared" si="7"/>
        <v>153621</v>
      </c>
      <c r="M27" s="252">
        <f t="shared" si="7"/>
        <v>102998</v>
      </c>
      <c r="N27" s="88">
        <f t="shared" si="7"/>
        <v>50623</v>
      </c>
    </row>
    <row r="28" spans="1:14" ht="9.75" customHeight="1" x14ac:dyDescent="0.2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">
      <c r="A29" s="11" t="s">
        <v>34</v>
      </c>
      <c r="B29" s="9"/>
      <c r="C29" s="40">
        <v>-472260</v>
      </c>
      <c r="D29" s="40">
        <v>30553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-441707</v>
      </c>
      <c r="J29" s="40">
        <v>0</v>
      </c>
      <c r="K29" s="40">
        <v>0</v>
      </c>
      <c r="L29" s="64">
        <f t="shared" ref="L29:L36" si="9">SUM(I29:K29)</f>
        <v>-441707</v>
      </c>
      <c r="M29" s="101">
        <v>31500</v>
      </c>
      <c r="N29" s="70">
        <f t="shared" ref="N29:N36" si="10">L29-M29</f>
        <v>-473207</v>
      </c>
    </row>
    <row r="30" spans="1:14" x14ac:dyDescent="0.2">
      <c r="A30" s="11" t="s">
        <v>136</v>
      </c>
      <c r="B30" s="9"/>
      <c r="C30" s="65">
        <v>31055</v>
      </c>
      <c r="D30" s="65">
        <v>535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31590</v>
      </c>
      <c r="J30" s="40">
        <v>0</v>
      </c>
      <c r="K30" s="40">
        <v>0</v>
      </c>
      <c r="L30" s="64">
        <f t="shared" si="9"/>
        <v>31590</v>
      </c>
      <c r="M30" s="101">
        <v>19250</v>
      </c>
      <c r="N30" s="70">
        <f t="shared" si="10"/>
        <v>12340</v>
      </c>
    </row>
    <row r="31" spans="1:14" ht="13.2" x14ac:dyDescent="0.3">
      <c r="A31" s="11" t="s">
        <v>36</v>
      </c>
      <c r="B31" s="97"/>
      <c r="C31" s="65">
        <v>18061</v>
      </c>
      <c r="D31" s="65">
        <v>3170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21231</v>
      </c>
      <c r="J31" s="103">
        <v>0</v>
      </c>
      <c r="K31" s="103">
        <v>0</v>
      </c>
      <c r="L31" s="64">
        <f t="shared" si="9"/>
        <v>21231</v>
      </c>
      <c r="M31" s="101">
        <v>21000</v>
      </c>
      <c r="N31" s="70">
        <f t="shared" si="10"/>
        <v>231</v>
      </c>
    </row>
    <row r="32" spans="1:14" x14ac:dyDescent="0.2">
      <c r="A32" s="11" t="s">
        <v>37</v>
      </c>
      <c r="B32" s="9"/>
      <c r="C32" s="40">
        <v>28094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28094</v>
      </c>
      <c r="J32" s="40">
        <v>0</v>
      </c>
      <c r="K32" s="40">
        <v>0</v>
      </c>
      <c r="L32" s="64">
        <f t="shared" si="9"/>
        <v>28094</v>
      </c>
      <c r="M32" s="101">
        <v>10000</v>
      </c>
      <c r="N32" s="70">
        <f t="shared" si="10"/>
        <v>18094</v>
      </c>
    </row>
    <row r="33" spans="1:14" x14ac:dyDescent="0.2">
      <c r="A33" s="11" t="s">
        <v>38</v>
      </c>
      <c r="B33" s="9"/>
      <c r="C33" s="65">
        <v>133865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133865</v>
      </c>
      <c r="J33" s="65">
        <v>0</v>
      </c>
      <c r="K33" s="65">
        <v>0</v>
      </c>
      <c r="L33" s="64">
        <f t="shared" si="9"/>
        <v>133865</v>
      </c>
      <c r="M33" s="253">
        <v>31250</v>
      </c>
      <c r="N33" s="70">
        <f t="shared" si="10"/>
        <v>102615</v>
      </c>
    </row>
    <row r="34" spans="1:14" x14ac:dyDescent="0.2">
      <c r="A34" s="11" t="s">
        <v>39</v>
      </c>
      <c r="B34" s="9"/>
      <c r="C34" s="40">
        <v>0</v>
      </c>
      <c r="D34" s="40">
        <v>4101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4101</v>
      </c>
      <c r="J34" s="40">
        <v>0</v>
      </c>
      <c r="K34" s="40">
        <v>0</v>
      </c>
      <c r="L34" s="64">
        <f t="shared" si="9"/>
        <v>4101</v>
      </c>
      <c r="M34" s="101">
        <v>6250</v>
      </c>
      <c r="N34" s="70">
        <f t="shared" si="10"/>
        <v>-2149</v>
      </c>
    </row>
    <row r="35" spans="1:14" x14ac:dyDescent="0.2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2" x14ac:dyDescent="0.2">
      <c r="A38" s="25" t="s">
        <v>9</v>
      </c>
      <c r="B38" s="113"/>
      <c r="C38" s="104">
        <f t="shared" ref="C38:N38" si="11">SUM(C29:C37)</f>
        <v>-260185</v>
      </c>
      <c r="D38" s="104">
        <f t="shared" si="11"/>
        <v>38359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-221826</v>
      </c>
      <c r="J38" s="104">
        <f t="shared" si="11"/>
        <v>0</v>
      </c>
      <c r="K38" s="104">
        <f t="shared" si="11"/>
        <v>0</v>
      </c>
      <c r="L38" s="106">
        <f t="shared" si="11"/>
        <v>-221826</v>
      </c>
      <c r="M38" s="254">
        <f t="shared" si="11"/>
        <v>119250</v>
      </c>
      <c r="N38" s="106">
        <f t="shared" si="11"/>
        <v>-341076</v>
      </c>
    </row>
    <row r="39" spans="1:14" ht="8.25" customHeight="1" x14ac:dyDescent="0.2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">
      <c r="A40" s="11" t="s">
        <v>42</v>
      </c>
      <c r="B40" s="92"/>
      <c r="C40" s="31">
        <v>-49177</v>
      </c>
      <c r="D40" s="65">
        <v>3652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-45525</v>
      </c>
      <c r="J40" s="40">
        <v>0</v>
      </c>
      <c r="K40" s="40">
        <v>0</v>
      </c>
      <c r="L40" s="64">
        <f t="shared" ref="L40:L46" si="13">SUM(I40:K40)</f>
        <v>-45525</v>
      </c>
      <c r="M40" s="101">
        <v>12500</v>
      </c>
      <c r="N40" s="70">
        <f t="shared" ref="N40:N46" si="14">L40-M40</f>
        <v>-58025</v>
      </c>
    </row>
    <row r="41" spans="1:14" x14ac:dyDescent="0.2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27</v>
      </c>
      <c r="G41" s="40">
        <v>0</v>
      </c>
      <c r="H41" s="40">
        <v>-1130</v>
      </c>
      <c r="I41" s="98">
        <f t="shared" si="12"/>
        <v>-1103</v>
      </c>
      <c r="J41" s="40">
        <v>0</v>
      </c>
      <c r="K41" s="40">
        <v>0</v>
      </c>
      <c r="L41" s="64">
        <f t="shared" si="13"/>
        <v>-1103</v>
      </c>
      <c r="M41" s="101">
        <v>5000</v>
      </c>
      <c r="N41" s="70">
        <f t="shared" si="14"/>
        <v>-6103</v>
      </c>
    </row>
    <row r="42" spans="1:14" s="66" customFormat="1" ht="13.2" x14ac:dyDescent="0.3">
      <c r="A42" s="11" t="s">
        <v>65</v>
      </c>
      <c r="B42" s="91"/>
      <c r="C42" s="31">
        <v>-5586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-3323</v>
      </c>
      <c r="J42" s="103">
        <v>0</v>
      </c>
      <c r="K42" s="103">
        <v>0</v>
      </c>
      <c r="L42" s="64">
        <f t="shared" si="13"/>
        <v>-3323</v>
      </c>
      <c r="M42" s="101">
        <v>38750</v>
      </c>
      <c r="N42" s="70">
        <f t="shared" si="14"/>
        <v>-42073</v>
      </c>
    </row>
    <row r="43" spans="1:14" x14ac:dyDescent="0.2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2" x14ac:dyDescent="0.2">
      <c r="A47" s="25" t="s">
        <v>10</v>
      </c>
      <c r="B47" s="112"/>
      <c r="C47" s="104">
        <f t="shared" ref="C47:L47" si="15">SUM(C40:C46)</f>
        <v>-54763</v>
      </c>
      <c r="D47" s="104">
        <f t="shared" si="15"/>
        <v>3652</v>
      </c>
      <c r="E47" s="104">
        <f t="shared" si="15"/>
        <v>2263</v>
      </c>
      <c r="F47" s="104">
        <f t="shared" si="15"/>
        <v>27</v>
      </c>
      <c r="G47" s="104">
        <f t="shared" si="15"/>
        <v>0</v>
      </c>
      <c r="H47" s="104">
        <f t="shared" si="15"/>
        <v>-1130</v>
      </c>
      <c r="I47" s="105">
        <f t="shared" si="15"/>
        <v>-49951</v>
      </c>
      <c r="J47" s="104">
        <f t="shared" si="15"/>
        <v>0</v>
      </c>
      <c r="K47" s="104">
        <f t="shared" si="15"/>
        <v>0</v>
      </c>
      <c r="L47" s="106">
        <f t="shared" si="15"/>
        <v>-49951</v>
      </c>
      <c r="M47" s="254">
        <f>SUM(M40:M45)</f>
        <v>71250</v>
      </c>
      <c r="N47" s="106">
        <f>SUM(N40:N46)</f>
        <v>-121201</v>
      </c>
    </row>
    <row r="48" spans="1:14" ht="7.5" customHeight="1" x14ac:dyDescent="0.2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-347</v>
      </c>
      <c r="H49" s="40">
        <v>0</v>
      </c>
      <c r="I49" s="98">
        <f t="shared" ref="I49:I69" si="16">SUM(C49:H49)</f>
        <v>-347</v>
      </c>
      <c r="J49" s="40">
        <v>0</v>
      </c>
      <c r="K49" s="40">
        <v>0</v>
      </c>
      <c r="L49" s="64">
        <f t="shared" ref="L49:L69" si="17">SUM(I49:K49)</f>
        <v>-347</v>
      </c>
      <c r="M49" s="101">
        <v>0</v>
      </c>
      <c r="N49" s="70">
        <f t="shared" ref="N49:N69" si="18">L49-M49</f>
        <v>-347</v>
      </c>
    </row>
    <row r="50" spans="1:15" x14ac:dyDescent="0.2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623</v>
      </c>
      <c r="H50" s="40">
        <v>2250</v>
      </c>
      <c r="I50" s="98">
        <f t="shared" si="16"/>
        <v>2873</v>
      </c>
      <c r="J50" s="40">
        <v>0</v>
      </c>
      <c r="K50" s="40">
        <v>0</v>
      </c>
      <c r="L50" s="64">
        <f t="shared" si="17"/>
        <v>2873</v>
      </c>
      <c r="M50" s="101">
        <v>4334</v>
      </c>
      <c r="N50" s="70">
        <f t="shared" si="18"/>
        <v>-1461</v>
      </c>
    </row>
    <row r="51" spans="1:15" ht="13.2" x14ac:dyDescent="0.3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881</v>
      </c>
      <c r="G53" s="40">
        <v>0</v>
      </c>
      <c r="H53" s="40">
        <v>0</v>
      </c>
      <c r="I53" s="98">
        <f t="shared" si="16"/>
        <v>881</v>
      </c>
      <c r="J53" s="41">
        <v>0</v>
      </c>
      <c r="K53" s="41">
        <v>0</v>
      </c>
      <c r="L53" s="64">
        <f t="shared" si="17"/>
        <v>881</v>
      </c>
      <c r="M53" s="255">
        <v>1000</v>
      </c>
      <c r="N53" s="70">
        <f t="shared" si="18"/>
        <v>-119</v>
      </c>
    </row>
    <row r="54" spans="1:15" x14ac:dyDescent="0.2">
      <c r="A54" s="11" t="s">
        <v>106</v>
      </c>
      <c r="B54" s="16"/>
      <c r="C54" s="327">
        <v>-50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-50</v>
      </c>
      <c r="J54" s="41">
        <v>0</v>
      </c>
      <c r="K54" s="41">
        <v>0</v>
      </c>
      <c r="L54" s="64">
        <f t="shared" si="17"/>
        <v>-50</v>
      </c>
      <c r="M54" s="255">
        <v>500</v>
      </c>
      <c r="N54" s="70">
        <f t="shared" si="18"/>
        <v>-550</v>
      </c>
      <c r="O54" s="118"/>
    </row>
    <row r="55" spans="1:15" x14ac:dyDescent="0.2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">
      <c r="A56" s="11" t="s">
        <v>68</v>
      </c>
      <c r="B56" s="16"/>
      <c r="C56" s="327">
        <v>0</v>
      </c>
      <c r="D56" s="65">
        <v>0</v>
      </c>
      <c r="E56" s="65">
        <v>566</v>
      </c>
      <c r="F56" s="41">
        <v>119</v>
      </c>
      <c r="G56" s="40">
        <v>8332</v>
      </c>
      <c r="H56" s="40">
        <v>0</v>
      </c>
      <c r="I56" s="98">
        <f t="shared" si="16"/>
        <v>9017</v>
      </c>
      <c r="J56" s="41">
        <v>0</v>
      </c>
      <c r="K56" s="41">
        <v>0</v>
      </c>
      <c r="L56" s="64">
        <f t="shared" si="17"/>
        <v>9017</v>
      </c>
      <c r="M56" s="255">
        <v>9445</v>
      </c>
      <c r="N56" s="70">
        <f t="shared" si="18"/>
        <v>-428</v>
      </c>
      <c r="O56" s="44"/>
    </row>
    <row r="57" spans="1:15" x14ac:dyDescent="0.2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0</v>
      </c>
      <c r="G59" s="40">
        <v>0</v>
      </c>
      <c r="H59" s="40">
        <v>0</v>
      </c>
      <c r="I59" s="98">
        <f t="shared" si="16"/>
        <v>0</v>
      </c>
      <c r="J59" s="117">
        <v>0</v>
      </c>
      <c r="K59" s="117">
        <v>0</v>
      </c>
      <c r="L59" s="64">
        <f t="shared" si="17"/>
        <v>0</v>
      </c>
      <c r="M59" s="256">
        <v>20000</v>
      </c>
      <c r="N59" s="70">
        <f t="shared" si="18"/>
        <v>-20000</v>
      </c>
      <c r="O59" s="44"/>
    </row>
    <row r="60" spans="1:15" x14ac:dyDescent="0.2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1679</v>
      </c>
      <c r="G60" s="40">
        <v>-4</v>
      </c>
      <c r="H60" s="40">
        <v>0</v>
      </c>
      <c r="I60" s="98">
        <f t="shared" si="16"/>
        <v>1675</v>
      </c>
      <c r="J60" s="117">
        <v>0</v>
      </c>
      <c r="K60" s="117">
        <v>0</v>
      </c>
      <c r="L60" s="64">
        <f t="shared" si="17"/>
        <v>1675</v>
      </c>
      <c r="M60" s="256">
        <v>15781</v>
      </c>
      <c r="N60" s="70">
        <f t="shared" si="18"/>
        <v>-14106</v>
      </c>
    </row>
    <row r="61" spans="1:15" x14ac:dyDescent="0.2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v>3074</v>
      </c>
      <c r="G61" s="40">
        <v>0</v>
      </c>
      <c r="H61" s="40">
        <v>0</v>
      </c>
      <c r="I61" s="98">
        <f t="shared" si="16"/>
        <v>3467</v>
      </c>
      <c r="J61" s="117">
        <v>0</v>
      </c>
      <c r="K61" s="117">
        <v>0</v>
      </c>
      <c r="L61" s="64">
        <f t="shared" si="17"/>
        <v>3467</v>
      </c>
      <c r="M61" s="256">
        <v>7150</v>
      </c>
      <c r="N61" s="70">
        <f t="shared" si="18"/>
        <v>-3683</v>
      </c>
    </row>
    <row r="62" spans="1:15" x14ac:dyDescent="0.2">
      <c r="A62" s="11" t="s">
        <v>49</v>
      </c>
      <c r="B62" s="16"/>
      <c r="C62" s="327">
        <v>0</v>
      </c>
      <c r="D62" s="65">
        <v>0</v>
      </c>
      <c r="E62" s="65">
        <v>0</v>
      </c>
      <c r="F62" s="117">
        <v>461</v>
      </c>
      <c r="G62" s="117">
        <v>2692</v>
      </c>
      <c r="H62" s="40">
        <v>0</v>
      </c>
      <c r="I62" s="98">
        <f t="shared" si="16"/>
        <v>3153</v>
      </c>
      <c r="J62" s="117">
        <v>0</v>
      </c>
      <c r="K62" s="117">
        <v>0</v>
      </c>
      <c r="L62" s="64">
        <f t="shared" si="17"/>
        <v>3153</v>
      </c>
      <c r="M62" s="256">
        <v>5000</v>
      </c>
      <c r="N62" s="70">
        <f t="shared" si="18"/>
        <v>-1847</v>
      </c>
    </row>
    <row r="63" spans="1:15" x14ac:dyDescent="0.2">
      <c r="A63" s="11" t="s">
        <v>134</v>
      </c>
      <c r="B63" s="16"/>
      <c r="C63" s="327">
        <v>0</v>
      </c>
      <c r="D63" s="65">
        <v>0</v>
      </c>
      <c r="E63" s="65">
        <v>0</v>
      </c>
      <c r="F63" s="117">
        <v>8635</v>
      </c>
      <c r="G63" s="117">
        <v>1</v>
      </c>
      <c r="H63" s="40">
        <v>1023</v>
      </c>
      <c r="I63" s="98">
        <f t="shared" si="16"/>
        <v>9659</v>
      </c>
      <c r="J63" s="117">
        <v>0</v>
      </c>
      <c r="K63" s="117">
        <v>0</v>
      </c>
      <c r="L63" s="64">
        <f t="shared" si="17"/>
        <v>9659</v>
      </c>
      <c r="M63" s="256">
        <v>-7900</v>
      </c>
      <c r="N63" s="70">
        <f t="shared" si="18"/>
        <v>17559</v>
      </c>
    </row>
    <row r="64" spans="1:15" x14ac:dyDescent="0.2">
      <c r="A64" s="11" t="s">
        <v>71</v>
      </c>
      <c r="B64" s="16"/>
      <c r="C64" s="327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f>-4993-579</f>
        <v>-5572</v>
      </c>
      <c r="I64" s="98">
        <f t="shared" si="16"/>
        <v>429628</v>
      </c>
      <c r="J64" s="117">
        <v>0</v>
      </c>
      <c r="K64" s="117">
        <v>0</v>
      </c>
      <c r="L64" s="64">
        <f t="shared" si="17"/>
        <v>429628</v>
      </c>
      <c r="M64" s="256">
        <v>-12065</v>
      </c>
      <c r="N64" s="70">
        <f t="shared" si="18"/>
        <v>441693</v>
      </c>
    </row>
    <row r="65" spans="1:15" x14ac:dyDescent="0.2">
      <c r="A65" s="11" t="s">
        <v>73</v>
      </c>
      <c r="B65" s="16"/>
      <c r="C65" s="327">
        <v>9672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9672</v>
      </c>
      <c r="J65" s="117">
        <v>0</v>
      </c>
      <c r="K65" s="117">
        <v>0</v>
      </c>
      <c r="L65" s="64">
        <f t="shared" si="17"/>
        <v>9672</v>
      </c>
      <c r="M65" s="256">
        <v>0</v>
      </c>
      <c r="N65" s="70">
        <f t="shared" si="18"/>
        <v>9672</v>
      </c>
    </row>
    <row r="66" spans="1:15" x14ac:dyDescent="0.2">
      <c r="A66" s="29" t="s">
        <v>129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-6600</v>
      </c>
      <c r="I66" s="98">
        <f t="shared" si="16"/>
        <v>-6600</v>
      </c>
      <c r="J66" s="117">
        <v>0</v>
      </c>
      <c r="K66" s="117">
        <v>0</v>
      </c>
      <c r="L66" s="64">
        <f t="shared" si="17"/>
        <v>-6600</v>
      </c>
      <c r="M66" s="256">
        <f>60852+2950</f>
        <v>63802</v>
      </c>
      <c r="N66" s="70">
        <f t="shared" si="18"/>
        <v>-70402</v>
      </c>
    </row>
    <row r="67" spans="1:15" x14ac:dyDescent="0.2">
      <c r="A67" s="29" t="s">
        <v>125</v>
      </c>
      <c r="B67" s="16"/>
      <c r="C67" s="327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">
      <c r="A68" s="29" t="s">
        <v>120</v>
      </c>
      <c r="B68" s="16"/>
      <c r="C68" s="291">
        <v>22255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22255</v>
      </c>
      <c r="J68" s="117">
        <v>0</v>
      </c>
      <c r="K68" s="117">
        <v>0</v>
      </c>
      <c r="L68" s="64">
        <f t="shared" si="17"/>
        <v>22255</v>
      </c>
      <c r="M68" s="256">
        <v>32910</v>
      </c>
      <c r="N68" s="70">
        <f t="shared" si="18"/>
        <v>-10655</v>
      </c>
      <c r="O68" s="117"/>
    </row>
    <row r="69" spans="1:15" x14ac:dyDescent="0.2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">
      <c r="A71" s="180" t="s">
        <v>126</v>
      </c>
      <c r="B71" s="112"/>
      <c r="C71" s="120">
        <f t="shared" ref="C71:N71" si="19">(SUM(C49:C69))+C47+C38+C27+C19</f>
        <v>-76067</v>
      </c>
      <c r="D71" s="120">
        <f t="shared" si="19"/>
        <v>58411</v>
      </c>
      <c r="E71" s="120">
        <f t="shared" si="19"/>
        <v>497457</v>
      </c>
      <c r="F71" s="120">
        <f t="shared" si="19"/>
        <v>14821</v>
      </c>
      <c r="G71" s="120">
        <f t="shared" si="19"/>
        <v>-1526</v>
      </c>
      <c r="H71" s="120">
        <f t="shared" si="19"/>
        <v>-9054</v>
      </c>
      <c r="I71" s="122">
        <f t="shared" si="19"/>
        <v>484042</v>
      </c>
      <c r="J71" s="120">
        <f t="shared" si="19"/>
        <v>0</v>
      </c>
      <c r="K71" s="120">
        <f t="shared" si="19"/>
        <v>0</v>
      </c>
      <c r="L71" s="120">
        <f t="shared" si="19"/>
        <v>484042</v>
      </c>
      <c r="M71" s="120">
        <f t="shared" si="19"/>
        <v>522545</v>
      </c>
      <c r="N71" s="122">
        <f t="shared" si="19"/>
        <v>-38503</v>
      </c>
    </row>
    <row r="72" spans="1:15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117"/>
      <c r="K72" s="117"/>
      <c r="L72" s="117"/>
      <c r="M72" s="117"/>
      <c r="N72" s="117"/>
    </row>
    <row r="73" spans="1:15" x14ac:dyDescent="0.2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3.2" x14ac:dyDescent="0.25"/>
  <cols>
    <col min="1" max="1" width="26.88671875" customWidth="1"/>
    <col min="2" max="2" width="2.44140625" customWidth="1"/>
    <col min="6" max="6" width="2.33203125" customWidth="1"/>
    <col min="7" max="7" width="17.6640625" customWidth="1"/>
    <col min="8" max="8" width="15.109375" customWidth="1"/>
    <col min="9" max="10" width="14.109375" customWidth="1"/>
  </cols>
  <sheetData>
    <row r="1" spans="1:10" ht="15.6" x14ac:dyDescent="0.3">
      <c r="A1" s="368" t="s">
        <v>75</v>
      </c>
      <c r="B1" s="368"/>
      <c r="C1" s="368"/>
      <c r="D1" s="368"/>
      <c r="E1" s="368"/>
      <c r="F1" s="368"/>
      <c r="G1" s="368"/>
      <c r="H1" s="368"/>
      <c r="I1" s="368"/>
      <c r="J1" s="368"/>
    </row>
    <row r="2" spans="1:10" ht="13.8" x14ac:dyDescent="0.25">
      <c r="A2" s="369" t="s">
        <v>110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x14ac:dyDescent="0.25">
      <c r="A3" s="370" t="str">
        <f>GrossMargin!G3</f>
        <v>Results based on activity through May 11, 2001</v>
      </c>
      <c r="B3" s="370"/>
      <c r="C3" s="370"/>
      <c r="D3" s="370"/>
      <c r="E3" s="370"/>
      <c r="F3" s="370"/>
      <c r="G3" s="370"/>
      <c r="H3" s="370"/>
      <c r="I3" s="370"/>
      <c r="J3" s="370"/>
    </row>
    <row r="5" spans="1:10" x14ac:dyDescent="0.25">
      <c r="A5" s="125"/>
      <c r="C5" s="371" t="s">
        <v>96</v>
      </c>
      <c r="D5" s="372"/>
      <c r="E5" s="373"/>
      <c r="F5" s="129"/>
      <c r="G5" s="130"/>
      <c r="H5" s="131"/>
      <c r="I5" s="131"/>
      <c r="J5" s="132"/>
    </row>
    <row r="6" spans="1:10" x14ac:dyDescent="0.25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5" t="s">
        <v>97</v>
      </c>
      <c r="H6" s="366"/>
      <c r="I6" s="366"/>
      <c r="J6" s="367"/>
    </row>
    <row r="7" spans="1:10" ht="6" customHeight="1" x14ac:dyDescent="0.25">
      <c r="A7" s="138"/>
      <c r="C7" s="139"/>
      <c r="D7" s="140"/>
      <c r="E7" s="141"/>
      <c r="G7" s="142"/>
      <c r="H7" s="143"/>
      <c r="I7" s="143"/>
      <c r="J7" s="134"/>
    </row>
    <row r="8" spans="1:10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x14ac:dyDescent="0.25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x14ac:dyDescent="0.25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x14ac:dyDescent="0.25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x14ac:dyDescent="0.25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x14ac:dyDescent="0.25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x14ac:dyDescent="0.25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x14ac:dyDescent="0.25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x14ac:dyDescent="0.25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4"/>
  <sheetViews>
    <sheetView workbookViewId="0">
      <selection sqref="A1:N1"/>
    </sheetView>
  </sheetViews>
  <sheetFormatPr defaultRowHeight="13.2" x14ac:dyDescent="0.25"/>
  <cols>
    <col min="1" max="1" width="28.6640625" style="175" customWidth="1"/>
    <col min="2" max="2" width="2.44140625" customWidth="1"/>
    <col min="3" max="4" width="12.44140625" customWidth="1"/>
    <col min="5" max="5" width="10.109375" customWidth="1"/>
    <col min="6" max="6" width="2.33203125" customWidth="1"/>
    <col min="7" max="7" width="9.33203125" customWidth="1"/>
    <col min="8" max="8" width="10" customWidth="1"/>
    <col min="9" max="9" width="10.109375" customWidth="1"/>
    <col min="10" max="10" width="2.33203125" customWidth="1"/>
    <col min="11" max="11" width="17.6640625" customWidth="1"/>
    <col min="12" max="12" width="15.109375" customWidth="1"/>
    <col min="13" max="14" width="14.109375" customWidth="1"/>
    <col min="15" max="15" width="0.6640625" customWidth="1"/>
  </cols>
  <sheetData>
    <row r="1" spans="1:14" ht="15.6" x14ac:dyDescent="0.3">
      <c r="A1" s="374" t="s">
        <v>75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</row>
    <row r="2" spans="1:14" ht="13.8" x14ac:dyDescent="0.25">
      <c r="A2" s="375" t="s">
        <v>144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</row>
    <row r="3" spans="1:14" ht="13.8" x14ac:dyDescent="0.3">
      <c r="A3" s="363" t="str">
        <f>'QTD Mgmt Summary'!Q3</f>
        <v>Results based on activity through May 11, 2001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</row>
    <row r="4" spans="1:14" x14ac:dyDescent="0.25">
      <c r="J4" s="174"/>
    </row>
    <row r="5" spans="1:14" x14ac:dyDescent="0.25">
      <c r="A5" s="176"/>
      <c r="C5" s="371" t="s">
        <v>96</v>
      </c>
      <c r="D5" s="372"/>
      <c r="E5" s="373"/>
      <c r="F5" s="129"/>
      <c r="G5" s="371" t="s">
        <v>114</v>
      </c>
      <c r="H5" s="372"/>
      <c r="I5" s="373"/>
      <c r="J5" s="129"/>
      <c r="K5" s="130"/>
      <c r="L5" s="131"/>
      <c r="M5" s="131"/>
      <c r="N5" s="132"/>
    </row>
    <row r="6" spans="1:14" x14ac:dyDescent="0.25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5" t="s">
        <v>97</v>
      </c>
      <c r="L6" s="366"/>
      <c r="M6" s="366"/>
      <c r="N6" s="367"/>
    </row>
    <row r="7" spans="1:14" ht="6" customHeight="1" x14ac:dyDescent="0.25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x14ac:dyDescent="0.25">
      <c r="A9" s="179" t="str">
        <f>'QTD Mgmt Summary'!A11</f>
        <v xml:space="preserve">    Southeast (Herndon/Croll)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x14ac:dyDescent="0.25">
      <c r="A17" s="179" t="str">
        <f>'QTD Mgmt Summary'!A19</f>
        <v xml:space="preserve">    Structuring (Aucoin)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x14ac:dyDescent="0.25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x14ac:dyDescent="0.25">
      <c r="A21" s="179" t="str">
        <f>'QTD Mgmt Summary'!A23</f>
        <v xml:space="preserve">    Origination (Thomas/Mcdonald)</v>
      </c>
      <c r="C21" s="144">
        <f t="shared" ref="C21:C26" si="2">D21</f>
        <v>1422</v>
      </c>
      <c r="D21" s="145">
        <v>1422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x14ac:dyDescent="0.25">
      <c r="A22" s="179" t="str">
        <f>'QTD Mgmt Summary'!A24</f>
        <v xml:space="preserve">    Executive (Calger)</v>
      </c>
      <c r="C22" s="144">
        <f t="shared" si="2"/>
        <v>567</v>
      </c>
      <c r="D22" s="145">
        <v>567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x14ac:dyDescent="0.25">
      <c r="A26" s="179" t="str">
        <f>'QTD Mgmt Summary'!A28</f>
        <v xml:space="preserve">    Fundamentals (Heisenreiker)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x14ac:dyDescent="0.25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x14ac:dyDescent="0.25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x14ac:dyDescent="0.25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x14ac:dyDescent="0.25">
      <c r="A48" s="179" t="s">
        <v>74</v>
      </c>
      <c r="C48" s="144">
        <f>D48</f>
        <v>221</v>
      </c>
      <c r="D48" s="145">
        <v>221</v>
      </c>
      <c r="E48" s="167">
        <f t="shared" ref="E48:E67" si="9">C48-D48</f>
        <v>0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x14ac:dyDescent="0.25">
      <c r="A49" s="179" t="s">
        <v>102</v>
      </c>
      <c r="C49" s="144">
        <f t="shared" ref="C49:C67" si="11">D49</f>
        <v>427</v>
      </c>
      <c r="D49" s="145">
        <v>427</v>
      </c>
      <c r="E49" s="167">
        <f t="shared" si="9"/>
        <v>0</v>
      </c>
      <c r="G49" s="290">
        <v>796</v>
      </c>
      <c r="H49" s="145">
        <v>340</v>
      </c>
      <c r="I49" s="167">
        <f t="shared" si="10"/>
        <v>456</v>
      </c>
      <c r="K49" s="139"/>
      <c r="L49" s="140"/>
      <c r="M49" s="140"/>
      <c r="N49" s="141"/>
    </row>
    <row r="50" spans="1:14" x14ac:dyDescent="0.25">
      <c r="A50" s="179" t="s">
        <v>103</v>
      </c>
      <c r="C50" s="144">
        <f t="shared" si="11"/>
        <v>423</v>
      </c>
      <c r="D50" s="145">
        <v>423</v>
      </c>
      <c r="E50" s="167">
        <f t="shared" si="9"/>
        <v>0</v>
      </c>
      <c r="G50" s="290">
        <v>1064</v>
      </c>
      <c r="H50" s="145">
        <v>1061</v>
      </c>
      <c r="I50" s="167">
        <f t="shared" si="10"/>
        <v>3</v>
      </c>
      <c r="K50" s="139"/>
      <c r="L50" s="140"/>
      <c r="M50" s="140"/>
      <c r="N50" s="141"/>
    </row>
    <row r="51" spans="1:14" x14ac:dyDescent="0.25">
      <c r="A51" s="179" t="s">
        <v>104</v>
      </c>
      <c r="C51" s="144">
        <f t="shared" si="11"/>
        <v>265</v>
      </c>
      <c r="D51" s="145">
        <v>265</v>
      </c>
      <c r="E51" s="167">
        <f t="shared" si="9"/>
        <v>0</v>
      </c>
      <c r="G51" s="290">
        <f t="shared" ref="G51:G67" si="12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x14ac:dyDescent="0.25">
      <c r="A52" s="179" t="s">
        <v>105</v>
      </c>
      <c r="C52" s="144">
        <f t="shared" si="11"/>
        <v>186</v>
      </c>
      <c r="D52" s="145">
        <v>186</v>
      </c>
      <c r="E52" s="167">
        <f t="shared" si="9"/>
        <v>0</v>
      </c>
      <c r="G52" s="290">
        <f t="shared" si="12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x14ac:dyDescent="0.25">
      <c r="A53" s="179" t="s">
        <v>106</v>
      </c>
      <c r="C53" s="144">
        <f t="shared" si="11"/>
        <v>144</v>
      </c>
      <c r="D53" s="145">
        <v>144</v>
      </c>
      <c r="E53" s="167">
        <f t="shared" si="9"/>
        <v>0</v>
      </c>
      <c r="G53" s="290">
        <f t="shared" si="12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x14ac:dyDescent="0.25">
      <c r="A54" s="179" t="s">
        <v>69</v>
      </c>
      <c r="C54" s="144">
        <f t="shared" si="11"/>
        <v>0</v>
      </c>
      <c r="D54" s="145">
        <v>0</v>
      </c>
      <c r="E54" s="167">
        <f t="shared" si="9"/>
        <v>0</v>
      </c>
      <c r="G54" s="290">
        <f t="shared" si="12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x14ac:dyDescent="0.25">
      <c r="A55" s="179" t="s">
        <v>68</v>
      </c>
      <c r="C55" s="144">
        <v>4100</v>
      </c>
      <c r="D55" s="145">
        <v>4103</v>
      </c>
      <c r="E55" s="167">
        <f t="shared" si="9"/>
        <v>-3</v>
      </c>
      <c r="G55" s="290">
        <v>65623</v>
      </c>
      <c r="H55" s="145">
        <v>59125</v>
      </c>
      <c r="I55" s="167">
        <f t="shared" si="10"/>
        <v>6498</v>
      </c>
      <c r="K55" s="139" t="s">
        <v>146</v>
      </c>
      <c r="L55" s="140"/>
      <c r="M55" s="140"/>
      <c r="N55" s="141"/>
    </row>
    <row r="56" spans="1:14" x14ac:dyDescent="0.25">
      <c r="A56" s="179" t="s">
        <v>67</v>
      </c>
      <c r="C56" s="144">
        <f t="shared" si="11"/>
        <v>294</v>
      </c>
      <c r="D56" s="145">
        <v>294</v>
      </c>
      <c r="E56" s="167">
        <f t="shared" si="9"/>
        <v>0</v>
      </c>
      <c r="G56" s="290">
        <f t="shared" si="12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x14ac:dyDescent="0.25">
      <c r="A57" s="179" t="s">
        <v>46</v>
      </c>
      <c r="C57" s="144">
        <f t="shared" si="11"/>
        <v>1416</v>
      </c>
      <c r="D57" s="145">
        <v>1416</v>
      </c>
      <c r="E57" s="167">
        <f t="shared" si="9"/>
        <v>0</v>
      </c>
      <c r="G57" s="290">
        <f t="shared" si="12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2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2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2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x14ac:dyDescent="0.25">
      <c r="A61" s="179" t="s">
        <v>49</v>
      </c>
      <c r="C61" s="144">
        <v>810</v>
      </c>
      <c r="D61" s="145">
        <v>720</v>
      </c>
      <c r="E61" s="167">
        <f t="shared" si="9"/>
        <v>90</v>
      </c>
      <c r="G61" s="290">
        <f t="shared" si="12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x14ac:dyDescent="0.25">
      <c r="A62" s="11" t="s">
        <v>134</v>
      </c>
      <c r="C62" s="144">
        <f>146+1482</f>
        <v>1628</v>
      </c>
      <c r="D62" s="145">
        <v>1637</v>
      </c>
      <c r="E62" s="167">
        <f t="shared" si="9"/>
        <v>-9</v>
      </c>
      <c r="G62" s="290">
        <f t="shared" si="12"/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x14ac:dyDescent="0.25">
      <c r="A63" s="179" t="s">
        <v>71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x14ac:dyDescent="0.25">
      <c r="A64" s="179" t="s">
        <v>73</v>
      </c>
      <c r="C64" s="144">
        <f t="shared" si="11"/>
        <v>0</v>
      </c>
      <c r="D64" s="145">
        <v>0</v>
      </c>
      <c r="E64" s="167">
        <f t="shared" si="9"/>
        <v>0</v>
      </c>
      <c r="G64" s="290">
        <f t="shared" si="12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x14ac:dyDescent="0.25">
      <c r="A65" s="181" t="s">
        <v>129</v>
      </c>
      <c r="C65" s="144">
        <f t="shared" si="11"/>
        <v>1373</v>
      </c>
      <c r="D65" s="145">
        <v>1373</v>
      </c>
      <c r="E65" s="167">
        <f t="shared" si="9"/>
        <v>0</v>
      </c>
      <c r="G65" s="290">
        <f t="shared" si="12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x14ac:dyDescent="0.25">
      <c r="A66" s="181" t="s">
        <v>125</v>
      </c>
      <c r="C66" s="144">
        <f t="shared" si="11"/>
        <v>0</v>
      </c>
      <c r="D66" s="145">
        <v>0</v>
      </c>
      <c r="E66" s="167">
        <f t="shared" si="9"/>
        <v>0</v>
      </c>
      <c r="G66" s="290">
        <f t="shared" si="12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x14ac:dyDescent="0.25">
      <c r="A67" s="181" t="s">
        <v>11</v>
      </c>
      <c r="C67" s="144">
        <f t="shared" si="11"/>
        <v>0</v>
      </c>
      <c r="D67" s="145">
        <f>0/4</f>
        <v>0</v>
      </c>
      <c r="E67" s="167">
        <f t="shared" si="9"/>
        <v>0</v>
      </c>
      <c r="G67" s="290">
        <f t="shared" si="12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x14ac:dyDescent="0.25">
      <c r="A68" s="180" t="s">
        <v>126</v>
      </c>
      <c r="C68" s="161">
        <f>SUM(C48:C67)+C46+C38+C27+C19</f>
        <v>52738</v>
      </c>
      <c r="D68" s="162">
        <f>SUM(D48:D67)+D46+D38+D27+D19</f>
        <v>52735</v>
      </c>
      <c r="E68" s="168">
        <f>SUM(E48:E67)+E46+E38+E27+E19</f>
        <v>3</v>
      </c>
      <c r="G68" s="161">
        <f>SUM(G48:G67)+G46+G38+G27+G19</f>
        <v>67483</v>
      </c>
      <c r="H68" s="162">
        <f>SUM(H48:H67)+H46+H38+H27+H19</f>
        <v>60526</v>
      </c>
      <c r="I68" s="168">
        <f>SUM(I48:I67)+I46+I38+I27+I19</f>
        <v>6957</v>
      </c>
      <c r="K68" s="164"/>
      <c r="L68" s="165"/>
      <c r="M68" s="165"/>
      <c r="N68" s="166"/>
    </row>
    <row r="69" spans="1:14" s="284" customFormat="1" ht="9" customHeight="1" x14ac:dyDescent="0.25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x14ac:dyDescent="0.25">
      <c r="A70" s="181" t="s">
        <v>51</v>
      </c>
      <c r="C70" s="144">
        <f>D70</f>
        <v>2631</v>
      </c>
      <c r="D70" s="145">
        <v>2631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x14ac:dyDescent="0.25">
      <c r="A71" s="181" t="s">
        <v>52</v>
      </c>
      <c r="C71" s="144">
        <f t="shared" ref="C71:C81" si="13">D71</f>
        <v>499</v>
      </c>
      <c r="D71" s="145">
        <v>499</v>
      </c>
      <c r="E71" s="167">
        <f t="shared" ref="E71:E82" si="14">C71-D71</f>
        <v>0</v>
      </c>
      <c r="G71" s="144">
        <v>0</v>
      </c>
      <c r="H71" s="145">
        <v>0</v>
      </c>
      <c r="I71" s="167">
        <f t="shared" ref="I71:I82" si="15">G71-H71</f>
        <v>0</v>
      </c>
      <c r="K71" s="139"/>
      <c r="L71" s="140"/>
      <c r="M71" s="140"/>
      <c r="N71" s="141"/>
    </row>
    <row r="72" spans="1:14" x14ac:dyDescent="0.25">
      <c r="A72" s="181" t="s">
        <v>107</v>
      </c>
      <c r="C72" s="144">
        <f t="shared" si="13"/>
        <v>1418</v>
      </c>
      <c r="D72" s="145">
        <v>1418</v>
      </c>
      <c r="E72" s="167">
        <f t="shared" si="14"/>
        <v>0</v>
      </c>
      <c r="G72" s="144">
        <v>0</v>
      </c>
      <c r="H72" s="145">
        <v>0</v>
      </c>
      <c r="I72" s="167">
        <f t="shared" si="15"/>
        <v>0</v>
      </c>
      <c r="K72" s="139"/>
      <c r="L72" s="140"/>
      <c r="M72" s="140"/>
      <c r="N72" s="141"/>
    </row>
    <row r="73" spans="1:14" x14ac:dyDescent="0.25">
      <c r="A73" s="181" t="s">
        <v>53</v>
      </c>
      <c r="C73" s="144">
        <f t="shared" si="13"/>
        <v>10143</v>
      </c>
      <c r="D73" s="145">
        <v>10143</v>
      </c>
      <c r="E73" s="167">
        <f t="shared" si="14"/>
        <v>0</v>
      </c>
      <c r="G73" s="144">
        <v>0</v>
      </c>
      <c r="H73" s="145">
        <v>0</v>
      </c>
      <c r="I73" s="167">
        <f t="shared" si="15"/>
        <v>0</v>
      </c>
      <c r="K73" s="139"/>
      <c r="L73" s="140"/>
      <c r="M73" s="140"/>
      <c r="N73" s="141"/>
    </row>
    <row r="74" spans="1:14" x14ac:dyDescent="0.25">
      <c r="A74" s="181" t="s">
        <v>54</v>
      </c>
      <c r="C74" s="144">
        <f t="shared" si="13"/>
        <v>1204</v>
      </c>
      <c r="D74" s="145">
        <v>1204</v>
      </c>
      <c r="E74" s="167">
        <f t="shared" si="14"/>
        <v>0</v>
      </c>
      <c r="G74" s="144">
        <v>0</v>
      </c>
      <c r="H74" s="145">
        <v>0</v>
      </c>
      <c r="I74" s="167">
        <f t="shared" si="15"/>
        <v>0</v>
      </c>
      <c r="K74" s="139"/>
      <c r="L74" s="140"/>
      <c r="M74" s="140"/>
      <c r="N74" s="141"/>
    </row>
    <row r="75" spans="1:14" x14ac:dyDescent="0.25">
      <c r="A75" s="181" t="s">
        <v>55</v>
      </c>
      <c r="C75" s="144">
        <f t="shared" si="13"/>
        <v>2251</v>
      </c>
      <c r="D75" s="145">
        <v>2251</v>
      </c>
      <c r="E75" s="167">
        <f t="shared" si="14"/>
        <v>0</v>
      </c>
      <c r="G75" s="144">
        <v>0</v>
      </c>
      <c r="H75" s="145">
        <v>0</v>
      </c>
      <c r="I75" s="167">
        <f t="shared" si="15"/>
        <v>0</v>
      </c>
      <c r="K75" s="139"/>
      <c r="L75" s="140"/>
      <c r="M75" s="140"/>
      <c r="N75" s="141"/>
    </row>
    <row r="76" spans="1:14" x14ac:dyDescent="0.25">
      <c r="A76" s="181" t="s">
        <v>56</v>
      </c>
      <c r="C76" s="144">
        <f t="shared" si="13"/>
        <v>318</v>
      </c>
      <c r="D76" s="145">
        <v>318</v>
      </c>
      <c r="E76" s="167">
        <f t="shared" si="14"/>
        <v>0</v>
      </c>
      <c r="G76" s="144">
        <v>0</v>
      </c>
      <c r="H76" s="145">
        <v>0</v>
      </c>
      <c r="I76" s="167">
        <f t="shared" si="15"/>
        <v>0</v>
      </c>
      <c r="K76" s="139"/>
      <c r="L76" s="140"/>
      <c r="M76" s="140"/>
      <c r="N76" s="141"/>
    </row>
    <row r="77" spans="1:14" x14ac:dyDescent="0.25">
      <c r="A77" s="181" t="s">
        <v>57</v>
      </c>
      <c r="C77" s="144">
        <f t="shared" si="13"/>
        <v>593</v>
      </c>
      <c r="D77" s="145">
        <v>593</v>
      </c>
      <c r="E77" s="167">
        <f t="shared" si="14"/>
        <v>0</v>
      </c>
      <c r="G77" s="144">
        <v>0</v>
      </c>
      <c r="H77" s="145">
        <v>0</v>
      </c>
      <c r="I77" s="167">
        <f t="shared" si="15"/>
        <v>0</v>
      </c>
      <c r="K77" s="139"/>
      <c r="L77" s="140"/>
      <c r="M77" s="140"/>
      <c r="N77" s="141"/>
    </row>
    <row r="78" spans="1:14" x14ac:dyDescent="0.25">
      <c r="A78" s="181" t="s">
        <v>59</v>
      </c>
      <c r="C78" s="144">
        <f t="shared" si="13"/>
        <v>539</v>
      </c>
      <c r="D78" s="145">
        <v>539</v>
      </c>
      <c r="E78" s="167">
        <f t="shared" si="14"/>
        <v>0</v>
      </c>
      <c r="G78" s="144">
        <v>0</v>
      </c>
      <c r="H78" s="145">
        <v>0</v>
      </c>
      <c r="I78" s="167">
        <f t="shared" si="15"/>
        <v>0</v>
      </c>
      <c r="K78" s="139"/>
      <c r="L78" s="140"/>
      <c r="M78" s="140"/>
      <c r="N78" s="141"/>
    </row>
    <row r="79" spans="1:14" x14ac:dyDescent="0.25">
      <c r="A79" s="181" t="s">
        <v>60</v>
      </c>
      <c r="C79" s="144">
        <f t="shared" si="13"/>
        <v>194</v>
      </c>
      <c r="D79" s="145">
        <v>194</v>
      </c>
      <c r="E79" s="167">
        <f t="shared" si="14"/>
        <v>0</v>
      </c>
      <c r="G79" s="144">
        <v>0</v>
      </c>
      <c r="H79" s="145">
        <v>0</v>
      </c>
      <c r="I79" s="167">
        <f t="shared" si="15"/>
        <v>0</v>
      </c>
      <c r="K79" s="139"/>
      <c r="L79" s="140"/>
      <c r="M79" s="140"/>
      <c r="N79" s="141"/>
    </row>
    <row r="80" spans="1:14" x14ac:dyDescent="0.25">
      <c r="A80" s="181" t="s">
        <v>61</v>
      </c>
      <c r="C80" s="144">
        <f t="shared" si="13"/>
        <v>682</v>
      </c>
      <c r="D80" s="145">
        <v>682</v>
      </c>
      <c r="E80" s="167">
        <f t="shared" si="14"/>
        <v>0</v>
      </c>
      <c r="G80" s="144">
        <v>0</v>
      </c>
      <c r="H80" s="145">
        <v>0</v>
      </c>
      <c r="I80" s="167">
        <f t="shared" si="15"/>
        <v>0</v>
      </c>
      <c r="K80" s="139"/>
      <c r="L80" s="140"/>
      <c r="M80" s="140"/>
      <c r="N80" s="141"/>
    </row>
    <row r="81" spans="1:16" x14ac:dyDescent="0.25">
      <c r="A81" s="181" t="s">
        <v>62</v>
      </c>
      <c r="C81" s="144">
        <f t="shared" si="13"/>
        <v>1419</v>
      </c>
      <c r="D81" s="145">
        <v>1419</v>
      </c>
      <c r="E81" s="167">
        <f t="shared" si="14"/>
        <v>0</v>
      </c>
      <c r="G81" s="144">
        <v>0</v>
      </c>
      <c r="H81" s="145">
        <v>0</v>
      </c>
      <c r="I81" s="167">
        <f t="shared" si="15"/>
        <v>0</v>
      </c>
      <c r="K81" s="139"/>
      <c r="L81" s="140"/>
      <c r="M81" s="140"/>
      <c r="N81" s="141"/>
    </row>
    <row r="82" spans="1:16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4"/>
        <v>5243</v>
      </c>
      <c r="G82" s="144">
        <v>0</v>
      </c>
      <c r="H82" s="145">
        <v>0</v>
      </c>
      <c r="I82" s="167">
        <f t="shared" si="15"/>
        <v>0</v>
      </c>
      <c r="K82" s="139" t="s">
        <v>148</v>
      </c>
      <c r="L82" s="140"/>
      <c r="M82" s="140"/>
      <c r="N82" s="141"/>
    </row>
    <row r="83" spans="1:16" x14ac:dyDescent="0.25">
      <c r="A83" s="181" t="s">
        <v>17</v>
      </c>
      <c r="C83" s="144">
        <f>D83+900+300</f>
        <v>47811</v>
      </c>
      <c r="D83" s="145">
        <f>51711-5100</f>
        <v>46611</v>
      </c>
      <c r="E83" s="167">
        <f>C83-D83</f>
        <v>1200</v>
      </c>
      <c r="G83" s="144">
        <v>0</v>
      </c>
      <c r="H83" s="145">
        <v>0</v>
      </c>
      <c r="I83" s="167">
        <f>G83-H83</f>
        <v>0</v>
      </c>
      <c r="K83" s="149" t="s">
        <v>158</v>
      </c>
      <c r="N83" s="150"/>
    </row>
    <row r="84" spans="1:16" s="160" customFormat="1" x14ac:dyDescent="0.25">
      <c r="A84" s="180" t="s">
        <v>13</v>
      </c>
      <c r="C84" s="161">
        <f>SUM(C70:C83)</f>
        <v>98020</v>
      </c>
      <c r="D84" s="162">
        <f>SUM(D70:D83)</f>
        <v>91577</v>
      </c>
      <c r="E84" s="168">
        <f>SUM(E70:E83)</f>
        <v>6443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x14ac:dyDescent="0.25">
      <c r="A87" s="182" t="s">
        <v>127</v>
      </c>
      <c r="C87" s="162">
        <f>C68+C84+C85+C86</f>
        <v>192595</v>
      </c>
      <c r="D87" s="162">
        <f>D68+D84+D85+D86</f>
        <v>185126</v>
      </c>
      <c r="E87" s="162">
        <f>E68+E84+E85+E86</f>
        <v>7469</v>
      </c>
      <c r="G87" s="162">
        <f>G68+G84+G85+G86</f>
        <v>67483</v>
      </c>
      <c r="H87" s="162">
        <f>H68+H84+H85+H86</f>
        <v>60526</v>
      </c>
      <c r="I87" s="162">
        <f>I68+I84+I85+I86</f>
        <v>6957</v>
      </c>
      <c r="K87" s="164"/>
      <c r="L87" s="165"/>
      <c r="M87" s="165"/>
      <c r="N87" s="166"/>
    </row>
    <row r="88" spans="1:16" x14ac:dyDescent="0.25">
      <c r="A88" s="181" t="s">
        <v>15</v>
      </c>
      <c r="C88" s="144">
        <v>1092</v>
      </c>
      <c r="D88" s="145">
        <v>25828</v>
      </c>
      <c r="E88" s="167">
        <f>C88-D88</f>
        <v>-24736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x14ac:dyDescent="0.25">
      <c r="A89" s="183" t="s">
        <v>98</v>
      </c>
      <c r="C89" s="161">
        <f>C88+C87</f>
        <v>193687</v>
      </c>
      <c r="D89" s="162">
        <f>D88+D87</f>
        <v>210954</v>
      </c>
      <c r="E89" s="168">
        <f>E88+E87</f>
        <v>-17267</v>
      </c>
      <c r="G89" s="161">
        <f>G88+G87</f>
        <v>67483</v>
      </c>
      <c r="H89" s="162">
        <f>H88+H87</f>
        <v>60526</v>
      </c>
      <c r="I89" s="168">
        <f>I88+I87</f>
        <v>6957</v>
      </c>
      <c r="K89" s="164"/>
      <c r="L89" s="165"/>
      <c r="M89" s="165"/>
      <c r="N89" s="166"/>
    </row>
    <row r="91" spans="1:16" x14ac:dyDescent="0.25">
      <c r="O91">
        <f>C91-G91-K91</f>
        <v>0</v>
      </c>
      <c r="P91">
        <f>D91-H91-L91</f>
        <v>0</v>
      </c>
    </row>
    <row r="92" spans="1:16" x14ac:dyDescent="0.25">
      <c r="D92" s="148"/>
    </row>
    <row r="94" spans="1:16" x14ac:dyDescent="0.25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A9" sqref="A9"/>
      <selection pane="bottomLeft" activeCell="A8" sqref="A8"/>
    </sheetView>
  </sheetViews>
  <sheetFormatPr defaultRowHeight="13.2" x14ac:dyDescent="0.25"/>
  <cols>
    <col min="1" max="1" width="27.33203125" customWidth="1"/>
    <col min="2" max="2" width="2.109375" customWidth="1"/>
    <col min="3" max="3" width="9.5546875" bestFit="1" customWidth="1"/>
    <col min="4" max="4" width="10.5546875" bestFit="1" customWidth="1"/>
    <col min="5" max="5" width="10.109375" bestFit="1" customWidth="1"/>
    <col min="8" max="8" width="16.5546875" customWidth="1"/>
  </cols>
  <sheetData>
    <row r="1" spans="1:8" ht="15.6" x14ac:dyDescent="0.3">
      <c r="A1" s="376" t="s">
        <v>75</v>
      </c>
      <c r="B1" s="377"/>
      <c r="C1" s="377"/>
      <c r="D1" s="377"/>
      <c r="E1" s="377"/>
      <c r="F1" s="377"/>
      <c r="G1" s="377"/>
      <c r="H1" s="378"/>
    </row>
    <row r="2" spans="1:8" ht="13.8" x14ac:dyDescent="0.25">
      <c r="A2" s="379" t="s">
        <v>145</v>
      </c>
      <c r="B2" s="380"/>
      <c r="C2" s="380"/>
      <c r="D2" s="380"/>
      <c r="E2" s="380"/>
      <c r="F2" s="380"/>
      <c r="G2" s="380"/>
      <c r="H2" s="381"/>
    </row>
    <row r="3" spans="1:8" x14ac:dyDescent="0.25">
      <c r="A3" s="382" t="str">
        <f>Expenses!A3</f>
        <v>Results based on activity through May 11, 2001</v>
      </c>
      <c r="B3" s="383"/>
      <c r="C3" s="383"/>
      <c r="D3" s="383"/>
      <c r="E3" s="383"/>
      <c r="F3" s="383"/>
      <c r="G3" s="383"/>
      <c r="H3" s="384"/>
    </row>
    <row r="4" spans="1:8" x14ac:dyDescent="0.25">
      <c r="A4" s="139"/>
      <c r="B4" s="140"/>
      <c r="C4" s="140"/>
      <c r="D4" s="140"/>
      <c r="E4" s="140"/>
      <c r="F4" s="140"/>
      <c r="G4" s="140"/>
      <c r="H4" s="141"/>
    </row>
    <row r="5" spans="1:8" x14ac:dyDescent="0.25">
      <c r="A5" s="125"/>
      <c r="B5" s="140"/>
      <c r="C5" s="130"/>
      <c r="D5" s="131"/>
      <c r="E5" s="131"/>
      <c r="F5" s="131"/>
      <c r="G5" s="131"/>
      <c r="H5" s="132"/>
    </row>
    <row r="6" spans="1:8" x14ac:dyDescent="0.25">
      <c r="A6" s="147"/>
      <c r="B6" s="140"/>
      <c r="C6" s="365" t="s">
        <v>99</v>
      </c>
      <c r="D6" s="366"/>
      <c r="E6" s="366"/>
      <c r="F6" s="366"/>
      <c r="G6" s="366"/>
      <c r="H6" s="367"/>
    </row>
    <row r="7" spans="1:8" x14ac:dyDescent="0.25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2" t="s">
        <v>100</v>
      </c>
      <c r="G7" s="372"/>
      <c r="H7" s="373"/>
    </row>
    <row r="8" spans="1:8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x14ac:dyDescent="0.25">
      <c r="A9" s="330" t="str">
        <f>'QTD Mgmt Summary'!A11</f>
        <v xml:space="preserve">    Southeast (Herndon/Croll)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0</v>
      </c>
      <c r="E16" s="167">
        <f t="shared" si="0"/>
        <v>49</v>
      </c>
      <c r="F16" s="145"/>
      <c r="G16" s="145"/>
      <c r="H16" s="146"/>
    </row>
    <row r="17" spans="1:8" x14ac:dyDescent="0.25">
      <c r="A17" s="330" t="str">
        <f>'QTD Mgmt Summary'!A19</f>
        <v xml:space="preserve">    Structuring (Aucoin)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x14ac:dyDescent="0.25">
      <c r="A19" s="96" t="s">
        <v>7</v>
      </c>
      <c r="B19" s="331"/>
      <c r="C19" s="161">
        <f>SUM(C8:C18)</f>
        <v>123</v>
      </c>
      <c r="D19" s="162">
        <f>SUM(D8:D18)</f>
        <v>0</v>
      </c>
      <c r="E19" s="168">
        <f>SUM(E8:E18)</f>
        <v>123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x14ac:dyDescent="0.25">
      <c r="A21" s="330" t="str">
        <f>'QTD Mgmt Summary'!A23</f>
        <v xml:space="preserve">    Origination (Thomas/Mcdonald)</v>
      </c>
      <c r="B21" s="140"/>
      <c r="C21" s="144">
        <v>0</v>
      </c>
      <c r="D21" s="145">
        <v>111</v>
      </c>
      <c r="E21" s="167">
        <f t="shared" ref="E21:E26" si="2">C21-D21</f>
        <v>-111</v>
      </c>
      <c r="F21" s="145"/>
      <c r="G21" s="145"/>
      <c r="H21" s="146"/>
    </row>
    <row r="22" spans="1:8" x14ac:dyDescent="0.25">
      <c r="A22" s="330" t="str">
        <f>'QTD Mgmt Summary'!A24</f>
        <v xml:space="preserve">    Executive (Calger)</v>
      </c>
      <c r="B22" s="140"/>
      <c r="C22" s="144">
        <v>2419</v>
      </c>
      <c r="D22" s="145">
        <v>4139</v>
      </c>
      <c r="E22" s="167">
        <f t="shared" si="2"/>
        <v>-1720</v>
      </c>
      <c r="F22" s="145"/>
      <c r="G22" s="145"/>
      <c r="H22" s="146"/>
    </row>
    <row r="23" spans="1:8" x14ac:dyDescent="0.25">
      <c r="A23" s="330" t="str">
        <f>'QTD Mgmt Summary'!A25</f>
        <v xml:space="preserve">    Generation (Parquet)</v>
      </c>
      <c r="B23" s="140"/>
      <c r="C23" s="144">
        <v>419</v>
      </c>
      <c r="D23" s="145">
        <v>0</v>
      </c>
      <c r="E23" s="167">
        <f t="shared" si="2"/>
        <v>419</v>
      </c>
      <c r="F23" s="145"/>
      <c r="G23" s="145"/>
      <c r="H23" s="146"/>
    </row>
    <row r="24" spans="1:8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x14ac:dyDescent="0.25">
      <c r="A26" s="330" t="str">
        <f>'QTD Mgmt Summary'!A28</f>
        <v xml:space="preserve">    Fundamentals (Heisenreiker)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x14ac:dyDescent="0.25">
      <c r="A27" s="96" t="s">
        <v>8</v>
      </c>
      <c r="B27" s="331"/>
      <c r="C27" s="161">
        <f>SUM(C21:C26)</f>
        <v>2838</v>
      </c>
      <c r="D27" s="162">
        <f>SUM(D21:D26)</f>
        <v>4250</v>
      </c>
      <c r="E27" s="168">
        <f>SUM(E21:E26)</f>
        <v>-1412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x14ac:dyDescent="0.25">
      <c r="A30" s="330" t="s">
        <v>136</v>
      </c>
      <c r="B30" s="140"/>
      <c r="C30" s="144">
        <v>234</v>
      </c>
      <c r="D30" s="145">
        <v>144</v>
      </c>
      <c r="E30" s="167">
        <f t="shared" si="3"/>
        <v>90</v>
      </c>
      <c r="F30" s="145"/>
      <c r="G30" s="145"/>
      <c r="H30" s="146"/>
    </row>
    <row r="31" spans="1:8" x14ac:dyDescent="0.25">
      <c r="A31" s="330" t="s">
        <v>36</v>
      </c>
      <c r="B31" s="140"/>
      <c r="C31" s="144">
        <v>776</v>
      </c>
      <c r="D31" s="145">
        <v>1572</v>
      </c>
      <c r="E31" s="167">
        <f t="shared" si="3"/>
        <v>-796</v>
      </c>
      <c r="F31" s="145"/>
      <c r="G31" s="145"/>
      <c r="H31" s="146"/>
    </row>
    <row r="32" spans="1:8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x14ac:dyDescent="0.25">
      <c r="A38" s="96" t="s">
        <v>9</v>
      </c>
      <c r="B38" s="331"/>
      <c r="C38" s="161">
        <f>SUM(C29:C36)</f>
        <v>1010</v>
      </c>
      <c r="D38" s="162">
        <f>SUM(D29:D36)</f>
        <v>1716</v>
      </c>
      <c r="E38" s="168">
        <f>SUM(E29:E36)</f>
        <v>-706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x14ac:dyDescent="0.25">
      <c r="A40" s="330" t="s">
        <v>42</v>
      </c>
      <c r="B40" s="140"/>
      <c r="C40" s="144">
        <v>-8</v>
      </c>
      <c r="D40" s="145">
        <v>99</v>
      </c>
      <c r="E40" s="167">
        <f t="shared" ref="E40:E45" si="5">C40-D40</f>
        <v>-107</v>
      </c>
      <c r="F40" s="145"/>
      <c r="G40" s="145"/>
      <c r="H40" s="146"/>
    </row>
    <row r="41" spans="1:11" x14ac:dyDescent="0.25">
      <c r="A41" s="330" t="s">
        <v>43</v>
      </c>
      <c r="B41" s="140"/>
      <c r="C41" s="144">
        <v>1966</v>
      </c>
      <c r="D41" s="145">
        <v>304</v>
      </c>
      <c r="E41" s="167">
        <f t="shared" si="5"/>
        <v>1662</v>
      </c>
      <c r="F41" s="145"/>
      <c r="G41" s="145"/>
      <c r="H41" s="146"/>
    </row>
    <row r="42" spans="1:11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x14ac:dyDescent="0.25">
      <c r="A46" s="96" t="s">
        <v>10</v>
      </c>
      <c r="B46" s="331"/>
      <c r="C46" s="161">
        <f>SUM(C40:C45)</f>
        <v>1958</v>
      </c>
      <c r="D46" s="162">
        <f>SUM(D40:D45)</f>
        <v>850</v>
      </c>
      <c r="E46" s="168">
        <f>SUM(E40:E45)</f>
        <v>1108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x14ac:dyDescent="0.25">
      <c r="A49" s="330" t="s">
        <v>102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x14ac:dyDescent="0.25">
      <c r="A50" s="330" t="s">
        <v>103</v>
      </c>
      <c r="B50" s="140"/>
      <c r="C50" s="144">
        <v>-66</v>
      </c>
      <c r="D50" s="145">
        <v>653</v>
      </c>
      <c r="E50" s="167">
        <f t="shared" si="6"/>
        <v>-719</v>
      </c>
      <c r="F50" s="145"/>
      <c r="G50" s="145"/>
      <c r="H50" s="146"/>
    </row>
    <row r="51" spans="1:8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x14ac:dyDescent="0.25">
      <c r="A54" s="330" t="s">
        <v>69</v>
      </c>
      <c r="B54" s="140"/>
      <c r="C54" s="144">
        <v>7864</v>
      </c>
      <c r="D54" s="145">
        <v>6282</v>
      </c>
      <c r="E54" s="167">
        <f t="shared" si="6"/>
        <v>1582</v>
      </c>
      <c r="F54" s="145"/>
      <c r="G54" s="145"/>
      <c r="H54" s="146"/>
    </row>
    <row r="55" spans="1:8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x14ac:dyDescent="0.25">
      <c r="A57" s="330" t="s">
        <v>46</v>
      </c>
      <c r="B57" s="140"/>
      <c r="C57" s="144">
        <v>40</v>
      </c>
      <c r="D57" s="145">
        <v>0</v>
      </c>
      <c r="E57" s="167">
        <f t="shared" si="6"/>
        <v>40</v>
      </c>
      <c r="F57" s="145"/>
      <c r="G57" s="145"/>
      <c r="H57" s="146"/>
    </row>
    <row r="58" spans="1:8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x14ac:dyDescent="0.25">
      <c r="A59" s="330" t="s">
        <v>48</v>
      </c>
      <c r="B59" s="140"/>
      <c r="C59" s="144">
        <v>4912</v>
      </c>
      <c r="D59" s="145">
        <v>7109</v>
      </c>
      <c r="E59" s="167">
        <f t="shared" si="6"/>
        <v>-2197</v>
      </c>
      <c r="F59" s="145"/>
      <c r="G59" s="145"/>
      <c r="H59" s="146"/>
    </row>
    <row r="60" spans="1:8" x14ac:dyDescent="0.25">
      <c r="A60" s="330" t="s">
        <v>63</v>
      </c>
      <c r="B60" s="140"/>
      <c r="C60" s="144">
        <v>10100</v>
      </c>
      <c r="D60" s="145">
        <v>7606</v>
      </c>
      <c r="E60" s="167">
        <f t="shared" si="6"/>
        <v>2494</v>
      </c>
      <c r="F60" s="145"/>
      <c r="G60" s="145"/>
      <c r="H60" s="146"/>
    </row>
    <row r="61" spans="1:8" x14ac:dyDescent="0.25">
      <c r="A61" s="330" t="s">
        <v>49</v>
      </c>
      <c r="B61" s="140"/>
      <c r="C61" s="144">
        <v>14074</v>
      </c>
      <c r="D61" s="145">
        <v>13627</v>
      </c>
      <c r="E61" s="167">
        <f t="shared" si="6"/>
        <v>447</v>
      </c>
      <c r="F61" s="145"/>
      <c r="G61" s="145"/>
      <c r="H61" s="146"/>
    </row>
    <row r="62" spans="1:8" x14ac:dyDescent="0.25">
      <c r="A62" s="330" t="s">
        <v>134</v>
      </c>
      <c r="B62" s="140"/>
      <c r="C62" s="144">
        <v>8120</v>
      </c>
      <c r="D62" s="145">
        <v>13372</v>
      </c>
      <c r="E62" s="167">
        <f t="shared" si="6"/>
        <v>-5252</v>
      </c>
      <c r="F62" s="145"/>
      <c r="G62" s="145"/>
      <c r="H62" s="146"/>
    </row>
    <row r="63" spans="1:8" x14ac:dyDescent="0.25">
      <c r="A63" s="330" t="s">
        <v>71</v>
      </c>
      <c r="B63" s="140"/>
      <c r="C63" s="144">
        <v>16296</v>
      </c>
      <c r="D63" s="145">
        <v>32888</v>
      </c>
      <c r="E63" s="167">
        <f t="shared" si="6"/>
        <v>-16592</v>
      </c>
      <c r="F63" s="145"/>
      <c r="G63" s="145"/>
      <c r="H63" s="146"/>
    </row>
    <row r="64" spans="1:8" x14ac:dyDescent="0.25">
      <c r="A64" s="330" t="s">
        <v>73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x14ac:dyDescent="0.25">
      <c r="A65" s="332" t="s">
        <v>129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x14ac:dyDescent="0.25">
      <c r="A66" s="332" t="s">
        <v>125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x14ac:dyDescent="0.25">
      <c r="A67" s="332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x14ac:dyDescent="0.25">
      <c r="A68" s="96" t="s">
        <v>12</v>
      </c>
      <c r="B68" s="331"/>
      <c r="C68" s="161">
        <f>SUM(C48:C67)+C46+C38+C27+C19</f>
        <v>89237</v>
      </c>
      <c r="D68" s="162">
        <f>SUM(D48:D67)+D46+D38+D27+D19</f>
        <v>103563</v>
      </c>
      <c r="E68" s="168">
        <f>SUM(E48:E67)+E46+E38+E27+E19</f>
        <v>-14326</v>
      </c>
      <c r="F68" s="162"/>
      <c r="G68" s="162"/>
      <c r="H68" s="163"/>
    </row>
    <row r="69" spans="1:8" ht="6.75" customHeight="1" x14ac:dyDescent="0.25">
      <c r="A69" s="332"/>
      <c r="B69" s="140"/>
      <c r="C69" s="144"/>
      <c r="D69" s="145"/>
      <c r="E69" s="167"/>
      <c r="F69" s="145"/>
      <c r="G69" s="145"/>
      <c r="H69" s="146"/>
    </row>
    <row r="70" spans="1:8" x14ac:dyDescent="0.25">
      <c r="A70" s="332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x14ac:dyDescent="0.25">
      <c r="A71" s="332" t="s">
        <v>115</v>
      </c>
      <c r="B71" s="140"/>
      <c r="C71" s="144">
        <f>-C68</f>
        <v>-89237</v>
      </c>
      <c r="D71" s="145">
        <f>-D68</f>
        <v>-103563</v>
      </c>
      <c r="E71" s="167">
        <f>-E68</f>
        <v>14326</v>
      </c>
      <c r="F71" s="145"/>
      <c r="G71" s="145"/>
      <c r="H71" s="146"/>
    </row>
    <row r="72" spans="1:8" s="160" customFormat="1" x14ac:dyDescent="0.25">
      <c r="A72" s="96" t="s">
        <v>128</v>
      </c>
      <c r="B72" s="331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x14ac:dyDescent="0.25">
      <c r="A73" s="332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x14ac:dyDescent="0.25">
      <c r="A74" s="96" t="s">
        <v>98</v>
      </c>
      <c r="B74" s="333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5">
      <c r="C75" s="148"/>
      <c r="D75" s="148"/>
      <c r="E75" s="148"/>
      <c r="F75" s="148"/>
      <c r="G75" s="148"/>
      <c r="H75" s="148"/>
    </row>
    <row r="76" spans="1:8" hidden="1" x14ac:dyDescent="0.25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5">
      <c r="A77" t="s">
        <v>117</v>
      </c>
      <c r="C77" s="148"/>
      <c r="D77" s="148">
        <f>D68+D76</f>
        <v>143675</v>
      </c>
      <c r="E77" s="148"/>
      <c r="F77" s="148"/>
      <c r="G77" s="148"/>
      <c r="H77" s="148"/>
    </row>
    <row r="78" spans="1:8" hidden="1" x14ac:dyDescent="0.25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5">
      <c r="C79" s="148"/>
      <c r="D79" s="148"/>
      <c r="E79" s="148"/>
      <c r="F79" s="148"/>
      <c r="G79" s="148"/>
      <c r="H79" s="148"/>
    </row>
    <row r="80" spans="1:8" x14ac:dyDescent="0.25">
      <c r="C80" s="148"/>
      <c r="D80" s="148"/>
      <c r="E80" s="148"/>
      <c r="F80" s="148"/>
      <c r="G80" s="148"/>
      <c r="H80" s="148"/>
    </row>
    <row r="91" spans="15:16" x14ac:dyDescent="0.25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4" sqref="A4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147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5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tr">
        <f>'QTD Mgmt Summary'!A10</f>
        <v xml:space="preserve">    ERCOT (Smith/Tingleaf)</v>
      </c>
      <c r="B10" s="17"/>
      <c r="C10" s="153">
        <f>'QTD Mgmt Summary'!C10+'[3]QTD Mgmt Summary'!C9</f>
        <v>7008</v>
      </c>
      <c r="D10" s="154">
        <v>35000</v>
      </c>
      <c r="E10" s="295">
        <f t="shared" ref="E10:E20" si="0">-D10+C10</f>
        <v>-27992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5334</v>
      </c>
      <c r="P10" s="196">
        <f>(D10-H10-L10)</f>
        <v>31042</v>
      </c>
      <c r="Q10" s="200">
        <f t="shared" ref="Q10:Q20" si="4">O10-P10</f>
        <v>-25708</v>
      </c>
    </row>
    <row r="11" spans="1:26" s="18" customFormat="1" ht="12.75" customHeight="1" x14ac:dyDescent="0.2">
      <c r="A11" s="11" t="str">
        <f>'QTD Mgmt Summary'!A11</f>
        <v xml:space="preserve">    Southeast (Herndon/Croll)</v>
      </c>
      <c r="B11" s="19"/>
      <c r="C11" s="240">
        <f>'QTD Mgmt Summary'!C11+'[3]QTD Mgmt Summary'!C10</f>
        <v>16289</v>
      </c>
      <c r="D11" s="240">
        <v>80000</v>
      </c>
      <c r="E11" s="294">
        <f t="shared" si="0"/>
        <v>-63711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13728</v>
      </c>
      <c r="P11" s="202">
        <f t="shared" ref="P11:P20" si="5">D11-H11-L11</f>
        <v>74315</v>
      </c>
      <c r="Q11" s="198">
        <f t="shared" si="4"/>
        <v>-60587</v>
      </c>
    </row>
    <row r="12" spans="1:26" ht="12" customHeight="1" x14ac:dyDescent="0.2">
      <c r="A12" s="11" t="str">
        <f>'QTD Mgmt Summary'!A12</f>
        <v xml:space="preserve">    Midwest (Sturm/Baughman)</v>
      </c>
      <c r="B12" s="20"/>
      <c r="C12" s="240">
        <f>'QTD Mgmt Summary'!C12+'[3]QTD Mgmt Summary'!C11</f>
        <v>55114</v>
      </c>
      <c r="D12" s="240">
        <v>80000</v>
      </c>
      <c r="E12" s="294">
        <f t="shared" si="0"/>
        <v>-24886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52865</v>
      </c>
      <c r="P12" s="202">
        <f t="shared" si="5"/>
        <v>73924</v>
      </c>
      <c r="Q12" s="198">
        <f t="shared" si="4"/>
        <v>-21059</v>
      </c>
    </row>
    <row r="13" spans="1:26" ht="12" customHeight="1" x14ac:dyDescent="0.2">
      <c r="A13" s="11" t="str">
        <f>'QTD Mgmt Summary'!A13</f>
        <v xml:space="preserve">    Northeast (Davis)</v>
      </c>
      <c r="B13" s="20"/>
      <c r="C13" s="240">
        <f>'QTD Mgmt Summary'!C13+'[3]QTD Mgmt Summary'!C12</f>
        <v>92617</v>
      </c>
      <c r="D13" s="240">
        <v>80000</v>
      </c>
      <c r="E13" s="294">
        <f t="shared" si="0"/>
        <v>12617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89493</v>
      </c>
      <c r="P13" s="202">
        <f t="shared" si="5"/>
        <v>72586</v>
      </c>
      <c r="Q13" s="198">
        <f t="shared" si="4"/>
        <v>16907</v>
      </c>
    </row>
    <row r="14" spans="1:26" ht="12" customHeight="1" x14ac:dyDescent="0.2">
      <c r="A14" s="11" t="str">
        <f>'QTD Mgmt Summary'!A14</f>
        <v xml:space="preserve">    Management Book (Presto)</v>
      </c>
      <c r="B14" s="20"/>
      <c r="C14" s="240">
        <f>'QTD Mgmt Summary'!C14+'[3]QTD Mgmt Summary'!C13</f>
        <v>20789</v>
      </c>
      <c r="D14" s="240">
        <v>25000</v>
      </c>
      <c r="E14" s="294">
        <f t="shared" si="0"/>
        <v>-4211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15056</v>
      </c>
      <c r="P14" s="202">
        <f t="shared" si="5"/>
        <v>14708</v>
      </c>
      <c r="Q14" s="198">
        <f t="shared" si="4"/>
        <v>348</v>
      </c>
    </row>
    <row r="15" spans="1:26" ht="12" customHeight="1" x14ac:dyDescent="0.2">
      <c r="A15" s="11" t="str">
        <f>'QTD Mgmt Summary'!A15</f>
        <v xml:space="preserve">    Options (Arrora)</v>
      </c>
      <c r="B15" s="20"/>
      <c r="C15" s="240">
        <f>'QTD Mgmt Summary'!C15</f>
        <v>3731</v>
      </c>
      <c r="D15" s="240">
        <v>0</v>
      </c>
      <c r="E15" s="294">
        <f t="shared" si="0"/>
        <v>3731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5"/>
        <v>0</v>
      </c>
      <c r="Q15" s="198">
        <f t="shared" si="4"/>
        <v>3731</v>
      </c>
    </row>
    <row r="16" spans="1:26" ht="12" customHeight="1" x14ac:dyDescent="0.2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">
      <c r="A17" s="11" t="str">
        <f>'QTD Mgmt Summary'!A17</f>
        <v xml:space="preserve">    New Albany (Presto)   </v>
      </c>
      <c r="B17" s="20"/>
      <c r="C17" s="240">
        <f>'QTD Mgmt Summary'!C17+'[3]QTD Mgmt Summary'!C14</f>
        <v>-7867</v>
      </c>
      <c r="D17" s="240">
        <v>-20000</v>
      </c>
      <c r="E17" s="294">
        <f t="shared" si="0"/>
        <v>12133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-8164</v>
      </c>
      <c r="P17" s="202">
        <f t="shared" si="5"/>
        <v>-20624</v>
      </c>
      <c r="Q17" s="198">
        <f t="shared" si="4"/>
        <v>12460</v>
      </c>
    </row>
    <row r="18" spans="1:17" ht="12" customHeight="1" x14ac:dyDescent="0.2">
      <c r="A18" s="11" t="str">
        <f>'QTD Mgmt Summary'!A18</f>
        <v xml:space="preserve">    Development (Jacoby)</v>
      </c>
      <c r="B18" s="20"/>
      <c r="C18" s="240">
        <f>'QTD Mgmt Summary'!C18+'[3]QTD Mgmt Summary'!C15</f>
        <v>7736</v>
      </c>
      <c r="D18" s="240">
        <v>24000</v>
      </c>
      <c r="E18" s="294">
        <f t="shared" si="0"/>
        <v>-16264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3583</v>
      </c>
      <c r="P18" s="202">
        <f t="shared" si="5"/>
        <v>15616</v>
      </c>
      <c r="Q18" s="198">
        <f t="shared" si="4"/>
        <v>-12033</v>
      </c>
    </row>
    <row r="19" spans="1:17" ht="12" customHeight="1" x14ac:dyDescent="0.2">
      <c r="A19" s="11" t="str">
        <f>'QTD Mgmt Summary'!A19</f>
        <v xml:space="preserve">    Structuring (Aucoin)</v>
      </c>
      <c r="B19" s="20"/>
      <c r="C19" s="323">
        <f>'QTD Mgmt Summary'!C19+'[3]QTD Mgmt Summary'!C16</f>
        <v>-250</v>
      </c>
      <c r="D19" s="298">
        <v>0</v>
      </c>
      <c r="E19" s="294">
        <f t="shared" si="0"/>
        <v>-250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-1406</v>
      </c>
      <c r="P19" s="202">
        <f t="shared" si="5"/>
        <v>-2783</v>
      </c>
      <c r="Q19" s="198">
        <f t="shared" si="4"/>
        <v>1377</v>
      </c>
    </row>
    <row r="20" spans="1:17" ht="12" customHeight="1" x14ac:dyDescent="0.2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">
      <c r="A21" s="96" t="s">
        <v>7</v>
      </c>
      <c r="B21" s="329"/>
      <c r="C21" s="27">
        <f>SUM(C9:C20)</f>
        <v>195167</v>
      </c>
      <c r="D21" s="27">
        <f>SUM(D9:D20)</f>
        <v>304000</v>
      </c>
      <c r="E21" s="28">
        <f>SUM(E9:E20)</f>
        <v>-108833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0</v>
      </c>
      <c r="M21" s="206">
        <f>SUM(M10:M20)</f>
        <v>134</v>
      </c>
      <c r="N21" s="207"/>
      <c r="O21" s="204">
        <f>SUM(O10:O20)</f>
        <v>172803</v>
      </c>
      <c r="P21" s="205">
        <f>SUM(P10:P20)</f>
        <v>255827</v>
      </c>
      <c r="Q21" s="206">
        <f>SUM(Q10:Q20)</f>
        <v>-83024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20443</v>
      </c>
      <c r="D23" s="240">
        <v>40000</v>
      </c>
      <c r="E23" s="294">
        <f t="shared" ref="E23:E28" si="6">-D23+C23</f>
        <v>-19557</v>
      </c>
      <c r="F23" s="23"/>
      <c r="G23" s="240">
        <f>'QTD Mgmt Summary'!G23+'[3]QTD Mgmt Summary'!G20</f>
        <v>3175</v>
      </c>
      <c r="H23" s="240">
        <v>7894</v>
      </c>
      <c r="I23" s="293">
        <f t="shared" ref="I23:I28" si="7">G23-H23</f>
        <v>-4719</v>
      </c>
      <c r="J23" s="9"/>
      <c r="K23" s="240">
        <f>'QTD Mgmt Summary'!K23+'[3]QTD Mgmt Summary'!K20</f>
        <v>111</v>
      </c>
      <c r="L23" s="202">
        <v>444</v>
      </c>
      <c r="M23" s="293">
        <f t="shared" ref="M23:M28" si="8">K23-L23</f>
        <v>-333</v>
      </c>
      <c r="N23" s="203"/>
      <c r="O23" s="201">
        <f t="shared" ref="O23:P28" si="9">C23-G23-K23</f>
        <v>17157</v>
      </c>
      <c r="P23" s="202">
        <f t="shared" si="9"/>
        <v>31662</v>
      </c>
      <c r="Q23" s="198">
        <f t="shared" ref="Q23:Q28" si="10">O23-P23</f>
        <v>-14505</v>
      </c>
    </row>
    <row r="24" spans="1:17" ht="14.25" customHeight="1" x14ac:dyDescent="0.2">
      <c r="A24" s="11" t="str">
        <f>'QTD Mgmt Summary'!A24</f>
        <v xml:space="preserve">    Executive (Calger)</v>
      </c>
      <c r="B24" s="9"/>
      <c r="C24" s="21">
        <f>'QTD Mgmt Summary'!C24+'[3]QTD Mgmt Summary'!C21</f>
        <v>-3659</v>
      </c>
      <c r="D24" s="240">
        <v>40000</v>
      </c>
      <c r="E24" s="294">
        <f t="shared" si="6"/>
        <v>-43659</v>
      </c>
      <c r="F24" s="23"/>
      <c r="G24" s="240">
        <f>'QTD Mgmt Summary'!G24+'[3]QTD Mgmt Summary'!G21</f>
        <v>882</v>
      </c>
      <c r="H24" s="240">
        <v>2874</v>
      </c>
      <c r="I24" s="293">
        <f t="shared" si="7"/>
        <v>-1992</v>
      </c>
      <c r="J24" s="9"/>
      <c r="K24" s="240">
        <f>'QTD Mgmt Summary'!K24+'[3]QTD Mgmt Summary'!K21</f>
        <v>4948</v>
      </c>
      <c r="L24" s="202">
        <v>16556</v>
      </c>
      <c r="M24" s="293">
        <f t="shared" si="8"/>
        <v>-11608</v>
      </c>
      <c r="N24" s="203"/>
      <c r="O24" s="201">
        <f t="shared" si="9"/>
        <v>-9489</v>
      </c>
      <c r="P24" s="202">
        <f t="shared" si="9"/>
        <v>20570</v>
      </c>
      <c r="Q24" s="198">
        <f t="shared" si="10"/>
        <v>-30059</v>
      </c>
    </row>
    <row r="25" spans="1:17" ht="14.25" customHeight="1" x14ac:dyDescent="0.2">
      <c r="A25" s="11" t="str">
        <f>'QTD Mgmt Summary'!A25</f>
        <v xml:space="preserve">    Generation (Parquet)</v>
      </c>
      <c r="B25" s="9"/>
      <c r="C25" s="21">
        <f>'QTD Mgmt Summary'!C25+'[3]QTD Mgmt Summary'!C22</f>
        <v>34360</v>
      </c>
      <c r="D25" s="240">
        <v>50000</v>
      </c>
      <c r="E25" s="294">
        <f t="shared" si="6"/>
        <v>-15640</v>
      </c>
      <c r="F25" s="23"/>
      <c r="G25" s="240">
        <f>'QTD Mgmt Summary'!G25+'[3]QTD Mgmt Summary'!G22</f>
        <v>2901</v>
      </c>
      <c r="H25" s="240">
        <v>5466</v>
      </c>
      <c r="I25" s="293">
        <f t="shared" si="7"/>
        <v>-2565</v>
      </c>
      <c r="J25" s="9"/>
      <c r="K25" s="240">
        <f>'QTD Mgmt Summary'!K25+'[3]QTD Mgmt Summary'!K22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31040</v>
      </c>
      <c r="P25" s="202">
        <f t="shared" si="9"/>
        <v>44534</v>
      </c>
      <c r="Q25" s="198">
        <f t="shared" si="10"/>
        <v>-13494</v>
      </c>
    </row>
    <row r="26" spans="1:17" ht="14.25" customHeight="1" x14ac:dyDescent="0.2">
      <c r="A26" s="11" t="str">
        <f>'QTD Mgmt Summary'!A26</f>
        <v xml:space="preserve">    Trading (Belden)</v>
      </c>
      <c r="B26" s="9"/>
      <c r="C26" s="21">
        <f>'QTD Mgmt Summary'!C26+'[3]QTD Mgmt Summary'!C23</f>
        <v>442075</v>
      </c>
      <c r="D26" s="240">
        <v>250000</v>
      </c>
      <c r="E26" s="294">
        <f t="shared" si="6"/>
        <v>192075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435254</v>
      </c>
      <c r="P26" s="202">
        <f t="shared" si="9"/>
        <v>239368</v>
      </c>
      <c r="Q26" s="198">
        <f t="shared" si="10"/>
        <v>195886</v>
      </c>
    </row>
    <row r="27" spans="1:17" ht="14.25" customHeight="1" x14ac:dyDescent="0.2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">
      <c r="A28" s="11" t="str">
        <f>'QTD Mgmt Summary'!A28</f>
        <v xml:space="preserve">    Fundamentals (Heisenreiker)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520266</v>
      </c>
      <c r="D29" s="27">
        <f>SUM(D23:D28)</f>
        <v>430000</v>
      </c>
      <c r="E29" s="28">
        <f>SUM(E23:E28)</f>
        <v>90266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5478</v>
      </c>
      <c r="L29" s="205">
        <f>SUM(L23:L28)</f>
        <v>17000</v>
      </c>
      <c r="M29" s="206">
        <f>SUM(M23:M28)</f>
        <v>-11522</v>
      </c>
      <c r="N29" s="207"/>
      <c r="O29" s="204">
        <f>SUM(O23:O28)</f>
        <v>499780</v>
      </c>
      <c r="P29" s="205">
        <f>SUM(P23:P28)</f>
        <v>383335</v>
      </c>
      <c r="Q29" s="206">
        <f>SUM(Q23:Q28)</f>
        <v>116445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'QTD Mgmt Summary'!C31+'[3]QTD Mgmt Summary'!C28</f>
        <v>-90373</v>
      </c>
      <c r="D31" s="240">
        <v>126000</v>
      </c>
      <c r="E31" s="294">
        <f t="shared" ref="E31:E39" si="11">-D31+C31</f>
        <v>-216373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-93839</v>
      </c>
      <c r="P31" s="202">
        <f t="shared" ref="P31:P39" si="15">D31-H31-L31</f>
        <v>118816</v>
      </c>
      <c r="Q31" s="198">
        <f t="shared" ref="Q31:Q39" si="16">O31-P31</f>
        <v>-212655</v>
      </c>
    </row>
    <row r="32" spans="1:17" x14ac:dyDescent="0.2">
      <c r="A32" s="11" t="s">
        <v>136</v>
      </c>
      <c r="B32" s="9"/>
      <c r="C32" s="21">
        <f>'QTD Mgmt Summary'!C32+'[3]QTD Mgmt Summary'!C29</f>
        <v>29895</v>
      </c>
      <c r="D32" s="240">
        <v>80000</v>
      </c>
      <c r="E32" s="294">
        <f t="shared" si="11"/>
        <v>-50105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388</v>
      </c>
      <c r="L32" s="202">
        <v>576</v>
      </c>
      <c r="M32" s="293">
        <f t="shared" si="13"/>
        <v>-188</v>
      </c>
      <c r="N32" s="203"/>
      <c r="O32" s="201">
        <f t="shared" si="14"/>
        <v>24932</v>
      </c>
      <c r="P32" s="202">
        <f t="shared" si="15"/>
        <v>69341</v>
      </c>
      <c r="Q32" s="198">
        <f t="shared" si="16"/>
        <v>-44409</v>
      </c>
    </row>
    <row r="33" spans="1:17" x14ac:dyDescent="0.2">
      <c r="A33" s="11" t="s">
        <v>36</v>
      </c>
      <c r="B33" s="9"/>
      <c r="C33" s="21">
        <f>'QTD Mgmt Summary'!C33+'[3]QTD Mgmt Summary'!C30</f>
        <v>-30276</v>
      </c>
      <c r="D33" s="240">
        <v>80000</v>
      </c>
      <c r="E33" s="294">
        <f t="shared" si="11"/>
        <v>-110276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1645</v>
      </c>
      <c r="L33" s="202">
        <v>6288</v>
      </c>
      <c r="M33" s="293">
        <f t="shared" si="13"/>
        <v>-4643</v>
      </c>
      <c r="N33" s="203"/>
      <c r="O33" s="201">
        <f t="shared" si="14"/>
        <v>-37617</v>
      </c>
      <c r="P33" s="202">
        <f t="shared" si="15"/>
        <v>62089</v>
      </c>
      <c r="Q33" s="198">
        <f t="shared" si="16"/>
        <v>-99706</v>
      </c>
    </row>
    <row r="34" spans="1:17" x14ac:dyDescent="0.2">
      <c r="A34" s="11" t="s">
        <v>37</v>
      </c>
      <c r="B34" s="9"/>
      <c r="C34" s="21">
        <f>'QTD Mgmt Summary'!C34+'[3]QTD Mgmt Summary'!C31</f>
        <v>84802</v>
      </c>
      <c r="D34" s="240">
        <v>40000</v>
      </c>
      <c r="E34" s="294">
        <f t="shared" si="11"/>
        <v>44802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82144</v>
      </c>
      <c r="P34" s="202">
        <f t="shared" si="15"/>
        <v>35099</v>
      </c>
      <c r="Q34" s="198">
        <f t="shared" si="16"/>
        <v>47045</v>
      </c>
    </row>
    <row r="35" spans="1:17" x14ac:dyDescent="0.2">
      <c r="A35" s="11" t="s">
        <v>38</v>
      </c>
      <c r="B35" s="9"/>
      <c r="C35" s="21">
        <f>'QTD Mgmt Summary'!C35+'[3]QTD Mgmt Summary'!C32</f>
        <v>364667</v>
      </c>
      <c r="D35" s="240">
        <v>125000</v>
      </c>
      <c r="E35" s="294">
        <f t="shared" si="11"/>
        <v>239667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363901</v>
      </c>
      <c r="P35" s="202">
        <f t="shared" si="15"/>
        <v>123347</v>
      </c>
      <c r="Q35" s="198">
        <f t="shared" si="16"/>
        <v>240554</v>
      </c>
    </row>
    <row r="36" spans="1:17" x14ac:dyDescent="0.2">
      <c r="A36" s="11" t="s">
        <v>39</v>
      </c>
      <c r="B36" s="9"/>
      <c r="C36" s="21">
        <f>'QTD Mgmt Summary'!C36+'[3]QTD Mgmt Summary'!C33</f>
        <v>13611</v>
      </c>
      <c r="D36" s="240">
        <v>25000</v>
      </c>
      <c r="E36" s="294">
        <f t="shared" si="11"/>
        <v>-11389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11496</v>
      </c>
      <c r="P36" s="202">
        <f t="shared" si="15"/>
        <v>20598</v>
      </c>
      <c r="Q36" s="198">
        <f t="shared" si="16"/>
        <v>-9102</v>
      </c>
    </row>
    <row r="37" spans="1:17" x14ac:dyDescent="0.2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2" x14ac:dyDescent="0.2">
      <c r="A40" s="25" t="s">
        <v>9</v>
      </c>
      <c r="B40" s="155"/>
      <c r="C40" s="26">
        <f>SUM(C31:C39)</f>
        <v>333326</v>
      </c>
      <c r="D40" s="26">
        <f>SUM(D31:D39)</f>
        <v>476000</v>
      </c>
      <c r="E40" s="26">
        <f>SUM(E31:E39)</f>
        <v>-142674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2033</v>
      </c>
      <c r="L40" s="204">
        <f>SUM(L31:L39)</f>
        <v>6864</v>
      </c>
      <c r="M40" s="204">
        <f>SUM(M31:M39)</f>
        <v>-4831</v>
      </c>
      <c r="N40" s="207"/>
      <c r="O40" s="204">
        <f>SUM(O31:O39)</f>
        <v>310076</v>
      </c>
      <c r="P40" s="204">
        <f>SUM(P31:P39)</f>
        <v>424461</v>
      </c>
      <c r="Q40" s="204">
        <f>SUM(Q31:Q39)</f>
        <v>-114385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'QTD Mgmt Summary'!C42+'[3]QTD Mgmt Summary'!C39</f>
        <v>-59006</v>
      </c>
      <c r="D42" s="240">
        <v>50000</v>
      </c>
      <c r="E42" s="294">
        <f t="shared" ref="E42:E48" si="17">-D42+C42</f>
        <v>-109006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102</v>
      </c>
      <c r="L42" s="202">
        <v>396</v>
      </c>
      <c r="M42" s="293">
        <f t="shared" ref="M42:M47" si="19">K42-L42</f>
        <v>-294</v>
      </c>
      <c r="N42" s="203"/>
      <c r="O42" s="201">
        <f t="shared" ref="O42:P48" si="20">C42-G42-K42</f>
        <v>-62176</v>
      </c>
      <c r="P42" s="202">
        <f t="shared" si="20"/>
        <v>44738</v>
      </c>
      <c r="Q42" s="198">
        <f t="shared" ref="Q42:Q48" si="21">O42-P42</f>
        <v>-106914</v>
      </c>
    </row>
    <row r="43" spans="1:17" ht="13.5" customHeight="1" x14ac:dyDescent="0.2">
      <c r="A43" s="11" t="s">
        <v>43</v>
      </c>
      <c r="B43" s="9"/>
      <c r="C43" s="21">
        <f>'QTD Mgmt Summary'!C43+'[3]QTD Mgmt Summary'!C40</f>
        <v>1783</v>
      </c>
      <c r="D43" s="240">
        <v>20000</v>
      </c>
      <c r="E43" s="294">
        <f t="shared" si="17"/>
        <v>-18217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3379</v>
      </c>
      <c r="L43" s="202">
        <v>1410</v>
      </c>
      <c r="M43" s="293">
        <f t="shared" si="19"/>
        <v>1969</v>
      </c>
      <c r="N43" s="203"/>
      <c r="O43" s="201">
        <f t="shared" si="20"/>
        <v>-2475</v>
      </c>
      <c r="P43" s="202">
        <f t="shared" si="20"/>
        <v>16898</v>
      </c>
      <c r="Q43" s="198">
        <f t="shared" si="21"/>
        <v>-19373</v>
      </c>
    </row>
    <row r="44" spans="1:17" ht="13.5" customHeight="1" x14ac:dyDescent="0.2">
      <c r="A44" s="11" t="s">
        <v>65</v>
      </c>
      <c r="B44" s="9"/>
      <c r="C44" s="21">
        <f>'QTD Mgmt Summary'!C44+'[3]QTD Mgmt Summary'!C41</f>
        <v>110104</v>
      </c>
      <c r="D44" s="240">
        <v>155000</v>
      </c>
      <c r="E44" s="294">
        <f t="shared" si="17"/>
        <v>-44896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109135</v>
      </c>
      <c r="P44" s="202">
        <f t="shared" si="20"/>
        <v>152704</v>
      </c>
      <c r="Q44" s="198">
        <f t="shared" si="21"/>
        <v>-43569</v>
      </c>
    </row>
    <row r="45" spans="1:17" ht="13.5" customHeight="1" x14ac:dyDescent="0.2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">
      <c r="A49" s="25" t="s">
        <v>10</v>
      </c>
      <c r="B49" s="303"/>
      <c r="C49" s="27">
        <f>SUM(C42:C48)</f>
        <v>47633</v>
      </c>
      <c r="D49" s="304">
        <f>SUM(D42:D48)</f>
        <v>285000</v>
      </c>
      <c r="E49" s="305">
        <f>SUM(E42:E48)</f>
        <v>-237367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3481</v>
      </c>
      <c r="L49" s="304">
        <f>SUM(L42:L48)</f>
        <v>3594</v>
      </c>
      <c r="M49" s="305">
        <f>SUM(M42:M48)</f>
        <v>-113</v>
      </c>
      <c r="N49" s="207"/>
      <c r="O49" s="27">
        <f>SUM(O42:O48)</f>
        <v>35799</v>
      </c>
      <c r="P49" s="304">
        <f>SUM(P42:P48)</f>
        <v>262676</v>
      </c>
      <c r="Q49" s="305">
        <f>SUM(Q42:Q48)</f>
        <v>-226877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">
        <v>74</v>
      </c>
      <c r="B51" s="9"/>
      <c r="C51" s="202">
        <f>'QTD Mgmt Summary'!C51+'[3]QTD Mgmt Summary'!C48</f>
        <v>-229</v>
      </c>
      <c r="D51" s="202">
        <v>0</v>
      </c>
      <c r="E51" s="294">
        <f t="shared" ref="E51:E69" si="22">-D51+C51</f>
        <v>-229</v>
      </c>
      <c r="F51" s="23"/>
      <c r="G51" s="240">
        <f>'QTD Mgmt Summary'!G51+'[3]QTD Mgmt Summary'!G48</f>
        <v>345</v>
      </c>
      <c r="H51" s="240">
        <v>891</v>
      </c>
      <c r="I51" s="202">
        <f t="shared" ref="I51:I69" si="23">G51-H51</f>
        <v>-546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-574</v>
      </c>
      <c r="P51" s="202">
        <f t="shared" ref="P51:P69" si="26">D51-H51-L51</f>
        <v>-891</v>
      </c>
      <c r="Q51" s="198">
        <f t="shared" ref="Q51:Q69" si="27">O51-P51</f>
        <v>317</v>
      </c>
    </row>
    <row r="52" spans="1:17" x14ac:dyDescent="0.2">
      <c r="A52" s="11" t="s">
        <v>102</v>
      </c>
      <c r="B52" s="9"/>
      <c r="C52" s="202">
        <f>'QTD Mgmt Summary'!C52+'[3]QTD Mgmt Summary'!C49</f>
        <v>3424</v>
      </c>
      <c r="D52" s="240">
        <v>16000</v>
      </c>
      <c r="E52" s="294">
        <f t="shared" si="22"/>
        <v>-12576</v>
      </c>
      <c r="F52" s="23"/>
      <c r="G52" s="240">
        <f>'QTD Mgmt Summary'!G52+'[3]QTD Mgmt Summary'!G49</f>
        <v>1640</v>
      </c>
      <c r="H52" s="240">
        <v>1739</v>
      </c>
      <c r="I52" s="202">
        <f t="shared" si="23"/>
        <v>-99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1784</v>
      </c>
      <c r="P52" s="202">
        <f t="shared" si="26"/>
        <v>14261</v>
      </c>
      <c r="Q52" s="198">
        <f t="shared" si="27"/>
        <v>-12477</v>
      </c>
    </row>
    <row r="53" spans="1:17" x14ac:dyDescent="0.2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4">
        <f t="shared" si="22"/>
        <v>-15663</v>
      </c>
      <c r="F53" s="23"/>
      <c r="G53" s="240">
        <f>'QTD Mgmt Summary'!G53+'[3]QTD Mgmt Summary'!G50</f>
        <v>2092</v>
      </c>
      <c r="H53" s="240">
        <v>1741</v>
      </c>
      <c r="I53" s="202">
        <f t="shared" si="23"/>
        <v>351</v>
      </c>
      <c r="J53" s="9"/>
      <c r="K53" s="202">
        <f>'QTD Mgmt Summary'!K53+'[3]QTD Mgmt Summary'!K50</f>
        <v>1028</v>
      </c>
      <c r="L53" s="202">
        <v>2612</v>
      </c>
      <c r="M53" s="293">
        <f t="shared" si="24"/>
        <v>-1584</v>
      </c>
      <c r="N53" s="203"/>
      <c r="O53" s="201">
        <f t="shared" si="25"/>
        <v>1217</v>
      </c>
      <c r="P53" s="202">
        <f t="shared" si="26"/>
        <v>15647</v>
      </c>
      <c r="Q53" s="198">
        <f t="shared" si="27"/>
        <v>-14430</v>
      </c>
    </row>
    <row r="54" spans="1:17" x14ac:dyDescent="0.2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350</v>
      </c>
      <c r="H54" s="240">
        <v>1048</v>
      </c>
      <c r="I54" s="202">
        <f t="shared" si="23"/>
        <v>-698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-100</v>
      </c>
      <c r="P54" s="202">
        <f t="shared" si="26"/>
        <v>6952</v>
      </c>
      <c r="Q54" s="198">
        <f t="shared" si="27"/>
        <v>-7052</v>
      </c>
    </row>
    <row r="55" spans="1:17" x14ac:dyDescent="0.2">
      <c r="A55" s="11" t="s">
        <v>105</v>
      </c>
      <c r="B55" s="9"/>
      <c r="C55" s="202">
        <f>'QTD Mgmt Summary'!C55+'[3]QTD Mgmt Summary'!C52</f>
        <v>1278</v>
      </c>
      <c r="D55" s="240">
        <v>4000</v>
      </c>
      <c r="E55" s="294">
        <f t="shared" si="22"/>
        <v>-2722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1051</v>
      </c>
      <c r="P55" s="202">
        <f t="shared" si="26"/>
        <v>3299</v>
      </c>
      <c r="Q55" s="198">
        <f t="shared" si="27"/>
        <v>-2248</v>
      </c>
    </row>
    <row r="56" spans="1:17" x14ac:dyDescent="0.2">
      <c r="A56" s="11" t="s">
        <v>106</v>
      </c>
      <c r="B56" s="9"/>
      <c r="C56" s="202">
        <f>'QTD Mgmt Summary'!C56+'[3]QTD Mgmt Summary'!C53</f>
        <v>134</v>
      </c>
      <c r="D56" s="240">
        <v>2000</v>
      </c>
      <c r="E56" s="294">
        <f t="shared" si="22"/>
        <v>-1866</v>
      </c>
      <c r="F56" s="23"/>
      <c r="G56" s="202">
        <f>'QTD Mgmt Summary'!G56+'[3]QTD Mgmt Summary'!G53</f>
        <v>153</v>
      </c>
      <c r="H56" s="202">
        <v>586</v>
      </c>
      <c r="I56" s="202">
        <f t="shared" si="23"/>
        <v>-433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-19</v>
      </c>
      <c r="P56" s="202">
        <f t="shared" si="26"/>
        <v>1414</v>
      </c>
      <c r="Q56" s="198">
        <f t="shared" si="27"/>
        <v>-1433</v>
      </c>
    </row>
    <row r="57" spans="1:17" x14ac:dyDescent="0.2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11511</v>
      </c>
      <c r="L57" s="202">
        <v>25128</v>
      </c>
      <c r="M57" s="293">
        <f t="shared" si="24"/>
        <v>-13617</v>
      </c>
      <c r="N57" s="203"/>
      <c r="O57" s="201">
        <f t="shared" si="25"/>
        <v>-4408</v>
      </c>
      <c r="P57" s="202">
        <f t="shared" si="26"/>
        <v>-13491</v>
      </c>
      <c r="Q57" s="198">
        <f t="shared" si="27"/>
        <v>9083</v>
      </c>
    </row>
    <row r="58" spans="1:17" x14ac:dyDescent="0.2">
      <c r="A58" s="11" t="s">
        <v>68</v>
      </c>
      <c r="B58" s="9"/>
      <c r="C58" s="202">
        <f>'QTD Mgmt Summary'!C58+'[3]QTD Mgmt Summary'!C55</f>
        <v>33507</v>
      </c>
      <c r="D58" s="240">
        <v>-82780</v>
      </c>
      <c r="E58" s="294">
        <f t="shared" si="22"/>
        <v>116287</v>
      </c>
      <c r="F58" s="23"/>
      <c r="G58" s="240">
        <f>'QTD Mgmt Summary'!G58+'[3]QTD Mgmt Summary'!G55</f>
        <v>127472</v>
      </c>
      <c r="H58" s="240">
        <v>8383</v>
      </c>
      <c r="I58" s="202">
        <f t="shared" si="23"/>
        <v>119089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-93965</v>
      </c>
      <c r="P58" s="202">
        <f t="shared" si="26"/>
        <v>-91163</v>
      </c>
      <c r="Q58" s="198">
        <f t="shared" si="27"/>
        <v>-2802</v>
      </c>
    </row>
    <row r="59" spans="1:17" x14ac:dyDescent="0.2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40</v>
      </c>
      <c r="L60" s="202">
        <f>CapChrg!D57</f>
        <v>0</v>
      </c>
      <c r="M60" s="293">
        <f t="shared" si="24"/>
        <v>40</v>
      </c>
      <c r="N60" s="203"/>
      <c r="O60" s="201">
        <f t="shared" si="25"/>
        <v>-2064</v>
      </c>
      <c r="P60" s="202">
        <f t="shared" si="26"/>
        <v>54456</v>
      </c>
      <c r="Q60" s="198">
        <f t="shared" si="27"/>
        <v>-56520</v>
      </c>
    </row>
    <row r="61" spans="1:17" ht="12" customHeight="1" x14ac:dyDescent="0.2">
      <c r="A61" s="11" t="s">
        <v>47</v>
      </c>
      <c r="B61" s="9"/>
      <c r="C61" s="202">
        <f>'QTD Mgmt Summary'!C61+'[3]QTD Mgmt Summary'!C58</f>
        <v>10955</v>
      </c>
      <c r="D61" s="240">
        <v>80000</v>
      </c>
      <c r="E61" s="294">
        <f t="shared" si="22"/>
        <v>-69045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-34352</v>
      </c>
      <c r="P61" s="202">
        <f t="shared" si="26"/>
        <v>12081</v>
      </c>
      <c r="Q61" s="198">
        <f t="shared" si="27"/>
        <v>-46433</v>
      </c>
    </row>
    <row r="62" spans="1:17" ht="12" customHeight="1" x14ac:dyDescent="0.2">
      <c r="A62" s="11" t="s">
        <v>48</v>
      </c>
      <c r="B62" s="9"/>
      <c r="C62" s="202">
        <f>'QTD Mgmt Summary'!C62+'[3]QTD Mgmt Summary'!C59</f>
        <v>-1917</v>
      </c>
      <c r="D62" s="240">
        <v>49999</v>
      </c>
      <c r="E62" s="294">
        <f t="shared" si="22"/>
        <v>-51916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9875</v>
      </c>
      <c r="L62" s="202">
        <v>28436</v>
      </c>
      <c r="M62" s="293">
        <f t="shared" si="24"/>
        <v>-18561</v>
      </c>
      <c r="N62" s="203"/>
      <c r="O62" s="201">
        <f t="shared" si="25"/>
        <v>-13600</v>
      </c>
      <c r="P62" s="202">
        <f t="shared" si="26"/>
        <v>17999</v>
      </c>
      <c r="Q62" s="198">
        <f t="shared" si="27"/>
        <v>-31599</v>
      </c>
    </row>
    <row r="63" spans="1:17" ht="12" customHeight="1" x14ac:dyDescent="0.2">
      <c r="A63" s="11" t="s">
        <v>63</v>
      </c>
      <c r="B63" s="9"/>
      <c r="C63" s="202">
        <f>'QTD Mgmt Summary'!C63+'[3]QTD Mgmt Summary'!C60</f>
        <v>14196</v>
      </c>
      <c r="D63" s="240">
        <v>50000</v>
      </c>
      <c r="E63" s="294">
        <f t="shared" si="22"/>
        <v>-35804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18237</v>
      </c>
      <c r="L63" s="202">
        <v>30424</v>
      </c>
      <c r="M63" s="293">
        <f t="shared" si="24"/>
        <v>-12187</v>
      </c>
      <c r="N63" s="203"/>
      <c r="O63" s="201">
        <f t="shared" si="25"/>
        <v>-7808</v>
      </c>
      <c r="P63" s="202">
        <f t="shared" si="26"/>
        <v>11787</v>
      </c>
      <c r="Q63" s="198">
        <f t="shared" si="27"/>
        <v>-19595</v>
      </c>
    </row>
    <row r="64" spans="1:17" ht="12" customHeight="1" x14ac:dyDescent="0.2">
      <c r="A64" s="11" t="s">
        <v>49</v>
      </c>
      <c r="B64" s="9"/>
      <c r="C64" s="202">
        <f>'QTD Mgmt Summary'!C64+'[3]QTD Mgmt Summary'!C61</f>
        <v>7752</v>
      </c>
      <c r="D64" s="240">
        <v>20000</v>
      </c>
      <c r="E64" s="294">
        <f t="shared" si="22"/>
        <v>-12248</v>
      </c>
      <c r="F64" s="23"/>
      <c r="G64" s="240">
        <f>'QTD Mgmt Summary'!G64+'[3]QTD Mgmt Summary'!G61</f>
        <v>1510</v>
      </c>
      <c r="H64" s="240">
        <v>2880</v>
      </c>
      <c r="I64" s="202">
        <f t="shared" si="23"/>
        <v>-1370</v>
      </c>
      <c r="J64" s="9"/>
      <c r="K64" s="240">
        <f>'QTD Mgmt Summary'!K64+'[3]QTD Mgmt Summary'!K61</f>
        <v>27769</v>
      </c>
      <c r="L64" s="202">
        <v>54508</v>
      </c>
      <c r="M64" s="293">
        <f t="shared" si="24"/>
        <v>-26739</v>
      </c>
      <c r="N64" s="203"/>
      <c r="O64" s="201">
        <f t="shared" si="25"/>
        <v>-21527</v>
      </c>
      <c r="P64" s="202">
        <f t="shared" si="26"/>
        <v>-37388</v>
      </c>
      <c r="Q64" s="198">
        <f t="shared" si="27"/>
        <v>15861</v>
      </c>
    </row>
    <row r="65" spans="1:17" ht="12" customHeight="1" x14ac:dyDescent="0.2">
      <c r="A65" s="11" t="s">
        <v>134</v>
      </c>
      <c r="B65" s="9"/>
      <c r="C65" s="202">
        <f>'QTD Mgmt Summary'!C65+'[3]QTD Mgmt Summary'!C62</f>
        <v>-9016</v>
      </c>
      <c r="D65" s="240">
        <v>-20700</v>
      </c>
      <c r="E65" s="294">
        <f t="shared" si="22"/>
        <v>11684</v>
      </c>
      <c r="F65" s="23"/>
      <c r="G65" s="240">
        <f>'QTD Mgmt Summary'!G65+'[3]QTD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Summary'!K65+'[3]QTD Mgmt Summary'!K62</f>
        <v>19379</v>
      </c>
      <c r="L65" s="202">
        <v>53488</v>
      </c>
      <c r="M65" s="293">
        <f t="shared" si="24"/>
        <v>-34109</v>
      </c>
      <c r="N65" s="203"/>
      <c r="O65" s="201">
        <f t="shared" si="25"/>
        <v>-31216</v>
      </c>
      <c r="P65" s="202">
        <f t="shared" si="26"/>
        <v>-80453</v>
      </c>
      <c r="Q65" s="198">
        <f t="shared" si="27"/>
        <v>49237</v>
      </c>
    </row>
    <row r="66" spans="1:17" ht="12" customHeight="1" x14ac:dyDescent="0.2">
      <c r="A66" s="11" t="s">
        <v>71</v>
      </c>
      <c r="B66" s="20"/>
      <c r="C66" s="202">
        <f>'QTD Mgmt Summary'!C66+'[3]QTD Mgmt Summary'!C63</f>
        <v>654961</v>
      </c>
      <c r="D66" s="240">
        <v>-23653</v>
      </c>
      <c r="E66" s="294">
        <f t="shared" si="22"/>
        <v>678614</v>
      </c>
      <c r="F66" s="23"/>
      <c r="G66" s="240">
        <f>'QTD Mgmt Summary'!G66+'[3]QTD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Summary'!K66+'[3]QTD Mgmt Summary'!K63</f>
        <v>48616</v>
      </c>
      <c r="L66" s="202">
        <v>65776</v>
      </c>
      <c r="M66" s="293">
        <f t="shared" si="24"/>
        <v>-17160</v>
      </c>
      <c r="N66" s="203"/>
      <c r="O66" s="201">
        <f t="shared" si="25"/>
        <v>594218</v>
      </c>
      <c r="P66" s="202">
        <f t="shared" si="26"/>
        <v>-93405</v>
      </c>
      <c r="Q66" s="198">
        <f t="shared" si="27"/>
        <v>687623</v>
      </c>
    </row>
    <row r="67" spans="1:17" ht="12" customHeight="1" x14ac:dyDescent="0.2">
      <c r="A67" s="11" t="s">
        <v>73</v>
      </c>
      <c r="B67" s="20"/>
      <c r="C67" s="202">
        <f>'QTD Mgmt Summary'!C67+'[3]QTD Mgmt Summary'!C64</f>
        <v>-6924</v>
      </c>
      <c r="D67" s="240">
        <f>GrossMargin!M65</f>
        <v>0</v>
      </c>
      <c r="E67" s="294">
        <f t="shared" si="22"/>
        <v>-6924</v>
      </c>
      <c r="F67" s="23"/>
      <c r="G67" s="202">
        <f>'QTD Mgmt Summary'!G67+'[3]QTD Mgmt Summary'!G64</f>
        <v>0</v>
      </c>
      <c r="H67" s="202">
        <f>Expenses!D64+Expenses!H64</f>
        <v>0</v>
      </c>
      <c r="I67" s="202">
        <f t="shared" si="23"/>
        <v>0</v>
      </c>
      <c r="J67" s="9"/>
      <c r="K67" s="202">
        <f>'QTD Mgmt Summary'!K67+'[3]QTD Mgmt Summary'!K64</f>
        <v>0</v>
      </c>
      <c r="L67" s="202">
        <f>CapChrg!D64</f>
        <v>0</v>
      </c>
      <c r="M67" s="293">
        <f t="shared" si="24"/>
        <v>0</v>
      </c>
      <c r="N67" s="203"/>
      <c r="O67" s="201">
        <f t="shared" si="25"/>
        <v>-6924</v>
      </c>
      <c r="P67" s="202">
        <f t="shared" si="26"/>
        <v>0</v>
      </c>
      <c r="Q67" s="198">
        <f t="shared" si="27"/>
        <v>-6924</v>
      </c>
    </row>
    <row r="68" spans="1:17" ht="12" customHeight="1" x14ac:dyDescent="0.2">
      <c r="A68" s="29" t="s">
        <v>129</v>
      </c>
      <c r="B68" s="9"/>
      <c r="C68" s="202">
        <f>'QTD Mgmt Summary'!C68+'[3]QTD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Summary'!G68+'[3]QTD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Summary'!K68+'[3]QTD Mgmt Summary'!K65</f>
        <v>0</v>
      </c>
      <c r="L68" s="202">
        <f>CapChrg!D65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">
      <c r="A69" s="29" t="s">
        <v>125</v>
      </c>
      <c r="B69" s="9"/>
      <c r="C69" s="202">
        <f>'QTD Mgmt Summary'!C69+'[3]QTD Mgmt Summary'!C66</f>
        <v>0</v>
      </c>
      <c r="D69" s="240">
        <f>GrossMargin!M67</f>
        <v>0</v>
      </c>
      <c r="E69" s="294">
        <f t="shared" si="22"/>
        <v>0</v>
      </c>
      <c r="F69" s="23"/>
      <c r="G69" s="240">
        <f>'QTD Mgmt Summary'!G69+'[3]QTD Mgmt Summary'!G66</f>
        <v>253300</v>
      </c>
      <c r="H69" s="240">
        <f>Expenses!D67+Expenses!H67</f>
        <v>0</v>
      </c>
      <c r="I69" s="202">
        <f t="shared" si="23"/>
        <v>253300</v>
      </c>
      <c r="J69" s="9"/>
      <c r="K69" s="202">
        <f>'QTD Mgmt Summary'!K69+'[3]QTD Mgmt Summary'!K66</f>
        <v>0</v>
      </c>
      <c r="L69" s="202">
        <f>CapChrg!D67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">
      <c r="A70" s="25" t="s">
        <v>12</v>
      </c>
      <c r="B70" s="155"/>
      <c r="C70" s="26">
        <f>SUM(C51:C69)+C49+C40+C29+C21</f>
        <v>1786669</v>
      </c>
      <c r="D70" s="27">
        <f>SUM(D51:D69)+D49+D40+D29+D21</f>
        <v>1571853</v>
      </c>
      <c r="E70" s="28">
        <f>SUM(E51:E69)+E49+E40+E29+E21</f>
        <v>214816</v>
      </c>
      <c r="F70" s="156"/>
      <c r="G70" s="204">
        <f>SUM(G51:G69)+G49+G40+G29+G21</f>
        <v>483862</v>
      </c>
      <c r="H70" s="205">
        <f>SUM(H51:H69)+H49+H40+H29+H21</f>
        <v>199931</v>
      </c>
      <c r="I70" s="205">
        <f>SUM(I51:I69)+I49+I40+I29+I21</f>
        <v>283931</v>
      </c>
      <c r="J70" s="9"/>
      <c r="K70" s="205">
        <f>SUM(K51:K69)+K49+K40+K29+K21</f>
        <v>189170</v>
      </c>
      <c r="L70" s="205">
        <f>SUM(L51:L69)+L49+L40+L29+L21</f>
        <v>348670</v>
      </c>
      <c r="M70" s="206">
        <f>SUM(M51:M69)+M49+M40+M29+M21</f>
        <v>-159500</v>
      </c>
      <c r="N70" s="207"/>
      <c r="O70" s="204">
        <f>SUM(O51:O69)+O49+O40+O29+O21</f>
        <v>1113637</v>
      </c>
      <c r="P70" s="205">
        <f>SUM(P51:P69)+P49+P40+P29+P21</f>
        <v>1023252</v>
      </c>
      <c r="Q70" s="206">
        <f>SUM(Q51:Q69)+Q49+Q40+Q29+Q21</f>
        <v>90385</v>
      </c>
    </row>
    <row r="71" spans="1:17" ht="6.75" customHeight="1" x14ac:dyDescent="0.2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">
      <c r="A72" s="29" t="s">
        <v>51</v>
      </c>
      <c r="B72" s="9"/>
      <c r="C72" s="202">
        <f>'QTD Mgmt Summary'!C72+'[3]QTD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Summary'!G72+'[3]QTD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Summary'!K72+'[3]QTD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">
      <c r="A73" s="29" t="s">
        <v>52</v>
      </c>
      <c r="B73" s="9"/>
      <c r="C73" s="202">
        <f>'QTD Mgmt Summary'!C73+'[3]QTD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Summary'!G73+'[3]QTD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Summary'!K73+'[3]QTD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">
      <c r="A74" s="29" t="s">
        <v>107</v>
      </c>
      <c r="B74" s="9"/>
      <c r="C74" s="202">
        <f>'QTD Mgmt Summary'!C74+'[3]QTD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Summary'!G74+'[3]QTD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Summary'!K74+'[3]QTD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">
      <c r="A75" s="29" t="s">
        <v>53</v>
      </c>
      <c r="B75" s="9"/>
      <c r="C75" s="202">
        <f>'QTD Mgmt Summary'!C75+'[3]QTD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Summary'!G75+'[3]QTD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Summary'!K75+'[3]QTD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">
      <c r="A76" s="29" t="s">
        <v>54</v>
      </c>
      <c r="B76" s="9"/>
      <c r="C76" s="202">
        <f>'QTD Mgmt Summary'!C76+'[3]QTD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Summary'!G76+'[3]QTD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Summary'!K76+'[3]QTD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">
      <c r="A77" s="29" t="s">
        <v>55</v>
      </c>
      <c r="B77" s="9"/>
      <c r="C77" s="202">
        <f>'QTD Mgmt Summary'!C77+'[3]QTD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Summary'!G77+'[3]QTD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Summary'!K77+'[3]QTD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">
      <c r="A78" s="29" t="s">
        <v>56</v>
      </c>
      <c r="B78" s="9"/>
      <c r="C78" s="202">
        <f>'QTD Mgmt Summary'!C78+'[3]QTD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Summary'!G78+'[3]QTD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Summary'!K78+'[3]QTD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">
      <c r="A79" s="29" t="s">
        <v>57</v>
      </c>
      <c r="B79" s="9"/>
      <c r="C79" s="202">
        <f>'QTD Mgmt Summary'!C79+'[3]QTD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Summary'!G79+'[3]QTD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Summary'!K79+'[3]QTD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">
      <c r="A80" s="29" t="s">
        <v>59</v>
      </c>
      <c r="B80" s="9"/>
      <c r="C80" s="202">
        <f>'QTD Mgmt Summary'!C80+'[3]QTD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Summary'!G80+'[3]QTD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Summary'!K80+'[3]QTD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">
      <c r="A81" s="29" t="s">
        <v>60</v>
      </c>
      <c r="B81" s="9"/>
      <c r="C81" s="202">
        <f>'QTD Mgmt Summary'!C81+'[3]QTD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Summary'!G81+'[3]QTD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Summary'!K81+'[3]QTD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">
      <c r="A82" s="29" t="s">
        <v>61</v>
      </c>
      <c r="B82" s="9"/>
      <c r="C82" s="202">
        <f>'QTD Mgmt Summary'!C82+'[3]QTD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Summary'!G82+'[3]QTD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Summary'!K82+'[3]QTD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">
      <c r="A83" s="29" t="s">
        <v>62</v>
      </c>
      <c r="B83" s="9"/>
      <c r="C83" s="202">
        <f>'QTD Mgmt Summary'!C83+'[3]QTD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Summary'!G83+'[3]QTD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Summary'!K83+'[3]QTD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">
      <c r="A84" s="29" t="s">
        <v>58</v>
      </c>
      <c r="B84" s="9"/>
      <c r="C84" s="202">
        <f>'QTD Mgmt Summary'!C84+'[3]QTD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Summary'!G84+'[3]QTD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Summary'!K84+'[3]QTD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">
      <c r="A85" s="29" t="s">
        <v>17</v>
      </c>
      <c r="B85" s="9"/>
      <c r="C85" s="202">
        <f>'QTD Mgmt Summary'!C85+'[3]QTD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Summary'!G85+'[3]QTD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Summary'!K85+'[3]QTD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">
      <c r="A87" s="181" t="s">
        <v>119</v>
      </c>
      <c r="B87" s="9"/>
      <c r="C87" s="202">
        <f>'QTD Mgmt Summary'!C87+'[3]QTD Mgmt Summary'!C84</f>
        <v>0</v>
      </c>
      <c r="D87" s="202">
        <v>0</v>
      </c>
      <c r="E87" s="292">
        <f>-D87+C87</f>
        <v>0</v>
      </c>
      <c r="F87" s="23"/>
      <c r="G87" s="240">
        <f>'QTD Mgmt Summary'!G87+'[3]QTD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Summary'!K87+'[3]QTD Mgmt Summary'!K84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">
      <c r="A88" s="181" t="s">
        <v>120</v>
      </c>
      <c r="B88" s="9"/>
      <c r="C88" s="202">
        <f>'QTD Mgmt Summary'!C88+'[3]QTD Mgmt Summary'!C85</f>
        <v>71395</v>
      </c>
      <c r="D88" s="240">
        <v>131639</v>
      </c>
      <c r="E88" s="294">
        <f>-D88+C88</f>
        <v>-60244</v>
      </c>
      <c r="F88" s="23"/>
      <c r="G88" s="240">
        <f>'QTD Mgmt Summary'!G88+'[3]QTD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Summary'!K88+'[3]QTD Mgmt Summary'!K85</f>
        <v>0</v>
      </c>
      <c r="L88" s="202">
        <f>CapChrg!D85</f>
        <v>0</v>
      </c>
      <c r="M88" s="293">
        <f>K88-L88</f>
        <v>0</v>
      </c>
      <c r="N88" s="203"/>
      <c r="O88" s="201">
        <f t="shared" si="34"/>
        <v>66593</v>
      </c>
      <c r="P88" s="202">
        <f t="shared" si="34"/>
        <v>120000</v>
      </c>
      <c r="Q88" s="198">
        <f>O88-P88</f>
        <v>-53407</v>
      </c>
    </row>
    <row r="89" spans="1:17" s="33" customFormat="1" ht="12" customHeight="1" x14ac:dyDescent="0.2">
      <c r="A89" s="181" t="s">
        <v>116</v>
      </c>
      <c r="B89" s="9"/>
      <c r="C89" s="202">
        <f>'QTD Mgmt Summary'!C89+'[3]QTD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Summary'!G89+'[3]QTD Mgmt Summary'!G86</f>
        <v>0</v>
      </c>
      <c r="H89" s="240">
        <v>0</v>
      </c>
      <c r="I89" s="202">
        <f>G89-H89</f>
        <v>0</v>
      </c>
      <c r="J89" s="9"/>
      <c r="K89" s="202">
        <f>'QTD Mgmt Summary'!K89+'[3]QTD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25">
      <c r="A90" s="29" t="s">
        <v>115</v>
      </c>
      <c r="B90" s="9"/>
      <c r="C90" s="202">
        <f>'QTD Mgmt Summary'!C90+'[3]QTD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Summary'!G90+'[3]QTD Mgmt Summary'!G87</f>
        <v>0</v>
      </c>
      <c r="H90" s="202">
        <v>0</v>
      </c>
      <c r="I90" s="202">
        <f>G90-H90</f>
        <v>0</v>
      </c>
      <c r="J90" s="9"/>
      <c r="K90" s="240">
        <f>'QTD Mgmt Summary'!K90+'[3]QTD Mgmt Summary'!K87</f>
        <v>-189170</v>
      </c>
      <c r="L90" s="240">
        <v>-348670</v>
      </c>
      <c r="M90" s="293">
        <f>K90-L90</f>
        <v>159500</v>
      </c>
      <c r="N90" s="203"/>
      <c r="O90" s="201">
        <f t="shared" si="34"/>
        <v>194943</v>
      </c>
      <c r="P90" s="202">
        <f t="shared" si="34"/>
        <v>348670</v>
      </c>
      <c r="Q90" s="198">
        <f>O90-P90</f>
        <v>-153727</v>
      </c>
    </row>
    <row r="91" spans="1:17" s="157" customFormat="1" ht="12" customHeight="1" thickBot="1" x14ac:dyDescent="0.25">
      <c r="A91" s="25" t="s">
        <v>141</v>
      </c>
      <c r="B91" s="303"/>
      <c r="C91" s="310">
        <f>C70+C86+C87+C88+C89+C90</f>
        <v>1822506</v>
      </c>
      <c r="D91" s="310">
        <f>D70+D86+D87+D88+D89+D90</f>
        <v>1651492</v>
      </c>
      <c r="E91" s="310">
        <f>E70+E86+E87+E88+E89+E90</f>
        <v>171014</v>
      </c>
      <c r="F91" s="156"/>
      <c r="G91" s="310">
        <f>G70+G86+G87+G88+G89+G90</f>
        <v>736103</v>
      </c>
      <c r="H91" s="310">
        <f>H70+H86+H87+H88+H89+H90</f>
        <v>749665</v>
      </c>
      <c r="I91" s="310">
        <f>I70+I86+I87+I88+I89+I90</f>
        <v>-13562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1086403</v>
      </c>
      <c r="P91" s="318">
        <f>P70+P86+P87+P88+P89+P90</f>
        <v>901827</v>
      </c>
      <c r="Q91" s="319">
        <f>Q70+Q86+Q87+Q88+Q89+Q90</f>
        <v>184576</v>
      </c>
    </row>
    <row r="92" spans="1:17" ht="12.75" customHeight="1" thickBot="1" x14ac:dyDescent="0.25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v>0</v>
      </c>
      <c r="I92" s="202">
        <f>G92-H92</f>
        <v>1092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0</v>
      </c>
      <c r="Q92" s="316">
        <f>O92-P92</f>
        <v>-1092</v>
      </c>
    </row>
    <row r="93" spans="1:17" s="157" customFormat="1" ht="12" customHeight="1" thickBot="1" x14ac:dyDescent="0.3">
      <c r="A93" s="35" t="s">
        <v>142</v>
      </c>
      <c r="B93" s="158"/>
      <c r="C93" s="36">
        <f>SUM(C91:C92)</f>
        <v>1822506</v>
      </c>
      <c r="D93" s="37">
        <f>SUM(D91:D92)</f>
        <v>1651492</v>
      </c>
      <c r="E93" s="51">
        <f>SUM(E91:E92)</f>
        <v>171014</v>
      </c>
      <c r="F93" s="159"/>
      <c r="G93" s="212">
        <f>SUM(G91:G92)</f>
        <v>737195</v>
      </c>
      <c r="H93" s="213">
        <f>SUM(H91:H92)</f>
        <v>749665</v>
      </c>
      <c r="I93" s="213">
        <f>G93-H93</f>
        <v>-12470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1085311</v>
      </c>
      <c r="P93" s="312">
        <f>SUM(P91:P92)</f>
        <v>901827</v>
      </c>
      <c r="Q93" s="313">
        <f>SUM(Q91:Q92)</f>
        <v>183484</v>
      </c>
    </row>
    <row r="94" spans="1:17" ht="3" customHeight="1" x14ac:dyDescent="0.3">
      <c r="A94" s="38"/>
      <c r="C94" s="39"/>
      <c r="D94" s="40"/>
      <c r="E94" s="38"/>
      <c r="F94" s="41"/>
    </row>
    <row r="95" spans="1:17" x14ac:dyDescent="0.2">
      <c r="A95" s="43"/>
      <c r="C95" s="41"/>
      <c r="D95" s="40"/>
      <c r="E95" s="41"/>
      <c r="F95" s="41"/>
    </row>
    <row r="96" spans="1:17" ht="13.5" customHeight="1" x14ac:dyDescent="0.2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sheetProtection sheet="1" objects="1" scenarios="1"/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Havlíček Jan</cp:lastModifiedBy>
  <cp:lastPrinted>2001-05-14T15:29:27Z</cp:lastPrinted>
  <dcterms:created xsi:type="dcterms:W3CDTF">2001-01-02T19:05:14Z</dcterms:created>
  <dcterms:modified xsi:type="dcterms:W3CDTF">2023-09-10T11:46:35Z</dcterms:modified>
</cp:coreProperties>
</file>