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/>
  </bookViews>
  <sheets>
    <sheet name="0201" sheetId="18" r:id="rId1"/>
    <sheet name="0101" sheetId="17" r:id="rId2"/>
    <sheet name="1200" sheetId="16" r:id="rId3"/>
    <sheet name="1100" sheetId="15" r:id="rId4"/>
    <sheet name="1000" sheetId="14" r:id="rId5"/>
    <sheet name="0900" sheetId="13" r:id="rId6"/>
    <sheet name="0800" sheetId="12" r:id="rId7"/>
    <sheet name="0700" sheetId="11" r:id="rId8"/>
    <sheet name="0600" sheetId="10" r:id="rId9"/>
    <sheet name="0500" sheetId="9" r:id="rId10"/>
    <sheet name="0400" sheetId="8" r:id="rId11"/>
    <sheet name="0300" sheetId="7" r:id="rId12"/>
    <sheet name="0200" sheetId="6" r:id="rId13"/>
    <sheet name="0100" sheetId="5" r:id="rId14"/>
    <sheet name="1299" sheetId="4" r:id="rId15"/>
    <sheet name="1199" sheetId="1" r:id="rId16"/>
    <sheet name="Sheet2" sheetId="2" r:id="rId17"/>
    <sheet name="Sheet3" sheetId="3" r:id="rId18"/>
  </sheets>
  <definedNames>
    <definedName name="_xlnm.Print_Area" localSheetId="13">'0100'!$A$3:$O$42</definedName>
    <definedName name="_xlnm.Print_Area" localSheetId="1">'0101'!$A$1:$O$42</definedName>
    <definedName name="_xlnm.Print_Area" localSheetId="12">'0200'!$A$3:$O$42</definedName>
    <definedName name="_xlnm.Print_Area" localSheetId="11">'0300'!$A$3:$O$42</definedName>
    <definedName name="_xlnm.Print_Area" localSheetId="10">'0400'!$A$2:$O$42</definedName>
    <definedName name="_xlnm.Print_Area" localSheetId="9">'0500'!$A$3:$O$42</definedName>
    <definedName name="_xlnm.Print_Area" localSheetId="8">'0600'!$A$1:$O$42</definedName>
    <definedName name="_xlnm.Print_Area" localSheetId="7">'0700'!$A$3:$O$42</definedName>
    <definedName name="_xlnm.Print_Area" localSheetId="6">'0800'!$A$3:$O$42</definedName>
    <definedName name="_xlnm.Print_Area" localSheetId="5">'0900'!$A$1:$O$42</definedName>
    <definedName name="_xlnm.Print_Area" localSheetId="4">'1000'!$A$3:$O$42</definedName>
    <definedName name="_xlnm.Print_Area" localSheetId="3">'1100'!$A$3:$O$42</definedName>
    <definedName name="_xlnm.Print_Area" localSheetId="15">'1199'!$A$3:$O$42</definedName>
    <definedName name="_xlnm.Print_Area" localSheetId="2">'1200'!$A$1:$O$42</definedName>
    <definedName name="_xlnm.Print_Area" localSheetId="14">'1299'!$A$3:$O$42</definedName>
  </definedNames>
  <calcPr calcId="92512"/>
</workbook>
</file>

<file path=xl/calcChain.xml><?xml version="1.0" encoding="utf-8"?>
<calcChain xmlns="http://schemas.openxmlformats.org/spreadsheetml/2006/main">
  <c r="L14" i="5" l="1"/>
  <c r="N14" i="5"/>
  <c r="D15" i="5"/>
  <c r="F15" i="5"/>
  <c r="L15" i="5"/>
  <c r="L19" i="5"/>
  <c r="N19" i="5"/>
  <c r="D20" i="5"/>
  <c r="F20" i="5"/>
  <c r="H20" i="5"/>
  <c r="J20" i="5"/>
  <c r="L20" i="5"/>
  <c r="N23" i="5"/>
  <c r="D24" i="5"/>
  <c r="F24" i="5"/>
  <c r="H24" i="5"/>
  <c r="J24" i="5"/>
  <c r="L24" i="5"/>
  <c r="L27" i="5"/>
  <c r="N27" i="5"/>
  <c r="D28" i="5"/>
  <c r="F28" i="5"/>
  <c r="H28" i="5"/>
  <c r="J28" i="5"/>
  <c r="L28" i="5"/>
  <c r="N31" i="5"/>
  <c r="D32" i="5"/>
  <c r="F32" i="5"/>
  <c r="H32" i="5"/>
  <c r="J32" i="5"/>
  <c r="L32" i="5"/>
  <c r="N35" i="5"/>
  <c r="D36" i="5"/>
  <c r="F36" i="5"/>
  <c r="H36" i="5"/>
  <c r="J36" i="5"/>
  <c r="L36" i="5"/>
  <c r="D39" i="5"/>
  <c r="F39" i="5"/>
  <c r="H39" i="5"/>
  <c r="J39" i="5"/>
  <c r="L39" i="5"/>
  <c r="N39" i="5"/>
  <c r="D40" i="5"/>
  <c r="F40" i="5"/>
  <c r="H40" i="5"/>
  <c r="J40" i="5"/>
  <c r="L40" i="5"/>
  <c r="L14" i="17"/>
  <c r="N14" i="17"/>
  <c r="D15" i="17"/>
  <c r="F15" i="17"/>
  <c r="L15" i="17"/>
  <c r="L19" i="17"/>
  <c r="N19" i="17"/>
  <c r="D20" i="17"/>
  <c r="F20" i="17"/>
  <c r="H20" i="17"/>
  <c r="J20" i="17"/>
  <c r="L20" i="17"/>
  <c r="N23" i="17"/>
  <c r="D24" i="17"/>
  <c r="F24" i="17"/>
  <c r="H24" i="17"/>
  <c r="J24" i="17"/>
  <c r="L24" i="17"/>
  <c r="L27" i="17"/>
  <c r="N27" i="17"/>
  <c r="D28" i="17"/>
  <c r="F28" i="17"/>
  <c r="H28" i="17"/>
  <c r="J28" i="17"/>
  <c r="L28" i="17"/>
  <c r="L31" i="17"/>
  <c r="N31" i="17"/>
  <c r="D32" i="17"/>
  <c r="F32" i="17"/>
  <c r="H32" i="17"/>
  <c r="J32" i="17"/>
  <c r="L32" i="17"/>
  <c r="L35" i="17"/>
  <c r="N35" i="17"/>
  <c r="D36" i="17"/>
  <c r="F36" i="17"/>
  <c r="H36" i="17"/>
  <c r="J36" i="17"/>
  <c r="L36" i="17"/>
  <c r="O36" i="17"/>
  <c r="D39" i="17"/>
  <c r="F39" i="17"/>
  <c r="H39" i="17"/>
  <c r="J39" i="17"/>
  <c r="L39" i="17"/>
  <c r="N39" i="17"/>
  <c r="D40" i="17"/>
  <c r="F40" i="17"/>
  <c r="H40" i="17"/>
  <c r="J40" i="17"/>
  <c r="L40" i="17"/>
  <c r="L14" i="6"/>
  <c r="N14" i="6"/>
  <c r="D15" i="6"/>
  <c r="F15" i="6"/>
  <c r="L15" i="6"/>
  <c r="N19" i="6"/>
  <c r="D20" i="6"/>
  <c r="F20" i="6"/>
  <c r="H20" i="6"/>
  <c r="J20" i="6"/>
  <c r="L20" i="6"/>
  <c r="N23" i="6"/>
  <c r="D24" i="6"/>
  <c r="F24" i="6"/>
  <c r="H24" i="6"/>
  <c r="J24" i="6"/>
  <c r="L24" i="6"/>
  <c r="L27" i="6"/>
  <c r="N27" i="6"/>
  <c r="D28" i="6"/>
  <c r="F28" i="6"/>
  <c r="H28" i="6"/>
  <c r="J28" i="6"/>
  <c r="L28" i="6"/>
  <c r="N31" i="6"/>
  <c r="D32" i="6"/>
  <c r="F32" i="6"/>
  <c r="H32" i="6"/>
  <c r="J32" i="6"/>
  <c r="L32" i="6"/>
  <c r="N35" i="6"/>
  <c r="D36" i="6"/>
  <c r="F36" i="6"/>
  <c r="H36" i="6"/>
  <c r="J36" i="6"/>
  <c r="L36" i="6"/>
  <c r="D39" i="6"/>
  <c r="F39" i="6"/>
  <c r="H39" i="6"/>
  <c r="J39" i="6"/>
  <c r="L39" i="6"/>
  <c r="N39" i="6"/>
  <c r="D40" i="6"/>
  <c r="F40" i="6"/>
  <c r="H40" i="6"/>
  <c r="J40" i="6"/>
  <c r="L40" i="6"/>
  <c r="L14" i="18"/>
  <c r="N14" i="18"/>
  <c r="D15" i="18"/>
  <c r="F15" i="18"/>
  <c r="L15" i="18"/>
  <c r="L19" i="18"/>
  <c r="N19" i="18"/>
  <c r="D20" i="18"/>
  <c r="F20" i="18"/>
  <c r="H20" i="18"/>
  <c r="J20" i="18"/>
  <c r="L20" i="18"/>
  <c r="N23" i="18"/>
  <c r="D24" i="18"/>
  <c r="F24" i="18"/>
  <c r="H24" i="18"/>
  <c r="J24" i="18"/>
  <c r="L24" i="18"/>
  <c r="L27" i="18"/>
  <c r="N27" i="18"/>
  <c r="D28" i="18"/>
  <c r="F28" i="18"/>
  <c r="H28" i="18"/>
  <c r="J28" i="18"/>
  <c r="L28" i="18"/>
  <c r="L31" i="18"/>
  <c r="N31" i="18"/>
  <c r="D32" i="18"/>
  <c r="F32" i="18"/>
  <c r="H32" i="18"/>
  <c r="J32" i="18"/>
  <c r="L32" i="18"/>
  <c r="L35" i="18"/>
  <c r="N35" i="18"/>
  <c r="D36" i="18"/>
  <c r="F36" i="18"/>
  <c r="H36" i="18"/>
  <c r="J36" i="18"/>
  <c r="L36" i="18"/>
  <c r="O36" i="18"/>
  <c r="D39" i="18"/>
  <c r="F39" i="18"/>
  <c r="H39" i="18"/>
  <c r="J39" i="18"/>
  <c r="L39" i="18"/>
  <c r="N39" i="18"/>
  <c r="D40" i="18"/>
  <c r="F40" i="18"/>
  <c r="H40" i="18"/>
  <c r="J40" i="18"/>
  <c r="L40" i="18"/>
  <c r="N14" i="7"/>
  <c r="D15" i="7"/>
  <c r="F15" i="7"/>
  <c r="L15" i="7"/>
  <c r="N19" i="7"/>
  <c r="D20" i="7"/>
  <c r="F20" i="7"/>
  <c r="H20" i="7"/>
  <c r="J20" i="7"/>
  <c r="L20" i="7"/>
  <c r="N23" i="7"/>
  <c r="D24" i="7"/>
  <c r="F24" i="7"/>
  <c r="H24" i="7"/>
  <c r="J24" i="7"/>
  <c r="L24" i="7"/>
  <c r="L27" i="7"/>
  <c r="N27" i="7"/>
  <c r="D28" i="7"/>
  <c r="F28" i="7"/>
  <c r="H28" i="7"/>
  <c r="J28" i="7"/>
  <c r="L28" i="7"/>
  <c r="N31" i="7"/>
  <c r="D32" i="7"/>
  <c r="F32" i="7"/>
  <c r="H32" i="7"/>
  <c r="J32" i="7"/>
  <c r="L32" i="7"/>
  <c r="N35" i="7"/>
  <c r="D36" i="7"/>
  <c r="F36" i="7"/>
  <c r="H36" i="7"/>
  <c r="J36" i="7"/>
  <c r="L36" i="7"/>
  <c r="D39" i="7"/>
  <c r="F39" i="7"/>
  <c r="H39" i="7"/>
  <c r="J39" i="7"/>
  <c r="L39" i="7"/>
  <c r="N39" i="7"/>
  <c r="D40" i="7"/>
  <c r="F40" i="7"/>
  <c r="H40" i="7"/>
  <c r="J40" i="7"/>
  <c r="L40" i="7"/>
  <c r="N14" i="8"/>
  <c r="D15" i="8"/>
  <c r="F15" i="8"/>
  <c r="L15" i="8"/>
  <c r="F19" i="8"/>
  <c r="N19" i="8"/>
  <c r="D20" i="8"/>
  <c r="F20" i="8"/>
  <c r="H20" i="8"/>
  <c r="J20" i="8"/>
  <c r="L20" i="8"/>
  <c r="N23" i="8"/>
  <c r="D24" i="8"/>
  <c r="F24" i="8"/>
  <c r="H24" i="8"/>
  <c r="J24" i="8"/>
  <c r="L24" i="8"/>
  <c r="L27" i="8"/>
  <c r="N27" i="8"/>
  <c r="D28" i="8"/>
  <c r="F28" i="8"/>
  <c r="H28" i="8"/>
  <c r="J28" i="8"/>
  <c r="L28" i="8"/>
  <c r="N31" i="8"/>
  <c r="D32" i="8"/>
  <c r="F32" i="8"/>
  <c r="H32" i="8"/>
  <c r="J32" i="8"/>
  <c r="L32" i="8"/>
  <c r="N35" i="8"/>
  <c r="D36" i="8"/>
  <c r="F36" i="8"/>
  <c r="H36" i="8"/>
  <c r="J36" i="8"/>
  <c r="L36" i="8"/>
  <c r="D39" i="8"/>
  <c r="F39" i="8"/>
  <c r="H39" i="8"/>
  <c r="J39" i="8"/>
  <c r="L39" i="8"/>
  <c r="N39" i="8"/>
  <c r="D40" i="8"/>
  <c r="F40" i="8"/>
  <c r="H40" i="8"/>
  <c r="J40" i="8"/>
  <c r="L40" i="8"/>
  <c r="N14" i="9"/>
  <c r="D15" i="9"/>
  <c r="F15" i="9"/>
  <c r="L15" i="9"/>
  <c r="N19" i="9"/>
  <c r="D20" i="9"/>
  <c r="F20" i="9"/>
  <c r="H20" i="9"/>
  <c r="J20" i="9"/>
  <c r="L20" i="9"/>
  <c r="N23" i="9"/>
  <c r="D24" i="9"/>
  <c r="F24" i="9"/>
  <c r="H24" i="9"/>
  <c r="J24" i="9"/>
  <c r="L24" i="9"/>
  <c r="N27" i="9"/>
  <c r="D28" i="9"/>
  <c r="F28" i="9"/>
  <c r="H28" i="9"/>
  <c r="J28" i="9"/>
  <c r="L28" i="9"/>
  <c r="N31" i="9"/>
  <c r="D32" i="9"/>
  <c r="F32" i="9"/>
  <c r="H32" i="9"/>
  <c r="J32" i="9"/>
  <c r="L32" i="9"/>
  <c r="N35" i="9"/>
  <c r="D36" i="9"/>
  <c r="F36" i="9"/>
  <c r="H36" i="9"/>
  <c r="J36" i="9"/>
  <c r="L36" i="9"/>
  <c r="D39" i="9"/>
  <c r="F39" i="9"/>
  <c r="H39" i="9"/>
  <c r="J39" i="9"/>
  <c r="L39" i="9"/>
  <c r="N39" i="9"/>
  <c r="D40" i="9"/>
  <c r="F40" i="9"/>
  <c r="H40" i="9"/>
  <c r="J40" i="9"/>
  <c r="L40" i="9"/>
  <c r="N14" i="10"/>
  <c r="D15" i="10"/>
  <c r="F15" i="10"/>
  <c r="L15" i="10"/>
  <c r="N19" i="10"/>
  <c r="D20" i="10"/>
  <c r="F20" i="10"/>
  <c r="H20" i="10"/>
  <c r="J20" i="10"/>
  <c r="L20" i="10"/>
  <c r="O20" i="10"/>
  <c r="N23" i="10"/>
  <c r="D24" i="10"/>
  <c r="F24" i="10"/>
  <c r="H24" i="10"/>
  <c r="J24" i="10"/>
  <c r="L24" i="10"/>
  <c r="N27" i="10"/>
  <c r="D28" i="10"/>
  <c r="F28" i="10"/>
  <c r="H28" i="10"/>
  <c r="J28" i="10"/>
  <c r="L28" i="10"/>
  <c r="N31" i="10"/>
  <c r="D32" i="10"/>
  <c r="F32" i="10"/>
  <c r="H32" i="10"/>
  <c r="J32" i="10"/>
  <c r="L32" i="10"/>
  <c r="O32" i="10"/>
  <c r="N35" i="10"/>
  <c r="D36" i="10"/>
  <c r="F36" i="10"/>
  <c r="H36" i="10"/>
  <c r="J36" i="10"/>
  <c r="L36" i="10"/>
  <c r="D39" i="10"/>
  <c r="F39" i="10"/>
  <c r="H39" i="10"/>
  <c r="J39" i="10"/>
  <c r="L39" i="10"/>
  <c r="N39" i="10"/>
  <c r="D40" i="10"/>
  <c r="F40" i="10"/>
  <c r="H40" i="10"/>
  <c r="J40" i="10"/>
  <c r="L40" i="10"/>
  <c r="L14" i="11"/>
  <c r="N14" i="11"/>
  <c r="D15" i="11"/>
  <c r="F15" i="11"/>
  <c r="L15" i="11"/>
  <c r="N19" i="11"/>
  <c r="D20" i="11"/>
  <c r="F20" i="11"/>
  <c r="H20" i="11"/>
  <c r="J20" i="11"/>
  <c r="L20" i="11"/>
  <c r="N23" i="11"/>
  <c r="D24" i="11"/>
  <c r="F24" i="11"/>
  <c r="H24" i="11"/>
  <c r="J24" i="11"/>
  <c r="L24" i="11"/>
  <c r="D27" i="11"/>
  <c r="N27" i="11"/>
  <c r="D28" i="11"/>
  <c r="F28" i="11"/>
  <c r="H28" i="11"/>
  <c r="J28" i="11"/>
  <c r="L28" i="11"/>
  <c r="N31" i="11"/>
  <c r="D32" i="11"/>
  <c r="F32" i="11"/>
  <c r="H32" i="11"/>
  <c r="J32" i="11"/>
  <c r="L32" i="11"/>
  <c r="L35" i="11"/>
  <c r="N35" i="11"/>
  <c r="D36" i="11"/>
  <c r="F36" i="11"/>
  <c r="H36" i="11"/>
  <c r="J36" i="11"/>
  <c r="L36" i="11"/>
  <c r="D39" i="11"/>
  <c r="F39" i="11"/>
  <c r="H39" i="11"/>
  <c r="J39" i="11"/>
  <c r="L39" i="11"/>
  <c r="N39" i="11"/>
  <c r="D40" i="11"/>
  <c r="F40" i="11"/>
  <c r="H40" i="11"/>
  <c r="J40" i="11"/>
  <c r="L40" i="11"/>
  <c r="D14" i="12"/>
  <c r="F14" i="12"/>
  <c r="L14" i="12"/>
  <c r="N14" i="12"/>
  <c r="D15" i="12"/>
  <c r="F15" i="12"/>
  <c r="L15" i="12"/>
  <c r="O15" i="12"/>
  <c r="L19" i="12"/>
  <c r="N19" i="12"/>
  <c r="D20" i="12"/>
  <c r="F20" i="12"/>
  <c r="H20" i="12"/>
  <c r="J20" i="12"/>
  <c r="L20" i="12"/>
  <c r="O20" i="12"/>
  <c r="N23" i="12"/>
  <c r="D24" i="12"/>
  <c r="F24" i="12"/>
  <c r="H24" i="12"/>
  <c r="J24" i="12"/>
  <c r="L24" i="12"/>
  <c r="D27" i="12"/>
  <c r="N27" i="12"/>
  <c r="D28" i="12"/>
  <c r="F28" i="12"/>
  <c r="H28" i="12"/>
  <c r="J28" i="12"/>
  <c r="L28" i="12"/>
  <c r="O28" i="12"/>
  <c r="L31" i="12"/>
  <c r="N31" i="12"/>
  <c r="D32" i="12"/>
  <c r="F32" i="12"/>
  <c r="H32" i="12"/>
  <c r="J32" i="12"/>
  <c r="L32" i="12"/>
  <c r="O32" i="12"/>
  <c r="N35" i="12"/>
  <c r="D36" i="12"/>
  <c r="F36" i="12"/>
  <c r="H36" i="12"/>
  <c r="J36" i="12"/>
  <c r="L36" i="12"/>
  <c r="O36" i="12"/>
  <c r="D39" i="12"/>
  <c r="F39" i="12"/>
  <c r="H39" i="12"/>
  <c r="J39" i="12"/>
  <c r="L39" i="12"/>
  <c r="N39" i="12"/>
  <c r="D40" i="12"/>
  <c r="F40" i="12"/>
  <c r="H40" i="12"/>
  <c r="J40" i="12"/>
  <c r="L40" i="12"/>
  <c r="F14" i="13"/>
  <c r="L14" i="13"/>
  <c r="N14" i="13"/>
  <c r="D15" i="13"/>
  <c r="F15" i="13"/>
  <c r="L15" i="13"/>
  <c r="O15" i="13"/>
  <c r="L19" i="13"/>
  <c r="N19" i="13"/>
  <c r="D20" i="13"/>
  <c r="F20" i="13"/>
  <c r="H20" i="13"/>
  <c r="J20" i="13"/>
  <c r="L20" i="13"/>
  <c r="N23" i="13"/>
  <c r="D24" i="13"/>
  <c r="F24" i="13"/>
  <c r="H24" i="13"/>
  <c r="J24" i="13"/>
  <c r="L24" i="13"/>
  <c r="D27" i="13"/>
  <c r="N27" i="13"/>
  <c r="D28" i="13"/>
  <c r="F28" i="13"/>
  <c r="H28" i="13"/>
  <c r="J28" i="13"/>
  <c r="L28" i="13"/>
  <c r="N31" i="13"/>
  <c r="D32" i="13"/>
  <c r="F32" i="13"/>
  <c r="H32" i="13"/>
  <c r="J32" i="13"/>
  <c r="L32" i="13"/>
  <c r="L35" i="13"/>
  <c r="N35" i="13"/>
  <c r="D36" i="13"/>
  <c r="F36" i="13"/>
  <c r="H36" i="13"/>
  <c r="J36" i="13"/>
  <c r="L36" i="13"/>
  <c r="D39" i="13"/>
  <c r="F39" i="13"/>
  <c r="H39" i="13"/>
  <c r="J39" i="13"/>
  <c r="L39" i="13"/>
  <c r="N39" i="13"/>
  <c r="D40" i="13"/>
  <c r="F40" i="13"/>
  <c r="H40" i="13"/>
  <c r="J40" i="13"/>
  <c r="L40" i="13"/>
  <c r="F14" i="14"/>
  <c r="H14" i="14"/>
  <c r="J14" i="14"/>
  <c r="L14" i="14"/>
  <c r="N14" i="14"/>
  <c r="D15" i="14"/>
  <c r="F15" i="14"/>
  <c r="L15" i="14"/>
  <c r="O15" i="14"/>
  <c r="L19" i="14"/>
  <c r="N19" i="14"/>
  <c r="D20" i="14"/>
  <c r="F20" i="14"/>
  <c r="H20" i="14"/>
  <c r="J20" i="14"/>
  <c r="L20" i="14"/>
  <c r="N23" i="14"/>
  <c r="D24" i="14"/>
  <c r="F24" i="14"/>
  <c r="H24" i="14"/>
  <c r="J24" i="14"/>
  <c r="L24" i="14"/>
  <c r="D27" i="14"/>
  <c r="N27" i="14"/>
  <c r="D28" i="14"/>
  <c r="F28" i="14"/>
  <c r="H28" i="14"/>
  <c r="J28" i="14"/>
  <c r="L28" i="14"/>
  <c r="L31" i="14"/>
  <c r="N31" i="14"/>
  <c r="D32" i="14"/>
  <c r="F32" i="14"/>
  <c r="H32" i="14"/>
  <c r="J32" i="14"/>
  <c r="L32" i="14"/>
  <c r="O32" i="14"/>
  <c r="L35" i="14"/>
  <c r="N35" i="14"/>
  <c r="D36" i="14"/>
  <c r="F36" i="14"/>
  <c r="H36" i="14"/>
  <c r="J36" i="14"/>
  <c r="L36" i="14"/>
  <c r="D39" i="14"/>
  <c r="F39" i="14"/>
  <c r="H39" i="14"/>
  <c r="J39" i="14"/>
  <c r="L39" i="14"/>
  <c r="N39" i="14"/>
  <c r="D40" i="14"/>
  <c r="F40" i="14"/>
  <c r="H40" i="14"/>
  <c r="J40" i="14"/>
  <c r="L40" i="14"/>
  <c r="L14" i="15"/>
  <c r="N14" i="15"/>
  <c r="D15" i="15"/>
  <c r="F15" i="15"/>
  <c r="L15" i="15"/>
  <c r="O15" i="15"/>
  <c r="N19" i="15"/>
  <c r="D20" i="15"/>
  <c r="F20" i="15"/>
  <c r="H20" i="15"/>
  <c r="J20" i="15"/>
  <c r="L20" i="15"/>
  <c r="O20" i="15"/>
  <c r="N23" i="15"/>
  <c r="D24" i="15"/>
  <c r="F24" i="15"/>
  <c r="H24" i="15"/>
  <c r="J24" i="15"/>
  <c r="L24" i="15"/>
  <c r="N27" i="15"/>
  <c r="D28" i="15"/>
  <c r="F28" i="15"/>
  <c r="H28" i="15"/>
  <c r="J28" i="15"/>
  <c r="L28" i="15"/>
  <c r="N31" i="15"/>
  <c r="D32" i="15"/>
  <c r="F32" i="15"/>
  <c r="H32" i="15"/>
  <c r="J32" i="15"/>
  <c r="L32" i="15"/>
  <c r="O32" i="15"/>
  <c r="L35" i="15"/>
  <c r="N35" i="15"/>
  <c r="D36" i="15"/>
  <c r="F36" i="15"/>
  <c r="H36" i="15"/>
  <c r="J36" i="15"/>
  <c r="L36" i="15"/>
  <c r="D39" i="15"/>
  <c r="F39" i="15"/>
  <c r="H39" i="15"/>
  <c r="J39" i="15"/>
  <c r="L39" i="15"/>
  <c r="N39" i="15"/>
  <c r="D40" i="15"/>
  <c r="F40" i="15"/>
  <c r="H40" i="15"/>
  <c r="J40" i="15"/>
  <c r="L40" i="15"/>
  <c r="L14" i="1"/>
  <c r="N14" i="1"/>
  <c r="D15" i="1"/>
  <c r="F15" i="1"/>
  <c r="L15" i="1"/>
  <c r="L19" i="1"/>
  <c r="N19" i="1"/>
  <c r="D20" i="1"/>
  <c r="F20" i="1"/>
  <c r="H20" i="1"/>
  <c r="J20" i="1"/>
  <c r="L20" i="1"/>
  <c r="N23" i="1"/>
  <c r="D24" i="1"/>
  <c r="F24" i="1"/>
  <c r="H24" i="1"/>
  <c r="J24" i="1"/>
  <c r="L24" i="1"/>
  <c r="L27" i="1"/>
  <c r="N27" i="1"/>
  <c r="D28" i="1"/>
  <c r="F28" i="1"/>
  <c r="H28" i="1"/>
  <c r="J28" i="1"/>
  <c r="L28" i="1"/>
  <c r="N31" i="1"/>
  <c r="D32" i="1"/>
  <c r="F32" i="1"/>
  <c r="H32" i="1"/>
  <c r="J32" i="1"/>
  <c r="L32" i="1"/>
  <c r="N35" i="1"/>
  <c r="D36" i="1"/>
  <c r="F36" i="1"/>
  <c r="H36" i="1"/>
  <c r="J36" i="1"/>
  <c r="L36" i="1"/>
  <c r="D39" i="1"/>
  <c r="F39" i="1"/>
  <c r="H39" i="1"/>
  <c r="J39" i="1"/>
  <c r="L39" i="1"/>
  <c r="N39" i="1"/>
  <c r="D40" i="1"/>
  <c r="F40" i="1"/>
  <c r="H40" i="1"/>
  <c r="J40" i="1"/>
  <c r="L40" i="1"/>
  <c r="L14" i="16"/>
  <c r="N14" i="16"/>
  <c r="D15" i="16"/>
  <c r="F15" i="16"/>
  <c r="L15" i="16"/>
  <c r="O15" i="16"/>
  <c r="L19" i="16"/>
  <c r="N19" i="16"/>
  <c r="D20" i="16"/>
  <c r="F20" i="16"/>
  <c r="H20" i="16"/>
  <c r="J20" i="16"/>
  <c r="L20" i="16"/>
  <c r="O20" i="16"/>
  <c r="N23" i="16"/>
  <c r="D24" i="16"/>
  <c r="F24" i="16"/>
  <c r="H24" i="16"/>
  <c r="J24" i="16"/>
  <c r="L24" i="16"/>
  <c r="L27" i="16"/>
  <c r="N27" i="16"/>
  <c r="D28" i="16"/>
  <c r="F28" i="16"/>
  <c r="H28" i="16"/>
  <c r="J28" i="16"/>
  <c r="L28" i="16"/>
  <c r="L31" i="16"/>
  <c r="N31" i="16"/>
  <c r="D32" i="16"/>
  <c r="F32" i="16"/>
  <c r="H32" i="16"/>
  <c r="J32" i="16"/>
  <c r="L32" i="16"/>
  <c r="O32" i="16"/>
  <c r="L35" i="16"/>
  <c r="N35" i="16"/>
  <c r="D36" i="16"/>
  <c r="F36" i="16"/>
  <c r="H36" i="16"/>
  <c r="J36" i="16"/>
  <c r="L36" i="16"/>
  <c r="D39" i="16"/>
  <c r="F39" i="16"/>
  <c r="H39" i="16"/>
  <c r="J39" i="16"/>
  <c r="L39" i="16"/>
  <c r="N39" i="16"/>
  <c r="D40" i="16"/>
  <c r="F40" i="16"/>
  <c r="H40" i="16"/>
  <c r="J40" i="16"/>
  <c r="L40" i="16"/>
  <c r="L14" i="4"/>
  <c r="N14" i="4"/>
  <c r="D15" i="4"/>
  <c r="F15" i="4"/>
  <c r="L15" i="4"/>
  <c r="L19" i="4"/>
  <c r="N19" i="4"/>
  <c r="D20" i="4"/>
  <c r="F20" i="4"/>
  <c r="H20" i="4"/>
  <c r="J20" i="4"/>
  <c r="L20" i="4"/>
  <c r="N23" i="4"/>
  <c r="D24" i="4"/>
  <c r="F24" i="4"/>
  <c r="H24" i="4"/>
  <c r="J24" i="4"/>
  <c r="L24" i="4"/>
  <c r="L27" i="4"/>
  <c r="N27" i="4"/>
  <c r="D28" i="4"/>
  <c r="F28" i="4"/>
  <c r="H28" i="4"/>
  <c r="J28" i="4"/>
  <c r="L28" i="4"/>
  <c r="N31" i="4"/>
  <c r="D32" i="4"/>
  <c r="F32" i="4"/>
  <c r="H32" i="4"/>
  <c r="J32" i="4"/>
  <c r="L32" i="4"/>
  <c r="N35" i="4"/>
  <c r="D36" i="4"/>
  <c r="F36" i="4"/>
  <c r="H36" i="4"/>
  <c r="J36" i="4"/>
  <c r="L36" i="4"/>
  <c r="D39" i="4"/>
  <c r="F39" i="4"/>
  <c r="H39" i="4"/>
  <c r="J39" i="4"/>
  <c r="L39" i="4"/>
  <c r="N39" i="4"/>
  <c r="D40" i="4"/>
  <c r="F40" i="4"/>
  <c r="H40" i="4"/>
  <c r="J40" i="4"/>
  <c r="L40" i="4"/>
</calcChain>
</file>

<file path=xl/sharedStrings.xml><?xml version="1.0" encoding="utf-8"?>
<sst xmlns="http://schemas.openxmlformats.org/spreadsheetml/2006/main" count="561" uniqueCount="54">
  <si>
    <t>CURRENT</t>
  </si>
  <si>
    <t>1-30</t>
  </si>
  <si>
    <t>31-60</t>
  </si>
  <si>
    <t>61-90</t>
  </si>
  <si>
    <t>OVER 90</t>
  </si>
  <si>
    <t>TOTAL</t>
  </si>
  <si>
    <t>COMMENTS</t>
  </si>
  <si>
    <t>A/R</t>
  </si>
  <si>
    <t>PER CENT</t>
  </si>
  <si>
    <t>POWER PLANTS  ACCOUNTS RECEIVABLE AGING</t>
  </si>
  <si>
    <t>AS OF NOVEMBER 30, 1999</t>
  </si>
  <si>
    <t>SMITH ENRON</t>
  </si>
  <si>
    <t>PUERTO QUETZAL</t>
  </si>
  <si>
    <t>HAINAN MEINAN</t>
  </si>
  <si>
    <t>TOTAL INCLUDES PAYMENTS FOR INTEREST</t>
  </si>
  <si>
    <t>DABHOL POWER CO</t>
  </si>
  <si>
    <t>PAYMENTS TOTALING $227,563.27</t>
  </si>
  <si>
    <t>CAME IN ON 12-2 AND 12-3</t>
  </si>
  <si>
    <t>EMPRESA ENERGETICA</t>
  </si>
  <si>
    <t>EGEMINSA</t>
  </si>
  <si>
    <t>TOTALS</t>
  </si>
  <si>
    <t>WE WILL BE WIRING TO EI EQUALS $2,410,727.74</t>
  </si>
  <si>
    <t>ALSO $6,513,871.14 WAS WIRED ON 12-1</t>
  </si>
  <si>
    <t>AS OF DECEMBER 31, 1999</t>
  </si>
  <si>
    <t>LAST PAYMENT 12/31/99</t>
  </si>
  <si>
    <t>LAST PAYMENT 12/30/99</t>
  </si>
  <si>
    <t>LAST PAYMENT 12/24/99</t>
  </si>
  <si>
    <t>LAST PAYMENT 12/6/99</t>
  </si>
  <si>
    <t>LAST PAYMENT 12/23/99</t>
  </si>
  <si>
    <t>AS OF JANUARY 31, 2000</t>
  </si>
  <si>
    <t>LAST PAYMENT 1/25/00</t>
  </si>
  <si>
    <t>LAST PAYMENT 1/31/00</t>
  </si>
  <si>
    <t>JAN. TOTAL $1,558,489.31</t>
  </si>
  <si>
    <t>AS OF FEBRUARY 29, 2000</t>
  </si>
  <si>
    <t>LAST PAYMENT 2/28/00</t>
  </si>
  <si>
    <t>LAST PAYMENT 2/22/00</t>
  </si>
  <si>
    <t>LAST PAYMENT 2/8/00</t>
  </si>
  <si>
    <t>LAST PAYMENT 2/24/00</t>
  </si>
  <si>
    <t>AS OF MARCH 31, 2000</t>
  </si>
  <si>
    <t>THIS MONTH TOTAL PAYMENTS</t>
  </si>
  <si>
    <t>LAST PAYMENT 3/13/00</t>
  </si>
  <si>
    <t>LAST PAYMENT 3/9/00</t>
  </si>
  <si>
    <t>LAST PAYMENT 3/22/00</t>
  </si>
  <si>
    <t>AS OF APRIL 30, 2000</t>
  </si>
  <si>
    <t>AS OF MAY 31, 2000</t>
  </si>
  <si>
    <t>AS OF JUNE 30, 2000</t>
  </si>
  <si>
    <t>AS OF AUGUST 31, 2000</t>
  </si>
  <si>
    <t>AS OF JULY 31, 2000</t>
  </si>
  <si>
    <t>AS OF SEPTEMBER 30, 2000</t>
  </si>
  <si>
    <t>AS OF OCTOBER 31, 2000</t>
  </si>
  <si>
    <t>AS OF NOVEMBER 30, 2000</t>
  </si>
  <si>
    <t>AS OF DECEMBER 31, 2000</t>
  </si>
  <si>
    <t>AS OF JANUARY 31, 2001</t>
  </si>
  <si>
    <t>AS OF FEBRUARY 28,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</si>
</sst>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sz val="1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40" fontId="1" fillId="2" borderId="0" xfId="0" applyNumberFormat="1" applyFont="1" applyFill="1" applyAlignment="1">
      <alignment horizontal="centerContinuous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0" xfId="0" applyFont="1" applyFill="1" applyAlignment="1">
      <alignment horizontal="center"/>
    </xf>
    <xf numFmtId="40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4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1" fillId="0" borderId="0" xfId="0" applyFont="1" applyFill="1"/>
    <xf numFmtId="8" fontId="4" fillId="0" borderId="0" xfId="0" applyNumberFormat="1" applyFont="1" applyAlignment="1">
      <alignment horizontal="center"/>
    </xf>
    <xf numFmtId="0" fontId="4" fillId="0" borderId="0" xfId="0" applyFont="1"/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5" name="Picture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6" name="Picture 1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6387" name="Picture 1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6388" name="Picture 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0" name="Picture 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1" name="Picture 1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7172" name="Picture 1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6" name="Picture 1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7" name="Picture 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6148" name="Picture 1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2" name="Picture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3" name="Picture 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5124" name="Picture 1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8" name="Picture 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099" name="Picture 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4100" name="Picture 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2050" name="Picture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1" name="Picture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2" name="Picture 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5363" name="Picture 1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5364" name="Picture 1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7" name="Picture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8" name="Picture 1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4339" name="Picture 1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678180</xdr:colOff>
          <xdr:row>4</xdr:row>
          <xdr:rowOff>129540</xdr:rowOff>
        </xdr:from>
        <xdr:to>
          <xdr:col>0</xdr:col>
          <xdr:colOff>1851660</xdr:colOff>
          <xdr:row>10</xdr:row>
          <xdr:rowOff>152400</xdr:rowOff>
        </xdr:to>
        <xdr:sp macro="" textlink="">
          <xdr:nvSpPr>
            <xdr:cNvPr id="14340" name="Picture 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3" name="Picture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4" name="Picture 1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3315" name="Picture 1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3316" name="Picture 1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89" name="Picture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0" name="Picture 1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2291" name="Picture 1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2292" name="Picture 1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5" name="Picture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6" name="Picture 1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1267" name="Picture 1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1268" name="Picture 1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1" name="Picture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2" name="Picture 1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10243" name="Picture 1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4</xdr:row>
          <xdr:rowOff>144780</xdr:rowOff>
        </xdr:from>
        <xdr:to>
          <xdr:col>0</xdr:col>
          <xdr:colOff>1897380</xdr:colOff>
          <xdr:row>10</xdr:row>
          <xdr:rowOff>160020</xdr:rowOff>
        </xdr:to>
        <xdr:sp macro="" textlink="">
          <xdr:nvSpPr>
            <xdr:cNvPr id="10244" name="Picture 1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8" name="Picture 1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19" name="Picture 1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9220" name="Picture 1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3" name="Picture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4" name="Picture 1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5" name="Picture 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716280</xdr:colOff>
          <xdr:row>4</xdr:row>
          <xdr:rowOff>144780</xdr:rowOff>
        </xdr:from>
        <xdr:to>
          <xdr:col>0</xdr:col>
          <xdr:colOff>1889760</xdr:colOff>
          <xdr:row>10</xdr:row>
          <xdr:rowOff>160020</xdr:rowOff>
        </xdr:to>
        <xdr:sp macro="" textlink="">
          <xdr:nvSpPr>
            <xdr:cNvPr id="8196" name="Picture 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9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3" Type="http://schemas.openxmlformats.org/officeDocument/2006/relationships/vmlDrawing" Target="../drawings/vmlDrawing11.vml"/><Relationship Id="rId7" Type="http://schemas.openxmlformats.org/officeDocument/2006/relationships/oleObject" Target="../embeddings/oleObject43.bin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8.bin"/><Relationship Id="rId3" Type="http://schemas.openxmlformats.org/officeDocument/2006/relationships/vmlDrawing" Target="../drawings/vmlDrawing12.vml"/><Relationship Id="rId7" Type="http://schemas.openxmlformats.org/officeDocument/2006/relationships/oleObject" Target="../embeddings/oleObject47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2.bin"/><Relationship Id="rId3" Type="http://schemas.openxmlformats.org/officeDocument/2006/relationships/vmlDrawing" Target="../drawings/vmlDrawing13.vml"/><Relationship Id="rId7" Type="http://schemas.openxmlformats.org/officeDocument/2006/relationships/oleObject" Target="../embeddings/oleObject51.bin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5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5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5.vml"/><Relationship Id="rId7" Type="http://schemas.openxmlformats.org/officeDocument/2006/relationships/oleObject" Target="../embeddings/oleObject19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4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23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8.bin"/><Relationship Id="rId3" Type="http://schemas.openxmlformats.org/officeDocument/2006/relationships/vmlDrawing" Target="../drawings/vmlDrawing7.vml"/><Relationship Id="rId7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2.bin"/><Relationship Id="rId3" Type="http://schemas.openxmlformats.org/officeDocument/2006/relationships/vmlDrawing" Target="../drawings/vmlDrawing8.vml"/><Relationship Id="rId7" Type="http://schemas.openxmlformats.org/officeDocument/2006/relationships/oleObject" Target="../embeddings/oleObject31.bin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35.bin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abSelected="1" topLeftCell="I1" workbookViewId="0">
      <selection activeCell="I10" sqref="I10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8545503.6999999993</v>
      </c>
      <c r="E14" s="16"/>
      <c r="F14" s="16">
        <v>5280547.76</v>
      </c>
      <c r="G14" s="16"/>
      <c r="H14" s="16">
        <v>5352225.66</v>
      </c>
      <c r="I14" s="16"/>
      <c r="J14" s="16">
        <v>46681.43</v>
      </c>
      <c r="K14" s="16"/>
      <c r="L14" s="16">
        <f>20281.51+1888730.32</f>
        <v>1909011.83</v>
      </c>
      <c r="M14" s="16"/>
      <c r="N14" s="16">
        <f>SUM(L14,J14,H14,F14,D14)</f>
        <v>21133970.379999999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0.40434918504887202</v>
      </c>
      <c r="E15" s="18"/>
      <c r="F15" s="18">
        <f>F14/N14</f>
        <v>0.24986065869559529</v>
      </c>
      <c r="G15" s="18"/>
      <c r="H15" s="18">
        <v>0</v>
      </c>
      <c r="I15" s="18"/>
      <c r="J15" s="18">
        <v>0</v>
      </c>
      <c r="K15" s="18"/>
      <c r="L15" s="18">
        <f>L14/N14</f>
        <v>9.0329067168873373E-2</v>
      </c>
      <c r="M15" s="18"/>
      <c r="O15" s="16">
        <v>1980000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72893.350000000006</v>
      </c>
      <c r="E19" s="16"/>
      <c r="F19" s="16">
        <v>9025.65</v>
      </c>
      <c r="G19" s="16"/>
      <c r="H19" s="16">
        <v>37119.760000000002</v>
      </c>
      <c r="I19" s="16"/>
      <c r="J19" s="16">
        <v>-152850.42000000001</v>
      </c>
      <c r="K19" s="16"/>
      <c r="L19" s="16">
        <f>32407.23+444405.91</f>
        <v>476813.13999999996</v>
      </c>
      <c r="M19" s="16"/>
      <c r="N19" s="16">
        <f>SUM(L19,J19,H19,F19,D19)</f>
        <v>443001.48</v>
      </c>
      <c r="O19" s="1" t="s">
        <v>39</v>
      </c>
    </row>
    <row r="20" spans="1:15" x14ac:dyDescent="0.25">
      <c r="B20" s="1" t="s">
        <v>8</v>
      </c>
      <c r="D20" s="18">
        <f>D19/N19</f>
        <v>0.16454425840744372</v>
      </c>
      <c r="E20" s="18"/>
      <c r="F20" s="18">
        <f>F19/N19</f>
        <v>2.0373859699069179E-2</v>
      </c>
      <c r="G20" s="18"/>
      <c r="H20" s="18">
        <f>H19/N19</f>
        <v>8.3791503360214514E-2</v>
      </c>
      <c r="I20" s="18"/>
      <c r="J20" s="18">
        <f>J19/N19</f>
        <v>-0.3450336554180361</v>
      </c>
      <c r="K20" s="18"/>
      <c r="L20" s="18">
        <f>L19/N19</f>
        <v>1.0763240339513087</v>
      </c>
      <c r="M20" s="18"/>
      <c r="O20" s="16">
        <v>1757637.33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453791.36</v>
      </c>
      <c r="E27" s="16"/>
      <c r="F27" s="16">
        <v>-98798.97</v>
      </c>
      <c r="G27" s="16"/>
      <c r="H27" s="16">
        <v>222492.95</v>
      </c>
      <c r="I27" s="16"/>
      <c r="J27" s="16">
        <v>222492.95</v>
      </c>
      <c r="K27" s="16"/>
      <c r="L27" s="16">
        <f>444985.9+4011.82</f>
        <v>448997.72000000003</v>
      </c>
      <c r="M27" s="16"/>
      <c r="N27" s="16">
        <f>SUM(L27,J27,H27,F27,D27)</f>
        <v>1248976.0100000002</v>
      </c>
      <c r="O27" s="1" t="s">
        <v>39</v>
      </c>
    </row>
    <row r="28" spans="1:15" x14ac:dyDescent="0.25">
      <c r="B28" s="1" t="s">
        <v>8</v>
      </c>
      <c r="D28" s="18">
        <f>D27/N27</f>
        <v>0.3633307256237851</v>
      </c>
      <c r="E28" s="18"/>
      <c r="F28" s="18">
        <f>F27/N27</f>
        <v>-7.9103977345409526E-2</v>
      </c>
      <c r="G28" s="18"/>
      <c r="H28" s="18">
        <f>H27/N27</f>
        <v>0.17814029110134788</v>
      </c>
      <c r="I28" s="18"/>
      <c r="J28" s="18">
        <f>J27/N27</f>
        <v>0.17814029110134788</v>
      </c>
      <c r="K28" s="18"/>
      <c r="L28" s="18">
        <f>L27/N27</f>
        <v>0.3594926695189285</v>
      </c>
      <c r="M28" s="18"/>
      <c r="O28" s="16">
        <v>323137.95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1148606.8</v>
      </c>
      <c r="G31" s="16"/>
      <c r="H31" s="16">
        <v>860590.43</v>
      </c>
      <c r="I31" s="16"/>
      <c r="J31" s="16">
        <v>0</v>
      </c>
      <c r="K31" s="16"/>
      <c r="L31" s="16">
        <f>105299.88-8407.53</f>
        <v>96892.35</v>
      </c>
      <c r="M31" s="16"/>
      <c r="N31" s="16">
        <f>SUM(L31,J31,H31,F31,D31)</f>
        <v>2106089.58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0.54537414310743615</v>
      </c>
      <c r="G32" s="18"/>
      <c r="H32" s="18">
        <f>H31/N31</f>
        <v>0.40862005024496634</v>
      </c>
      <c r="I32" s="18"/>
      <c r="J32" s="18">
        <f>J31/N31</f>
        <v>0</v>
      </c>
      <c r="K32" s="18"/>
      <c r="L32" s="18">
        <f>L31/N31</f>
        <v>4.6005806647597583E-2</v>
      </c>
      <c r="M32" s="18"/>
      <c r="O32" s="16">
        <v>1588292.58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1125618.82</v>
      </c>
      <c r="E35" s="16"/>
      <c r="F35" s="16">
        <v>-898637.5</v>
      </c>
      <c r="G35" s="16"/>
      <c r="H35" s="16">
        <v>1244679.26</v>
      </c>
      <c r="I35" s="16"/>
      <c r="J35" s="16">
        <v>-739143.8</v>
      </c>
      <c r="K35" s="16"/>
      <c r="L35" s="16">
        <f>-818199.1+2386541.58</f>
        <v>1568342.48</v>
      </c>
      <c r="M35" s="16"/>
      <c r="N35" s="16">
        <f>SUM(L35,J35,H35,F35,D35)</f>
        <v>2300859.2599999998</v>
      </c>
      <c r="O35" s="1" t="s">
        <v>39</v>
      </c>
    </row>
    <row r="36" spans="1:15" x14ac:dyDescent="0.25">
      <c r="B36" s="1" t="s">
        <v>8</v>
      </c>
      <c r="D36" s="18">
        <f>D35/N35</f>
        <v>0.48921671984404652</v>
      </c>
      <c r="E36" s="18"/>
      <c r="F36" s="18">
        <f>F35/N35</f>
        <v>-0.39056604444376147</v>
      </c>
      <c r="G36" s="18"/>
      <c r="H36" s="18">
        <f>H35/N35</f>
        <v>0.54096279665536784</v>
      </c>
      <c r="I36" s="18"/>
      <c r="J36" s="18">
        <f>J35/N35</f>
        <v>-0.32124685453381452</v>
      </c>
      <c r="K36" s="18"/>
      <c r="L36" s="18">
        <f>L35/N35</f>
        <v>0.68163338247816174</v>
      </c>
      <c r="M36" s="18"/>
      <c r="O36" s="16">
        <f>4300000</f>
        <v>4300000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10197807.23</v>
      </c>
      <c r="E39" s="15"/>
      <c r="F39" s="22">
        <f>SUM(F35,F31,F27,F23,F19,F14)</f>
        <v>5440743.7400000002</v>
      </c>
      <c r="G39" s="15"/>
      <c r="H39" s="22">
        <f>SUM(H35,H31,H27,H23,H19,H14)</f>
        <v>7717108.0600000005</v>
      </c>
      <c r="I39" s="15"/>
      <c r="J39" s="22">
        <f>SUM(J35,J31,J27,J23,J19,J14)</f>
        <v>-622819.83999999997</v>
      </c>
      <c r="K39" s="15"/>
      <c r="L39" s="22">
        <f>SUM(L35,L31,L27,L23,L19,L14)</f>
        <v>4568753.28</v>
      </c>
      <c r="M39" s="15"/>
      <c r="N39" s="22">
        <f>SUM(N35,N31,N27,N23,N19,N14)</f>
        <v>27301592.469999999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0.37352426387602589</v>
      </c>
      <c r="E40" s="15"/>
      <c r="F40" s="24">
        <f>F39/N39</f>
        <v>0.19928301786712591</v>
      </c>
      <c r="G40" s="15"/>
      <c r="H40" s="24">
        <f>H39/N39</f>
        <v>0.28266146264104719</v>
      </c>
      <c r="I40" s="15"/>
      <c r="J40" s="24">
        <f>J39/N39</f>
        <v>-2.2812582844183082E-2</v>
      </c>
      <c r="K40" s="15"/>
      <c r="L40" s="24">
        <f>L39/N39</f>
        <v>0.16734383845998418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6" shapeId="16385" r:id="rId3">
          <objectPr defaultSize="0" autoLine="0" autoPict="0" r:id="rId4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5" r:id="rId3"/>
      </mc:Fallback>
    </mc:AlternateContent>
    <mc:AlternateContent xmlns:mc="http://schemas.openxmlformats.org/markup-compatibility/2006">
      <mc:Choice Requires="x14">
        <oleObject progId="Word.Document.6" shapeId="16386" r:id="rId5">
          <objectPr defaultSize="0" autoLine="0" autoPict="0" r:id="rId4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6" r:id="rId5"/>
      </mc:Fallback>
    </mc:AlternateContent>
    <mc:AlternateContent xmlns:mc="http://schemas.openxmlformats.org/markup-compatibility/2006">
      <mc:Choice Requires="x14">
        <oleObject progId="Word.Document.6" shapeId="16387" r:id="rId6">
          <objectPr defaultSize="0" autoLine="0" autoPict="0" r:id="rId4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6387" r:id="rId6"/>
      </mc:Fallback>
    </mc:AlternateContent>
    <mc:AlternateContent xmlns:mc="http://schemas.openxmlformats.org/markup-compatibility/2006">
      <mc:Choice Requires="x14">
        <oleObject progId="Word.Document.6" shapeId="16388" r:id="rId7">
          <objectPr defaultSize="0" autoLine="0" autoPict="0" r:id="rId4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6388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7716132.0599999996</v>
      </c>
      <c r="E14" s="16"/>
      <c r="F14" s="16">
        <v>1859430.72</v>
      </c>
      <c r="G14" s="16"/>
      <c r="H14" s="16">
        <v>974385.64</v>
      </c>
      <c r="I14" s="16"/>
      <c r="J14" s="16">
        <v>-2000</v>
      </c>
      <c r="K14" s="16"/>
      <c r="L14" s="16">
        <v>1714084.13</v>
      </c>
      <c r="M14" s="16"/>
      <c r="N14" s="16">
        <f>SUM(L14,J14,H14,F14,D14)</f>
        <v>12262032.550000001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0.62927023138590499</v>
      </c>
      <c r="E15" s="18"/>
      <c r="F15" s="18">
        <f>F14/N14</f>
        <v>0.15164131333185865</v>
      </c>
      <c r="G15" s="18"/>
      <c r="H15" s="18">
        <v>0</v>
      </c>
      <c r="I15" s="18"/>
      <c r="J15" s="18">
        <v>0</v>
      </c>
      <c r="K15" s="18"/>
      <c r="L15" s="18">
        <f>L14/N14</f>
        <v>0.13978792855186148</v>
      </c>
      <c r="M15" s="18"/>
      <c r="O15" s="16">
        <v>8249472.3200000003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3394818.78</v>
      </c>
      <c r="G19" s="16"/>
      <c r="H19" s="16">
        <v>120825.55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3960050.2399999998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0.85726659366826619</v>
      </c>
      <c r="G20" s="18"/>
      <c r="H20" s="18">
        <f>H19/N19</f>
        <v>3.0511115434737519E-2</v>
      </c>
      <c r="I20" s="18"/>
      <c r="J20" s="18">
        <f>J19/N19</f>
        <v>0</v>
      </c>
      <c r="K20" s="18"/>
      <c r="L20" s="18">
        <f>L19/N19</f>
        <v>0.1122222908969963</v>
      </c>
      <c r="M20" s="18"/>
      <c r="O20" s="16">
        <v>1503714.38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435365.24</v>
      </c>
      <c r="E27" s="16"/>
      <c r="F27" s="16">
        <v>-144874.81</v>
      </c>
      <c r="G27" s="16"/>
      <c r="H27" s="16">
        <v>0</v>
      </c>
      <c r="I27" s="16"/>
      <c r="J27" s="16">
        <v>4011.82</v>
      </c>
      <c r="K27" s="16"/>
      <c r="L27" s="16">
        <v>-52592.92</v>
      </c>
      <c r="M27" s="16"/>
      <c r="N27" s="16">
        <f>SUM(L27,J27,H27,F27,D27)</f>
        <v>241909.33</v>
      </c>
      <c r="O27" s="1" t="s">
        <v>39</v>
      </c>
    </row>
    <row r="28" spans="1:15" x14ac:dyDescent="0.25">
      <c r="B28" s="1" t="s">
        <v>8</v>
      </c>
      <c r="D28" s="18">
        <f>D27/N27</f>
        <v>1.7997042114911401</v>
      </c>
      <c r="E28" s="18"/>
      <c r="F28" s="18">
        <f>F27/N27</f>
        <v>-0.59888062192557845</v>
      </c>
      <c r="G28" s="18"/>
      <c r="H28" s="18">
        <f>H27/N27</f>
        <v>0</v>
      </c>
      <c r="I28" s="18"/>
      <c r="J28" s="18">
        <f>J27/N27</f>
        <v>1.6583982106022948E-2</v>
      </c>
      <c r="K28" s="18"/>
      <c r="L28" s="18">
        <f>L27/N27</f>
        <v>-0.21740757167158456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1486802.59</v>
      </c>
      <c r="E31" s="16"/>
      <c r="F31" s="16">
        <v>1501270.84</v>
      </c>
      <c r="G31" s="16"/>
      <c r="H31" s="16">
        <v>0</v>
      </c>
      <c r="I31" s="16"/>
      <c r="J31" s="16">
        <v>1536897.81</v>
      </c>
      <c r="K31" s="16"/>
      <c r="L31" s="16">
        <v>3121.04</v>
      </c>
      <c r="M31" s="16"/>
      <c r="N31" s="16">
        <f>SUM(L31,J31,H31,F31,D31)</f>
        <v>4528092.28</v>
      </c>
      <c r="O31" s="1" t="s">
        <v>39</v>
      </c>
    </row>
    <row r="32" spans="1:15" x14ac:dyDescent="0.25">
      <c r="B32" s="1" t="s">
        <v>8</v>
      </c>
      <c r="D32" s="18">
        <f>D31/N31</f>
        <v>0.32835077071353325</v>
      </c>
      <c r="E32" s="18"/>
      <c r="F32" s="18">
        <f>F31/N31</f>
        <v>0.33154599048939876</v>
      </c>
      <c r="G32" s="18"/>
      <c r="H32" s="18">
        <f>H31/N31</f>
        <v>0</v>
      </c>
      <c r="I32" s="18"/>
      <c r="J32" s="18">
        <f>J31/N31</f>
        <v>0.33941397722574679</v>
      </c>
      <c r="K32" s="18"/>
      <c r="L32" s="18">
        <f>L31/N31</f>
        <v>6.8926157132115687E-4</v>
      </c>
      <c r="M32" s="18"/>
      <c r="O32" s="16">
        <v>1204941.97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2673331.44</v>
      </c>
      <c r="E35" s="16"/>
      <c r="F35" s="16">
        <v>3219397.62</v>
      </c>
      <c r="G35" s="16"/>
      <c r="H35" s="16">
        <v>438993.22</v>
      </c>
      <c r="I35" s="16"/>
      <c r="J35" s="16">
        <v>578948.05000000005</v>
      </c>
      <c r="K35" s="16"/>
      <c r="L35" s="16">
        <v>207855.43</v>
      </c>
      <c r="M35" s="16"/>
      <c r="N35" s="16">
        <f>SUM(L35,J35,H35,F35,D35)</f>
        <v>7118525.7599999998</v>
      </c>
      <c r="O35" s="1" t="s">
        <v>39</v>
      </c>
    </row>
    <row r="36" spans="1:15" x14ac:dyDescent="0.25">
      <c r="B36" s="1" t="s">
        <v>8</v>
      </c>
      <c r="D36" s="18">
        <f>D35/N35</f>
        <v>0.3755456579256658</v>
      </c>
      <c r="E36" s="18"/>
      <c r="F36" s="18">
        <f>F35/N35</f>
        <v>0.4522562295258169</v>
      </c>
      <c r="G36" s="18"/>
      <c r="H36" s="18">
        <f>H35/N35</f>
        <v>6.1669120096012685E-2</v>
      </c>
      <c r="I36" s="18"/>
      <c r="J36" s="18">
        <f>J35/N35</f>
        <v>8.1329768201892416E-2</v>
      </c>
      <c r="K36" s="18"/>
      <c r="L36" s="18">
        <f>L35/N35</f>
        <v>2.9199224250612249E-2</v>
      </c>
      <c r="M36" s="18"/>
      <c r="O36" s="16">
        <v>3341912.89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12311631.33</v>
      </c>
      <c r="E39" s="15"/>
      <c r="F39" s="22">
        <f>SUM(F35,F31,F27,F23,F19,F14)</f>
        <v>9830043.1500000004</v>
      </c>
      <c r="G39" s="15"/>
      <c r="H39" s="22">
        <f>SUM(H35,H31,H27,H23,H19,H14)</f>
        <v>1534204.4100000001</v>
      </c>
      <c r="I39" s="15"/>
      <c r="J39" s="22">
        <f>SUM(J35,J31,J27,J23,J19,J14)</f>
        <v>2117857.6800000002</v>
      </c>
      <c r="K39" s="15"/>
      <c r="L39" s="22">
        <f>SUM(L35,L31,L27,L23,L19,L14)</f>
        <v>2385569.3499999996</v>
      </c>
      <c r="M39" s="15"/>
      <c r="N39" s="22">
        <f>SUM(N35,N31,N27,N23,N19,N14)</f>
        <v>28179305.920000002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0.4369032851608291</v>
      </c>
      <c r="E40" s="15"/>
      <c r="F40" s="24">
        <f>F39/N39</f>
        <v>0.34883907992294511</v>
      </c>
      <c r="G40" s="15"/>
      <c r="H40" s="24">
        <f>H39/N39</f>
        <v>5.4444364753182678E-2</v>
      </c>
      <c r="I40" s="15"/>
      <c r="J40" s="24">
        <f>J39/N39</f>
        <v>7.515648845335364E-2</v>
      </c>
      <c r="K40" s="15"/>
      <c r="L40" s="24">
        <f>L39/N39</f>
        <v>8.4656781709689446E-2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4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69" r:id="rId4"/>
      </mc:Fallback>
    </mc:AlternateContent>
    <mc:AlternateContent xmlns:mc="http://schemas.openxmlformats.org/markup-compatibility/2006">
      <mc:Choice Requires="x14">
        <oleObject progId="Word.Document.6" shapeId="717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0" r:id="rId6"/>
      </mc:Fallback>
    </mc:AlternateContent>
    <mc:AlternateContent xmlns:mc="http://schemas.openxmlformats.org/markup-compatibility/2006">
      <mc:Choice Requires="x14">
        <oleObject progId="Word.Document.6" shapeId="717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1" r:id="rId7"/>
      </mc:Fallback>
    </mc:AlternateContent>
    <mc:AlternateContent xmlns:mc="http://schemas.openxmlformats.org/markup-compatibility/2006">
      <mc:Choice Requires="x14">
        <oleObject progId="Word.Document.6" shapeId="7172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7172" r:id="rId8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7024991.54</v>
      </c>
      <c r="E14" s="16"/>
      <c r="F14" s="16">
        <v>4853352.3499999996</v>
      </c>
      <c r="G14" s="16"/>
      <c r="H14" s="16">
        <v>0</v>
      </c>
      <c r="I14" s="16"/>
      <c r="J14" s="16">
        <v>1539</v>
      </c>
      <c r="K14" s="16"/>
      <c r="L14" s="16">
        <v>6081050.7400000002</v>
      </c>
      <c r="M14" s="16"/>
      <c r="N14" s="16">
        <f>SUM(L14,J14,H14,F14,D14)</f>
        <v>17960933.629999999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0.3911261900253456</v>
      </c>
      <c r="E15" s="18"/>
      <c r="F15" s="18">
        <f>F14/N14</f>
        <v>0.27021715295988208</v>
      </c>
      <c r="G15" s="18"/>
      <c r="H15" s="18">
        <v>0</v>
      </c>
      <c r="I15" s="18"/>
      <c r="J15" s="18">
        <v>0</v>
      </c>
      <c r="K15" s="18"/>
      <c r="L15" s="18">
        <f>L14/N14</f>
        <v>0.33857097104589662</v>
      </c>
      <c r="M15" s="18"/>
      <c r="O15" s="16">
        <v>2986712.47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2005</v>
      </c>
      <c r="E19" s="16"/>
      <c r="F19" s="16">
        <f>183708.79-62883.24</f>
        <v>120825.55000000002</v>
      </c>
      <c r="G19" s="16"/>
      <c r="H19" s="16">
        <v>1503714.38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2070950.8399999999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9.6815431891179035E-4</v>
      </c>
      <c r="E20" s="18"/>
      <c r="F20" s="18">
        <f>F19/N19</f>
        <v>5.8343031455058599E-2</v>
      </c>
      <c r="G20" s="18"/>
      <c r="H20" s="18">
        <f>H19/N19</f>
        <v>0.72609853935499502</v>
      </c>
      <c r="I20" s="18"/>
      <c r="J20" s="18">
        <f>J19/N19</f>
        <v>0</v>
      </c>
      <c r="K20" s="18"/>
      <c r="L20" s="18">
        <f>L19/N19</f>
        <v>0.2145902748710346</v>
      </c>
      <c r="M20" s="18"/>
      <c r="O20" s="16">
        <v>2896377.45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289749.62</v>
      </c>
      <c r="E27" s="16"/>
      <c r="F27" s="16">
        <v>0</v>
      </c>
      <c r="G27" s="16"/>
      <c r="H27" s="16">
        <v>4011.82</v>
      </c>
      <c r="I27" s="16"/>
      <c r="J27" s="16">
        <v>144874.81</v>
      </c>
      <c r="K27" s="16"/>
      <c r="L27" s="16">
        <f>-197492.73+25</f>
        <v>-197467.73</v>
      </c>
      <c r="M27" s="16"/>
      <c r="N27" s="16">
        <f>SUM(L27,J27,H27,F27,D27)</f>
        <v>241168.52</v>
      </c>
      <c r="O27" s="1" t="s">
        <v>39</v>
      </c>
    </row>
    <row r="28" spans="1:15" x14ac:dyDescent="0.25">
      <c r="B28" s="1" t="s">
        <v>8</v>
      </c>
      <c r="D28" s="18">
        <f>D27/N27</f>
        <v>1.2014404699253451</v>
      </c>
      <c r="E28" s="18"/>
      <c r="F28" s="18">
        <f>F27/N27</f>
        <v>0</v>
      </c>
      <c r="G28" s="18"/>
      <c r="H28" s="18">
        <f>H27/N27</f>
        <v>1.6634923994226114E-2</v>
      </c>
      <c r="I28" s="18"/>
      <c r="J28" s="18">
        <f>J27/N27</f>
        <v>0.60072023496267257</v>
      </c>
      <c r="K28" s="18"/>
      <c r="L28" s="18">
        <f>L27/N27</f>
        <v>-0.81879562888224389</v>
      </c>
      <c r="M28" s="18"/>
      <c r="O28" s="16">
        <v>652.21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1484576.05</v>
      </c>
      <c r="E31" s="16"/>
      <c r="F31" s="16">
        <v>-9525.33</v>
      </c>
      <c r="G31" s="16"/>
      <c r="H31" s="16">
        <v>1536897.81</v>
      </c>
      <c r="I31" s="16"/>
      <c r="J31" s="16">
        <v>1217777.54</v>
      </c>
      <c r="K31" s="16"/>
      <c r="L31" s="16">
        <v>-189.2</v>
      </c>
      <c r="M31" s="16"/>
      <c r="N31" s="16">
        <f>SUM(L31,J31,H31,F31,D31)</f>
        <v>4229536.87</v>
      </c>
      <c r="O31" s="1" t="s">
        <v>39</v>
      </c>
    </row>
    <row r="32" spans="1:15" x14ac:dyDescent="0.25">
      <c r="B32" s="1" t="s">
        <v>8</v>
      </c>
      <c r="D32" s="18">
        <f>D31/N31</f>
        <v>0.35100203535996127</v>
      </c>
      <c r="E32" s="18"/>
      <c r="F32" s="18">
        <f>F31/N31</f>
        <v>-2.2520976392386904E-3</v>
      </c>
      <c r="G32" s="18"/>
      <c r="H32" s="18">
        <f>H31/N31</f>
        <v>0.3633726001778535</v>
      </c>
      <c r="I32" s="18"/>
      <c r="J32" s="18">
        <f>J31/N31</f>
        <v>0.28792219513149675</v>
      </c>
      <c r="K32" s="18"/>
      <c r="L32" s="18">
        <f>L31/N31</f>
        <v>-4.473303007286469E-5</v>
      </c>
      <c r="M32" s="18"/>
      <c r="O32" s="16">
        <v>1604419.57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2586962.08</v>
      </c>
      <c r="G35" s="16"/>
      <c r="H35" s="16">
        <v>613143.35</v>
      </c>
      <c r="I35" s="16"/>
      <c r="J35" s="16">
        <v>1078218.44</v>
      </c>
      <c r="K35" s="16"/>
      <c r="L35" s="16">
        <v>289392.93</v>
      </c>
      <c r="M35" s="16"/>
      <c r="N35" s="16">
        <f>SUM(L35,J35,H35,F35,D35)</f>
        <v>4567716.8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0.56635780922319878</v>
      </c>
      <c r="G36" s="18"/>
      <c r="H36" s="18">
        <f>H35/N35</f>
        <v>0.13423409918933679</v>
      </c>
      <c r="I36" s="18"/>
      <c r="J36" s="18">
        <f>J35/N35</f>
        <v>0.23605194612765834</v>
      </c>
      <c r="K36" s="18"/>
      <c r="L36" s="18">
        <f>L35/N35</f>
        <v>6.3356145459806085E-2</v>
      </c>
      <c r="M36" s="18"/>
      <c r="O36" s="16">
        <v>978679.13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8801322.2100000009</v>
      </c>
      <c r="E39" s="15"/>
      <c r="F39" s="22">
        <f>SUM(F35,F31,F27,F23,F19,F14)</f>
        <v>7551614.6499999994</v>
      </c>
      <c r="G39" s="15"/>
      <c r="H39" s="22">
        <f>SUM(H35,H31,H27,H23,H19,H14)</f>
        <v>3657767.36</v>
      </c>
      <c r="I39" s="15"/>
      <c r="J39" s="22">
        <f>SUM(J35,J31,J27,J23,J19,J14)</f>
        <v>2442409.79</v>
      </c>
      <c r="K39" s="15"/>
      <c r="L39" s="22">
        <f>SUM(L35,L31,L27,L23,L19,L14)</f>
        <v>6685888.4100000001</v>
      </c>
      <c r="M39" s="15"/>
      <c r="N39" s="22">
        <f>SUM(N35,N31,N27,N23,N19,N14)</f>
        <v>29139002.419999998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0.30204610587351743</v>
      </c>
      <c r="E40" s="15"/>
      <c r="F40" s="24">
        <f>F39/N39</f>
        <v>0.25915831095222513</v>
      </c>
      <c r="G40" s="15"/>
      <c r="H40" s="24">
        <f>H39/N39</f>
        <v>0.12552822870454328</v>
      </c>
      <c r="I40" s="15"/>
      <c r="J40" s="24">
        <f>J39/N39</f>
        <v>8.3819265834701839E-2</v>
      </c>
      <c r="K40" s="15"/>
      <c r="L40" s="24">
        <f>L39/N39</f>
        <v>0.2294480886350124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5" r:id="rId4"/>
      </mc:Fallback>
    </mc:AlternateContent>
    <mc:AlternateContent xmlns:mc="http://schemas.openxmlformats.org/markup-compatibility/2006">
      <mc:Choice Requires="x14">
        <oleObject progId="Word.Document.6" shapeId="614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6" r:id="rId6"/>
      </mc:Fallback>
    </mc:AlternateContent>
    <mc:AlternateContent xmlns:mc="http://schemas.openxmlformats.org/markup-compatibility/2006">
      <mc:Choice Requires="x14">
        <oleObject progId="Word.Document.6" shapeId="614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7" r:id="rId7"/>
      </mc:Fallback>
    </mc:AlternateContent>
    <mc:AlternateContent xmlns:mc="http://schemas.openxmlformats.org/markup-compatibility/2006">
      <mc:Choice Requires="x14">
        <oleObject progId="Word.Document.6" shapeId="6148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6148" r:id="rId8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4" workbookViewId="0">
      <selection activeCell="I14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10862564.92</v>
      </c>
      <c r="E14" s="16"/>
      <c r="F14" s="16">
        <v>0</v>
      </c>
      <c r="G14" s="16"/>
      <c r="H14" s="16">
        <v>1539</v>
      </c>
      <c r="I14" s="16"/>
      <c r="J14" s="16">
        <v>4368505.6100000003</v>
      </c>
      <c r="K14" s="16"/>
      <c r="L14" s="16">
        <v>5699257.7300000004</v>
      </c>
      <c r="M14" s="16"/>
      <c r="N14" s="16">
        <f>SUM(L14,J14,H14,F14,D14)</f>
        <v>20931867.259999998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0.5189486816953951</v>
      </c>
      <c r="E15" s="18"/>
      <c r="F15" s="18">
        <f>F14/N14</f>
        <v>0</v>
      </c>
      <c r="G15" s="18"/>
      <c r="H15" s="18">
        <v>0</v>
      </c>
      <c r="I15" s="18"/>
      <c r="J15" s="18">
        <v>0</v>
      </c>
      <c r="K15" s="18"/>
      <c r="L15" s="18">
        <f>L14/N14</f>
        <v>0.27227660385994634</v>
      </c>
      <c r="M15" s="18"/>
      <c r="O15" s="16">
        <v>8978874.2599999998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4400091.83</v>
      </c>
      <c r="G19" s="16"/>
      <c r="H19" s="16">
        <v>0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4844497.74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0.9082658442936955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9.1734155706304443E-2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195872.9</v>
      </c>
      <c r="E27" s="16"/>
      <c r="F27" s="16">
        <v>4011.82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147291.79999999999</v>
      </c>
      <c r="O27" s="1" t="s">
        <v>40</v>
      </c>
    </row>
    <row r="28" spans="1:15" x14ac:dyDescent="0.25">
      <c r="B28" s="1" t="s">
        <v>8</v>
      </c>
      <c r="D28" s="18">
        <f>D27/N27</f>
        <v>1.3298289517814299</v>
      </c>
      <c r="E28" s="18"/>
      <c r="F28" s="18">
        <f>F27/N27</f>
        <v>2.7237225697560898E-2</v>
      </c>
      <c r="G28" s="18"/>
      <c r="H28" s="18">
        <f>H27/N27</f>
        <v>0.98359046464229516</v>
      </c>
      <c r="I28" s="18"/>
      <c r="J28" s="18">
        <f>J27/N27</f>
        <v>0</v>
      </c>
      <c r="K28" s="18"/>
      <c r="L28" s="18">
        <f>L27/N27</f>
        <v>-1.340656642121286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1559976.76</v>
      </c>
      <c r="G31" s="16"/>
      <c r="H31" s="16">
        <v>1217777.54</v>
      </c>
      <c r="I31" s="16"/>
      <c r="J31" s="16">
        <v>1581340.62</v>
      </c>
      <c r="K31" s="16"/>
      <c r="L31" s="16">
        <v>-189.2</v>
      </c>
      <c r="M31" s="16"/>
      <c r="N31" s="16">
        <f>SUM(L31,J31,H31,F31,D31)</f>
        <v>4358905.72</v>
      </c>
      <c r="O31" s="1" t="s">
        <v>41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0.35788265684259857</v>
      </c>
      <c r="G32" s="18"/>
      <c r="H32" s="18">
        <f>H31/N31</f>
        <v>0.27937689370349589</v>
      </c>
      <c r="I32" s="18"/>
      <c r="J32" s="18">
        <f>J31/N31</f>
        <v>0.3627838548432748</v>
      </c>
      <c r="K32" s="18"/>
      <c r="L32" s="18">
        <f>L31/N31</f>
        <v>-4.3405389369146533E-5</v>
      </c>
      <c r="M32" s="18"/>
      <c r="O32" s="16">
        <v>1100305.79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126549.55</v>
      </c>
      <c r="E35" s="16"/>
      <c r="F35" s="16">
        <v>613143.35</v>
      </c>
      <c r="G35" s="16"/>
      <c r="H35" s="16">
        <v>1138414.3500000001</v>
      </c>
      <c r="I35" s="16"/>
      <c r="J35" s="16">
        <v>536193.6</v>
      </c>
      <c r="K35" s="16"/>
      <c r="L35" s="16">
        <v>671682.55</v>
      </c>
      <c r="M35" s="16"/>
      <c r="N35" s="16">
        <f>SUM(L35,J35,H35,F35,D35)</f>
        <v>3085983.4</v>
      </c>
      <c r="O35" s="1" t="s">
        <v>42</v>
      </c>
    </row>
    <row r="36" spans="1:15" x14ac:dyDescent="0.25">
      <c r="B36" s="1" t="s">
        <v>8</v>
      </c>
      <c r="D36" s="18">
        <f>D35/N35</f>
        <v>4.1007851824478386E-2</v>
      </c>
      <c r="E36" s="18"/>
      <c r="F36" s="18">
        <f>F35/N35</f>
        <v>0.1986865353844742</v>
      </c>
      <c r="G36" s="18"/>
      <c r="H36" s="18">
        <f>H35/N35</f>
        <v>0.3688984036660729</v>
      </c>
      <c r="I36" s="18"/>
      <c r="J36" s="18">
        <f>J35/N35</f>
        <v>0.17375129107953075</v>
      </c>
      <c r="K36" s="18"/>
      <c r="L36" s="18">
        <f>L35/N35</f>
        <v>0.21765591804544382</v>
      </c>
      <c r="M36" s="18"/>
      <c r="O36" s="16">
        <v>1063696.02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11184987.369999999</v>
      </c>
      <c r="E39" s="15"/>
      <c r="F39" s="22">
        <f>SUM(F35,F31,F27,F23,F19,F14)</f>
        <v>6577223.7599999998</v>
      </c>
      <c r="G39" s="15"/>
      <c r="H39" s="22">
        <f>SUM(H35,H31,H27,H23,H19,H14)</f>
        <v>2502605.7000000002</v>
      </c>
      <c r="I39" s="15"/>
      <c r="J39" s="22">
        <f>SUM(J35,J31,J27,J23,J19,J14)</f>
        <v>6486039.8300000001</v>
      </c>
      <c r="K39" s="15"/>
      <c r="L39" s="22">
        <f>SUM(L35,L31,L27,L23,L19,L14)</f>
        <v>6686385.0200000005</v>
      </c>
      <c r="M39" s="15"/>
      <c r="N39" s="22">
        <f>SUM(N35,N31,N27,N23,N19,N14)</f>
        <v>33437241.679999996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0.33450687939639884</v>
      </c>
      <c r="E40" s="15"/>
      <c r="F40" s="24">
        <f>F39/N39</f>
        <v>0.19670353861556922</v>
      </c>
      <c r="G40" s="15"/>
      <c r="H40" s="24">
        <f>H39/N39</f>
        <v>7.4844860827647089E-2</v>
      </c>
      <c r="I40" s="15"/>
      <c r="J40" s="24">
        <f>J39/N39</f>
        <v>0.19397652151073008</v>
      </c>
      <c r="K40" s="15"/>
      <c r="L40" s="24">
        <f>L39/N39</f>
        <v>0.19996819964965487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999999999999998" right="0.26" top="0.49" bottom="0.57999999999999996" header="0.3" footer="0.23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1" r:id="rId4"/>
      </mc:Fallback>
    </mc:AlternateContent>
    <mc:AlternateContent xmlns:mc="http://schemas.openxmlformats.org/markup-compatibility/2006">
      <mc:Choice Requires="x14">
        <oleObject progId="Word.Document.6" shapeId="512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2" r:id="rId6"/>
      </mc:Fallback>
    </mc:AlternateContent>
    <mc:AlternateContent xmlns:mc="http://schemas.openxmlformats.org/markup-compatibility/2006">
      <mc:Choice Requires="x14">
        <oleObject progId="Word.Document.6" shapeId="512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3" r:id="rId7"/>
      </mc:Fallback>
    </mc:AlternateContent>
    <mc:AlternateContent xmlns:mc="http://schemas.openxmlformats.org/markup-compatibility/2006">
      <mc:Choice Requires="x14">
        <oleObject progId="Word.Document.6" shapeId="5124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5124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5714782.9400000004</v>
      </c>
      <c r="E14" s="16"/>
      <c r="F14" s="16">
        <v>882079.46</v>
      </c>
      <c r="G14" s="16"/>
      <c r="H14" s="16">
        <v>4368505.6100000003</v>
      </c>
      <c r="I14" s="16"/>
      <c r="J14" s="16">
        <v>4030388.46</v>
      </c>
      <c r="K14" s="16"/>
      <c r="L14" s="16">
        <f>9082357.21+681819.86</f>
        <v>9764177.0700000003</v>
      </c>
      <c r="M14" s="16"/>
      <c r="N14" s="16">
        <f>SUM(L14,J14,H14,F14,D14)</f>
        <v>24759933.540000003</v>
      </c>
      <c r="O14" s="1" t="s">
        <v>35</v>
      </c>
    </row>
    <row r="15" spans="1:15" x14ac:dyDescent="0.25">
      <c r="A15" s="17"/>
      <c r="B15" s="1" t="s">
        <v>8</v>
      </c>
      <c r="D15" s="18">
        <f>D14/N14</f>
        <v>0.23080768495471493</v>
      </c>
      <c r="E15" s="18"/>
      <c r="F15" s="18">
        <f>F14/N14</f>
        <v>3.5625275753466336E-2</v>
      </c>
      <c r="G15" s="18"/>
      <c r="H15" s="18">
        <v>0</v>
      </c>
      <c r="I15" s="18"/>
      <c r="J15" s="18">
        <v>0</v>
      </c>
      <c r="K15" s="18"/>
      <c r="L15" s="18">
        <f>L14/N14</f>
        <v>0.39435392886761356</v>
      </c>
      <c r="M15" s="18"/>
      <c r="O15" s="16">
        <v>3360451.57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2896377.45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v>22240.62</v>
      </c>
      <c r="M19" s="16"/>
      <c r="N19" s="16">
        <f>SUM(L19,J19,H19,F19,D19)</f>
        <v>2918618.0700000003</v>
      </c>
      <c r="O19" s="1" t="s">
        <v>34</v>
      </c>
    </row>
    <row r="20" spans="1:15" x14ac:dyDescent="0.25">
      <c r="A20" s="1">
        <v>463</v>
      </c>
      <c r="B20" s="1" t="s">
        <v>8</v>
      </c>
      <c r="D20" s="18">
        <f>D19/N19</f>
        <v>0.9923797429240202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7.6202570759797963E-3</v>
      </c>
      <c r="M20" s="18"/>
      <c r="O20" s="16">
        <v>1000000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0</v>
      </c>
      <c r="G27" s="16"/>
      <c r="H27" s="16">
        <v>144874.81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0</v>
      </c>
      <c r="G28" s="18"/>
      <c r="H28" s="18">
        <f>H27/N27</f>
        <v>-2.7546447316482894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1217777.54</v>
      </c>
      <c r="G31" s="16"/>
      <c r="H31" s="16">
        <v>1581340.62</v>
      </c>
      <c r="I31" s="16"/>
      <c r="J31" s="16">
        <v>-189.2</v>
      </c>
      <c r="K31" s="16"/>
      <c r="L31" s="16">
        <v>1100305.79</v>
      </c>
      <c r="M31" s="16"/>
      <c r="N31" s="16">
        <f>SUM(L31,J31,H31,F31,D31)</f>
        <v>3899234.75</v>
      </c>
      <c r="O31" s="1" t="s">
        <v>36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0.3123119324888044</v>
      </c>
      <c r="G32" s="18"/>
      <c r="H32" s="18">
        <f>H31/N31</f>
        <v>0.40555153033553576</v>
      </c>
      <c r="I32" s="18"/>
      <c r="J32" s="18">
        <f>J31/N31</f>
        <v>-4.852234146713018E-5</v>
      </c>
      <c r="K32" s="18"/>
      <c r="L32" s="18">
        <f>L31/N31</f>
        <v>0.28218505951712708</v>
      </c>
      <c r="M32" s="18"/>
      <c r="O32" s="16">
        <v>1486817.27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613143.35</v>
      </c>
      <c r="E35" s="16"/>
      <c r="F35" s="16">
        <v>1138414.3500000001</v>
      </c>
      <c r="G35" s="16"/>
      <c r="H35" s="16">
        <v>536193.6</v>
      </c>
      <c r="I35" s="16"/>
      <c r="J35" s="16">
        <v>807306.43</v>
      </c>
      <c r="K35" s="16"/>
      <c r="L35" s="16">
        <v>928072.54</v>
      </c>
      <c r="M35" s="16"/>
      <c r="N35" s="16">
        <f>SUM(L35,J35,H35,F35,D35)</f>
        <v>4023130.2700000005</v>
      </c>
      <c r="O35" s="1" t="s">
        <v>37</v>
      </c>
    </row>
    <row r="36" spans="1:15" x14ac:dyDescent="0.25">
      <c r="B36" s="1" t="s">
        <v>8</v>
      </c>
      <c r="D36" s="18">
        <f>D35/N35</f>
        <v>0.1524045479143781</v>
      </c>
      <c r="E36" s="18"/>
      <c r="F36" s="18">
        <f>F35/N35</f>
        <v>0.28296730993003616</v>
      </c>
      <c r="G36" s="18"/>
      <c r="H36" s="18">
        <f>H35/N35</f>
        <v>0.1332777126304687</v>
      </c>
      <c r="I36" s="18"/>
      <c r="J36" s="18">
        <f>J35/N35</f>
        <v>0.20066624141405193</v>
      </c>
      <c r="K36" s="18"/>
      <c r="L36" s="18">
        <f>L35/N35</f>
        <v>0.23068418811106506</v>
      </c>
      <c r="M36" s="18"/>
      <c r="O36" s="16">
        <v>691008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9224303.7400000002</v>
      </c>
      <c r="E39" s="15"/>
      <c r="F39" s="22">
        <f>SUM(F35,F31,F27,F23,F19,F14)</f>
        <v>3238271.35</v>
      </c>
      <c r="G39" s="15"/>
      <c r="H39" s="22">
        <f>SUM(H35,H31,H27,H23,H19,H14)</f>
        <v>6630914.6400000006</v>
      </c>
      <c r="I39" s="15"/>
      <c r="J39" s="22">
        <f>SUM(J35,J31,J27,J23,J19,J14)</f>
        <v>4837505.6900000004</v>
      </c>
      <c r="K39" s="15"/>
      <c r="L39" s="22">
        <f>SUM(L35,L31,L27,L23,L19,L14)</f>
        <v>11686024.050000001</v>
      </c>
      <c r="M39" s="15"/>
      <c r="N39" s="22">
        <f>SUM(N35,N31,N27,N23,N19,N14)</f>
        <v>35617019.469999999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0.25898584096205962</v>
      </c>
      <c r="E40" s="15"/>
      <c r="F40" s="24">
        <f>F39/N39</f>
        <v>9.0919212168429103E-2</v>
      </c>
      <c r="G40" s="15"/>
      <c r="H40" s="24">
        <f>H39/N39</f>
        <v>0.18617264270485015</v>
      </c>
      <c r="I40" s="15"/>
      <c r="J40" s="24">
        <f>J39/N39</f>
        <v>0.1358200591173723</v>
      </c>
      <c r="K40" s="15"/>
      <c r="L40" s="24">
        <f>L39/N39</f>
        <v>0.32810224504728891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36" top="1" bottom="0.76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7" r:id="rId4"/>
      </mc:Fallback>
    </mc:AlternateContent>
    <mc:AlternateContent xmlns:mc="http://schemas.openxmlformats.org/markup-compatibility/2006">
      <mc:Choice Requires="x14">
        <oleObject progId="Word.Document.6" shapeId="409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8" r:id="rId6"/>
      </mc:Fallback>
    </mc:AlternateContent>
    <mc:AlternateContent xmlns:mc="http://schemas.openxmlformats.org/markup-compatibility/2006">
      <mc:Choice Requires="x14">
        <oleObject progId="Word.Document.6" shapeId="409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099" r:id="rId7"/>
      </mc:Fallback>
    </mc:AlternateContent>
    <mc:AlternateContent xmlns:mc="http://schemas.openxmlformats.org/markup-compatibility/2006">
      <mc:Choice Requires="x14">
        <oleObject progId="Word.Document.6" shapeId="410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4100" r:id="rId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4147088.81</v>
      </c>
      <c r="E14" s="16"/>
      <c r="F14" s="16">
        <v>4368505.6100000003</v>
      </c>
      <c r="G14" s="16"/>
      <c r="H14" s="16">
        <v>4030388.46</v>
      </c>
      <c r="I14" s="16"/>
      <c r="J14" s="16">
        <v>4145790.82</v>
      </c>
      <c r="K14" s="16"/>
      <c r="L14" s="16">
        <f>8885821.83+681819.86</f>
        <v>9567641.6899999995</v>
      </c>
      <c r="M14" s="16"/>
      <c r="N14" s="16">
        <f>SUM(L14,J14,H14,F14,D14)</f>
        <v>26259415.389999997</v>
      </c>
      <c r="O14" s="1" t="s">
        <v>30</v>
      </c>
    </row>
    <row r="15" spans="1:15" x14ac:dyDescent="0.25">
      <c r="A15" s="17"/>
      <c r="B15" s="1" t="s">
        <v>8</v>
      </c>
      <c r="D15" s="18">
        <f>D14/N14</f>
        <v>0.15792768987459171</v>
      </c>
      <c r="E15" s="18"/>
      <c r="F15" s="18">
        <f>F14/N14</f>
        <v>0.16635959122165364</v>
      </c>
      <c r="G15" s="18"/>
      <c r="H15" s="18">
        <v>0</v>
      </c>
      <c r="I15" s="18"/>
      <c r="J15" s="18">
        <v>0</v>
      </c>
      <c r="K15" s="18"/>
      <c r="L15" s="18">
        <f>L14/N14</f>
        <v>0.36435090225365452</v>
      </c>
      <c r="M15" s="18"/>
      <c r="O15" s="16">
        <v>1400000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62316.77</v>
      </c>
      <c r="E19" s="16"/>
      <c r="F19" s="16">
        <v>2046377.11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2550276.8800000004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2.4435295825604626E-2</v>
      </c>
      <c r="E20" s="18"/>
      <c r="F20" s="18">
        <f>F19/N19</f>
        <v>0.80241370105664755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0.17315100311774773</v>
      </c>
      <c r="M20" s="18"/>
      <c r="O20" s="16">
        <v>2804400.03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0</v>
      </c>
      <c r="E27" s="16"/>
      <c r="F27" s="16">
        <v>144874.81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31</v>
      </c>
    </row>
    <row r="28" spans="1:15" x14ac:dyDescent="0.25">
      <c r="B28" s="1" t="s">
        <v>8</v>
      </c>
      <c r="D28" s="18">
        <f>D27/N27</f>
        <v>0</v>
      </c>
      <c r="E28" s="18"/>
      <c r="F28" s="18">
        <f>F27/N27</f>
        <v>-2.7546447316482894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  <c r="O28" s="16">
        <v>144874.81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1214467.3</v>
      </c>
      <c r="E31" s="16"/>
      <c r="F31" s="16">
        <v>1581340.62</v>
      </c>
      <c r="G31" s="16"/>
      <c r="H31" s="16">
        <v>-189.2</v>
      </c>
      <c r="I31" s="16"/>
      <c r="J31" s="16">
        <v>2587123.06</v>
      </c>
      <c r="K31" s="16"/>
      <c r="L31" s="16">
        <v>0</v>
      </c>
      <c r="M31" s="16"/>
      <c r="N31" s="16">
        <f>SUM(L31,J31,H31,F31,D31)</f>
        <v>5382741.7800000003</v>
      </c>
      <c r="O31" s="1" t="s">
        <v>30</v>
      </c>
    </row>
    <row r="32" spans="1:15" x14ac:dyDescent="0.25">
      <c r="B32" s="1" t="s">
        <v>8</v>
      </c>
      <c r="D32" s="18">
        <f>D31/N31</f>
        <v>0.22562243362898229</v>
      </c>
      <c r="E32" s="18"/>
      <c r="F32" s="18">
        <f>F31/N31</f>
        <v>0.29377976589469612</v>
      </c>
      <c r="G32" s="18"/>
      <c r="H32" s="18">
        <f>H31/N31</f>
        <v>-3.514937326233769E-5</v>
      </c>
      <c r="I32" s="18"/>
      <c r="J32" s="18">
        <f>J31/N31</f>
        <v>0.48063294984958388</v>
      </c>
      <c r="K32" s="18"/>
      <c r="L32" s="18">
        <f>L31/N31</f>
        <v>0</v>
      </c>
      <c r="M32" s="18"/>
      <c r="O32" s="16">
        <v>546126.27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674958.96</v>
      </c>
      <c r="E35" s="16"/>
      <c r="F35" s="16">
        <v>536193.6</v>
      </c>
      <c r="G35" s="16"/>
      <c r="H35" s="16">
        <v>807306.43</v>
      </c>
      <c r="I35" s="16"/>
      <c r="J35" s="16">
        <v>1482169.4</v>
      </c>
      <c r="K35" s="16"/>
      <c r="L35" s="16">
        <v>136911.14000000001</v>
      </c>
      <c r="M35" s="16"/>
      <c r="N35" s="16">
        <f>SUM(L35,J35,H35,F35,D35)</f>
        <v>3637539.5300000003</v>
      </c>
      <c r="O35" s="1" t="s">
        <v>31</v>
      </c>
    </row>
    <row r="36" spans="1:15" x14ac:dyDescent="0.25">
      <c r="B36" s="1" t="s">
        <v>8</v>
      </c>
      <c r="D36" s="18">
        <f>D35/N35</f>
        <v>0.18555371135719312</v>
      </c>
      <c r="E36" s="18"/>
      <c r="F36" s="18">
        <f>F35/N35</f>
        <v>0.14740557334919188</v>
      </c>
      <c r="G36" s="18"/>
      <c r="H36" s="18">
        <f>H35/N35</f>
        <v>0.22193750015412203</v>
      </c>
      <c r="I36" s="18"/>
      <c r="J36" s="18">
        <f>J35/N35</f>
        <v>0.40746482279465424</v>
      </c>
      <c r="K36" s="18"/>
      <c r="L36" s="18">
        <f>L35/N35</f>
        <v>3.7638392344838657E-2</v>
      </c>
      <c r="M36" s="18"/>
      <c r="O36" s="1" t="s">
        <v>32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6098831.8399999999</v>
      </c>
      <c r="E39" s="15"/>
      <c r="F39" s="22">
        <f>SUM(F35,F31,F27,F23,F19,F14)</f>
        <v>8677291.75</v>
      </c>
      <c r="G39" s="15"/>
      <c r="H39" s="22">
        <f>SUM(H35,H31,H27,H23,H19,H14)</f>
        <v>4837505.6900000004</v>
      </c>
      <c r="I39" s="15"/>
      <c r="J39" s="22">
        <f>SUM(J35,J31,J27,J23,J19,J14)</f>
        <v>8215083.2799999993</v>
      </c>
      <c r="K39" s="15"/>
      <c r="L39" s="22">
        <f>SUM(L35,L31,L27,L23,L19,L14)</f>
        <v>10017363.859999999</v>
      </c>
      <c r="M39" s="15"/>
      <c r="N39" s="22">
        <f>SUM(N35,N31,N27,N23,N19,N14)</f>
        <v>37846076.420000002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0.16114832545169816</v>
      </c>
      <c r="E40" s="15"/>
      <c r="F40" s="24">
        <f>F39/N39</f>
        <v>0.22927850310565959</v>
      </c>
      <c r="G40" s="15"/>
      <c r="H40" s="24">
        <f>H39/N39</f>
        <v>0.12782053379365871</v>
      </c>
      <c r="I40" s="15"/>
      <c r="J40" s="24">
        <f>J39/N39</f>
        <v>0.21706565269362205</v>
      </c>
      <c r="K40" s="15"/>
      <c r="L40" s="24">
        <f>L39/N39</f>
        <v>0.26468698495536142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" right="0.4" top="1" bottom="0.81" header="0.5" footer="0.5"/>
  <pageSetup scale="4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3" r:id="rId4"/>
      </mc:Fallback>
    </mc:AlternateContent>
    <mc:AlternateContent xmlns:mc="http://schemas.openxmlformats.org/markup-compatibility/2006">
      <mc:Choice Requires="x14">
        <oleObject progId="Word.Document.6" shapeId="307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3074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G12" zoomScale="75" workbookViewId="0">
      <selection activeCell="G12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4.441406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4368505.6100000003</v>
      </c>
      <c r="E14" s="16"/>
      <c r="F14" s="16">
        <v>2207235.46</v>
      </c>
      <c r="G14" s="16"/>
      <c r="H14" s="16">
        <v>4145790.82</v>
      </c>
      <c r="I14" s="16"/>
      <c r="J14" s="16">
        <v>3961806.98</v>
      </c>
      <c r="K14" s="16"/>
      <c r="L14" s="16">
        <f>8438904.44+681819.86</f>
        <v>9120724.2999999989</v>
      </c>
      <c r="M14" s="16"/>
      <c r="N14" s="16">
        <f>SUM(L14,J14,H14,F14,D14)</f>
        <v>23804063.169999998</v>
      </c>
      <c r="O14" s="1" t="s">
        <v>24</v>
      </c>
    </row>
    <row r="15" spans="1:15" x14ac:dyDescent="0.25">
      <c r="A15" s="17"/>
      <c r="B15" s="1" t="s">
        <v>8</v>
      </c>
      <c r="D15" s="18">
        <f>D14/N14</f>
        <v>0.18351932520098418</v>
      </c>
      <c r="E15" s="18"/>
      <c r="F15" s="18">
        <f>F14/N14</f>
        <v>9.2725155543266866E-2</v>
      </c>
      <c r="G15" s="18"/>
      <c r="H15" s="18">
        <v>0</v>
      </c>
      <c r="I15" s="18"/>
      <c r="J15" s="18">
        <v>0</v>
      </c>
      <c r="K15" s="18"/>
      <c r="L15" s="18">
        <f>L14/N14</f>
        <v>0.38315829675224305</v>
      </c>
      <c r="M15" s="18"/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2046377.11</v>
      </c>
      <c r="E19" s="16"/>
      <c r="F19" s="16">
        <v>0</v>
      </c>
      <c r="G19" s="16"/>
      <c r="H19" s="16">
        <v>0</v>
      </c>
      <c r="I19" s="16"/>
      <c r="J19" s="16">
        <v>0</v>
      </c>
      <c r="K19" s="16"/>
      <c r="L19" s="16">
        <f>19417.71+422165.29</f>
        <v>441583</v>
      </c>
      <c r="M19" s="16"/>
      <c r="N19" s="16">
        <f>SUM(L19,J19,H19,F19,D19)</f>
        <v>2487960.1100000003</v>
      </c>
      <c r="O19" s="1" t="s">
        <v>25</v>
      </c>
    </row>
    <row r="20" spans="1:15" x14ac:dyDescent="0.25">
      <c r="A20" s="1">
        <v>463</v>
      </c>
      <c r="B20" s="1" t="s">
        <v>8</v>
      </c>
      <c r="D20" s="18">
        <f>D19/N19</f>
        <v>0.82251202572536419</v>
      </c>
      <c r="E20" s="18"/>
      <c r="F20" s="18">
        <f>F19/N19</f>
        <v>0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0.17748797427463575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f>-197492.73+25</f>
        <v>-197467.73</v>
      </c>
      <c r="M27" s="16"/>
      <c r="N27" s="16">
        <f>SUM(L27,J27,H27,F27,D27)</f>
        <v>-52592.920000000013</v>
      </c>
      <c r="O27" s="1" t="s">
        <v>26</v>
      </c>
    </row>
    <row r="28" spans="1:15" x14ac:dyDescent="0.25">
      <c r="B28" s="1" t="s">
        <v>8</v>
      </c>
      <c r="D28" s="18">
        <f>D27/N27</f>
        <v>-2.7546447316482894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3.7546447316482894</v>
      </c>
      <c r="M28" s="18"/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1581340.62</v>
      </c>
      <c r="E31" s="16"/>
      <c r="F31" s="16">
        <v>-189.2</v>
      </c>
      <c r="G31" s="16"/>
      <c r="H31" s="16">
        <v>2587123.06</v>
      </c>
      <c r="I31" s="16"/>
      <c r="J31" s="16">
        <v>546126.27</v>
      </c>
      <c r="K31" s="16"/>
      <c r="L31" s="16">
        <v>0</v>
      </c>
      <c r="M31" s="16"/>
      <c r="N31" s="16">
        <f>SUM(L31,J31,H31,F31,D31)</f>
        <v>4714400.75</v>
      </c>
      <c r="O31" s="1" t="s">
        <v>27</v>
      </c>
    </row>
    <row r="32" spans="1:15" x14ac:dyDescent="0.25">
      <c r="B32" s="1" t="s">
        <v>8</v>
      </c>
      <c r="D32" s="18">
        <f>D31/N31</f>
        <v>0.33542770414670414</v>
      </c>
      <c r="E32" s="18"/>
      <c r="F32" s="18">
        <f>F31/N31</f>
        <v>-4.0132354043088081E-5</v>
      </c>
      <c r="G32" s="18"/>
      <c r="H32" s="18">
        <f>H31/N31</f>
        <v>0.54877028856742827</v>
      </c>
      <c r="I32" s="18"/>
      <c r="J32" s="18">
        <f>J31/N31</f>
        <v>0.11584213963991076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536193.6</v>
      </c>
      <c r="E35" s="16"/>
      <c r="F35" s="16">
        <v>807306.43</v>
      </c>
      <c r="G35" s="16"/>
      <c r="H35" s="16">
        <v>2650570.21</v>
      </c>
      <c r="I35" s="16"/>
      <c r="J35" s="16">
        <v>500614.52</v>
      </c>
      <c r="K35" s="16"/>
      <c r="L35" s="16">
        <v>26385.119999999999</v>
      </c>
      <c r="M35" s="16"/>
      <c r="N35" s="16">
        <f>SUM(L35,J35,H35,F35,D35)</f>
        <v>4521069.88</v>
      </c>
      <c r="O35" s="1" t="s">
        <v>28</v>
      </c>
    </row>
    <row r="36" spans="1:15" x14ac:dyDescent="0.25">
      <c r="B36" s="1" t="s">
        <v>8</v>
      </c>
      <c r="D36" s="18">
        <f>D35/N35</f>
        <v>0.11859883041666235</v>
      </c>
      <c r="E36" s="18"/>
      <c r="F36" s="18">
        <f>F35/N35</f>
        <v>0.17856535099607884</v>
      </c>
      <c r="G36" s="18"/>
      <c r="H36" s="18">
        <f>H35/N35</f>
        <v>0.58627056877077066</v>
      </c>
      <c r="I36" s="18"/>
      <c r="J36" s="18">
        <f>J35/N35</f>
        <v>0.11072921527149676</v>
      </c>
      <c r="K36" s="18"/>
      <c r="L36" s="18">
        <f>L35/N35</f>
        <v>5.8360345449913727E-3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8677291.75</v>
      </c>
      <c r="E39" s="15"/>
      <c r="F39" s="22">
        <f>SUM(F35,F31,F27,F23,F19,F14)</f>
        <v>3014352.69</v>
      </c>
      <c r="G39" s="15"/>
      <c r="H39" s="22">
        <f>SUM(H35,H31,H27,H23,H19,H14)</f>
        <v>9383484.0899999999</v>
      </c>
      <c r="I39" s="15"/>
      <c r="J39" s="22">
        <f>SUM(J35,J31,J27,J23,J19,J14)</f>
        <v>5008547.7699999996</v>
      </c>
      <c r="K39" s="15"/>
      <c r="L39" s="22">
        <f>SUM(L35,L31,L27,L23,L19,L14)</f>
        <v>9459920.4499999993</v>
      </c>
      <c r="M39" s="15"/>
      <c r="N39" s="22">
        <f>SUM(N35,N31,N27,N23,N19,N14)</f>
        <v>35543596.75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0.24413094181302852</v>
      </c>
      <c r="E40" s="15"/>
      <c r="F40" s="24">
        <f>F39/N39</f>
        <v>8.48071935769978E-2</v>
      </c>
      <c r="G40" s="15"/>
      <c r="H40" s="24">
        <f>H39/N39</f>
        <v>0.26399928392165317</v>
      </c>
      <c r="I40" s="15"/>
      <c r="J40" s="24">
        <f>J39/N39</f>
        <v>0.14091280084084343</v>
      </c>
      <c r="K40" s="15"/>
      <c r="L40" s="24">
        <f>L39/N39</f>
        <v>0.26614977984747701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2" top="1" bottom="0.75" header="0.5" footer="0.5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49" r:id="rId4"/>
      </mc:Fallback>
    </mc:AlternateContent>
    <mc:AlternateContent xmlns:mc="http://schemas.openxmlformats.org/markup-compatibility/2006">
      <mc:Choice Requires="x14">
        <oleObject progId="Word.Document.6" shapeId="205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2050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I1" zoomScale="85" workbookViewId="0">
      <selection activeCell="I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56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3971478.74</v>
      </c>
      <c r="E14" s="16"/>
      <c r="F14" s="16">
        <v>3856970.57</v>
      </c>
      <c r="G14" s="16"/>
      <c r="H14" s="16">
        <v>3961806.98</v>
      </c>
      <c r="I14" s="16"/>
      <c r="J14" s="16">
        <v>3551416.52</v>
      </c>
      <c r="K14" s="16"/>
      <c r="L14" s="16">
        <f>9291272.33+681819.86</f>
        <v>9973092.1899999995</v>
      </c>
      <c r="M14" s="16"/>
      <c r="N14" s="16">
        <f>SUM(L14,J14,H14,F14,D14)</f>
        <v>25314765</v>
      </c>
      <c r="O14" s="1" t="s">
        <v>14</v>
      </c>
    </row>
    <row r="15" spans="1:15" x14ac:dyDescent="0.25">
      <c r="A15" s="17"/>
      <c r="B15" s="1" t="s">
        <v>8</v>
      </c>
      <c r="D15" s="18">
        <f>D14/N14</f>
        <v>0.15688388732820552</v>
      </c>
      <c r="E15" s="18"/>
      <c r="F15" s="18">
        <f>F14/N14</f>
        <v>0.15236051253092808</v>
      </c>
      <c r="G15" s="18"/>
      <c r="H15" s="18">
        <v>0</v>
      </c>
      <c r="I15" s="18"/>
      <c r="J15" s="18">
        <v>0</v>
      </c>
      <c r="K15" s="18"/>
      <c r="L15" s="18">
        <f>L14/N14</f>
        <v>0.39396345136919103</v>
      </c>
      <c r="M15" s="18"/>
      <c r="O15" s="1" t="s">
        <v>21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 t="s">
        <v>22</v>
      </c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/>
      <c r="E19" s="16"/>
      <c r="F19" s="16">
        <v>2804400.03</v>
      </c>
      <c r="G19" s="16"/>
      <c r="H19" s="16"/>
      <c r="I19" s="16"/>
      <c r="J19" s="16"/>
      <c r="K19" s="16"/>
      <c r="L19" s="16">
        <f>19417.71+422165.29</f>
        <v>441583</v>
      </c>
      <c r="M19" s="16"/>
      <c r="N19" s="16">
        <f>SUM(L19,J19,H19,F19,D19)</f>
        <v>3245983.03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0.86396016371040607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0.13603983628959393</v>
      </c>
      <c r="M20" s="18"/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144874.81</v>
      </c>
      <c r="E27" s="16"/>
      <c r="F27" s="16">
        <v>144874.81</v>
      </c>
      <c r="G27" s="16"/>
      <c r="H27" s="16">
        <v>144874.81</v>
      </c>
      <c r="I27" s="16"/>
      <c r="J27" s="16"/>
      <c r="K27" s="16"/>
      <c r="L27" s="16">
        <f>-197492.73+25</f>
        <v>-197467.73</v>
      </c>
      <c r="M27" s="16"/>
      <c r="N27" s="16">
        <f>SUM(L27,J27,H27,F27,D27)</f>
        <v>237156.69999999998</v>
      </c>
      <c r="O27" s="1" t="s">
        <v>16</v>
      </c>
    </row>
    <row r="28" spans="1:15" x14ac:dyDescent="0.25">
      <c r="B28" s="1" t="s">
        <v>8</v>
      </c>
      <c r="D28" s="18">
        <f>D27/N27</f>
        <v>0.61088221416472743</v>
      </c>
      <c r="E28" s="18"/>
      <c r="F28" s="18">
        <f>F27/N27</f>
        <v>0.61088221416472743</v>
      </c>
      <c r="G28" s="18"/>
      <c r="H28" s="18">
        <f>H27/N27</f>
        <v>0.61088221416472743</v>
      </c>
      <c r="I28" s="18"/>
      <c r="J28" s="18">
        <f>J27/N27</f>
        <v>0</v>
      </c>
      <c r="K28" s="18"/>
      <c r="L28" s="18">
        <f>L27/N27</f>
        <v>-0.83264664249418219</v>
      </c>
      <c r="M28" s="18"/>
      <c r="O28" s="1" t="s">
        <v>17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/>
      <c r="E31" s="16"/>
      <c r="F31" s="16">
        <v>2587123.06</v>
      </c>
      <c r="G31" s="16"/>
      <c r="H31" s="16">
        <v>546126.27</v>
      </c>
      <c r="I31" s="16"/>
      <c r="J31" s="16"/>
      <c r="K31" s="16"/>
      <c r="L31" s="16"/>
      <c r="M31" s="16"/>
      <c r="N31" s="16">
        <f>SUM(L31,J31,H31,F31,D31)</f>
        <v>3133249.33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0.82569970899826217</v>
      </c>
      <c r="G32" s="18"/>
      <c r="H32" s="18">
        <f>H31/N31</f>
        <v>0.1743002910017378</v>
      </c>
      <c r="I32" s="18"/>
      <c r="J32" s="18">
        <f>J31/N31</f>
        <v>0</v>
      </c>
      <c r="K32" s="18"/>
      <c r="L32" s="18">
        <f>L31/N31</f>
        <v>0</v>
      </c>
      <c r="M32" s="18"/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430539.24</v>
      </c>
      <c r="E35" s="16"/>
      <c r="F35" s="16">
        <v>3127805.71</v>
      </c>
      <c r="G35" s="16"/>
      <c r="H35" s="16">
        <v>1229839.52</v>
      </c>
      <c r="I35" s="16"/>
      <c r="J35" s="16">
        <v>150.56</v>
      </c>
      <c r="K35" s="16"/>
      <c r="L35" s="16">
        <v>26234.560000000001</v>
      </c>
      <c r="M35" s="16"/>
      <c r="N35" s="16">
        <f>SUM(L35,J35,H35,F35,D35)</f>
        <v>4814569.59</v>
      </c>
    </row>
    <row r="36" spans="1:15" x14ac:dyDescent="0.25">
      <c r="B36" s="1" t="s">
        <v>8</v>
      </c>
      <c r="D36" s="18">
        <f>D35/N35</f>
        <v>8.9424242801317569E-2</v>
      </c>
      <c r="E36" s="18"/>
      <c r="F36" s="18">
        <f>F35/N35</f>
        <v>0.64965427366478257</v>
      </c>
      <c r="G36" s="18"/>
      <c r="H36" s="18">
        <f>H35/N35</f>
        <v>0.25544121795526897</v>
      </c>
      <c r="I36" s="18"/>
      <c r="J36" s="18">
        <f>J35/N35</f>
        <v>3.1271746557099824E-5</v>
      </c>
      <c r="K36" s="18"/>
      <c r="L36" s="18">
        <f>L35/N35</f>
        <v>5.4489938320737832E-3</v>
      </c>
      <c r="M36" s="18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4546892.79</v>
      </c>
      <c r="E39" s="15"/>
      <c r="F39" s="22">
        <f>SUM(F35,F31,F27,F23,F19,F14)</f>
        <v>12521174.18</v>
      </c>
      <c r="G39" s="15"/>
      <c r="H39" s="22">
        <f>SUM(H35,H31,H27,H23,H19,H14)</f>
        <v>5882647.5800000001</v>
      </c>
      <c r="I39" s="15"/>
      <c r="J39" s="22">
        <f>SUM(J35,J31,J27,J23,J19,J14)</f>
        <v>3551567.08</v>
      </c>
      <c r="K39" s="15"/>
      <c r="L39" s="22">
        <f>SUM(L35,L31,L27,L23,L19,L14)</f>
        <v>10312137.779999999</v>
      </c>
      <c r="M39" s="15"/>
      <c r="N39" s="22">
        <f>SUM(N35,N31,N27,N23,N19,N14)</f>
        <v>36814419.409999996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0.12350847474630866</v>
      </c>
      <c r="E40" s="15"/>
      <c r="F40" s="24">
        <f>F39/N39</f>
        <v>0.34011603009550223</v>
      </c>
      <c r="G40" s="15"/>
      <c r="H40" s="24">
        <f>H39/N39</f>
        <v>0.15979194224103616</v>
      </c>
      <c r="I40" s="15"/>
      <c r="J40" s="24">
        <f>J39/N39</f>
        <v>9.6472174134987945E-2</v>
      </c>
      <c r="K40" s="15"/>
      <c r="L40" s="24">
        <f>L39/N39</f>
        <v>0.28011137878216508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2" right="0.4" top="1" bottom="0.54" header="0.5" footer="0.21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5" r:id="rId4"/>
      </mc:Fallback>
    </mc:AlternateContent>
    <mc:AlternateContent xmlns:mc="http://schemas.openxmlformats.org/markup-compatibility/2006">
      <mc:Choice Requires="x14">
        <oleObject progId="Word.Document.6" shapeId="102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6" r:id="rId6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9" workbookViewId="0">
      <selection activeCell="K29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6784447.4199999999</v>
      </c>
      <c r="E14" s="16"/>
      <c r="F14" s="16">
        <v>5502225.6600000001</v>
      </c>
      <c r="G14" s="16"/>
      <c r="H14" s="16">
        <v>2151302.67</v>
      </c>
      <c r="I14" s="16"/>
      <c r="J14" s="16">
        <v>42222</v>
      </c>
      <c r="K14" s="16"/>
      <c r="L14" s="16">
        <f>37325.9+1851404.42</f>
        <v>1888730.3199999998</v>
      </c>
      <c r="M14" s="16"/>
      <c r="N14" s="16">
        <f>SUM(L14,J14,H14,F14,D14)</f>
        <v>16368928.07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0.41447108759883505</v>
      </c>
      <c r="E15" s="18"/>
      <c r="F15" s="18">
        <f>F14/N14</f>
        <v>0.33613842253263687</v>
      </c>
      <c r="G15" s="18"/>
      <c r="H15" s="18">
        <v>0</v>
      </c>
      <c r="I15" s="18"/>
      <c r="J15" s="18">
        <v>0</v>
      </c>
      <c r="K15" s="18"/>
      <c r="L15" s="18">
        <f>L14/N14</f>
        <v>0.11538509497525086</v>
      </c>
      <c r="M15" s="18"/>
      <c r="O15" s="16">
        <v>2230986.6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32122.82</v>
      </c>
      <c r="G19" s="16"/>
      <c r="H19" s="16">
        <v>-152850.42000000001</v>
      </c>
      <c r="I19" s="16"/>
      <c r="J19" s="16">
        <v>32407.23</v>
      </c>
      <c r="K19" s="16"/>
      <c r="L19" s="16">
        <f>71398.48+468894.72</f>
        <v>540293.19999999995</v>
      </c>
      <c r="M19" s="16"/>
      <c r="N19" s="16">
        <f>SUM(L19,J19,H19,F19,D19)</f>
        <v>451972.8299999999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7.1072458050188567E-2</v>
      </c>
      <c r="G20" s="18"/>
      <c r="H20" s="18">
        <f>H19/N19</f>
        <v>-0.33818497452601309</v>
      </c>
      <c r="I20" s="18"/>
      <c r="J20" s="18">
        <f>J19/N19</f>
        <v>7.1701721539323512E-2</v>
      </c>
      <c r="K20" s="18"/>
      <c r="L20" s="18">
        <f>L19/N19</f>
        <v>1.1954107949365012</v>
      </c>
      <c r="M20" s="18"/>
      <c r="O20" s="16">
        <v>2318398.16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446831.93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1340815.55</v>
      </c>
      <c r="O27" s="1" t="s">
        <v>39</v>
      </c>
    </row>
    <row r="28" spans="1:15" x14ac:dyDescent="0.25">
      <c r="B28" s="1" t="s">
        <v>8</v>
      </c>
      <c r="D28" s="18">
        <f>D27/N27</f>
        <v>0.33325383942631032</v>
      </c>
      <c r="E28" s="18"/>
      <c r="F28" s="18">
        <f>F27/N27</f>
        <v>0.16593852152147251</v>
      </c>
      <c r="G28" s="18"/>
      <c r="H28" s="18">
        <f>H27/N27</f>
        <v>0.16593852152147251</v>
      </c>
      <c r="I28" s="18"/>
      <c r="J28" s="18">
        <f>J27/N27</f>
        <v>0</v>
      </c>
      <c r="K28" s="18"/>
      <c r="L28" s="18">
        <f>L27/N27</f>
        <v>0.33486911753074466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1148606.8</v>
      </c>
      <c r="E31" s="16"/>
      <c r="F31" s="16">
        <v>860590.43</v>
      </c>
      <c r="G31" s="16"/>
      <c r="H31" s="16">
        <v>1588292.58</v>
      </c>
      <c r="I31" s="16"/>
      <c r="J31" s="16">
        <v>105299.88</v>
      </c>
      <c r="K31" s="16"/>
      <c r="L31" s="16">
        <f>28085.15-36492.68</f>
        <v>-8407.5299999999988</v>
      </c>
      <c r="M31" s="16"/>
      <c r="N31" s="16">
        <f>SUM(L31,J31,H31,F31,D31)</f>
        <v>3694382.16</v>
      </c>
      <c r="O31" s="1" t="s">
        <v>39</v>
      </c>
    </row>
    <row r="32" spans="1:15" x14ac:dyDescent="0.25">
      <c r="B32" s="1" t="s">
        <v>8</v>
      </c>
      <c r="D32" s="18">
        <f>D31/N31</f>
        <v>0.31090633027526315</v>
      </c>
      <c r="E32" s="18"/>
      <c r="F32" s="18">
        <f>F31/N31</f>
        <v>0.23294569774557378</v>
      </c>
      <c r="G32" s="18"/>
      <c r="H32" s="18">
        <f>H31/N31</f>
        <v>0.42992102906863322</v>
      </c>
      <c r="I32" s="18"/>
      <c r="J32" s="18">
        <f>J31/N31</f>
        <v>2.8502703683475995E-2</v>
      </c>
      <c r="K32" s="18"/>
      <c r="L32" s="18">
        <f>L31/N31</f>
        <v>-2.2757607729461315E-3</v>
      </c>
      <c r="M32" s="18"/>
      <c r="O32" s="16">
        <v>37116.019999999997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3102732</v>
      </c>
      <c r="E35" s="16"/>
      <c r="F35" s="16">
        <v>1543309.76</v>
      </c>
      <c r="G35" s="16"/>
      <c r="H35" s="16">
        <v>-739143.8</v>
      </c>
      <c r="I35" s="16"/>
      <c r="J35" s="16">
        <v>-835928.78</v>
      </c>
      <c r="K35" s="16"/>
      <c r="L35" s="16">
        <f>598644.72+1819424.3</f>
        <v>2418069.02</v>
      </c>
      <c r="M35" s="16"/>
      <c r="N35" s="16">
        <f>SUM(L35,J35,H35,F35,D35)</f>
        <v>5489038.2000000002</v>
      </c>
      <c r="O35" s="1" t="s">
        <v>39</v>
      </c>
    </row>
    <row r="36" spans="1:15" x14ac:dyDescent="0.25">
      <c r="B36" s="1" t="s">
        <v>8</v>
      </c>
      <c r="D36" s="18">
        <f>D35/N35</f>
        <v>0.56525968429223172</v>
      </c>
      <c r="E36" s="18"/>
      <c r="F36" s="18">
        <f>F35/N35</f>
        <v>0.2811621460386266</v>
      </c>
      <c r="G36" s="18"/>
      <c r="H36" s="18">
        <f>H35/N35</f>
        <v>-0.13465816288179594</v>
      </c>
      <c r="I36" s="18"/>
      <c r="J36" s="18">
        <f>J35/N35</f>
        <v>-0.15229057433049017</v>
      </c>
      <c r="K36" s="18"/>
      <c r="L36" s="18">
        <f>L35/N35</f>
        <v>0.44052690688142776</v>
      </c>
      <c r="M36" s="18"/>
      <c r="O36" s="16">
        <f>1500000</f>
        <v>1500000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11482618.149999999</v>
      </c>
      <c r="E39" s="15"/>
      <c r="F39" s="22">
        <f>SUM(F35,F31,F27,F23,F19,F14)</f>
        <v>8160741.6200000001</v>
      </c>
      <c r="G39" s="15"/>
      <c r="H39" s="22">
        <f>SUM(H35,H31,H27,H23,H19,H14)</f>
        <v>3070093.98</v>
      </c>
      <c r="I39" s="15"/>
      <c r="J39" s="22">
        <f>SUM(J35,J31,J27,J23,J19,J14)</f>
        <v>-655999.67000000004</v>
      </c>
      <c r="K39" s="15"/>
      <c r="L39" s="22">
        <f>SUM(L35,L31,L27,L23,L19,L14)</f>
        <v>5356378.49</v>
      </c>
      <c r="M39" s="15"/>
      <c r="N39" s="22">
        <f>SUM(N35,N31,N27,N23,N19,N14)</f>
        <v>27413832.57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0.41886219742094233</v>
      </c>
      <c r="E40" s="15"/>
      <c r="F40" s="24">
        <f>F39/N39</f>
        <v>0.29768700159534095</v>
      </c>
      <c r="G40" s="15"/>
      <c r="H40" s="24">
        <f>H39/N39</f>
        <v>0.111990688356349</v>
      </c>
      <c r="I40" s="15"/>
      <c r="J40" s="24">
        <f>J39/N39</f>
        <v>-2.3929513260319734E-2</v>
      </c>
      <c r="K40" s="15"/>
      <c r="L40" s="24">
        <f>L39/N39</f>
        <v>0.19538962588768741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1" right="0.41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536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1" r:id="rId4"/>
      </mc:Fallback>
    </mc:AlternateContent>
    <mc:AlternateContent xmlns:mc="http://schemas.openxmlformats.org/markup-compatibility/2006">
      <mc:Choice Requires="x14">
        <oleObject progId="Word.Document.6" shapeId="1536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2" r:id="rId6"/>
      </mc:Fallback>
    </mc:AlternateContent>
    <mc:AlternateContent xmlns:mc="http://schemas.openxmlformats.org/markup-compatibility/2006">
      <mc:Choice Requires="x14">
        <oleObject progId="Word.Document.6" shapeId="1536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5363" r:id="rId7"/>
      </mc:Fallback>
    </mc:AlternateContent>
    <mc:AlternateContent xmlns:mc="http://schemas.openxmlformats.org/markup-compatibility/2006">
      <mc:Choice Requires="x14">
        <oleObject progId="Word.Document.6" shapeId="15364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5364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26" zoomScale="85" workbookViewId="0">
      <selection activeCell="H26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10256812.529999999</v>
      </c>
      <c r="E14" s="16"/>
      <c r="F14" s="16">
        <v>4532289.2699999996</v>
      </c>
      <c r="G14" s="16"/>
      <c r="H14" s="16">
        <v>42222</v>
      </c>
      <c r="I14" s="16"/>
      <c r="J14" s="16">
        <v>37325.9</v>
      </c>
      <c r="K14" s="16"/>
      <c r="L14" s="16">
        <f>765643.41+1085761.01</f>
        <v>1851404.42</v>
      </c>
      <c r="M14" s="16"/>
      <c r="N14" s="16">
        <f>SUM(L14,J14,H14,F14,D14)</f>
        <v>16720054.119999999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0.61344373985794254</v>
      </c>
      <c r="E15" s="18"/>
      <c r="F15" s="18">
        <f>F14/N14</f>
        <v>0.27106905500853723</v>
      </c>
      <c r="G15" s="18"/>
      <c r="H15" s="18">
        <v>0</v>
      </c>
      <c r="I15" s="18"/>
      <c r="J15" s="18">
        <v>0</v>
      </c>
      <c r="K15" s="18"/>
      <c r="L15" s="18">
        <f>L14/N14</f>
        <v>0.11072957101169957</v>
      </c>
      <c r="M15" s="18"/>
      <c r="O15" s="16">
        <f>4275090.13</f>
        <v>4275090.13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2318398.16</v>
      </c>
      <c r="E19" s="16"/>
      <c r="F19" s="16">
        <v>-152850.42000000001</v>
      </c>
      <c r="G19" s="16"/>
      <c r="H19" s="16">
        <v>32704.23</v>
      </c>
      <c r="I19" s="16"/>
      <c r="J19" s="16">
        <v>71398.48</v>
      </c>
      <c r="K19" s="16"/>
      <c r="L19" s="16">
        <f>24488.81+444405.91</f>
        <v>468894.71999999997</v>
      </c>
      <c r="M19" s="16"/>
      <c r="N19" s="16">
        <f>SUM(L19,J19,H19,F19,D19)</f>
        <v>2738545.17</v>
      </c>
      <c r="O19" s="1" t="s">
        <v>39</v>
      </c>
    </row>
    <row r="20" spans="1:15" x14ac:dyDescent="0.25">
      <c r="B20" s="1" t="s">
        <v>8</v>
      </c>
      <c r="D20" s="18">
        <f>D19/N19</f>
        <v>0.84658021543606676</v>
      </c>
      <c r="E20" s="18"/>
      <c r="F20" s="18">
        <f>F19/N19</f>
        <v>-5.5814460055081005E-2</v>
      </c>
      <c r="G20" s="18"/>
      <c r="H20" s="18">
        <f>H19/N19</f>
        <v>1.1942191189053859E-2</v>
      </c>
      <c r="I20" s="18"/>
      <c r="J20" s="18">
        <f>J19/N19</f>
        <v>2.6071682432756805E-2</v>
      </c>
      <c r="K20" s="18"/>
      <c r="L20" s="18">
        <f>L19/N19</f>
        <v>0.17122037099720358</v>
      </c>
      <c r="M20" s="18"/>
      <c r="O20" s="16">
        <f>3188526.22+2699455.47+1522850.42</f>
        <v>7410832.1100000003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222492.95</v>
      </c>
      <c r="G27" s="16"/>
      <c r="H27" s="16">
        <v>0</v>
      </c>
      <c r="I27" s="16"/>
      <c r="J27" s="16">
        <v>0</v>
      </c>
      <c r="K27" s="16"/>
      <c r="L27" s="16">
        <f>444985.9+4011.82</f>
        <v>448997.72000000003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0.24887810584269987</v>
      </c>
      <c r="E28" s="18"/>
      <c r="F28" s="18">
        <f>F27/N27</f>
        <v>0.24887810584269987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0.50224378831460015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1588292.58</v>
      </c>
      <c r="G31" s="16"/>
      <c r="H31" s="16">
        <v>105299.88</v>
      </c>
      <c r="I31" s="16"/>
      <c r="J31" s="16">
        <v>28085.15</v>
      </c>
      <c r="K31" s="16"/>
      <c r="L31" s="16">
        <f>18617.53-55110.21</f>
        <v>-36492.68</v>
      </c>
      <c r="M31" s="16"/>
      <c r="N31" s="16">
        <f>SUM(L31,J31,H31,F31,D31)</f>
        <v>1685184.9300000002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0.94250343195271746</v>
      </c>
      <c r="G32" s="18"/>
      <c r="H32" s="18">
        <f>H31/N31</f>
        <v>6.2485652539036173E-2</v>
      </c>
      <c r="I32" s="18"/>
      <c r="J32" s="18">
        <f>J31/N31</f>
        <v>1.6665915710508995E-2</v>
      </c>
      <c r="K32" s="18"/>
      <c r="L32" s="18">
        <f>L31/N31</f>
        <v>-2.1655000202262666E-2</v>
      </c>
      <c r="M32" s="18"/>
      <c r="O32" s="16">
        <f>1412855.55+1621503.24</f>
        <v>3034358.79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-756565.36</v>
      </c>
      <c r="G35" s="16"/>
      <c r="H35" s="16">
        <v>-818199.1</v>
      </c>
      <c r="I35" s="16"/>
      <c r="J35" s="16">
        <v>594519.24</v>
      </c>
      <c r="K35" s="16"/>
      <c r="L35" s="16">
        <f>975141.39+830678.71</f>
        <v>1805820.1</v>
      </c>
      <c r="M35" s="16"/>
      <c r="N35" s="16">
        <f>SUM(L35,J35,H35,F35,D35)</f>
        <v>825574.87999999977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-0.91641034426822698</v>
      </c>
      <c r="G36" s="18"/>
      <c r="H36" s="18">
        <f>H35/N35</f>
        <v>-0.99106588611320179</v>
      </c>
      <c r="I36" s="18"/>
      <c r="J36" s="18">
        <f>J35/N35</f>
        <v>0.72012757946317374</v>
      </c>
      <c r="K36" s="18"/>
      <c r="L36" s="18">
        <f>L35/N35</f>
        <v>2.1873486509182554</v>
      </c>
      <c r="M36" s="18"/>
      <c r="O36" s="16"/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12797703.640000001</v>
      </c>
      <c r="E39" s="15"/>
      <c r="F39" s="22">
        <f>SUM(F35,F31,F27,F23,F19,F14)</f>
        <v>5433659.0199999996</v>
      </c>
      <c r="G39" s="15"/>
      <c r="H39" s="22">
        <f>SUM(H35,H31,H27,H23,H19,H14)</f>
        <v>-637972.99</v>
      </c>
      <c r="I39" s="15"/>
      <c r="J39" s="22">
        <f>SUM(J35,J31,J27,J23,J19,J14)</f>
        <v>731328.77</v>
      </c>
      <c r="K39" s="15"/>
      <c r="L39" s="22">
        <f>SUM(L35,L31,L27,L23,L19,L14)</f>
        <v>4607320.04</v>
      </c>
      <c r="M39" s="15"/>
      <c r="N39" s="22">
        <f>SUM(N35,N31,N27,N23,N19,N14)</f>
        <v>22932038.479999997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0.55807091249918406</v>
      </c>
      <c r="E40" s="15"/>
      <c r="F40" s="24">
        <f>F39/N39</f>
        <v>0.23694618447195281</v>
      </c>
      <c r="G40" s="15"/>
      <c r="H40" s="24">
        <f>H39/N39</f>
        <v>-2.7820160451780304E-2</v>
      </c>
      <c r="I40" s="15"/>
      <c r="J40" s="24">
        <f>J39/N39</f>
        <v>3.1891136526646893E-2</v>
      </c>
      <c r="K40" s="15"/>
      <c r="L40" s="24">
        <f>L39/N39</f>
        <v>0.20091192695399668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28000000000000003" right="0.38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433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7" r:id="rId4"/>
      </mc:Fallback>
    </mc:AlternateContent>
    <mc:AlternateContent xmlns:mc="http://schemas.openxmlformats.org/markup-compatibility/2006">
      <mc:Choice Requires="x14">
        <oleObject progId="Word.Document.6" shapeId="1433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8" r:id="rId6"/>
      </mc:Fallback>
    </mc:AlternateContent>
    <mc:AlternateContent xmlns:mc="http://schemas.openxmlformats.org/markup-compatibility/2006">
      <mc:Choice Requires="x14">
        <oleObject progId="Word.Document.6" shapeId="1433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4339" r:id="rId7"/>
      </mc:Fallback>
    </mc:AlternateContent>
    <mc:AlternateContent xmlns:mc="http://schemas.openxmlformats.org/markup-compatibility/2006">
      <mc:Choice Requires="x14">
        <oleObject progId="Word.Document.6" shapeId="14340" r:id="rId8">
          <objectPr defaultSize="0" autoLine="0" autoPict="0" r:id="rId5">
            <anchor moveWithCells="1">
              <from>
                <xdr:col>0</xdr:col>
                <xdr:colOff>678180</xdr:colOff>
                <xdr:row>4</xdr:row>
                <xdr:rowOff>129540</xdr:rowOff>
              </from>
              <to>
                <xdr:col>0</xdr:col>
                <xdr:colOff>1851660</xdr:colOff>
                <xdr:row>10</xdr:row>
                <xdr:rowOff>152400</xdr:rowOff>
              </to>
            </anchor>
          </objectPr>
        </oleObject>
      </mc:Choice>
      <mc:Fallback>
        <oleObject progId="Word.Document.6" shapeId="1434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H11" zoomScale="85" workbookViewId="0">
      <selection activeCell="H1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6.5546875" style="1" bestFit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50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11384500.93</v>
      </c>
      <c r="E14" s="16"/>
      <c r="F14" s="16">
        <v>2769542.66</v>
      </c>
      <c r="G14" s="16"/>
      <c r="H14" s="16">
        <v>37325.9</v>
      </c>
      <c r="I14" s="16"/>
      <c r="J14" s="16">
        <v>765643.41</v>
      </c>
      <c r="K14" s="16"/>
      <c r="L14" s="16">
        <f>-462610.38+1548371.39</f>
        <v>1085761.0099999998</v>
      </c>
      <c r="M14" s="16"/>
      <c r="N14" s="16">
        <f>SUM(L14,J14,H14,F14,D14)</f>
        <v>16042773.91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0.70963419380383197</v>
      </c>
      <c r="E15" s="18"/>
      <c r="F15" s="18">
        <f>F14/N14</f>
        <v>0.17263489939689614</v>
      </c>
      <c r="G15" s="18"/>
      <c r="H15" s="18">
        <v>0</v>
      </c>
      <c r="I15" s="18"/>
      <c r="J15" s="18">
        <v>0</v>
      </c>
      <c r="K15" s="18"/>
      <c r="L15" s="18">
        <f>L14/N14</f>
        <v>6.7679131806701362E-2</v>
      </c>
      <c r="M15" s="18"/>
      <c r="O15" s="16">
        <f>1304115.03+2722035.64</f>
        <v>4026150.67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2699455.47</v>
      </c>
      <c r="E19" s="16"/>
      <c r="F19" s="16">
        <v>32407.23</v>
      </c>
      <c r="G19" s="16"/>
      <c r="H19" s="16">
        <v>3259924.7</v>
      </c>
      <c r="I19" s="16"/>
      <c r="J19" s="16">
        <v>24488.81</v>
      </c>
      <c r="K19" s="16"/>
      <c r="L19" s="16">
        <v>444405.91</v>
      </c>
      <c r="M19" s="16"/>
      <c r="N19" s="16">
        <f>SUM(L19,J19,H19,F19,D19)</f>
        <v>6460682.1200000001</v>
      </c>
      <c r="O19" s="1" t="s">
        <v>39</v>
      </c>
    </row>
    <row r="20" spans="1:15" x14ac:dyDescent="0.25">
      <c r="B20" s="1" t="s">
        <v>8</v>
      </c>
      <c r="D20" s="18">
        <f>D19/N19</f>
        <v>0.41782824473648617</v>
      </c>
      <c r="E20" s="18"/>
      <c r="F20" s="18">
        <f>F19/N19</f>
        <v>5.0160694177598698E-3</v>
      </c>
      <c r="G20" s="18"/>
      <c r="H20" s="18">
        <f>H19/N19</f>
        <v>0.50457902733032156</v>
      </c>
      <c r="I20" s="18"/>
      <c r="J20" s="18">
        <f>J19/N19</f>
        <v>3.7904372239877361E-3</v>
      </c>
      <c r="K20" s="18"/>
      <c r="L20" s="18">
        <f>L19/N19</f>
        <v>6.8786221291444682E-2</v>
      </c>
      <c r="M20" s="18"/>
      <c r="O20" s="16">
        <f>2730346.33</f>
        <v>2730346.33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0</v>
      </c>
      <c r="G27" s="16"/>
      <c r="H27" s="16">
        <v>0</v>
      </c>
      <c r="I27" s="16"/>
      <c r="J27" s="16">
        <v>444985.9</v>
      </c>
      <c r="K27" s="16"/>
      <c r="L27" s="16">
        <v>4011.82</v>
      </c>
      <c r="M27" s="16"/>
      <c r="N27" s="16">
        <f>SUM(L27,J27,H27,F27,D27)</f>
        <v>671490.67</v>
      </c>
      <c r="O27" s="1" t="s">
        <v>39</v>
      </c>
    </row>
    <row r="28" spans="1:15" x14ac:dyDescent="0.25">
      <c r="B28" s="1" t="s">
        <v>8</v>
      </c>
      <c r="D28" s="18">
        <f>D27/N27</f>
        <v>0.33134183383367039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0.66268366766734077</v>
      </c>
      <c r="K28" s="18"/>
      <c r="L28" s="18">
        <f>L27/N27</f>
        <v>5.9744984989888242E-3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0</v>
      </c>
      <c r="E31" s="16"/>
      <c r="F31" s="16">
        <v>1726803.12</v>
      </c>
      <c r="G31" s="16"/>
      <c r="H31" s="16">
        <v>28085.13</v>
      </c>
      <c r="I31" s="16"/>
      <c r="J31" s="16">
        <v>1431473.08</v>
      </c>
      <c r="K31" s="16"/>
      <c r="L31" s="16">
        <v>-55110.21</v>
      </c>
      <c r="M31" s="16"/>
      <c r="N31" s="16">
        <f>SUM(L31,J31,H31,F31,D31)</f>
        <v>3131251.12</v>
      </c>
      <c r="O31" s="1" t="s">
        <v>39</v>
      </c>
    </row>
    <row r="32" spans="1:15" x14ac:dyDescent="0.25">
      <c r="B32" s="1" t="s">
        <v>8</v>
      </c>
      <c r="D32" s="18">
        <f>D31/N31</f>
        <v>0</v>
      </c>
      <c r="E32" s="18"/>
      <c r="F32" s="18">
        <f>F31/N31</f>
        <v>0.55147385304567975</v>
      </c>
      <c r="G32" s="18"/>
      <c r="H32" s="18">
        <f>H31/N31</f>
        <v>8.9692997858312942E-3</v>
      </c>
      <c r="I32" s="18"/>
      <c r="J32" s="18">
        <f>J31/N31</f>
        <v>0.45715690793908603</v>
      </c>
      <c r="K32" s="18"/>
      <c r="L32" s="18">
        <f>L31/N31</f>
        <v>-1.7600060770597024E-2</v>
      </c>
      <c r="M32" s="18"/>
      <c r="O32" s="16">
        <f>1073124.03+17839.24</f>
        <v>1090963.27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1279934.6399999999</v>
      </c>
      <c r="E35" s="16"/>
      <c r="F35" s="16">
        <v>-1801887.66</v>
      </c>
      <c r="G35" s="16"/>
      <c r="H35" s="16">
        <v>594519.24</v>
      </c>
      <c r="I35" s="16"/>
      <c r="J35" s="16">
        <v>975141.39</v>
      </c>
      <c r="K35" s="16"/>
      <c r="L35" s="16">
        <f>599706.33+230972.38</f>
        <v>830678.71</v>
      </c>
      <c r="M35" s="16"/>
      <c r="N35" s="16">
        <f>SUM(L35,J35,H35,F35,D35)</f>
        <v>1878386.3199999998</v>
      </c>
      <c r="O35" s="1" t="s">
        <v>39</v>
      </c>
    </row>
    <row r="36" spans="1:15" x14ac:dyDescent="0.25">
      <c r="B36" s="1" t="s">
        <v>8</v>
      </c>
      <c r="D36" s="18">
        <f>D35/N35</f>
        <v>0.68140117204431094</v>
      </c>
      <c r="E36" s="18"/>
      <c r="F36" s="18">
        <f>F35/N35</f>
        <v>-0.95927426686114281</v>
      </c>
      <c r="G36" s="18"/>
      <c r="H36" s="18">
        <f>H35/N35</f>
        <v>0.31650530759827938</v>
      </c>
      <c r="I36" s="18"/>
      <c r="J36" s="18">
        <f>J35/N35</f>
        <v>0.51913782570563016</v>
      </c>
      <c r="K36" s="18"/>
      <c r="L36" s="18">
        <f>L35/N35</f>
        <v>0.44222996151292243</v>
      </c>
      <c r="M36" s="18"/>
      <c r="O36" s="16">
        <v>4700000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15586383.99</v>
      </c>
      <c r="E39" s="15"/>
      <c r="F39" s="22">
        <f>SUM(F35,F31,F27,F23,F19,F14)</f>
        <v>2726865.3500000006</v>
      </c>
      <c r="G39" s="15"/>
      <c r="H39" s="22">
        <f>SUM(H35,H31,H27,H23,H19,H14)</f>
        <v>3919854.97</v>
      </c>
      <c r="I39" s="15"/>
      <c r="J39" s="22">
        <f>SUM(J35,J31,J27,J23,J19,J14)</f>
        <v>3641732.5900000003</v>
      </c>
      <c r="K39" s="15"/>
      <c r="L39" s="22">
        <f>SUM(L35,L31,L27,L23,L19,L14)</f>
        <v>2378443</v>
      </c>
      <c r="M39" s="15"/>
      <c r="N39" s="22">
        <f>SUM(N35,N31,N27,N23,N19,N14)</f>
        <v>28253279.899999999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0.55166635679703868</v>
      </c>
      <c r="E40" s="15"/>
      <c r="F40" s="24">
        <f>F39/N39</f>
        <v>9.6515001431745295E-2</v>
      </c>
      <c r="G40" s="15"/>
      <c r="H40" s="24">
        <f>H39/N39</f>
        <v>0.13873982008014582</v>
      </c>
      <c r="I40" s="15"/>
      <c r="J40" s="24">
        <f>J39/N39</f>
        <v>0.12889592298273309</v>
      </c>
      <c r="K40" s="15"/>
      <c r="L40" s="24">
        <f>L39/N39</f>
        <v>8.4182898708337228E-2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7" right="0.41" top="1" bottom="0.68" header="0.5" footer="0.2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331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3" r:id="rId4"/>
      </mc:Fallback>
    </mc:AlternateContent>
    <mc:AlternateContent xmlns:mc="http://schemas.openxmlformats.org/markup-compatibility/2006">
      <mc:Choice Requires="x14">
        <oleObject progId="Word.Document.6" shapeId="1331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4" r:id="rId6"/>
      </mc:Fallback>
    </mc:AlternateContent>
    <mc:AlternateContent xmlns:mc="http://schemas.openxmlformats.org/markup-compatibility/2006">
      <mc:Choice Requires="x14">
        <oleObject progId="Word.Document.6" shapeId="1331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5" r:id="rId7"/>
      </mc:Fallback>
    </mc:AlternateContent>
    <mc:AlternateContent xmlns:mc="http://schemas.openxmlformats.org/markup-compatibility/2006">
      <mc:Choice Requires="x14">
        <oleObject progId="Word.Document.6" shapeId="13316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3316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8827660.9100000001</v>
      </c>
      <c r="E14" s="16"/>
      <c r="F14" s="16">
        <f>2766781.24</f>
        <v>2766781.24</v>
      </c>
      <c r="G14" s="16"/>
      <c r="H14" s="16">
        <f>2069758.44-476961.58</f>
        <v>1592796.8599999999</v>
      </c>
      <c r="I14" s="16"/>
      <c r="J14" s="16">
        <f>6931.5</f>
        <v>6931.5</v>
      </c>
      <c r="K14" s="16"/>
      <c r="L14" s="16">
        <f>13448.48+1534922.91</f>
        <v>1548371.39</v>
      </c>
      <c r="M14" s="16"/>
      <c r="N14" s="16">
        <f>SUM(L14,J14,H14,F14,D14)</f>
        <v>14742541.9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0.59878825306238403</v>
      </c>
      <c r="E15" s="18"/>
      <c r="F15" s="18">
        <f>F14/N14</f>
        <v>0.18767328312629725</v>
      </c>
      <c r="G15" s="18"/>
      <c r="H15" s="18">
        <v>0</v>
      </c>
      <c r="I15" s="18"/>
      <c r="J15" s="18">
        <v>0</v>
      </c>
      <c r="K15" s="18"/>
      <c r="L15" s="18">
        <f>L14/N14</f>
        <v>0.10502743695780169</v>
      </c>
      <c r="M15" s="18"/>
      <c r="O15" s="16">
        <f>2297123.6+2282155.9+1002042.77</f>
        <v>5581322.2699999996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3259924.7</v>
      </c>
      <c r="G19" s="16"/>
      <c r="H19" s="16">
        <v>2752830.14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6459165.75</v>
      </c>
      <c r="O19" s="1" t="s">
        <v>39</v>
      </c>
    </row>
    <row r="20" spans="1:15" x14ac:dyDescent="0.25">
      <c r="B20" s="1" t="s">
        <v>8</v>
      </c>
      <c r="D20" s="18">
        <f>D19/N19</f>
        <v>0</v>
      </c>
      <c r="E20" s="18"/>
      <c r="F20" s="18">
        <f>F19/N19</f>
        <v>0.50469748357208521</v>
      </c>
      <c r="G20" s="18"/>
      <c r="H20" s="18">
        <f>H19/N19</f>
        <v>0.42618973510627128</v>
      </c>
      <c r="I20" s="18"/>
      <c r="J20" s="18">
        <f>J19/N19</f>
        <v>0</v>
      </c>
      <c r="K20" s="18"/>
      <c r="L20" s="18">
        <f>L19/N19</f>
        <v>6.9112781321643585E-2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222492.95+222492.95</f>
        <v>444985.9</v>
      </c>
      <c r="E27" s="16"/>
      <c r="F27" s="16">
        <v>222492.95</v>
      </c>
      <c r="G27" s="16"/>
      <c r="H27" s="16">
        <v>222492.95</v>
      </c>
      <c r="I27" s="16"/>
      <c r="J27" s="16">
        <v>0</v>
      </c>
      <c r="K27" s="16"/>
      <c r="L27" s="16">
        <v>4011.82</v>
      </c>
      <c r="M27" s="16"/>
      <c r="N27" s="16">
        <f>SUM(L27,J27,H27,F27,D27)</f>
        <v>893983.62000000011</v>
      </c>
      <c r="O27" s="1" t="s">
        <v>39</v>
      </c>
    </row>
    <row r="28" spans="1:15" x14ac:dyDescent="0.25">
      <c r="B28" s="1" t="s">
        <v>8</v>
      </c>
      <c r="D28" s="18">
        <f>D27/N27</f>
        <v>0.49775621168539974</v>
      </c>
      <c r="E28" s="18"/>
      <c r="F28" s="18">
        <f>F27/N27</f>
        <v>0.24887810584269987</v>
      </c>
      <c r="G28" s="18"/>
      <c r="H28" s="18">
        <f>H27/N27</f>
        <v>0.24887810584269987</v>
      </c>
      <c r="I28" s="18"/>
      <c r="J28" s="18">
        <f>J27/N27</f>
        <v>0</v>
      </c>
      <c r="K28" s="18"/>
      <c r="L28" s="18">
        <f>L27/N27</f>
        <v>4.4875766292004314E-3</v>
      </c>
      <c r="M28" s="18"/>
      <c r="O28" s="16">
        <v>222492.95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1726803.12</v>
      </c>
      <c r="E31" s="16"/>
      <c r="F31" s="16">
        <v>45924.39</v>
      </c>
      <c r="G31" s="16"/>
      <c r="H31" s="16">
        <v>1431473.08</v>
      </c>
      <c r="I31" s="16"/>
      <c r="J31" s="16">
        <v>1073124.03</v>
      </c>
      <c r="K31" s="16"/>
      <c r="L31" s="16">
        <f>-58231.25+3121.04</f>
        <v>-55110.21</v>
      </c>
      <c r="M31" s="16"/>
      <c r="N31" s="16">
        <f>SUM(L31,J31,H31,F31,D31)</f>
        <v>4222214.41</v>
      </c>
      <c r="O31" s="1" t="s">
        <v>39</v>
      </c>
    </row>
    <row r="32" spans="1:15" x14ac:dyDescent="0.25">
      <c r="B32" s="1" t="s">
        <v>8</v>
      </c>
      <c r="D32" s="18">
        <f>D31/N31</f>
        <v>0.40898044303723552</v>
      </c>
      <c r="E32" s="18"/>
      <c r="F32" s="18">
        <f>F31/N31</f>
        <v>1.0876849335559914E-2</v>
      </c>
      <c r="G32" s="18"/>
      <c r="H32" s="18">
        <f>H31/N31</f>
        <v>0.33903372519634783</v>
      </c>
      <c r="I32" s="18"/>
      <c r="J32" s="18">
        <f>J31/N31</f>
        <v>0.25416142473920456</v>
      </c>
      <c r="K32" s="18"/>
      <c r="L32" s="18">
        <f>L31/N31</f>
        <v>-1.305244230834786E-2</v>
      </c>
      <c r="M32" s="18"/>
      <c r="O32" s="16">
        <f>1274815.21+1409.37</f>
        <v>1276224.58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0</v>
      </c>
      <c r="E35" s="16"/>
      <c r="F35" s="16">
        <v>1161830.08</v>
      </c>
      <c r="G35" s="16"/>
      <c r="H35" s="16">
        <v>2594116.9300000002</v>
      </c>
      <c r="I35" s="16"/>
      <c r="J35" s="16">
        <v>1294099.33</v>
      </c>
      <c r="K35" s="16"/>
      <c r="L35" s="16">
        <f>28354+202618.38</f>
        <v>230972.38</v>
      </c>
      <c r="M35" s="16"/>
      <c r="N35" s="16">
        <f>SUM(L35,J35,H35,F35,D35)</f>
        <v>5281018.7200000007</v>
      </c>
      <c r="O35" s="1" t="s">
        <v>39</v>
      </c>
    </row>
    <row r="36" spans="1:15" x14ac:dyDescent="0.25">
      <c r="B36" s="1" t="s">
        <v>8</v>
      </c>
      <c r="D36" s="18">
        <f>D35/N35</f>
        <v>0</v>
      </c>
      <c r="E36" s="18"/>
      <c r="F36" s="18">
        <f>F35/N35</f>
        <v>0.220001128873105</v>
      </c>
      <c r="G36" s="18"/>
      <c r="H36" s="18">
        <f>H35/N35</f>
        <v>0.49121524984861253</v>
      </c>
      <c r="I36" s="18"/>
      <c r="J36" s="18">
        <f>J35/N35</f>
        <v>0.24504729079998411</v>
      </c>
      <c r="K36" s="18"/>
      <c r="L36" s="18">
        <f>L35/N35</f>
        <v>4.3736330478298321E-2</v>
      </c>
      <c r="M36" s="18"/>
      <c r="O36" s="16">
        <v>0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10999449.93</v>
      </c>
      <c r="E39" s="15"/>
      <c r="F39" s="22">
        <f>SUM(F35,F31,F27,F23,F19,F14)</f>
        <v>7456953.3600000003</v>
      </c>
      <c r="G39" s="15"/>
      <c r="H39" s="22">
        <f>SUM(H35,H31,H27,H23,H19,H14)</f>
        <v>8593709.959999999</v>
      </c>
      <c r="I39" s="15"/>
      <c r="J39" s="22">
        <f>SUM(J35,J31,J27,J23,J19,J14)</f>
        <v>2374154.8600000003</v>
      </c>
      <c r="K39" s="15"/>
      <c r="L39" s="22">
        <f>SUM(L35,L31,L27,L23,L19,L14)</f>
        <v>2243352.0499999998</v>
      </c>
      <c r="M39" s="15"/>
      <c r="N39" s="22">
        <f>SUM(N35,N31,N27,N23,N19,N14)</f>
        <v>31667620.159999996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0.34734059188614447</v>
      </c>
      <c r="E40" s="15"/>
      <c r="F40" s="24">
        <f>F39/N39</f>
        <v>0.23547564743810548</v>
      </c>
      <c r="G40" s="15"/>
      <c r="H40" s="24">
        <f>H39/N39</f>
        <v>0.2713721434253808</v>
      </c>
      <c r="I40" s="15"/>
      <c r="J40" s="24">
        <f>J39/N39</f>
        <v>7.4971053966311083E-2</v>
      </c>
      <c r="K40" s="15"/>
      <c r="L40" s="24">
        <f>L39/N39</f>
        <v>7.0840563284058286E-2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3" right="0.43" top="1" bottom="1" header="0.5" footer="0.5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2289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89" r:id="rId4"/>
      </mc:Fallback>
    </mc:AlternateContent>
    <mc:AlternateContent xmlns:mc="http://schemas.openxmlformats.org/markup-compatibility/2006">
      <mc:Choice Requires="x14">
        <oleObject progId="Word.Document.6" shapeId="12290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0" r:id="rId6"/>
      </mc:Fallback>
    </mc:AlternateContent>
    <mc:AlternateContent xmlns:mc="http://schemas.openxmlformats.org/markup-compatibility/2006">
      <mc:Choice Requires="x14">
        <oleObject progId="Word.Document.6" shapeId="12291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1" r:id="rId7"/>
      </mc:Fallback>
    </mc:AlternateContent>
    <mc:AlternateContent xmlns:mc="http://schemas.openxmlformats.org/markup-compatibility/2006">
      <mc:Choice Requires="x14">
        <oleObject progId="Word.Document.6" shapeId="12292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2292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5450040.2999999998</v>
      </c>
      <c r="E14" s="16"/>
      <c r="F14" s="16">
        <f>6122956.92-175922.3</f>
        <v>5947034.6200000001</v>
      </c>
      <c r="G14" s="16"/>
      <c r="H14" s="16">
        <v>1234016.01</v>
      </c>
      <c r="I14" s="16"/>
      <c r="J14" s="16">
        <v>13448.48</v>
      </c>
      <c r="K14" s="16"/>
      <c r="L14" s="16">
        <f>16120.84+1518802.07</f>
        <v>1534922.9100000001</v>
      </c>
      <c r="M14" s="16"/>
      <c r="N14" s="16">
        <f>SUM(L14,J14,H14,F14,D14)</f>
        <v>14179462.32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0.38436156301306068</v>
      </c>
      <c r="E15" s="18"/>
      <c r="F15" s="18">
        <f>F14/N14</f>
        <v>0.41941185679599169</v>
      </c>
      <c r="G15" s="18"/>
      <c r="H15" s="18">
        <v>0</v>
      </c>
      <c r="I15" s="18"/>
      <c r="J15" s="18">
        <v>0</v>
      </c>
      <c r="K15" s="18"/>
      <c r="L15" s="18">
        <f>L14/N14</f>
        <v>0.10824972593177991</v>
      </c>
      <c r="M15" s="18"/>
      <c r="O15" s="16">
        <f>4045590.65+3388277.02</f>
        <v>7433867.6699999999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71398.48</v>
      </c>
      <c r="E19" s="16"/>
      <c r="F19" s="16">
        <v>2752830.14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3270639.5300000003</v>
      </c>
      <c r="O19" s="1" t="s">
        <v>39</v>
      </c>
    </row>
    <row r="20" spans="1:15" x14ac:dyDescent="0.25">
      <c r="B20" s="1" t="s">
        <v>8</v>
      </c>
      <c r="D20" s="18">
        <f>D19/N19</f>
        <v>2.1830128127877178E-2</v>
      </c>
      <c r="E20" s="18"/>
      <c r="F20" s="18">
        <f>F19/N19</f>
        <v>0.8416794681130757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0.13649040375904706</v>
      </c>
      <c r="M20" s="18"/>
      <c r="O20" s="16">
        <v>2930191.28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222492.95+444985.9</f>
        <v>667478.85000000009</v>
      </c>
      <c r="E27" s="16"/>
      <c r="F27" s="16">
        <v>0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474022.94000000006</v>
      </c>
      <c r="O27" s="1" t="s">
        <v>39</v>
      </c>
    </row>
    <row r="28" spans="1:15" x14ac:dyDescent="0.25">
      <c r="B28" s="1" t="s">
        <v>8</v>
      </c>
      <c r="D28" s="18">
        <f>D27/N27</f>
        <v>1.4081150798313684</v>
      </c>
      <c r="E28" s="18"/>
      <c r="F28" s="18">
        <f>F27/N27</f>
        <v>0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-0.40811507983136847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37407.64</v>
      </c>
      <c r="E31" s="16"/>
      <c r="F31" s="16">
        <v>1432882.45</v>
      </c>
      <c r="G31" s="16"/>
      <c r="H31" s="16">
        <v>1073124.03</v>
      </c>
      <c r="I31" s="16"/>
      <c r="J31" s="16">
        <v>1216583.96</v>
      </c>
      <c r="K31" s="16"/>
      <c r="L31" s="16">
        <v>3121.04</v>
      </c>
      <c r="M31" s="16"/>
      <c r="N31" s="16">
        <f>SUM(L31,J31,H31,F31,D31)</f>
        <v>3763119.1200000006</v>
      </c>
      <c r="O31" s="1" t="s">
        <v>39</v>
      </c>
    </row>
    <row r="32" spans="1:15" x14ac:dyDescent="0.25">
      <c r="B32" s="1" t="s">
        <v>8</v>
      </c>
      <c r="D32" s="18">
        <f>D31/N31</f>
        <v>9.9405941739096459E-3</v>
      </c>
      <c r="E32" s="18"/>
      <c r="F32" s="18">
        <f>F31/N31</f>
        <v>0.38076988910199572</v>
      </c>
      <c r="G32" s="18"/>
      <c r="H32" s="18">
        <f>H31/N31</f>
        <v>0.28516876446898121</v>
      </c>
      <c r="I32" s="18"/>
      <c r="J32" s="18">
        <f>J31/N31</f>
        <v>0.32329137643668315</v>
      </c>
      <c r="K32" s="18"/>
      <c r="L32" s="18">
        <f>L31/N31</f>
        <v>8.2937581843011115E-4</v>
      </c>
      <c r="M32" s="18"/>
      <c r="O32" s="16">
        <v>0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1134621.68</v>
      </c>
      <c r="E35" s="16"/>
      <c r="F35" s="16">
        <v>2621325.33</v>
      </c>
      <c r="G35" s="16"/>
      <c r="H35" s="16">
        <v>1294099.33</v>
      </c>
      <c r="I35" s="16"/>
      <c r="J35" s="16">
        <v>13832.09</v>
      </c>
      <c r="K35" s="16"/>
      <c r="L35" s="16">
        <f>14521.91+202618.38</f>
        <v>217140.29</v>
      </c>
      <c r="M35" s="16"/>
      <c r="N35" s="16">
        <f>SUM(L35,J35,H35,F35,D35)</f>
        <v>5281018.72</v>
      </c>
      <c r="O35" s="1" t="s">
        <v>39</v>
      </c>
    </row>
    <row r="36" spans="1:15" x14ac:dyDescent="0.25">
      <c r="B36" s="1" t="s">
        <v>8</v>
      </c>
      <c r="D36" s="18">
        <f>D35/N35</f>
        <v>0.21484901685786867</v>
      </c>
      <c r="E36" s="18"/>
      <c r="F36" s="18">
        <f>F35/N35</f>
        <v>0.49636736186384889</v>
      </c>
      <c r="G36" s="18"/>
      <c r="H36" s="18">
        <f>H35/N35</f>
        <v>0.24504729079998416</v>
      </c>
      <c r="I36" s="18"/>
      <c r="J36" s="18">
        <f>J35/N35</f>
        <v>2.6192086666187771E-3</v>
      </c>
      <c r="K36" s="18"/>
      <c r="L36" s="18">
        <f>L35/N35</f>
        <v>4.1117121811679549E-2</v>
      </c>
      <c r="M36" s="18"/>
      <c r="O36" s="16">
        <v>4159714.31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7360946.9499999993</v>
      </c>
      <c r="E39" s="15"/>
      <c r="F39" s="22">
        <f>SUM(F35,F31,F27,F23,F19,F14)</f>
        <v>12754072.539999999</v>
      </c>
      <c r="G39" s="15"/>
      <c r="H39" s="22">
        <f>SUM(H35,H31,H27,H23,H19,H14)</f>
        <v>3601239.37</v>
      </c>
      <c r="I39" s="15"/>
      <c r="J39" s="22">
        <f>SUM(J35,J31,J27,J23,J19,J14)</f>
        <v>1243864.53</v>
      </c>
      <c r="K39" s="15"/>
      <c r="L39" s="22">
        <f>SUM(L35,L31,L27,L23,L19,L14)</f>
        <v>2076835</v>
      </c>
      <c r="M39" s="15"/>
      <c r="N39" s="22">
        <f>SUM(N35,N31,N27,N23,N19,N14)</f>
        <v>27036958.390000001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0.2722549942127569</v>
      </c>
      <c r="E40" s="15"/>
      <c r="F40" s="24">
        <f>F39/N39</f>
        <v>0.47172734284775436</v>
      </c>
      <c r="G40" s="15"/>
      <c r="H40" s="24">
        <f>H39/N39</f>
        <v>0.13319691209540674</v>
      </c>
      <c r="I40" s="15"/>
      <c r="J40" s="24">
        <f>J39/N39</f>
        <v>4.6006082195253914E-2</v>
      </c>
      <c r="K40" s="15"/>
      <c r="L40" s="24">
        <f>L39/N39</f>
        <v>7.6814668648827994E-2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34" right="0.43" top="1" bottom="0.72" header="0.32" footer="0.36"/>
  <pageSetup scale="48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1265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5" r:id="rId4"/>
      </mc:Fallback>
    </mc:AlternateContent>
    <mc:AlternateContent xmlns:mc="http://schemas.openxmlformats.org/markup-compatibility/2006">
      <mc:Choice Requires="x14">
        <oleObject progId="Word.Document.6" shapeId="11266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6" r:id="rId6"/>
      </mc:Fallback>
    </mc:AlternateContent>
    <mc:AlternateContent xmlns:mc="http://schemas.openxmlformats.org/markup-compatibility/2006">
      <mc:Choice Requires="x14">
        <oleObject progId="Word.Document.6" shapeId="11267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7" r:id="rId7"/>
      </mc:Fallback>
    </mc:AlternateContent>
    <mc:AlternateContent xmlns:mc="http://schemas.openxmlformats.org/markup-compatibility/2006">
      <mc:Choice Requires="x14">
        <oleObject progId="Word.Document.6" shapeId="11268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1268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28" zoomScale="85" workbookViewId="0">
      <selection activeCell="K28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f>8079349.15-469541.88</f>
        <v>7609807.2700000005</v>
      </c>
      <c r="E14" s="16"/>
      <c r="F14" s="16">
        <f>3873847.26</f>
        <v>3873847.26</v>
      </c>
      <c r="G14" s="16"/>
      <c r="H14" s="16">
        <v>2555573.02</v>
      </c>
      <c r="I14" s="16"/>
      <c r="J14" s="16">
        <v>2561652.2999999998</v>
      </c>
      <c r="K14" s="16"/>
      <c r="L14" s="16">
        <f>684+1518118.07</f>
        <v>1518802.07</v>
      </c>
      <c r="M14" s="16"/>
      <c r="N14" s="16">
        <f>SUM(L14,J14,H14,F14,D14)</f>
        <v>18119681.920000002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0.41997466090177371</v>
      </c>
      <c r="E15" s="18"/>
      <c r="F15" s="18">
        <f>F14/N14</f>
        <v>0.21379223305924341</v>
      </c>
      <c r="G15" s="18"/>
      <c r="H15" s="18">
        <v>0</v>
      </c>
      <c r="I15" s="18"/>
      <c r="J15" s="18">
        <v>0</v>
      </c>
      <c r="K15" s="18"/>
      <c r="L15" s="18">
        <f>L14/N14</f>
        <v>8.3820570179192186E-2</v>
      </c>
      <c r="M15" s="18"/>
      <c r="O15" s="16">
        <f>6101574.82</f>
        <v>6101574.8200000003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-4010</v>
      </c>
      <c r="E19" s="16"/>
      <c r="F19" s="16">
        <v>2930191.28</v>
      </c>
      <c r="G19" s="16"/>
      <c r="H19" s="16">
        <v>0</v>
      </c>
      <c r="I19" s="16"/>
      <c r="J19" s="16">
        <v>0</v>
      </c>
      <c r="K19" s="16"/>
      <c r="L19" s="16">
        <f>2005+444405.91</f>
        <v>446410.91</v>
      </c>
      <c r="M19" s="16"/>
      <c r="N19" s="16">
        <f>SUM(L19,J19,H19,F19,D19)</f>
        <v>3372592.19</v>
      </c>
      <c r="O19" s="1" t="s">
        <v>39</v>
      </c>
    </row>
    <row r="20" spans="1:15" x14ac:dyDescent="0.25">
      <c r="B20" s="1" t="s">
        <v>8</v>
      </c>
      <c r="D20" s="18">
        <f>D19/N19</f>
        <v>-1.1889964081308033E-3</v>
      </c>
      <c r="E20" s="18"/>
      <c r="F20" s="18">
        <f>F19/N19</f>
        <v>0.86882466510129697</v>
      </c>
      <c r="G20" s="18"/>
      <c r="H20" s="18">
        <f>H19/N19</f>
        <v>0</v>
      </c>
      <c r="I20" s="18"/>
      <c r="J20" s="18">
        <f>J19/N19</f>
        <v>0</v>
      </c>
      <c r="K20" s="18"/>
      <c r="L20" s="18">
        <f>L19/N19</f>
        <v>0.13236433130683375</v>
      </c>
      <c r="M20" s="18"/>
      <c r="O20" s="16">
        <f>1104.17+2817381.12+4670.12</f>
        <v>2823155.41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222492.95-212872.29</f>
        <v>9620.6600000000035</v>
      </c>
      <c r="E27" s="16"/>
      <c r="F27" s="16">
        <v>290490.43</v>
      </c>
      <c r="G27" s="16"/>
      <c r="H27" s="16">
        <v>0</v>
      </c>
      <c r="I27" s="16"/>
      <c r="J27" s="16">
        <v>144874.81</v>
      </c>
      <c r="K27" s="16"/>
      <c r="L27" s="16">
        <v>-193455.91</v>
      </c>
      <c r="M27" s="16"/>
      <c r="N27" s="16">
        <f>SUM(L27,J27,H27,F27,D27)</f>
        <v>251529.99</v>
      </c>
      <c r="O27" s="1" t="s">
        <v>39</v>
      </c>
    </row>
    <row r="28" spans="1:15" x14ac:dyDescent="0.25">
      <c r="B28" s="1" t="s">
        <v>8</v>
      </c>
      <c r="D28" s="18">
        <f>D27/N27</f>
        <v>3.8248560340657607E-2</v>
      </c>
      <c r="E28" s="18"/>
      <c r="F28" s="18">
        <f>F27/N27</f>
        <v>1.1548938160415783</v>
      </c>
      <c r="G28" s="18"/>
      <c r="H28" s="18">
        <f>H27/N27</f>
        <v>0</v>
      </c>
      <c r="I28" s="18"/>
      <c r="J28" s="18">
        <f>J27/N27</f>
        <v>0.57597430032100749</v>
      </c>
      <c r="K28" s="18"/>
      <c r="L28" s="18">
        <f>L27/N27</f>
        <v>-0.76911667670324324</v>
      </c>
      <c r="M28" s="18"/>
      <c r="O28" s="16">
        <f>222492.95+222492.95</f>
        <v>444985.9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18617.53</v>
      </c>
      <c r="E31" s="16"/>
      <c r="F31" s="16">
        <v>1073124.03</v>
      </c>
      <c r="G31" s="16"/>
      <c r="H31" s="16">
        <v>1216583.96</v>
      </c>
      <c r="I31" s="16"/>
      <c r="J31" s="16">
        <v>0</v>
      </c>
      <c r="K31" s="16"/>
      <c r="L31" s="16">
        <f>1486802.59+3121.04</f>
        <v>1489923.6300000001</v>
      </c>
      <c r="M31" s="16"/>
      <c r="N31" s="16">
        <f>SUM(L31,J31,H31,F31,D31)</f>
        <v>3798249.15</v>
      </c>
      <c r="O31" s="1" t="s">
        <v>39</v>
      </c>
    </row>
    <row r="32" spans="1:15" x14ac:dyDescent="0.25">
      <c r="B32" s="1" t="s">
        <v>8</v>
      </c>
      <c r="D32" s="18">
        <f>D31/N31</f>
        <v>4.9016084160777079E-3</v>
      </c>
      <c r="E32" s="18"/>
      <c r="F32" s="18">
        <f>F31/N31</f>
        <v>0.28253123679366848</v>
      </c>
      <c r="G32" s="18"/>
      <c r="H32" s="18">
        <f>H31/N31</f>
        <v>0.3203012524862936</v>
      </c>
      <c r="I32" s="18"/>
      <c r="J32" s="18">
        <f>J31/N31</f>
        <v>0</v>
      </c>
      <c r="K32" s="18"/>
      <c r="L32" s="18">
        <f>L31/N31</f>
        <v>0.3922659023039603</v>
      </c>
      <c r="M32" s="18"/>
      <c r="O32" s="16">
        <f>200993.8+1588512.44+1277.6</f>
        <v>1790783.84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1121287.76</v>
      </c>
      <c r="E35" s="16"/>
      <c r="F35" s="16">
        <v>1882035.79</v>
      </c>
      <c r="G35" s="16"/>
      <c r="H35" s="16">
        <v>3241956.12</v>
      </c>
      <c r="I35" s="16"/>
      <c r="J35" s="16">
        <v>513323.97</v>
      </c>
      <c r="K35" s="16"/>
      <c r="L35" s="16">
        <v>462618.38</v>
      </c>
      <c r="M35" s="16"/>
      <c r="N35" s="16">
        <f>SUM(L35,J35,H35,F35,D35)</f>
        <v>7221222.0199999996</v>
      </c>
      <c r="O35" s="1" t="s">
        <v>39</v>
      </c>
    </row>
    <row r="36" spans="1:15" x14ac:dyDescent="0.25">
      <c r="B36" s="1" t="s">
        <v>8</v>
      </c>
      <c r="D36" s="18">
        <f>D35/N35</f>
        <v>0.15527673251071153</v>
      </c>
      <c r="E36" s="18"/>
      <c r="F36" s="18">
        <f>F35/N35</f>
        <v>0.26062566485111338</v>
      </c>
      <c r="G36" s="18"/>
      <c r="H36" s="18">
        <f>H35/N35</f>
        <v>0.44894840665763108</v>
      </c>
      <c r="I36" s="18"/>
      <c r="J36" s="18">
        <f>J35/N35</f>
        <v>7.1085471209483733E-2</v>
      </c>
      <c r="K36" s="18"/>
      <c r="L36" s="18">
        <f>L35/N35</f>
        <v>6.4063724771060288E-2</v>
      </c>
      <c r="M36" s="18"/>
      <c r="O36" s="16">
        <f>2994328.65</f>
        <v>2994328.65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8755323.2200000007</v>
      </c>
      <c r="E39" s="15"/>
      <c r="F39" s="22">
        <f>SUM(F35,F31,F27,F23,F19,F14)</f>
        <v>10049688.789999999</v>
      </c>
      <c r="G39" s="15"/>
      <c r="H39" s="22">
        <f>SUM(H35,H31,H27,H23,H19,H14)</f>
        <v>7014113.0999999996</v>
      </c>
      <c r="I39" s="15"/>
      <c r="J39" s="22">
        <f>SUM(J35,J31,J27,J23,J19,J14)</f>
        <v>3219851.08</v>
      </c>
      <c r="K39" s="15"/>
      <c r="L39" s="22">
        <f>SUM(L35,L31,L27,L23,L19,L14)</f>
        <v>3792994.8400000008</v>
      </c>
      <c r="M39" s="15"/>
      <c r="N39" s="22">
        <f>SUM(N35,N31,N27,N23,N19,N14)</f>
        <v>32831971.030000001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0.26667065501489023</v>
      </c>
      <c r="E40" s="15"/>
      <c r="F40" s="24">
        <f>F39/N39</f>
        <v>0.30609459239645287</v>
      </c>
      <c r="G40" s="15"/>
      <c r="H40" s="24">
        <f>H39/N39</f>
        <v>0.21363667425238952</v>
      </c>
      <c r="I40" s="15"/>
      <c r="J40" s="24">
        <f>J39/N39</f>
        <v>9.8070599448868964E-2</v>
      </c>
      <c r="K40" s="15"/>
      <c r="L40" s="24">
        <f>L39/N39</f>
        <v>0.11552747888739839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41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1" r:id="rId4"/>
      </mc:Fallback>
    </mc:AlternateContent>
    <mc:AlternateContent xmlns:mc="http://schemas.openxmlformats.org/markup-compatibility/2006">
      <mc:Choice Requires="x14">
        <oleObject progId="Word.Document.6" shapeId="10242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2" r:id="rId6"/>
      </mc:Fallback>
    </mc:AlternateContent>
    <mc:AlternateContent xmlns:mc="http://schemas.openxmlformats.org/markup-compatibility/2006">
      <mc:Choice Requires="x14">
        <oleObject progId="Word.Document.6" shapeId="10243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3" r:id="rId7"/>
      </mc:Fallback>
    </mc:AlternateContent>
    <mc:AlternateContent xmlns:mc="http://schemas.openxmlformats.org/markup-compatibility/2006">
      <mc:Choice Requires="x14">
        <oleObject progId="Word.Document.6" shapeId="10244" r:id="rId8">
          <objectPr defaultSize="0" autoLine="0" autoPict="0" r:id="rId5">
            <anchor moveWithCells="1">
              <from>
                <xdr:col>0</xdr:col>
                <xdr:colOff>723900</xdr:colOff>
                <xdr:row>4</xdr:row>
                <xdr:rowOff>144780</xdr:rowOff>
              </from>
              <to>
                <xdr:col>0</xdr:col>
                <xdr:colOff>1897380</xdr:colOff>
                <xdr:row>10</xdr:row>
                <xdr:rowOff>160020</xdr:rowOff>
              </to>
            </anchor>
          </objectPr>
        </oleObject>
      </mc:Choice>
      <mc:Fallback>
        <oleObject progId="Word.Document.6" shapeId="10244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5" sqref="A5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9231160.7699999996</v>
      </c>
      <c r="E14" s="16"/>
      <c r="F14" s="16">
        <v>2555573.02</v>
      </c>
      <c r="G14" s="16"/>
      <c r="H14" s="16">
        <v>5165902.82</v>
      </c>
      <c r="I14" s="16"/>
      <c r="J14" s="16">
        <v>1860114.72</v>
      </c>
      <c r="K14" s="16"/>
      <c r="L14" s="16">
        <f>974385.64+1712084.13</f>
        <v>2686469.77</v>
      </c>
      <c r="M14" s="16"/>
      <c r="N14" s="16">
        <f>SUM(L14,J14,H14,F14,D14)</f>
        <v>21499221.100000001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0.4293718701278903</v>
      </c>
      <c r="E15" s="18"/>
      <c r="F15" s="18">
        <f>F14/N14</f>
        <v>0.11886816774027222</v>
      </c>
      <c r="G15" s="18"/>
      <c r="H15" s="18">
        <v>0</v>
      </c>
      <c r="I15" s="18"/>
      <c r="J15" s="18">
        <v>0</v>
      </c>
      <c r="K15" s="18"/>
      <c r="L15" s="18">
        <f>L14/N14</f>
        <v>0.12495660924199714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1104.17</v>
      </c>
      <c r="E19" s="16"/>
      <c r="F19" s="16">
        <v>2817381.12</v>
      </c>
      <c r="G19" s="16"/>
      <c r="H19" s="16">
        <v>0</v>
      </c>
      <c r="I19" s="16"/>
      <c r="J19" s="16">
        <v>2005</v>
      </c>
      <c r="K19" s="16"/>
      <c r="L19" s="16">
        <v>444405.91</v>
      </c>
      <c r="M19" s="16"/>
      <c r="N19" s="16">
        <f>SUM(L19,J19,H19,F19,D19)</f>
        <v>3264896.2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3.3819451901717429E-4</v>
      </c>
      <c r="E20" s="18"/>
      <c r="F20" s="18">
        <f>F19/N19</f>
        <v>0.86293129931665202</v>
      </c>
      <c r="G20" s="18"/>
      <c r="H20" s="18">
        <f>H19/N19</f>
        <v>0</v>
      </c>
      <c r="I20" s="18"/>
      <c r="J20" s="18">
        <f>J19/N19</f>
        <v>6.1410834439391978E-4</v>
      </c>
      <c r="K20" s="18"/>
      <c r="L20" s="18">
        <f>L19/N19</f>
        <v>0.13611639781993681</v>
      </c>
      <c r="M20" s="18"/>
      <c r="O20" s="16">
        <v>0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f>290490.43-212872.29</f>
        <v>77618.139999999985</v>
      </c>
      <c r="E27" s="16"/>
      <c r="F27" s="16">
        <v>222492.95</v>
      </c>
      <c r="G27" s="16"/>
      <c r="H27" s="16">
        <v>435365.24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542020.42000000004</v>
      </c>
      <c r="O27" s="1" t="s">
        <v>39</v>
      </c>
    </row>
    <row r="28" spans="1:15" x14ac:dyDescent="0.25">
      <c r="B28" s="1" t="s">
        <v>8</v>
      </c>
      <c r="D28" s="18">
        <f>D27/N27</f>
        <v>0.14320150521266334</v>
      </c>
      <c r="E28" s="18"/>
      <c r="F28" s="18">
        <f>F27/N27</f>
        <v>0.41048813253198096</v>
      </c>
      <c r="G28" s="18"/>
      <c r="H28" s="18">
        <f>H27/N27</f>
        <v>0.80322663858309984</v>
      </c>
      <c r="I28" s="18"/>
      <c r="J28" s="18">
        <f>J27/N27</f>
        <v>0</v>
      </c>
      <c r="K28" s="18"/>
      <c r="L28" s="18">
        <f>L27/N27</f>
        <v>-0.35691627632774425</v>
      </c>
      <c r="M28" s="18"/>
      <c r="O28" s="16">
        <v>212872.29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1277.5999999999999</v>
      </c>
      <c r="E31" s="16"/>
      <c r="F31" s="16">
        <v>1475809.01</v>
      </c>
      <c r="G31" s="16"/>
      <c r="H31" s="16">
        <v>1588512.44</v>
      </c>
      <c r="I31" s="16"/>
      <c r="J31" s="16">
        <v>2971378.64</v>
      </c>
      <c r="K31" s="16"/>
      <c r="L31" s="16">
        <v>3121.04</v>
      </c>
      <c r="M31" s="16"/>
      <c r="N31" s="16">
        <f>SUM(L31,J31,H31,F31,D31)</f>
        <v>6040098.7299999995</v>
      </c>
      <c r="O31" s="1" t="s">
        <v>39</v>
      </c>
    </row>
    <row r="32" spans="1:15" x14ac:dyDescent="0.25">
      <c r="B32" s="1" t="s">
        <v>8</v>
      </c>
      <c r="D32" s="18">
        <f>D31/N31</f>
        <v>2.1151972130097947E-4</v>
      </c>
      <c r="E32" s="18"/>
      <c r="F32" s="18">
        <f>F31/N31</f>
        <v>0.24433524615581906</v>
      </c>
      <c r="G32" s="18"/>
      <c r="H32" s="18">
        <f>H31/N31</f>
        <v>0.26299444943013373</v>
      </c>
      <c r="I32" s="18"/>
      <c r="J32" s="18">
        <f>J31/N31</f>
        <v>0.49194206466224444</v>
      </c>
      <c r="K32" s="18"/>
      <c r="L32" s="18">
        <f>L31/N31</f>
        <v>5.1672003050188555E-4</v>
      </c>
      <c r="M32" s="18"/>
      <c r="O32" s="16">
        <v>1484576.05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1131743.9099999999</v>
      </c>
      <c r="E35" s="16"/>
      <c r="F35" s="16">
        <v>4013620.31</v>
      </c>
      <c r="G35" s="16"/>
      <c r="H35" s="16">
        <v>1972547.72</v>
      </c>
      <c r="I35" s="16"/>
      <c r="J35" s="16">
        <v>45789.72</v>
      </c>
      <c r="K35" s="16"/>
      <c r="L35" s="16">
        <f>52629.22+663416.07</f>
        <v>716045.28999999992</v>
      </c>
      <c r="M35" s="16"/>
      <c r="N35" s="16">
        <f>SUM(L35,J35,H35,F35,D35)</f>
        <v>7879746.9500000002</v>
      </c>
      <c r="O35" s="1" t="s">
        <v>39</v>
      </c>
    </row>
    <row r="36" spans="1:15" x14ac:dyDescent="0.25">
      <c r="B36" s="1" t="s">
        <v>8</v>
      </c>
      <c r="D36" s="18">
        <f>D35/N35</f>
        <v>0.14362693588783329</v>
      </c>
      <c r="E36" s="18"/>
      <c r="F36" s="18">
        <f>F35/N35</f>
        <v>0.50935903595229026</v>
      </c>
      <c r="G36" s="18"/>
      <c r="H36" s="18">
        <f>H35/N35</f>
        <v>0.25033135359759234</v>
      </c>
      <c r="I36" s="18"/>
      <c r="J36" s="18">
        <f>J35/N35</f>
        <v>5.8110647829877331E-3</v>
      </c>
      <c r="K36" s="18"/>
      <c r="L36" s="18">
        <f>L35/N35</f>
        <v>9.0871609779296258E-2</v>
      </c>
      <c r="M36" s="18"/>
      <c r="O36" s="16">
        <v>3112416.5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10442904.59</v>
      </c>
      <c r="E39" s="15"/>
      <c r="F39" s="22">
        <f>SUM(F35,F31,F27,F23,F19,F14)</f>
        <v>11084876.41</v>
      </c>
      <c r="G39" s="15"/>
      <c r="H39" s="22">
        <f>SUM(H35,H31,H27,H23,H19,H14)</f>
        <v>9162328.2200000007</v>
      </c>
      <c r="I39" s="15"/>
      <c r="J39" s="22">
        <f>SUM(J35,J31,J27,J23,J19,J14)</f>
        <v>4879288.08</v>
      </c>
      <c r="K39" s="15"/>
      <c r="L39" s="22">
        <f>SUM(L35,L31,L27,L23,L19,L14)</f>
        <v>3725281.86</v>
      </c>
      <c r="M39" s="15"/>
      <c r="N39" s="22">
        <f>SUM(N35,N31,N27,N23,N19,N14)</f>
        <v>39294679.159999996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0.26575874426862228</v>
      </c>
      <c r="E40" s="15"/>
      <c r="F40" s="24">
        <f>F39/N39</f>
        <v>0.28209611700517068</v>
      </c>
      <c r="G40" s="15"/>
      <c r="H40" s="24">
        <f>H39/N39</f>
        <v>0.23316969156798178</v>
      </c>
      <c r="I40" s="15"/>
      <c r="J40" s="24">
        <f>J39/N39</f>
        <v>0.12417172462797124</v>
      </c>
      <c r="K40" s="15"/>
      <c r="L40" s="24">
        <f>L39/N39</f>
        <v>9.4803722530254153E-2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75" right="0.75" top="1" bottom="1" header="0.5" footer="0.5"/>
  <pageSetup scale="44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9217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7" r:id="rId4"/>
      </mc:Fallback>
    </mc:AlternateContent>
    <mc:AlternateContent xmlns:mc="http://schemas.openxmlformats.org/markup-compatibility/2006">
      <mc:Choice Requires="x14">
        <oleObject progId="Word.Document.6" shapeId="9218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8" r:id="rId6"/>
      </mc:Fallback>
    </mc:AlternateContent>
    <mc:AlternateContent xmlns:mc="http://schemas.openxmlformats.org/markup-compatibility/2006">
      <mc:Choice Requires="x14">
        <oleObject progId="Word.Document.6" shapeId="9219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19" r:id="rId7"/>
      </mc:Fallback>
    </mc:AlternateContent>
    <mc:AlternateContent xmlns:mc="http://schemas.openxmlformats.org/markup-compatibility/2006">
      <mc:Choice Requires="x14">
        <oleObject progId="Word.Document.6" shapeId="9220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9220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opLeftCell="K31" workbookViewId="0">
      <selection activeCell="K31" sqref="A1:IV65536"/>
    </sheetView>
  </sheetViews>
  <sheetFormatPr defaultColWidth="9.109375" defaultRowHeight="15" x14ac:dyDescent="0.25"/>
  <cols>
    <col min="1" max="1" width="41" style="1" customWidth="1"/>
    <col min="2" max="2" width="17.6640625" style="1" customWidth="1"/>
    <col min="3" max="3" width="10.6640625" style="1" customWidth="1"/>
    <col min="4" max="4" width="21" style="1" customWidth="1"/>
    <col min="5" max="5" width="10.6640625" style="1" customWidth="1"/>
    <col min="6" max="6" width="20.109375" style="1" customWidth="1"/>
    <col min="7" max="7" width="10.6640625" style="1" customWidth="1"/>
    <col min="8" max="8" width="18.33203125" style="1" customWidth="1"/>
    <col min="9" max="9" width="10.6640625" style="1" customWidth="1"/>
    <col min="10" max="10" width="19.33203125" style="1" customWidth="1"/>
    <col min="11" max="11" width="10.6640625" style="1" customWidth="1"/>
    <col min="12" max="12" width="18.6640625" style="1" customWidth="1"/>
    <col min="13" max="13" width="10.6640625" style="1" customWidth="1"/>
    <col min="14" max="14" width="20.109375" style="2" customWidth="1"/>
    <col min="15" max="15" width="35.33203125" style="1" customWidth="1"/>
    <col min="16" max="16384" width="9.109375" style="3"/>
  </cols>
  <sheetData>
    <row r="1" spans="1:15" x14ac:dyDescent="0.25">
      <c r="A1" s="1">
        <v>4</v>
      </c>
    </row>
    <row r="3" spans="1:15" ht="22.8" x14ac:dyDescent="0.4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5" ht="22.8" x14ac:dyDescent="0.4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12" spans="1:15" s="11" customFormat="1" ht="17.399999999999999" x14ac:dyDescent="0.3">
      <c r="A12" s="7"/>
      <c r="B12" s="7"/>
      <c r="C12" s="7"/>
      <c r="D12" s="7" t="s">
        <v>0</v>
      </c>
      <c r="E12" s="7"/>
      <c r="F12" s="8" t="s">
        <v>1</v>
      </c>
      <c r="G12" s="8"/>
      <c r="H12" s="9" t="s">
        <v>2</v>
      </c>
      <c r="I12" s="9"/>
      <c r="J12" s="9" t="s">
        <v>3</v>
      </c>
      <c r="K12" s="9"/>
      <c r="L12" s="7" t="s">
        <v>4</v>
      </c>
      <c r="M12" s="7"/>
      <c r="N12" s="10" t="s">
        <v>5</v>
      </c>
      <c r="O12" s="7" t="s">
        <v>6</v>
      </c>
    </row>
    <row r="13" spans="1:15" s="14" customFormat="1" ht="9.9" customHeight="1" x14ac:dyDescent="0.25">
      <c r="A13" s="12"/>
      <c r="B13" s="12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2"/>
    </row>
    <row r="14" spans="1:15" ht="15.6" x14ac:dyDescent="0.3">
      <c r="A14" s="15" t="s">
        <v>11</v>
      </c>
      <c r="B14" s="1" t="s">
        <v>7</v>
      </c>
      <c r="D14" s="16">
        <v>8139276.2199999997</v>
      </c>
      <c r="E14" s="16"/>
      <c r="F14" s="16">
        <v>3455362.88</v>
      </c>
      <c r="G14" s="16"/>
      <c r="H14" s="16">
        <v>1859430.72</v>
      </c>
      <c r="I14" s="16"/>
      <c r="J14" s="16">
        <v>974385.64</v>
      </c>
      <c r="K14" s="16"/>
      <c r="L14" s="16">
        <v>1712084.13</v>
      </c>
      <c r="M14" s="16"/>
      <c r="N14" s="16">
        <f>SUM(L14,J14,H14,F14,D14)</f>
        <v>16140539.59</v>
      </c>
      <c r="O14" s="1" t="s">
        <v>39</v>
      </c>
    </row>
    <row r="15" spans="1:15" x14ac:dyDescent="0.25">
      <c r="A15" s="17"/>
      <c r="B15" s="1" t="s">
        <v>8</v>
      </c>
      <c r="D15" s="18">
        <f>D14/N14</f>
        <v>0.50427534808332886</v>
      </c>
      <c r="E15" s="18"/>
      <c r="F15" s="18">
        <f>F14/N14</f>
        <v>0.21407976237304963</v>
      </c>
      <c r="G15" s="18"/>
      <c r="H15" s="18">
        <v>0</v>
      </c>
      <c r="I15" s="18"/>
      <c r="J15" s="18">
        <v>0</v>
      </c>
      <c r="K15" s="18"/>
      <c r="L15" s="18">
        <f>L14/N14</f>
        <v>0.1060735374089188</v>
      </c>
      <c r="M15" s="18"/>
      <c r="O15" s="16">
        <v>0</v>
      </c>
    </row>
    <row r="16" spans="1:15" x14ac:dyDescent="0.25">
      <c r="A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6"/>
    </row>
    <row r="17" spans="1:15" x14ac:dyDescent="0.25">
      <c r="D17" s="18"/>
      <c r="E17" s="18"/>
      <c r="F17" s="18"/>
      <c r="G17" s="18"/>
      <c r="H17" s="18"/>
      <c r="I17" s="18"/>
      <c r="J17" s="18"/>
      <c r="K17" s="18"/>
      <c r="L17" s="16"/>
      <c r="M17" s="18"/>
      <c r="O17" s="3"/>
    </row>
    <row r="18" spans="1:15" s="14" customFormat="1" ht="9.9" customHeight="1" x14ac:dyDescent="0.25">
      <c r="A18" s="12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2"/>
    </row>
    <row r="19" spans="1:15" ht="15.6" x14ac:dyDescent="0.3">
      <c r="A19" s="15" t="s">
        <v>12</v>
      </c>
      <c r="B19" s="1" t="s">
        <v>7</v>
      </c>
      <c r="D19" s="16">
        <v>0</v>
      </c>
      <c r="E19" s="16"/>
      <c r="F19" s="16">
        <v>0</v>
      </c>
      <c r="G19" s="16"/>
      <c r="H19" s="16">
        <v>2005</v>
      </c>
      <c r="I19" s="16"/>
      <c r="J19" s="16">
        <v>0</v>
      </c>
      <c r="K19" s="16"/>
      <c r="L19" s="16">
        <v>444405.91</v>
      </c>
      <c r="M19" s="16"/>
      <c r="N19" s="16">
        <f>SUM(L19,J19,H19,F19,D19)</f>
        <v>446410.91</v>
      </c>
      <c r="O19" s="1" t="s">
        <v>39</v>
      </c>
    </row>
    <row r="20" spans="1:15" x14ac:dyDescent="0.25">
      <c r="A20" s="1">
        <v>463</v>
      </c>
      <c r="B20" s="1" t="s">
        <v>8</v>
      </c>
      <c r="D20" s="18">
        <f>D19/N19</f>
        <v>0</v>
      </c>
      <c r="E20" s="18"/>
      <c r="F20" s="18">
        <f>F19/N19</f>
        <v>0</v>
      </c>
      <c r="G20" s="18"/>
      <c r="H20" s="18">
        <f>H19/N19</f>
        <v>4.4913776860874659E-3</v>
      </c>
      <c r="I20" s="18"/>
      <c r="J20" s="18">
        <f>J19/N19</f>
        <v>0</v>
      </c>
      <c r="K20" s="18"/>
      <c r="L20" s="18">
        <f>L19/N19</f>
        <v>0.99550862231391257</v>
      </c>
      <c r="M20" s="18"/>
      <c r="O20" s="16">
        <f>9973.39+177074.32+3326591.62</f>
        <v>3513639.33</v>
      </c>
    </row>
    <row r="21" spans="1:15" s="21" customFormat="1" x14ac:dyDescent="0.25">
      <c r="A21" s="19"/>
      <c r="B21" s="19"/>
      <c r="C21" s="19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19"/>
    </row>
    <row r="22" spans="1:15" s="14" customFormat="1" ht="9.9" customHeight="1" x14ac:dyDescent="0.25">
      <c r="A22" s="12"/>
      <c r="B22" s="12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2"/>
    </row>
    <row r="23" spans="1:15" ht="15.6" x14ac:dyDescent="0.3">
      <c r="A23" s="15" t="s">
        <v>13</v>
      </c>
      <c r="B23" s="1" t="s">
        <v>7</v>
      </c>
      <c r="D23" s="16"/>
      <c r="E23" s="16"/>
      <c r="F23" s="16"/>
      <c r="G23" s="16"/>
      <c r="H23" s="16"/>
      <c r="I23" s="16"/>
      <c r="J23" s="16"/>
      <c r="K23" s="16"/>
      <c r="L23" s="16">
        <v>68695.759999999995</v>
      </c>
      <c r="M23" s="16"/>
      <c r="N23" s="16">
        <f>SUM(L23,J23,H23,F23,D23)</f>
        <v>68695.759999999995</v>
      </c>
    </row>
    <row r="24" spans="1:15" x14ac:dyDescent="0.25">
      <c r="A24" s="1">
        <v>416</v>
      </c>
      <c r="B24" s="1" t="s">
        <v>8</v>
      </c>
      <c r="D24" s="18">
        <f>D23/N23</f>
        <v>0</v>
      </c>
      <c r="E24" s="18"/>
      <c r="F24" s="18">
        <f>F23/N23</f>
        <v>0</v>
      </c>
      <c r="G24" s="18"/>
      <c r="H24" s="18">
        <f>H23/N23</f>
        <v>0</v>
      </c>
      <c r="I24" s="18"/>
      <c r="J24" s="18">
        <f>J23/N23</f>
        <v>0</v>
      </c>
      <c r="K24" s="18"/>
      <c r="L24" s="18">
        <f>L23/N23</f>
        <v>1</v>
      </c>
      <c r="M24" s="18"/>
    </row>
    <row r="25" spans="1:15" x14ac:dyDescent="0.25">
      <c r="B25" s="19"/>
      <c r="C25" s="19"/>
      <c r="F25" s="2"/>
      <c r="G25" s="2"/>
      <c r="H25" s="2"/>
      <c r="I25" s="2"/>
      <c r="J25" s="2"/>
      <c r="K25" s="2"/>
      <c r="L25" s="2"/>
      <c r="M25" s="2"/>
    </row>
    <row r="26" spans="1:15" s="14" customFormat="1" ht="9.9" customHeight="1" x14ac:dyDescent="0.25">
      <c r="A26" s="12"/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2"/>
    </row>
    <row r="27" spans="1:15" ht="15.6" x14ac:dyDescent="0.3">
      <c r="A27" s="15" t="s">
        <v>15</v>
      </c>
      <c r="B27" s="1" t="s">
        <v>7</v>
      </c>
      <c r="D27" s="16">
        <v>222492.95</v>
      </c>
      <c r="E27" s="16"/>
      <c r="F27" s="16">
        <v>435365.24</v>
      </c>
      <c r="G27" s="16"/>
      <c r="H27" s="16">
        <v>0</v>
      </c>
      <c r="I27" s="16"/>
      <c r="J27" s="16">
        <v>0</v>
      </c>
      <c r="K27" s="16"/>
      <c r="L27" s="16">
        <v>-193455.91</v>
      </c>
      <c r="M27" s="16"/>
      <c r="N27" s="16">
        <f>SUM(L27,J27,H27,F27,D27)</f>
        <v>464402.28</v>
      </c>
      <c r="O27" s="1" t="s">
        <v>39</v>
      </c>
    </row>
    <row r="28" spans="1:15" x14ac:dyDescent="0.25">
      <c r="B28" s="1" t="s">
        <v>8</v>
      </c>
      <c r="D28" s="18">
        <f>D27/N27</f>
        <v>0.47909530073797224</v>
      </c>
      <c r="E28" s="18"/>
      <c r="F28" s="18">
        <f>F27/N27</f>
        <v>0.937474381047397</v>
      </c>
      <c r="G28" s="18"/>
      <c r="H28" s="18">
        <f>H27/N27</f>
        <v>0</v>
      </c>
      <c r="I28" s="18"/>
      <c r="J28" s="18">
        <f>J27/N27</f>
        <v>0</v>
      </c>
      <c r="K28" s="18"/>
      <c r="L28" s="18">
        <f>L27/N27</f>
        <v>-0.41656968178536935</v>
      </c>
      <c r="M28" s="18"/>
      <c r="O28" s="16">
        <v>0</v>
      </c>
    </row>
    <row r="29" spans="1:15" x14ac:dyDescent="0.25">
      <c r="F29" s="16"/>
      <c r="G29" s="2"/>
      <c r="H29" s="2"/>
      <c r="I29" s="2"/>
      <c r="J29" s="2"/>
      <c r="K29" s="2"/>
      <c r="L29" s="2"/>
      <c r="M29" s="2"/>
    </row>
    <row r="30" spans="1:15" s="14" customFormat="1" ht="9.9" customHeight="1" x14ac:dyDescent="0.25">
      <c r="A30" s="12"/>
      <c r="B30" s="12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2"/>
    </row>
    <row r="31" spans="1:15" ht="15.6" x14ac:dyDescent="0.3">
      <c r="A31" s="15" t="s">
        <v>18</v>
      </c>
      <c r="B31" s="1" t="s">
        <v>7</v>
      </c>
      <c r="D31" s="16">
        <v>2555.1999999999998</v>
      </c>
      <c r="E31" s="16"/>
      <c r="F31" s="16">
        <v>3075315.03</v>
      </c>
      <c r="G31" s="16"/>
      <c r="H31" s="16">
        <v>1484576.05</v>
      </c>
      <c r="I31" s="16"/>
      <c r="J31" s="16">
        <v>0</v>
      </c>
      <c r="K31" s="16"/>
      <c r="L31" s="16">
        <v>3121.04</v>
      </c>
      <c r="M31" s="16"/>
      <c r="N31" s="16">
        <f>SUM(L31,J31,H31,F31,D31)</f>
        <v>4565567.32</v>
      </c>
      <c r="O31" s="1" t="s">
        <v>39</v>
      </c>
    </row>
    <row r="32" spans="1:15" x14ac:dyDescent="0.25">
      <c r="B32" s="1" t="s">
        <v>8</v>
      </c>
      <c r="D32" s="18">
        <f>D31/N31</f>
        <v>5.5966757708437423E-4</v>
      </c>
      <c r="E32" s="18"/>
      <c r="F32" s="18">
        <f>F31/N31</f>
        <v>0.67358880385537712</v>
      </c>
      <c r="G32" s="18"/>
      <c r="H32" s="18">
        <f>H31/N31</f>
        <v>0.32516792458554744</v>
      </c>
      <c r="I32" s="18"/>
      <c r="J32" s="18">
        <f>J31/N31</f>
        <v>0</v>
      </c>
      <c r="K32" s="18"/>
      <c r="L32" s="18">
        <f>L31/N31</f>
        <v>6.8360398199100475E-4</v>
      </c>
      <c r="M32" s="18"/>
      <c r="O32" s="16">
        <f>1536897.81+16694.79</f>
        <v>1553592.6</v>
      </c>
    </row>
    <row r="33" spans="1:15" x14ac:dyDescent="0.25">
      <c r="F33" s="2"/>
      <c r="G33" s="2"/>
      <c r="H33" s="2"/>
      <c r="I33" s="2"/>
      <c r="J33" s="2"/>
      <c r="K33" s="2"/>
      <c r="L33" s="2"/>
      <c r="M33" s="2"/>
    </row>
    <row r="34" spans="1:15" s="14" customFormat="1" ht="9.9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</row>
    <row r="35" spans="1:15" ht="15.6" x14ac:dyDescent="0.3">
      <c r="A35" s="15" t="s">
        <v>19</v>
      </c>
      <c r="B35" s="1" t="s">
        <v>7</v>
      </c>
      <c r="D35" s="16">
        <v>2967641.79</v>
      </c>
      <c r="E35" s="16"/>
      <c r="F35" s="16">
        <v>4552270.22</v>
      </c>
      <c r="G35" s="16"/>
      <c r="H35" s="16">
        <v>1046489.72</v>
      </c>
      <c r="I35" s="16"/>
      <c r="J35" s="16">
        <v>52659.22</v>
      </c>
      <c r="K35" s="16"/>
      <c r="L35" s="16">
        <v>833470.97</v>
      </c>
      <c r="M35" s="16"/>
      <c r="N35" s="16">
        <f>SUM(L35,J35,H35,F35,D35)</f>
        <v>9452531.9199999999</v>
      </c>
      <c r="O35" s="1" t="s">
        <v>39</v>
      </c>
    </row>
    <row r="36" spans="1:15" x14ac:dyDescent="0.25">
      <c r="B36" s="1" t="s">
        <v>8</v>
      </c>
      <c r="D36" s="18">
        <f>D35/N35</f>
        <v>0.31395205169537266</v>
      </c>
      <c r="E36" s="18"/>
      <c r="F36" s="18">
        <f>F35/N35</f>
        <v>0.48159268421703461</v>
      </c>
      <c r="G36" s="18"/>
      <c r="H36" s="18">
        <f>H35/N35</f>
        <v>0.11070999059900556</v>
      </c>
      <c r="I36" s="18"/>
      <c r="J36" s="18">
        <f>J35/N35</f>
        <v>5.5709116293573965E-3</v>
      </c>
      <c r="K36" s="18"/>
      <c r="L36" s="18">
        <f>L35/N35</f>
        <v>8.8174361859229777E-2</v>
      </c>
      <c r="M36" s="18"/>
      <c r="O36" s="16">
        <v>3059914.9</v>
      </c>
    </row>
    <row r="37" spans="1:15" x14ac:dyDescent="0.25"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5" s="14" customFormat="1" x14ac:dyDescent="0.25">
      <c r="A38" s="12"/>
      <c r="B38" s="12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2"/>
    </row>
    <row r="39" spans="1:15" s="23" customFormat="1" ht="15.6" x14ac:dyDescent="0.3">
      <c r="A39" s="15" t="s">
        <v>20</v>
      </c>
      <c r="B39" s="15" t="s">
        <v>7</v>
      </c>
      <c r="C39" s="15"/>
      <c r="D39" s="22">
        <f>SUM(D35,D31,D27,D23,D19,D14)</f>
        <v>11331966.16</v>
      </c>
      <c r="E39" s="15"/>
      <c r="F39" s="22">
        <f>SUM(F35,F31,F27,F23,F19,F14)</f>
        <v>11518313.370000001</v>
      </c>
      <c r="G39" s="15"/>
      <c r="H39" s="22">
        <f>SUM(H35,H31,H27,H23,H19,H14)</f>
        <v>4392501.49</v>
      </c>
      <c r="I39" s="15"/>
      <c r="J39" s="22">
        <f>SUM(J35,J31,J27,J23,J19,J14)</f>
        <v>1027044.86</v>
      </c>
      <c r="K39" s="15"/>
      <c r="L39" s="22">
        <f>SUM(L35,L31,L27,L23,L19,L14)</f>
        <v>2868321.9</v>
      </c>
      <c r="M39" s="15"/>
      <c r="N39" s="22">
        <f>SUM(N35,N31,N27,N23,N19,N14)</f>
        <v>31138147.780000001</v>
      </c>
      <c r="O39" s="15"/>
    </row>
    <row r="40" spans="1:15" s="23" customFormat="1" ht="15.6" x14ac:dyDescent="0.3">
      <c r="A40" s="15"/>
      <c r="B40" s="15" t="s">
        <v>8</v>
      </c>
      <c r="C40" s="15"/>
      <c r="D40" s="24">
        <f>D39/N39</f>
        <v>0.36392550514126953</v>
      </c>
      <c r="E40" s="15"/>
      <c r="F40" s="24">
        <f>F39/N39</f>
        <v>0.36991003611968859</v>
      </c>
      <c r="G40" s="15"/>
      <c r="H40" s="24">
        <f>H39/N39</f>
        <v>0.14106495739676908</v>
      </c>
      <c r="I40" s="15"/>
      <c r="J40" s="24">
        <f>J39/N39</f>
        <v>3.2983492379070466E-2</v>
      </c>
      <c r="K40" s="15"/>
      <c r="L40" s="24">
        <f>L39/N39</f>
        <v>9.2116008963202364E-2</v>
      </c>
      <c r="M40" s="15"/>
      <c r="N40" s="22"/>
      <c r="O40" s="15"/>
    </row>
    <row r="41" spans="1:15" s="23" customFormat="1" ht="15.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2"/>
      <c r="O41" s="15"/>
    </row>
    <row r="42" spans="1:15" s="14" customFormat="1" ht="9.9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</row>
  </sheetData>
  <phoneticPr fontId="0" type="noConversion"/>
  <pageMargins left="0.43" right="0.42" top="1" bottom="1" header="0.5" footer="0.5"/>
  <pageSetup scale="47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8193" r:id="rId4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3" r:id="rId4"/>
      </mc:Fallback>
    </mc:AlternateContent>
    <mc:AlternateContent xmlns:mc="http://schemas.openxmlformats.org/markup-compatibility/2006">
      <mc:Choice Requires="x14">
        <oleObject progId="Word.Document.6" shapeId="8194" r:id="rId6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4" r:id="rId6"/>
      </mc:Fallback>
    </mc:AlternateContent>
    <mc:AlternateContent xmlns:mc="http://schemas.openxmlformats.org/markup-compatibility/2006">
      <mc:Choice Requires="x14">
        <oleObject progId="Word.Document.6" shapeId="8195" r:id="rId7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5" r:id="rId7"/>
      </mc:Fallback>
    </mc:AlternateContent>
    <mc:AlternateContent xmlns:mc="http://schemas.openxmlformats.org/markup-compatibility/2006">
      <mc:Choice Requires="x14">
        <oleObject progId="Word.Document.6" shapeId="8196" r:id="rId8">
          <objectPr defaultSize="0" autoLine="0" autoPict="0" r:id="rId5">
            <anchor moveWithCells="1">
              <from>
                <xdr:col>0</xdr:col>
                <xdr:colOff>716280</xdr:colOff>
                <xdr:row>4</xdr:row>
                <xdr:rowOff>144780</xdr:rowOff>
              </from>
              <to>
                <xdr:col>0</xdr:col>
                <xdr:colOff>1889760</xdr:colOff>
                <xdr:row>10</xdr:row>
                <xdr:rowOff>160020</xdr:rowOff>
              </to>
            </anchor>
          </objectPr>
        </oleObject>
      </mc:Choice>
      <mc:Fallback>
        <oleObject progId="Word.Document.6" shapeId="8196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15</vt:i4>
      </vt:variant>
    </vt:vector>
  </HeadingPairs>
  <TitlesOfParts>
    <vt:vector size="33" baseType="lpstr">
      <vt:lpstr>0201</vt:lpstr>
      <vt:lpstr>0101</vt:lpstr>
      <vt:lpstr>1200</vt:lpstr>
      <vt:lpstr>1100</vt:lpstr>
      <vt:lpstr>1000</vt:lpstr>
      <vt:lpstr>0900</vt:lpstr>
      <vt:lpstr>0800</vt:lpstr>
      <vt:lpstr>0700</vt:lpstr>
      <vt:lpstr>0600</vt:lpstr>
      <vt:lpstr>0500</vt:lpstr>
      <vt:lpstr>0400</vt:lpstr>
      <vt:lpstr>0300</vt:lpstr>
      <vt:lpstr>0200</vt:lpstr>
      <vt:lpstr>0100</vt:lpstr>
      <vt:lpstr>1299</vt:lpstr>
      <vt:lpstr>1199</vt:lpstr>
      <vt:lpstr>Sheet2</vt:lpstr>
      <vt:lpstr>Sheet3</vt:lpstr>
      <vt:lpstr>'0100'!Print_Area</vt:lpstr>
      <vt:lpstr>'0101'!Print_Area</vt:lpstr>
      <vt:lpstr>'0200'!Print_Area</vt:lpstr>
      <vt:lpstr>'0300'!Print_Area</vt:lpstr>
      <vt:lpstr>'0400'!Print_Area</vt:lpstr>
      <vt:lpstr>'0500'!Print_Area</vt:lpstr>
      <vt:lpstr>'0600'!Print_Area</vt:lpstr>
      <vt:lpstr>'0700'!Print_Area</vt:lpstr>
      <vt:lpstr>'0800'!Print_Area</vt:lpstr>
      <vt:lpstr>'0900'!Print_Area</vt:lpstr>
      <vt:lpstr>'1000'!Print_Area</vt:lpstr>
      <vt:lpstr>'1100'!Print_Area</vt:lpstr>
      <vt:lpstr>'1199'!Print_Area</vt:lpstr>
      <vt:lpstr>'1200'!Print_Area</vt:lpstr>
      <vt:lpstr>'1299'!Print_Area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jlessor</dc:creator>
  <cp:lastModifiedBy>Havlíček Jan</cp:lastModifiedBy>
  <cp:lastPrinted>2001-02-01T15:44:13Z</cp:lastPrinted>
  <dcterms:created xsi:type="dcterms:W3CDTF">1999-12-09T16:56:27Z</dcterms:created>
  <dcterms:modified xsi:type="dcterms:W3CDTF">2023-09-10T11:48:03Z</dcterms:modified>
</cp:coreProperties>
</file>