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5952" yWindow="-12" windowWidth="6000" windowHeight="6192"/>
  </bookViews>
  <sheets>
    <sheet name="Consolidated Results" sheetId="39" r:id="rId1"/>
    <sheet name="Receipt Point Capacities" sheetId="2" r:id="rId2"/>
    <sheet name="Basin Allocations" sheetId="27" r:id="rId3"/>
    <sheet name="Assign To West Contracts" sheetId="7" r:id="rId4"/>
    <sheet name="Assign to East Contracts" sheetId="15" r:id="rId5"/>
  </sheets>
  <externalReferences>
    <externalReference r:id="rId6"/>
    <externalReference r:id="rId7"/>
  </externalReferences>
  <definedNames>
    <definedName name="Access_Rec_Del_From_Cust_Svcs">#REF!</definedName>
    <definedName name="Anad_Cap">'Receipt Point Capacities'!$H$10</definedName>
    <definedName name="Anadarko_Entitlement_Percentage">#REF!</definedName>
    <definedName name="Anadarko_Percentage">'Assign To West Contracts'!#REF!</definedName>
    <definedName name="Anadarko_thru_Plains">'Basin Allocations'!#REF!</definedName>
    <definedName name="Anadarko_thru_Plains_dth">'Basin Allocations'!#REF!</definedName>
    <definedName name="Blanco_Cap">'Receipt Point Capacities'!$H$25</definedName>
    <definedName name="Blanco_thru_Plains">'Basin Allocations'!#REF!</definedName>
    <definedName name="Bondad_Cap">'Receipt Point Capacities'!$H$41</definedName>
    <definedName name="Bondad_ML_Cap">'Receipt Point Capacities'!$H$47</definedName>
    <definedName name="Bondad_St_Cap">'Receipt Point Capacities'!$H$44</definedName>
    <definedName name="Bondad_thru_Plains">'Basin Allocations'!#REF!</definedName>
    <definedName name="Design_Limits_North_thru_Plains">'Basin Allocations'!#REF!</definedName>
    <definedName name="East_End_CD_Tot">'Assign to East Contracts'!$J$9</definedName>
    <definedName name="Integrate_Delv_Pts_Capacity_Mcf">#REF!</definedName>
    <definedName name="Keystone">[1]Sheet1!$B$6</definedName>
    <definedName name="Keystone_Cap">'Receipt Point Capacities'!$H$51</definedName>
    <definedName name="North_flowing_South_thru_Plains">'Basin Allocations'!#REF!</definedName>
    <definedName name="North_thru_Plains">'Assign to East Contracts'!#REF!</definedName>
    <definedName name="North_to_South_Capacity">'Basin Allocations'!#REF!</definedName>
    <definedName name="Percent_of_San_Juan_for_North_Flow_Only">'Assign To West Contracts'!#REF!</definedName>
    <definedName name="Percent_that_can_flow_North_Eunice_to_Plains">'Basin Allocations'!#REF!</definedName>
    <definedName name="Permain_Capacity_Available_to_be_Assigned">'Basin Allocations'!#REF!</definedName>
    <definedName name="Permian_Entitlement_Percantage">#REF!</definedName>
    <definedName name="Permian_Percantage">'Assign To West Contracts'!#REF!</definedName>
    <definedName name="Plains_Cap">'Receipt Point Capacities'!$H$127</definedName>
    <definedName name="Plains_South_Capacity">'Basin Allocations'!#REF!</definedName>
    <definedName name="Plains_South_Less_FT2">'Basin Allocations'!#REF!</definedName>
    <definedName name="Plains_thru_Plains">'Basin Allocations'!#REF!</definedName>
    <definedName name="_xlnm.Print_Area" localSheetId="3">'Assign To West Contracts'!$A$1:$DN$83</definedName>
    <definedName name="_xlnm.Print_Area" localSheetId="0">'Consolidated Results'!$A$1:$DK$62</definedName>
    <definedName name="_xlnm.Print_Titles" localSheetId="4">'Assign to East Contracts'!$A:$B</definedName>
    <definedName name="_xlnm.Print_Titles" localSheetId="3">'Assign To West Contracts'!$A:$C,'Assign To West Contracts'!$1:$11</definedName>
    <definedName name="_xlnm.Print_Titles" localSheetId="0">'Consolidated Results'!$A:$A,'Consolidated Results'!$1:$8</definedName>
    <definedName name="_xlnm.Print_Titles" localSheetId="1">'Receipt Point Capacities'!$1:$5</definedName>
    <definedName name="Quantity_of_San_Juan_Receipt_Rights_To_Be_Allocated">'Assign To West Contracts'!$C$58</definedName>
    <definedName name="San_Juan_Entitlement_Percentage">#REF!</definedName>
    <definedName name="San_Juan_Percentage">'Assign To West Contracts'!#REF!</definedName>
    <definedName name="San_Juan_supply_thru_Plains">'Basin Allocations'!#REF!</definedName>
    <definedName name="SumDesignbyCont">#REF!</definedName>
    <definedName name="SumDesignbyContN_S">#REF!</definedName>
    <definedName name="Unassigned_Entitlement_Percentage">#REF!</definedName>
    <definedName name="Waha">[1]Sheet1!$B$7</definedName>
    <definedName name="Waha_Cap">'Receipt Point Capacities'!$H$154</definedName>
  </definedNames>
  <calcPr calcId="0" fullCalcOnLoad="1"/>
</workbook>
</file>

<file path=xl/calcChain.xml><?xml version="1.0" encoding="utf-8"?>
<calcChain xmlns="http://schemas.openxmlformats.org/spreadsheetml/2006/main">
  <c r="J8" i="15" l="1"/>
  <c r="C9" i="15"/>
  <c r="D9" i="15"/>
  <c r="E9" i="15"/>
  <c r="F9" i="15"/>
  <c r="G9" i="15"/>
  <c r="H9" i="15"/>
  <c r="I9" i="15"/>
  <c r="J9" i="15"/>
  <c r="C11" i="15"/>
  <c r="D11" i="15"/>
  <c r="E11" i="15"/>
  <c r="F11" i="15"/>
  <c r="G11" i="15"/>
  <c r="H11" i="15"/>
  <c r="I11" i="15"/>
  <c r="J11" i="15"/>
  <c r="C12" i="15"/>
  <c r="D12" i="15"/>
  <c r="E12" i="15"/>
  <c r="F12" i="15"/>
  <c r="G12" i="15"/>
  <c r="H12" i="15"/>
  <c r="I12" i="15"/>
  <c r="J12" i="15"/>
  <c r="C13" i="15"/>
  <c r="D13" i="15"/>
  <c r="E13" i="15"/>
  <c r="F13" i="15"/>
  <c r="G13" i="15"/>
  <c r="H13" i="15"/>
  <c r="I13" i="15"/>
  <c r="J13" i="15"/>
  <c r="J15" i="15"/>
  <c r="C16" i="15"/>
  <c r="D16" i="15"/>
  <c r="E16" i="15"/>
  <c r="F16" i="15"/>
  <c r="G16" i="15"/>
  <c r="H16" i="15"/>
  <c r="I16" i="15"/>
  <c r="J16" i="15"/>
  <c r="J17" i="15"/>
  <c r="J18" i="15"/>
  <c r="B23" i="15"/>
  <c r="C23" i="15"/>
  <c r="D23" i="15"/>
  <c r="E23" i="15"/>
  <c r="F23" i="15"/>
  <c r="G23" i="15"/>
  <c r="H23" i="15"/>
  <c r="I23" i="15"/>
  <c r="J23" i="15"/>
  <c r="B24" i="15"/>
  <c r="C24" i="15"/>
  <c r="D24" i="15"/>
  <c r="E24" i="15"/>
  <c r="F24" i="15"/>
  <c r="G24" i="15"/>
  <c r="H24" i="15"/>
  <c r="I24" i="15"/>
  <c r="J24" i="15"/>
  <c r="C25" i="15"/>
  <c r="D25" i="15"/>
  <c r="E25" i="15"/>
  <c r="F25" i="15"/>
  <c r="G25" i="15"/>
  <c r="H25" i="15"/>
  <c r="I25" i="15"/>
  <c r="J25" i="15"/>
  <c r="C27" i="15"/>
  <c r="D27" i="15"/>
  <c r="E27" i="15"/>
  <c r="F27" i="15"/>
  <c r="G27" i="15"/>
  <c r="H27" i="15"/>
  <c r="I27" i="15"/>
  <c r="J27" i="15"/>
  <c r="C29" i="15"/>
  <c r="D29" i="15"/>
  <c r="E29" i="15"/>
  <c r="F29" i="15"/>
  <c r="G29" i="15"/>
  <c r="H29" i="15"/>
  <c r="I29" i="15"/>
  <c r="J29" i="15"/>
  <c r="J31" i="15"/>
  <c r="DK3" i="7"/>
  <c r="DK4" i="7"/>
  <c r="DH5" i="7"/>
  <c r="DK5" i="7"/>
  <c r="DH6" i="7"/>
  <c r="DH7" i="7"/>
  <c r="DI8" i="7"/>
  <c r="D9" i="7"/>
  <c r="E9" i="7"/>
  <c r="F9" i="7"/>
  <c r="G9" i="7"/>
  <c r="H9" i="7"/>
  <c r="I9" i="7"/>
  <c r="J9" i="7"/>
  <c r="K9" i="7"/>
  <c r="L9" i="7"/>
  <c r="M9" i="7"/>
  <c r="N9" i="7"/>
  <c r="O9" i="7"/>
  <c r="P9" i="7"/>
  <c r="Q9" i="7"/>
  <c r="R9" i="7"/>
  <c r="S9" i="7"/>
  <c r="T9" i="7"/>
  <c r="U9" i="7"/>
  <c r="V9" i="7"/>
  <c r="W9" i="7"/>
  <c r="X9" i="7"/>
  <c r="Y9" i="7"/>
  <c r="Z9" i="7"/>
  <c r="AA9" i="7"/>
  <c r="AB9" i="7"/>
  <c r="AC9" i="7"/>
  <c r="AD9" i="7"/>
  <c r="AE9" i="7"/>
  <c r="AF9" i="7"/>
  <c r="AG9" i="7"/>
  <c r="AH9" i="7"/>
  <c r="AI9" i="7"/>
  <c r="AJ9" i="7"/>
  <c r="AK9" i="7"/>
  <c r="AL9" i="7"/>
  <c r="AM9" i="7"/>
  <c r="AN9" i="7"/>
  <c r="AO9" i="7"/>
  <c r="AP9" i="7"/>
  <c r="AQ9" i="7"/>
  <c r="AR9" i="7"/>
  <c r="AS9" i="7"/>
  <c r="AT9" i="7"/>
  <c r="AU9" i="7"/>
  <c r="AV9" i="7"/>
  <c r="AW9" i="7"/>
  <c r="AX9" i="7"/>
  <c r="AY9" i="7"/>
  <c r="AZ9" i="7"/>
  <c r="BA9" i="7"/>
  <c r="BB9" i="7"/>
  <c r="BC9" i="7"/>
  <c r="BD9" i="7"/>
  <c r="BE9" i="7"/>
  <c r="BF9" i="7"/>
  <c r="BG9" i="7"/>
  <c r="BH9" i="7"/>
  <c r="BI9" i="7"/>
  <c r="BJ9" i="7"/>
  <c r="BK9" i="7"/>
  <c r="BL9" i="7"/>
  <c r="BM9" i="7"/>
  <c r="BN9" i="7"/>
  <c r="BO9" i="7"/>
  <c r="BP9" i="7"/>
  <c r="BQ9" i="7"/>
  <c r="BR9" i="7"/>
  <c r="BS9" i="7"/>
  <c r="BT9" i="7"/>
  <c r="BU9" i="7"/>
  <c r="BV9" i="7"/>
  <c r="BW9" i="7"/>
  <c r="BX9" i="7"/>
  <c r="BY9" i="7"/>
  <c r="CB9" i="7"/>
  <c r="CC9" i="7"/>
  <c r="CD9" i="7"/>
  <c r="CE9" i="7"/>
  <c r="CF9" i="7"/>
  <c r="CG9" i="7"/>
  <c r="CH9" i="7"/>
  <c r="CI9" i="7"/>
  <c r="CJ9" i="7"/>
  <c r="CK9" i="7"/>
  <c r="CL9" i="7"/>
  <c r="CM9" i="7"/>
  <c r="CN9" i="7"/>
  <c r="CO9" i="7"/>
  <c r="CP9" i="7"/>
  <c r="CQ9" i="7"/>
  <c r="CT9" i="7"/>
  <c r="CU9" i="7"/>
  <c r="CV9" i="7"/>
  <c r="CW9" i="7"/>
  <c r="DI9" i="7"/>
  <c r="DL9" i="7"/>
  <c r="BZ10" i="7"/>
  <c r="CH10" i="7"/>
  <c r="CJ10" i="7"/>
  <c r="CP10" i="7"/>
  <c r="CY10" i="7"/>
  <c r="DA10" i="7"/>
  <c r="DC10" i="7"/>
  <c r="DD10" i="7"/>
  <c r="DI10" i="7"/>
  <c r="DL10"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AG11" i="7"/>
  <c r="AH11" i="7"/>
  <c r="AI11" i="7"/>
  <c r="AJ11" i="7"/>
  <c r="AK11" i="7"/>
  <c r="AL11" i="7"/>
  <c r="AM11" i="7"/>
  <c r="AN11" i="7"/>
  <c r="AO11" i="7"/>
  <c r="AP11" i="7"/>
  <c r="AQ11" i="7"/>
  <c r="AR11" i="7"/>
  <c r="AS11" i="7"/>
  <c r="AT11" i="7"/>
  <c r="AU11" i="7"/>
  <c r="AV11" i="7"/>
  <c r="AW11" i="7"/>
  <c r="AX11" i="7"/>
  <c r="AY11" i="7"/>
  <c r="AZ11" i="7"/>
  <c r="BA11" i="7"/>
  <c r="BB11" i="7"/>
  <c r="BC11" i="7"/>
  <c r="BD11" i="7"/>
  <c r="BE11" i="7"/>
  <c r="BF11" i="7"/>
  <c r="BG11" i="7"/>
  <c r="BH11" i="7"/>
  <c r="BI11" i="7"/>
  <c r="BJ11" i="7"/>
  <c r="BK11" i="7"/>
  <c r="BL11" i="7"/>
  <c r="BM11" i="7"/>
  <c r="BN11" i="7"/>
  <c r="BO11" i="7"/>
  <c r="BP11" i="7"/>
  <c r="BQ11" i="7"/>
  <c r="BR11" i="7"/>
  <c r="BS11" i="7"/>
  <c r="BT11" i="7"/>
  <c r="BU11" i="7"/>
  <c r="BV11" i="7"/>
  <c r="BW11" i="7"/>
  <c r="BX11" i="7"/>
  <c r="BY11" i="7"/>
  <c r="BZ11" i="7"/>
  <c r="CB11" i="7"/>
  <c r="CC11" i="7"/>
  <c r="CD11" i="7"/>
  <c r="CE11" i="7"/>
  <c r="CF11" i="7"/>
  <c r="CG11" i="7"/>
  <c r="CH11" i="7"/>
  <c r="CI11" i="7"/>
  <c r="CJ11" i="7"/>
  <c r="CK11" i="7"/>
  <c r="CL11" i="7"/>
  <c r="CM11" i="7"/>
  <c r="CN11" i="7"/>
  <c r="CO11" i="7"/>
  <c r="CP11" i="7"/>
  <c r="CQ11" i="7"/>
  <c r="CR11" i="7"/>
  <c r="CS11" i="7"/>
  <c r="CT11" i="7"/>
  <c r="CU11" i="7"/>
  <c r="CV11" i="7"/>
  <c r="CW11" i="7"/>
  <c r="CX11" i="7"/>
  <c r="CY11" i="7"/>
  <c r="DA11" i="7"/>
  <c r="DC11" i="7"/>
  <c r="DD11" i="7"/>
  <c r="DL11" i="7"/>
  <c r="DL12"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AG13" i="7"/>
  <c r="AH13" i="7"/>
  <c r="AI13" i="7"/>
  <c r="AJ13" i="7"/>
  <c r="AK13" i="7"/>
  <c r="AL13" i="7"/>
  <c r="AM13" i="7"/>
  <c r="AN13" i="7"/>
  <c r="AO13" i="7"/>
  <c r="AP13" i="7"/>
  <c r="AQ13" i="7"/>
  <c r="AR13" i="7"/>
  <c r="AS13" i="7"/>
  <c r="AT13" i="7"/>
  <c r="AU13" i="7"/>
  <c r="AV13" i="7"/>
  <c r="AW13" i="7"/>
  <c r="AX13" i="7"/>
  <c r="AY13" i="7"/>
  <c r="AZ13" i="7"/>
  <c r="BA13" i="7"/>
  <c r="BB13" i="7"/>
  <c r="BC13" i="7"/>
  <c r="BD13" i="7"/>
  <c r="BE13" i="7"/>
  <c r="BF13" i="7"/>
  <c r="BG13" i="7"/>
  <c r="BH13" i="7"/>
  <c r="BI13" i="7"/>
  <c r="BJ13" i="7"/>
  <c r="BK13" i="7"/>
  <c r="BL13" i="7"/>
  <c r="BM13" i="7"/>
  <c r="BN13" i="7"/>
  <c r="BO13" i="7"/>
  <c r="BP13" i="7"/>
  <c r="BQ13" i="7"/>
  <c r="BR13" i="7"/>
  <c r="BS13" i="7"/>
  <c r="BT13" i="7"/>
  <c r="BU13" i="7"/>
  <c r="BV13" i="7"/>
  <c r="BW13" i="7"/>
  <c r="BX13" i="7"/>
  <c r="BY13" i="7"/>
  <c r="BZ13" i="7"/>
  <c r="CB13" i="7"/>
  <c r="CC13" i="7"/>
  <c r="CD13" i="7"/>
  <c r="CE13" i="7"/>
  <c r="CF13" i="7"/>
  <c r="CG13" i="7"/>
  <c r="CH13" i="7"/>
  <c r="CI13" i="7"/>
  <c r="CJ13" i="7"/>
  <c r="CK13" i="7"/>
  <c r="CL13" i="7"/>
  <c r="CM13" i="7"/>
  <c r="CN13" i="7"/>
  <c r="CO13" i="7"/>
  <c r="CP13" i="7"/>
  <c r="CQ13" i="7"/>
  <c r="CR13" i="7"/>
  <c r="CS13" i="7"/>
  <c r="CT13" i="7"/>
  <c r="CU13" i="7"/>
  <c r="CV13" i="7"/>
  <c r="CW13" i="7"/>
  <c r="CX13" i="7"/>
  <c r="CY13" i="7"/>
  <c r="DA13" i="7"/>
  <c r="DC13" i="7"/>
  <c r="DD13"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AG14" i="7"/>
  <c r="AH14" i="7"/>
  <c r="AI14" i="7"/>
  <c r="AJ14" i="7"/>
  <c r="AK14" i="7"/>
  <c r="AL14" i="7"/>
  <c r="AM14" i="7"/>
  <c r="AN14" i="7"/>
  <c r="AO14" i="7"/>
  <c r="AP14" i="7"/>
  <c r="AQ14" i="7"/>
  <c r="AR14" i="7"/>
  <c r="AS14" i="7"/>
  <c r="AT14" i="7"/>
  <c r="AU14" i="7"/>
  <c r="AV14" i="7"/>
  <c r="AW14" i="7"/>
  <c r="AX14" i="7"/>
  <c r="AY14" i="7"/>
  <c r="AZ14" i="7"/>
  <c r="BA14" i="7"/>
  <c r="BB14" i="7"/>
  <c r="BC14" i="7"/>
  <c r="BD14" i="7"/>
  <c r="BE14" i="7"/>
  <c r="BF14" i="7"/>
  <c r="BG14" i="7"/>
  <c r="BH14" i="7"/>
  <c r="BI14" i="7"/>
  <c r="BJ14" i="7"/>
  <c r="BK14" i="7"/>
  <c r="BL14" i="7"/>
  <c r="BM14" i="7"/>
  <c r="BN14" i="7"/>
  <c r="BO14" i="7"/>
  <c r="BP14" i="7"/>
  <c r="BQ14" i="7"/>
  <c r="BR14" i="7"/>
  <c r="BS14" i="7"/>
  <c r="BT14" i="7"/>
  <c r="BU14" i="7"/>
  <c r="BV14" i="7"/>
  <c r="BW14" i="7"/>
  <c r="BX14" i="7"/>
  <c r="BY14" i="7"/>
  <c r="BZ14" i="7"/>
  <c r="CB14" i="7"/>
  <c r="CC14" i="7"/>
  <c r="CD14" i="7"/>
  <c r="CE14" i="7"/>
  <c r="CF14" i="7"/>
  <c r="CG14" i="7"/>
  <c r="CH14" i="7"/>
  <c r="CI14" i="7"/>
  <c r="CJ14" i="7"/>
  <c r="CK14" i="7"/>
  <c r="CL14" i="7"/>
  <c r="CM14" i="7"/>
  <c r="CN14" i="7"/>
  <c r="CO14" i="7"/>
  <c r="CP14" i="7"/>
  <c r="CQ14" i="7"/>
  <c r="CR14" i="7"/>
  <c r="CS14" i="7"/>
  <c r="CY14" i="7"/>
  <c r="DA14" i="7"/>
  <c r="DC14" i="7"/>
  <c r="DD14" i="7"/>
  <c r="DH14" i="7"/>
  <c r="DH15" i="7"/>
  <c r="DK15" i="7"/>
  <c r="D16" i="7"/>
  <c r="N16" i="7"/>
  <c r="Y16" i="7"/>
  <c r="BF16" i="7"/>
  <c r="BK16" i="7"/>
  <c r="BT16" i="7"/>
  <c r="BW16" i="7"/>
  <c r="BZ16" i="7"/>
  <c r="CH16" i="7"/>
  <c r="CJ16" i="7"/>
  <c r="CM16" i="7"/>
  <c r="CN16" i="7"/>
  <c r="CP16" i="7"/>
  <c r="CR16" i="7"/>
  <c r="CS16" i="7"/>
  <c r="CV16" i="7"/>
  <c r="CY16" i="7"/>
  <c r="DA16" i="7"/>
  <c r="DC16" i="7"/>
  <c r="DD16" i="7"/>
  <c r="DH16" i="7"/>
  <c r="DK16" i="7"/>
  <c r="D17" i="7"/>
  <c r="N17" i="7"/>
  <c r="P17" i="7"/>
  <c r="Y17" i="7"/>
  <c r="AA17" i="7"/>
  <c r="AB17" i="7"/>
  <c r="AD17" i="7"/>
  <c r="AF17" i="7"/>
  <c r="AH17" i="7"/>
  <c r="AJ17" i="7"/>
  <c r="AM17" i="7"/>
  <c r="AO17" i="7"/>
  <c r="AQ17" i="7"/>
  <c r="AT17" i="7"/>
  <c r="AU17" i="7"/>
  <c r="AV17" i="7"/>
  <c r="AW17" i="7"/>
  <c r="AX17" i="7"/>
  <c r="BB17" i="7"/>
  <c r="BC17" i="7"/>
  <c r="BF17" i="7"/>
  <c r="BK17" i="7"/>
  <c r="BM17" i="7"/>
  <c r="BP17" i="7"/>
  <c r="BQ17" i="7"/>
  <c r="BT17" i="7"/>
  <c r="BU17" i="7"/>
  <c r="BV17" i="7"/>
  <c r="BW17" i="7"/>
  <c r="BX17" i="7"/>
  <c r="BZ17" i="7"/>
  <c r="CH17" i="7"/>
  <c r="CJ17" i="7"/>
  <c r="CM17" i="7"/>
  <c r="CN17" i="7"/>
  <c r="CO17" i="7"/>
  <c r="CP17" i="7"/>
  <c r="CR17" i="7"/>
  <c r="CS17" i="7"/>
  <c r="CT17" i="7"/>
  <c r="CV17" i="7"/>
  <c r="CY17" i="7"/>
  <c r="DA17" i="7"/>
  <c r="DC17" i="7"/>
  <c r="DD17" i="7"/>
  <c r="DI17" i="7"/>
  <c r="DK17" i="7"/>
  <c r="E18" i="7"/>
  <c r="F18" i="7"/>
  <c r="G18" i="7"/>
  <c r="H18" i="7"/>
  <c r="I18" i="7"/>
  <c r="J18" i="7"/>
  <c r="K18" i="7"/>
  <c r="L18" i="7"/>
  <c r="M18" i="7"/>
  <c r="O18" i="7"/>
  <c r="Q18" i="7"/>
  <c r="R18" i="7"/>
  <c r="S18" i="7"/>
  <c r="T18" i="7"/>
  <c r="U18" i="7"/>
  <c r="V18" i="7"/>
  <c r="W18" i="7"/>
  <c r="X18" i="7"/>
  <c r="Z18" i="7"/>
  <c r="AC18" i="7"/>
  <c r="AE18" i="7"/>
  <c r="AG18" i="7"/>
  <c r="AI18" i="7"/>
  <c r="AK18" i="7"/>
  <c r="AL18" i="7"/>
  <c r="AN18" i="7"/>
  <c r="AP18" i="7"/>
  <c r="AR18" i="7"/>
  <c r="AS18" i="7"/>
  <c r="AY18" i="7"/>
  <c r="AZ18" i="7"/>
  <c r="BA18" i="7"/>
  <c r="BD18" i="7"/>
  <c r="BE18" i="7"/>
  <c r="BG18" i="7"/>
  <c r="BH18" i="7"/>
  <c r="BI18" i="7"/>
  <c r="BJ18" i="7"/>
  <c r="BL18" i="7"/>
  <c r="BN18" i="7"/>
  <c r="BO18" i="7"/>
  <c r="BR18" i="7"/>
  <c r="BS18" i="7"/>
  <c r="BY18" i="7"/>
  <c r="BZ18" i="7"/>
  <c r="CB18" i="7"/>
  <c r="CC18" i="7"/>
  <c r="CD18" i="7"/>
  <c r="CE18" i="7"/>
  <c r="CF18" i="7"/>
  <c r="CG18" i="7"/>
  <c r="CI18" i="7"/>
  <c r="CK18" i="7"/>
  <c r="CL18" i="7"/>
  <c r="CQ18" i="7"/>
  <c r="CU18" i="7"/>
  <c r="CW18" i="7"/>
  <c r="CX18" i="7"/>
  <c r="CY18" i="7"/>
  <c r="DA18" i="7"/>
  <c r="DC18" i="7"/>
  <c r="DD18" i="7"/>
  <c r="DI18" i="7"/>
  <c r="DM18" i="7"/>
  <c r="DI19" i="7"/>
  <c r="DM19" i="7"/>
  <c r="C20" i="7"/>
  <c r="DL20" i="7"/>
  <c r="DL21" i="7"/>
  <c r="DH22" i="7"/>
  <c r="DK22" i="7"/>
  <c r="DH23" i="7"/>
  <c r="DH24" i="7"/>
  <c r="DI25" i="7"/>
  <c r="DI26" i="7"/>
  <c r="B27" i="7"/>
  <c r="C27" i="7"/>
  <c r="D27" i="7"/>
  <c r="DI27" i="7"/>
  <c r="DL27" i="7"/>
  <c r="C28" i="7"/>
  <c r="D28" i="7"/>
  <c r="C29" i="7"/>
  <c r="D29" i="7"/>
  <c r="DL29" i="7"/>
  <c r="C30" i="7"/>
  <c r="D30" i="7"/>
  <c r="DH30" i="7"/>
  <c r="DL30" i="7"/>
  <c r="C31" i="7"/>
  <c r="D31" i="7"/>
  <c r="DH31" i="7"/>
  <c r="DL31" i="7"/>
  <c r="C32" i="7"/>
  <c r="D32" i="7"/>
  <c r="DH32" i="7"/>
  <c r="DL32" i="7"/>
  <c r="DM32" i="7"/>
  <c r="C33" i="7"/>
  <c r="D33" i="7"/>
  <c r="DI33" i="7"/>
  <c r="DI34" i="7"/>
  <c r="DI35"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AG36" i="7"/>
  <c r="AH36" i="7"/>
  <c r="AI36" i="7"/>
  <c r="AJ36" i="7"/>
  <c r="AK36" i="7"/>
  <c r="AL36" i="7"/>
  <c r="AM36" i="7"/>
  <c r="AN36" i="7"/>
  <c r="AO36" i="7"/>
  <c r="AP36" i="7"/>
  <c r="AQ36" i="7"/>
  <c r="AR36" i="7"/>
  <c r="AS36" i="7"/>
  <c r="AT36" i="7"/>
  <c r="AU36" i="7"/>
  <c r="AV36" i="7"/>
  <c r="AW36" i="7"/>
  <c r="AX36" i="7"/>
  <c r="AY36" i="7"/>
  <c r="AZ36" i="7"/>
  <c r="BA36" i="7"/>
  <c r="BB36" i="7"/>
  <c r="BC36" i="7"/>
  <c r="BD36" i="7"/>
  <c r="BE36" i="7"/>
  <c r="BF36" i="7"/>
  <c r="BG36" i="7"/>
  <c r="BH36" i="7"/>
  <c r="BI36" i="7"/>
  <c r="BJ36" i="7"/>
  <c r="BK36" i="7"/>
  <c r="BL36" i="7"/>
  <c r="BM36" i="7"/>
  <c r="BN36" i="7"/>
  <c r="BO36" i="7"/>
  <c r="BP36" i="7"/>
  <c r="BQ36" i="7"/>
  <c r="BR36" i="7"/>
  <c r="BS36" i="7"/>
  <c r="BT36" i="7"/>
  <c r="BU36" i="7"/>
  <c r="BV36" i="7"/>
  <c r="BW36" i="7"/>
  <c r="BX36" i="7"/>
  <c r="BY36" i="7"/>
  <c r="BZ36" i="7"/>
  <c r="CB36" i="7"/>
  <c r="CC36" i="7"/>
  <c r="CD36" i="7"/>
  <c r="CE36" i="7"/>
  <c r="CF36" i="7"/>
  <c r="CG36" i="7"/>
  <c r="CH36" i="7"/>
  <c r="CI36" i="7"/>
  <c r="CJ36" i="7"/>
  <c r="CK36" i="7"/>
  <c r="CL36" i="7"/>
  <c r="CM36" i="7"/>
  <c r="CN36" i="7"/>
  <c r="CO36" i="7"/>
  <c r="CP36" i="7"/>
  <c r="CQ36" i="7"/>
  <c r="CR36" i="7"/>
  <c r="CS36" i="7"/>
  <c r="CT36" i="7"/>
  <c r="CU36" i="7"/>
  <c r="CV36" i="7"/>
  <c r="CW36" i="7"/>
  <c r="CX36" i="7"/>
  <c r="CY36" i="7"/>
  <c r="DA36" i="7"/>
  <c r="DC36" i="7"/>
  <c r="DD36" i="7"/>
  <c r="DH36" i="7"/>
  <c r="DI36" i="7"/>
  <c r="DM36" i="7"/>
  <c r="DM37" i="7"/>
  <c r="DH38" i="7"/>
  <c r="DI38" i="7"/>
  <c r="DM38" i="7"/>
  <c r="DH39" i="7"/>
  <c r="DI39" i="7"/>
  <c r="DM39" i="7"/>
  <c r="DM40" i="7"/>
  <c r="DH41" i="7"/>
  <c r="DI41" i="7"/>
  <c r="DI42" i="7"/>
  <c r="DM42"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AG45" i="7"/>
  <c r="AH45" i="7"/>
  <c r="AI45" i="7"/>
  <c r="AJ45" i="7"/>
  <c r="AK45" i="7"/>
  <c r="AL45" i="7"/>
  <c r="AM45" i="7"/>
  <c r="AN45" i="7"/>
  <c r="AO45" i="7"/>
  <c r="AP45" i="7"/>
  <c r="AQ45" i="7"/>
  <c r="AR45" i="7"/>
  <c r="AS45" i="7"/>
  <c r="AT45" i="7"/>
  <c r="AU45" i="7"/>
  <c r="AV45" i="7"/>
  <c r="AW45" i="7"/>
  <c r="AX45" i="7"/>
  <c r="AY45" i="7"/>
  <c r="AZ45" i="7"/>
  <c r="BA45" i="7"/>
  <c r="BB45" i="7"/>
  <c r="BC45" i="7"/>
  <c r="BD45" i="7"/>
  <c r="BE45" i="7"/>
  <c r="BF45" i="7"/>
  <c r="BG45" i="7"/>
  <c r="BH45" i="7"/>
  <c r="BI45" i="7"/>
  <c r="BJ45" i="7"/>
  <c r="BK45" i="7"/>
  <c r="BL45" i="7"/>
  <c r="BM45" i="7"/>
  <c r="BN45" i="7"/>
  <c r="BO45" i="7"/>
  <c r="BP45" i="7"/>
  <c r="BQ45" i="7"/>
  <c r="BR45" i="7"/>
  <c r="BS45" i="7"/>
  <c r="BT45" i="7"/>
  <c r="BU45" i="7"/>
  <c r="BV45" i="7"/>
  <c r="BW45" i="7"/>
  <c r="BX45" i="7"/>
  <c r="BY45" i="7"/>
  <c r="BZ45" i="7"/>
  <c r="CB45" i="7"/>
  <c r="CC45" i="7"/>
  <c r="CD45" i="7"/>
  <c r="CE45" i="7"/>
  <c r="CF45" i="7"/>
  <c r="CG45" i="7"/>
  <c r="CH45" i="7"/>
  <c r="CI45" i="7"/>
  <c r="CJ45" i="7"/>
  <c r="CK45" i="7"/>
  <c r="CL45" i="7"/>
  <c r="CM45" i="7"/>
  <c r="CN45" i="7"/>
  <c r="CO45" i="7"/>
  <c r="CP45" i="7"/>
  <c r="CQ45" i="7"/>
  <c r="CR45" i="7"/>
  <c r="CS45" i="7"/>
  <c r="CT45" i="7"/>
  <c r="CU45" i="7"/>
  <c r="CV45" i="7"/>
  <c r="CW45" i="7"/>
  <c r="CX45" i="7"/>
  <c r="CY45" i="7"/>
  <c r="DA45" i="7"/>
  <c r="DC45" i="7"/>
  <c r="DD45"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AG46" i="7"/>
  <c r="AH46" i="7"/>
  <c r="AI46" i="7"/>
  <c r="AJ46" i="7"/>
  <c r="AK46" i="7"/>
  <c r="AL46" i="7"/>
  <c r="AM46" i="7"/>
  <c r="AN46" i="7"/>
  <c r="AO46" i="7"/>
  <c r="AP46" i="7"/>
  <c r="AQ46" i="7"/>
  <c r="AR46" i="7"/>
  <c r="AS46" i="7"/>
  <c r="AT46" i="7"/>
  <c r="AU46" i="7"/>
  <c r="AV46" i="7"/>
  <c r="AW46" i="7"/>
  <c r="AX46" i="7"/>
  <c r="AY46" i="7"/>
  <c r="AZ46" i="7"/>
  <c r="BA46" i="7"/>
  <c r="BB46" i="7"/>
  <c r="BC46" i="7"/>
  <c r="BD46" i="7"/>
  <c r="BE46" i="7"/>
  <c r="BF46" i="7"/>
  <c r="BG46" i="7"/>
  <c r="BH46" i="7"/>
  <c r="BI46" i="7"/>
  <c r="BJ46" i="7"/>
  <c r="BK46" i="7"/>
  <c r="BL46" i="7"/>
  <c r="BM46" i="7"/>
  <c r="BN46" i="7"/>
  <c r="BO46" i="7"/>
  <c r="BP46" i="7"/>
  <c r="BQ46" i="7"/>
  <c r="BR46" i="7"/>
  <c r="BS46" i="7"/>
  <c r="BT46" i="7"/>
  <c r="BU46" i="7"/>
  <c r="BV46" i="7"/>
  <c r="BW46" i="7"/>
  <c r="BX46" i="7"/>
  <c r="BY46" i="7"/>
  <c r="BZ46" i="7"/>
  <c r="CB46" i="7"/>
  <c r="CC46" i="7"/>
  <c r="CD46" i="7"/>
  <c r="CE46" i="7"/>
  <c r="CF46" i="7"/>
  <c r="CG46" i="7"/>
  <c r="CH46" i="7"/>
  <c r="CI46" i="7"/>
  <c r="CJ46" i="7"/>
  <c r="CK46" i="7"/>
  <c r="CL46" i="7"/>
  <c r="CM46" i="7"/>
  <c r="CN46" i="7"/>
  <c r="CO46" i="7"/>
  <c r="CP46" i="7"/>
  <c r="CQ46" i="7"/>
  <c r="CR46" i="7"/>
  <c r="CS46" i="7"/>
  <c r="CT46" i="7"/>
  <c r="CU46" i="7"/>
  <c r="CV46" i="7"/>
  <c r="CW46" i="7"/>
  <c r="CX46" i="7"/>
  <c r="CY46" i="7"/>
  <c r="DA46" i="7"/>
  <c r="DC46" i="7"/>
  <c r="DD46" i="7"/>
  <c r="DH46" i="7"/>
  <c r="DL46"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AG47" i="7"/>
  <c r="AH47" i="7"/>
  <c r="AI47" i="7"/>
  <c r="AJ47" i="7"/>
  <c r="AK47" i="7"/>
  <c r="AL47" i="7"/>
  <c r="AM47" i="7"/>
  <c r="AN47" i="7"/>
  <c r="AO47" i="7"/>
  <c r="AP47" i="7"/>
  <c r="AQ47" i="7"/>
  <c r="AR47" i="7"/>
  <c r="AS47" i="7"/>
  <c r="AT47" i="7"/>
  <c r="AU47" i="7"/>
  <c r="AV47" i="7"/>
  <c r="AW47" i="7"/>
  <c r="AX47" i="7"/>
  <c r="AY47" i="7"/>
  <c r="AZ47" i="7"/>
  <c r="BA47" i="7"/>
  <c r="BB47" i="7"/>
  <c r="BC47" i="7"/>
  <c r="BD47" i="7"/>
  <c r="BE47" i="7"/>
  <c r="BF47" i="7"/>
  <c r="BG47" i="7"/>
  <c r="BH47" i="7"/>
  <c r="BI47" i="7"/>
  <c r="BJ47" i="7"/>
  <c r="BK47" i="7"/>
  <c r="BL47" i="7"/>
  <c r="BM47" i="7"/>
  <c r="BN47" i="7"/>
  <c r="BO47" i="7"/>
  <c r="BP47" i="7"/>
  <c r="BQ47" i="7"/>
  <c r="BR47" i="7"/>
  <c r="BS47" i="7"/>
  <c r="BT47" i="7"/>
  <c r="BU47" i="7"/>
  <c r="BV47" i="7"/>
  <c r="BW47" i="7"/>
  <c r="BX47" i="7"/>
  <c r="BY47" i="7"/>
  <c r="BZ47" i="7"/>
  <c r="CB47" i="7"/>
  <c r="CC47" i="7"/>
  <c r="CD47" i="7"/>
  <c r="CE47" i="7"/>
  <c r="CF47" i="7"/>
  <c r="CG47" i="7"/>
  <c r="CH47" i="7"/>
  <c r="CI47" i="7"/>
  <c r="CJ47" i="7"/>
  <c r="CK47" i="7"/>
  <c r="CL47" i="7"/>
  <c r="CM47" i="7"/>
  <c r="CN47" i="7"/>
  <c r="CO47" i="7"/>
  <c r="CP47" i="7"/>
  <c r="CQ47" i="7"/>
  <c r="CR47" i="7"/>
  <c r="CS47" i="7"/>
  <c r="CT47" i="7"/>
  <c r="CU47" i="7"/>
  <c r="CV47" i="7"/>
  <c r="CW47" i="7"/>
  <c r="CX47" i="7"/>
  <c r="CY47" i="7"/>
  <c r="DA47" i="7"/>
  <c r="DC47" i="7"/>
  <c r="DD47" i="7"/>
  <c r="DH47" i="7"/>
  <c r="DL47"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AG48" i="7"/>
  <c r="AH48" i="7"/>
  <c r="AI48" i="7"/>
  <c r="AJ48" i="7"/>
  <c r="AK48" i="7"/>
  <c r="AL48" i="7"/>
  <c r="AM48" i="7"/>
  <c r="AN48" i="7"/>
  <c r="AO48" i="7"/>
  <c r="AP48" i="7"/>
  <c r="AQ48" i="7"/>
  <c r="AR48" i="7"/>
  <c r="AS48" i="7"/>
  <c r="AT48" i="7"/>
  <c r="AU48" i="7"/>
  <c r="AV48" i="7"/>
  <c r="AW48" i="7"/>
  <c r="AX48" i="7"/>
  <c r="AY48" i="7"/>
  <c r="AZ48" i="7"/>
  <c r="BA48" i="7"/>
  <c r="BB48" i="7"/>
  <c r="BC48" i="7"/>
  <c r="BD48" i="7"/>
  <c r="BE48" i="7"/>
  <c r="BF48" i="7"/>
  <c r="BG48" i="7"/>
  <c r="BH48" i="7"/>
  <c r="BI48" i="7"/>
  <c r="BJ48" i="7"/>
  <c r="BK48" i="7"/>
  <c r="BL48" i="7"/>
  <c r="BM48" i="7"/>
  <c r="BN48" i="7"/>
  <c r="BO48" i="7"/>
  <c r="BP48" i="7"/>
  <c r="BQ48" i="7"/>
  <c r="BR48" i="7"/>
  <c r="BS48" i="7"/>
  <c r="BT48" i="7"/>
  <c r="BU48" i="7"/>
  <c r="BV48" i="7"/>
  <c r="BW48" i="7"/>
  <c r="BX48" i="7"/>
  <c r="BY48" i="7"/>
  <c r="BZ48" i="7"/>
  <c r="CB48" i="7"/>
  <c r="CC48" i="7"/>
  <c r="CD48" i="7"/>
  <c r="CE48" i="7"/>
  <c r="CF48" i="7"/>
  <c r="CG48" i="7"/>
  <c r="CH48" i="7"/>
  <c r="CI48" i="7"/>
  <c r="CJ48" i="7"/>
  <c r="CK48" i="7"/>
  <c r="CL48" i="7"/>
  <c r="CM48" i="7"/>
  <c r="CN48" i="7"/>
  <c r="CO48" i="7"/>
  <c r="CP48" i="7"/>
  <c r="CQ48" i="7"/>
  <c r="CR48" i="7"/>
  <c r="CS48" i="7"/>
  <c r="CT48" i="7"/>
  <c r="CU48" i="7"/>
  <c r="CV48" i="7"/>
  <c r="CW48" i="7"/>
  <c r="CX48" i="7"/>
  <c r="CY48" i="7"/>
  <c r="DA48" i="7"/>
  <c r="DC48" i="7"/>
  <c r="DD48" i="7"/>
  <c r="DH48" i="7"/>
  <c r="DI48" i="7"/>
  <c r="DL48" i="7"/>
  <c r="DL49"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AG50" i="7"/>
  <c r="AH50" i="7"/>
  <c r="AI50" i="7"/>
  <c r="AJ50" i="7"/>
  <c r="AK50" i="7"/>
  <c r="AL50" i="7"/>
  <c r="AM50" i="7"/>
  <c r="AN50" i="7"/>
  <c r="AO50" i="7"/>
  <c r="AP50" i="7"/>
  <c r="AQ50" i="7"/>
  <c r="AR50" i="7"/>
  <c r="AS50" i="7"/>
  <c r="AT50" i="7"/>
  <c r="AU50" i="7"/>
  <c r="AV50" i="7"/>
  <c r="AW50" i="7"/>
  <c r="AX50" i="7"/>
  <c r="AY50" i="7"/>
  <c r="AZ50" i="7"/>
  <c r="BA50" i="7"/>
  <c r="BB50" i="7"/>
  <c r="BC50" i="7"/>
  <c r="BD50" i="7"/>
  <c r="BE50" i="7"/>
  <c r="BF50" i="7"/>
  <c r="BG50" i="7"/>
  <c r="BH50" i="7"/>
  <c r="BI50" i="7"/>
  <c r="BJ50" i="7"/>
  <c r="BK50" i="7"/>
  <c r="BL50" i="7"/>
  <c r="BM50" i="7"/>
  <c r="BN50" i="7"/>
  <c r="BO50" i="7"/>
  <c r="BP50" i="7"/>
  <c r="BQ50" i="7"/>
  <c r="BR50" i="7"/>
  <c r="BS50" i="7"/>
  <c r="BT50" i="7"/>
  <c r="BU50" i="7"/>
  <c r="BV50" i="7"/>
  <c r="BW50" i="7"/>
  <c r="BX50" i="7"/>
  <c r="BY50" i="7"/>
  <c r="BZ50" i="7"/>
  <c r="CB50" i="7"/>
  <c r="CC50" i="7"/>
  <c r="CD50" i="7"/>
  <c r="CE50" i="7"/>
  <c r="CF50" i="7"/>
  <c r="CG50" i="7"/>
  <c r="CH50" i="7"/>
  <c r="CI50" i="7"/>
  <c r="CJ50" i="7"/>
  <c r="CK50" i="7"/>
  <c r="CL50" i="7"/>
  <c r="CM50" i="7"/>
  <c r="CN50" i="7"/>
  <c r="CO50" i="7"/>
  <c r="CP50" i="7"/>
  <c r="CQ50" i="7"/>
  <c r="CR50" i="7"/>
  <c r="CS50" i="7"/>
  <c r="CT50" i="7"/>
  <c r="CU50" i="7"/>
  <c r="CV50" i="7"/>
  <c r="CW50" i="7"/>
  <c r="CX50" i="7"/>
  <c r="CY50" i="7"/>
  <c r="DA50" i="7"/>
  <c r="DC50" i="7"/>
  <c r="DD50" i="7"/>
  <c r="DH50" i="7"/>
  <c r="DL50"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AG51" i="7"/>
  <c r="AH51" i="7"/>
  <c r="AI51" i="7"/>
  <c r="AJ51" i="7"/>
  <c r="AK51" i="7"/>
  <c r="AL51" i="7"/>
  <c r="AM51" i="7"/>
  <c r="AN51" i="7"/>
  <c r="AO51" i="7"/>
  <c r="AP51" i="7"/>
  <c r="AQ51" i="7"/>
  <c r="AR51" i="7"/>
  <c r="AS51" i="7"/>
  <c r="AT51" i="7"/>
  <c r="AU51" i="7"/>
  <c r="AV51" i="7"/>
  <c r="AW51" i="7"/>
  <c r="AX51" i="7"/>
  <c r="AY51" i="7"/>
  <c r="AZ51" i="7"/>
  <c r="BA51" i="7"/>
  <c r="BB51" i="7"/>
  <c r="BC51" i="7"/>
  <c r="BD51" i="7"/>
  <c r="BE51" i="7"/>
  <c r="BF51" i="7"/>
  <c r="BG51" i="7"/>
  <c r="BH51" i="7"/>
  <c r="BI51" i="7"/>
  <c r="BJ51" i="7"/>
  <c r="BK51" i="7"/>
  <c r="BL51" i="7"/>
  <c r="BM51" i="7"/>
  <c r="BN51" i="7"/>
  <c r="BO51" i="7"/>
  <c r="BP51" i="7"/>
  <c r="BQ51" i="7"/>
  <c r="BR51" i="7"/>
  <c r="BS51" i="7"/>
  <c r="BT51" i="7"/>
  <c r="BU51" i="7"/>
  <c r="BV51" i="7"/>
  <c r="BW51" i="7"/>
  <c r="BX51" i="7"/>
  <c r="BY51" i="7"/>
  <c r="BZ51" i="7"/>
  <c r="CB51" i="7"/>
  <c r="CC51" i="7"/>
  <c r="CD51" i="7"/>
  <c r="CE51" i="7"/>
  <c r="CF51" i="7"/>
  <c r="CG51" i="7"/>
  <c r="CH51" i="7"/>
  <c r="CI51" i="7"/>
  <c r="CJ51" i="7"/>
  <c r="CK51" i="7"/>
  <c r="CL51" i="7"/>
  <c r="CM51" i="7"/>
  <c r="CN51" i="7"/>
  <c r="CO51" i="7"/>
  <c r="CP51" i="7"/>
  <c r="CQ51" i="7"/>
  <c r="CR51" i="7"/>
  <c r="CS51" i="7"/>
  <c r="CT51" i="7"/>
  <c r="CU51" i="7"/>
  <c r="CV51" i="7"/>
  <c r="CW51" i="7"/>
  <c r="CX51" i="7"/>
  <c r="CY51" i="7"/>
  <c r="DA51" i="7"/>
  <c r="DC51" i="7"/>
  <c r="DD51" i="7"/>
  <c r="DH51" i="7"/>
  <c r="DL51"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AG52" i="7"/>
  <c r="AH52" i="7"/>
  <c r="AI52" i="7"/>
  <c r="AJ52" i="7"/>
  <c r="AK52" i="7"/>
  <c r="AL52" i="7"/>
  <c r="AM52" i="7"/>
  <c r="AN52" i="7"/>
  <c r="AO52" i="7"/>
  <c r="AP52" i="7"/>
  <c r="AQ52" i="7"/>
  <c r="AR52" i="7"/>
  <c r="AS52" i="7"/>
  <c r="AT52" i="7"/>
  <c r="AU52" i="7"/>
  <c r="AV52" i="7"/>
  <c r="AW52" i="7"/>
  <c r="AX52" i="7"/>
  <c r="AY52" i="7"/>
  <c r="AZ52" i="7"/>
  <c r="BA52" i="7"/>
  <c r="BB52" i="7"/>
  <c r="BC52" i="7"/>
  <c r="BD52" i="7"/>
  <c r="BE52" i="7"/>
  <c r="BF52" i="7"/>
  <c r="BG52" i="7"/>
  <c r="BH52" i="7"/>
  <c r="BI52" i="7"/>
  <c r="BJ52" i="7"/>
  <c r="BK52" i="7"/>
  <c r="BL52" i="7"/>
  <c r="BM52" i="7"/>
  <c r="BN52" i="7"/>
  <c r="BO52" i="7"/>
  <c r="BP52" i="7"/>
  <c r="BQ52" i="7"/>
  <c r="BR52" i="7"/>
  <c r="BS52" i="7"/>
  <c r="BT52" i="7"/>
  <c r="BU52" i="7"/>
  <c r="BV52" i="7"/>
  <c r="BW52" i="7"/>
  <c r="BX52" i="7"/>
  <c r="BY52" i="7"/>
  <c r="BZ52" i="7"/>
  <c r="CB52" i="7"/>
  <c r="CC52" i="7"/>
  <c r="CD52" i="7"/>
  <c r="CE52" i="7"/>
  <c r="CF52" i="7"/>
  <c r="CG52" i="7"/>
  <c r="CH52" i="7"/>
  <c r="CI52" i="7"/>
  <c r="CJ52" i="7"/>
  <c r="CK52" i="7"/>
  <c r="CL52" i="7"/>
  <c r="CM52" i="7"/>
  <c r="CN52" i="7"/>
  <c r="CO52" i="7"/>
  <c r="CP52" i="7"/>
  <c r="CQ52" i="7"/>
  <c r="CR52" i="7"/>
  <c r="CS52" i="7"/>
  <c r="CT52" i="7"/>
  <c r="CU52" i="7"/>
  <c r="CV52" i="7"/>
  <c r="CW52" i="7"/>
  <c r="CX52" i="7"/>
  <c r="CY52" i="7"/>
  <c r="DA52" i="7"/>
  <c r="DC52" i="7"/>
  <c r="DD52" i="7"/>
  <c r="DH52" i="7"/>
  <c r="DL52"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AG53" i="7"/>
  <c r="AH53" i="7"/>
  <c r="AI53" i="7"/>
  <c r="AJ53" i="7"/>
  <c r="AK53" i="7"/>
  <c r="AL53" i="7"/>
  <c r="AM53" i="7"/>
  <c r="AN53" i="7"/>
  <c r="AO53" i="7"/>
  <c r="AP53" i="7"/>
  <c r="AQ53" i="7"/>
  <c r="AR53" i="7"/>
  <c r="AS53" i="7"/>
  <c r="AT53" i="7"/>
  <c r="AU53" i="7"/>
  <c r="AV53" i="7"/>
  <c r="AW53" i="7"/>
  <c r="AX53" i="7"/>
  <c r="AY53" i="7"/>
  <c r="AZ53" i="7"/>
  <c r="BA53" i="7"/>
  <c r="BB53" i="7"/>
  <c r="BC53" i="7"/>
  <c r="BD53" i="7"/>
  <c r="BE53" i="7"/>
  <c r="BF53" i="7"/>
  <c r="BG53" i="7"/>
  <c r="BH53" i="7"/>
  <c r="BI53" i="7"/>
  <c r="BJ53" i="7"/>
  <c r="BK53" i="7"/>
  <c r="BL53" i="7"/>
  <c r="BM53" i="7"/>
  <c r="BN53" i="7"/>
  <c r="BO53" i="7"/>
  <c r="BP53" i="7"/>
  <c r="BQ53" i="7"/>
  <c r="BR53" i="7"/>
  <c r="BS53" i="7"/>
  <c r="BT53" i="7"/>
  <c r="BU53" i="7"/>
  <c r="BV53" i="7"/>
  <c r="BW53" i="7"/>
  <c r="BX53" i="7"/>
  <c r="BY53" i="7"/>
  <c r="BZ53" i="7"/>
  <c r="CB53" i="7"/>
  <c r="CC53" i="7"/>
  <c r="CD53" i="7"/>
  <c r="CE53" i="7"/>
  <c r="CF53" i="7"/>
  <c r="CG53" i="7"/>
  <c r="CH53" i="7"/>
  <c r="CI53" i="7"/>
  <c r="CJ53" i="7"/>
  <c r="CK53" i="7"/>
  <c r="CL53" i="7"/>
  <c r="CM53" i="7"/>
  <c r="CN53" i="7"/>
  <c r="CO53" i="7"/>
  <c r="CP53" i="7"/>
  <c r="CQ53" i="7"/>
  <c r="CR53" i="7"/>
  <c r="CS53" i="7"/>
  <c r="CT53" i="7"/>
  <c r="CU53" i="7"/>
  <c r="CV53" i="7"/>
  <c r="CW53" i="7"/>
  <c r="CX53" i="7"/>
  <c r="CY53" i="7"/>
  <c r="DA53" i="7"/>
  <c r="DC53" i="7"/>
  <c r="DD53" i="7"/>
  <c r="DH53" i="7"/>
  <c r="DL53" i="7"/>
  <c r="DB54" i="7"/>
  <c r="DH54" i="7"/>
  <c r="DL54"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AG55" i="7"/>
  <c r="AH55" i="7"/>
  <c r="AI55" i="7"/>
  <c r="AJ55" i="7"/>
  <c r="AK55" i="7"/>
  <c r="AL55" i="7"/>
  <c r="AM55" i="7"/>
  <c r="AN55" i="7"/>
  <c r="AO55" i="7"/>
  <c r="AP55" i="7"/>
  <c r="AQ55" i="7"/>
  <c r="AR55" i="7"/>
  <c r="AS55" i="7"/>
  <c r="AT55" i="7"/>
  <c r="AU55" i="7"/>
  <c r="AV55" i="7"/>
  <c r="AW55" i="7"/>
  <c r="AX55" i="7"/>
  <c r="AY55" i="7"/>
  <c r="AZ55" i="7"/>
  <c r="BA55" i="7"/>
  <c r="BB55" i="7"/>
  <c r="BC55" i="7"/>
  <c r="BD55" i="7"/>
  <c r="BE55" i="7"/>
  <c r="BF55" i="7"/>
  <c r="BG55" i="7"/>
  <c r="BH55" i="7"/>
  <c r="BI55" i="7"/>
  <c r="BJ55" i="7"/>
  <c r="BK55" i="7"/>
  <c r="BL55" i="7"/>
  <c r="BM55" i="7"/>
  <c r="BN55" i="7"/>
  <c r="BO55" i="7"/>
  <c r="BP55" i="7"/>
  <c r="BQ55" i="7"/>
  <c r="BR55" i="7"/>
  <c r="BS55" i="7"/>
  <c r="BT55" i="7"/>
  <c r="BU55" i="7"/>
  <c r="BV55" i="7"/>
  <c r="BW55" i="7"/>
  <c r="BX55" i="7"/>
  <c r="BY55" i="7"/>
  <c r="BZ55" i="7"/>
  <c r="CB55" i="7"/>
  <c r="CC55" i="7"/>
  <c r="CD55" i="7"/>
  <c r="CE55" i="7"/>
  <c r="CF55" i="7"/>
  <c r="CG55" i="7"/>
  <c r="CH55" i="7"/>
  <c r="CI55" i="7"/>
  <c r="CJ55" i="7"/>
  <c r="CK55" i="7"/>
  <c r="CL55" i="7"/>
  <c r="CM55" i="7"/>
  <c r="CN55" i="7"/>
  <c r="CO55" i="7"/>
  <c r="CP55" i="7"/>
  <c r="CQ55" i="7"/>
  <c r="CR55" i="7"/>
  <c r="CS55" i="7"/>
  <c r="CT55" i="7"/>
  <c r="CU55" i="7"/>
  <c r="CV55" i="7"/>
  <c r="CW55" i="7"/>
  <c r="CX55" i="7"/>
  <c r="CY55" i="7"/>
  <c r="DA55" i="7"/>
  <c r="DB55" i="7"/>
  <c r="DC55" i="7"/>
  <c r="DD55" i="7"/>
  <c r="DH55" i="7"/>
  <c r="DI55" i="7"/>
  <c r="DL55"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AG56" i="7"/>
  <c r="AH56" i="7"/>
  <c r="AI56" i="7"/>
  <c r="AJ56" i="7"/>
  <c r="AK56" i="7"/>
  <c r="AL56" i="7"/>
  <c r="AM56" i="7"/>
  <c r="AN56" i="7"/>
  <c r="AO56" i="7"/>
  <c r="AP56" i="7"/>
  <c r="AQ56" i="7"/>
  <c r="AR56" i="7"/>
  <c r="AS56" i="7"/>
  <c r="AT56" i="7"/>
  <c r="AU56" i="7"/>
  <c r="AV56" i="7"/>
  <c r="AW56" i="7"/>
  <c r="AX56" i="7"/>
  <c r="AY56" i="7"/>
  <c r="AZ56" i="7"/>
  <c r="BA56" i="7"/>
  <c r="BB56" i="7"/>
  <c r="BC56" i="7"/>
  <c r="BD56" i="7"/>
  <c r="BE56" i="7"/>
  <c r="BF56" i="7"/>
  <c r="BG56" i="7"/>
  <c r="BH56" i="7"/>
  <c r="BI56" i="7"/>
  <c r="BJ56" i="7"/>
  <c r="BK56" i="7"/>
  <c r="BL56" i="7"/>
  <c r="BM56" i="7"/>
  <c r="BN56" i="7"/>
  <c r="BO56" i="7"/>
  <c r="BP56" i="7"/>
  <c r="BQ56" i="7"/>
  <c r="BR56" i="7"/>
  <c r="BS56" i="7"/>
  <c r="BT56" i="7"/>
  <c r="BU56" i="7"/>
  <c r="BV56" i="7"/>
  <c r="BW56" i="7"/>
  <c r="BX56" i="7"/>
  <c r="BY56" i="7"/>
  <c r="BZ56" i="7"/>
  <c r="CB56" i="7"/>
  <c r="CC56" i="7"/>
  <c r="CD56" i="7"/>
  <c r="CE56" i="7"/>
  <c r="CF56" i="7"/>
  <c r="CG56" i="7"/>
  <c r="CH56" i="7"/>
  <c r="CI56" i="7"/>
  <c r="CJ56" i="7"/>
  <c r="CK56" i="7"/>
  <c r="CL56" i="7"/>
  <c r="CM56" i="7"/>
  <c r="CN56" i="7"/>
  <c r="CO56" i="7"/>
  <c r="CP56" i="7"/>
  <c r="CQ56" i="7"/>
  <c r="CR56" i="7"/>
  <c r="CS56" i="7"/>
  <c r="CT56" i="7"/>
  <c r="CU56" i="7"/>
  <c r="CV56" i="7"/>
  <c r="CW56" i="7"/>
  <c r="CX56" i="7"/>
  <c r="CY56" i="7"/>
  <c r="DA56" i="7"/>
  <c r="DB56" i="7"/>
  <c r="DC56" i="7"/>
  <c r="DD56"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AG57" i="7"/>
  <c r="AH57" i="7"/>
  <c r="AI57" i="7"/>
  <c r="AJ57" i="7"/>
  <c r="AK57" i="7"/>
  <c r="AL57" i="7"/>
  <c r="AM57" i="7"/>
  <c r="AN57" i="7"/>
  <c r="AO57" i="7"/>
  <c r="AP57" i="7"/>
  <c r="AQ57" i="7"/>
  <c r="AR57" i="7"/>
  <c r="AS57" i="7"/>
  <c r="AT57" i="7"/>
  <c r="AU57" i="7"/>
  <c r="AV57" i="7"/>
  <c r="AW57" i="7"/>
  <c r="AX57" i="7"/>
  <c r="AY57" i="7"/>
  <c r="AZ57" i="7"/>
  <c r="BA57" i="7"/>
  <c r="BB57" i="7"/>
  <c r="BC57" i="7"/>
  <c r="BD57" i="7"/>
  <c r="BE57" i="7"/>
  <c r="BF57" i="7"/>
  <c r="BG57" i="7"/>
  <c r="BH57" i="7"/>
  <c r="BI57" i="7"/>
  <c r="BJ57" i="7"/>
  <c r="BK57" i="7"/>
  <c r="BL57" i="7"/>
  <c r="BM57" i="7"/>
  <c r="BN57" i="7"/>
  <c r="BO57" i="7"/>
  <c r="BP57" i="7"/>
  <c r="BQ57" i="7"/>
  <c r="BR57" i="7"/>
  <c r="BS57" i="7"/>
  <c r="BT57" i="7"/>
  <c r="BU57" i="7"/>
  <c r="BV57" i="7"/>
  <c r="BW57" i="7"/>
  <c r="BX57" i="7"/>
  <c r="BY57" i="7"/>
  <c r="BZ57" i="7"/>
  <c r="CB57" i="7"/>
  <c r="CC57" i="7"/>
  <c r="CD57" i="7"/>
  <c r="CE57" i="7"/>
  <c r="CF57" i="7"/>
  <c r="CG57" i="7"/>
  <c r="CH57" i="7"/>
  <c r="CI57" i="7"/>
  <c r="CJ57" i="7"/>
  <c r="CK57" i="7"/>
  <c r="CL57" i="7"/>
  <c r="CM57" i="7"/>
  <c r="CN57" i="7"/>
  <c r="CO57" i="7"/>
  <c r="CP57" i="7"/>
  <c r="CQ57" i="7"/>
  <c r="CR57" i="7"/>
  <c r="CS57" i="7"/>
  <c r="CT57" i="7"/>
  <c r="CU57" i="7"/>
  <c r="CV57" i="7"/>
  <c r="CW57" i="7"/>
  <c r="CX57" i="7"/>
  <c r="CY57" i="7"/>
  <c r="DA57" i="7"/>
  <c r="DB57" i="7"/>
  <c r="DC57" i="7"/>
  <c r="DD57" i="7"/>
  <c r="DB58"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AG59" i="7"/>
  <c r="AH59" i="7"/>
  <c r="AI59" i="7"/>
  <c r="AJ59" i="7"/>
  <c r="AK59" i="7"/>
  <c r="AL59" i="7"/>
  <c r="AM59" i="7"/>
  <c r="AN59" i="7"/>
  <c r="AO59" i="7"/>
  <c r="AP59" i="7"/>
  <c r="AQ59" i="7"/>
  <c r="AR59" i="7"/>
  <c r="AS59" i="7"/>
  <c r="AT59" i="7"/>
  <c r="AU59" i="7"/>
  <c r="AV59" i="7"/>
  <c r="AW59" i="7"/>
  <c r="AX59" i="7"/>
  <c r="AY59" i="7"/>
  <c r="AZ59" i="7"/>
  <c r="BA59" i="7"/>
  <c r="BB59" i="7"/>
  <c r="BC59" i="7"/>
  <c r="BD59" i="7"/>
  <c r="BE59" i="7"/>
  <c r="BF59" i="7"/>
  <c r="BG59" i="7"/>
  <c r="BH59" i="7"/>
  <c r="BI59" i="7"/>
  <c r="BJ59" i="7"/>
  <c r="BK59" i="7"/>
  <c r="BL59" i="7"/>
  <c r="BM59" i="7"/>
  <c r="BN59" i="7"/>
  <c r="BO59" i="7"/>
  <c r="BP59" i="7"/>
  <c r="BQ59" i="7"/>
  <c r="BR59" i="7"/>
  <c r="BS59" i="7"/>
  <c r="BT59" i="7"/>
  <c r="BU59" i="7"/>
  <c r="BV59" i="7"/>
  <c r="BW59" i="7"/>
  <c r="BX59" i="7"/>
  <c r="BY59" i="7"/>
  <c r="BZ59" i="7"/>
  <c r="CB59" i="7"/>
  <c r="CC59" i="7"/>
  <c r="CD59" i="7"/>
  <c r="CE59" i="7"/>
  <c r="CF59" i="7"/>
  <c r="CG59" i="7"/>
  <c r="CH59" i="7"/>
  <c r="CI59" i="7"/>
  <c r="CJ59" i="7"/>
  <c r="CK59" i="7"/>
  <c r="CL59" i="7"/>
  <c r="CM59" i="7"/>
  <c r="CN59" i="7"/>
  <c r="CO59" i="7"/>
  <c r="CP59" i="7"/>
  <c r="CQ59" i="7"/>
  <c r="CR59" i="7"/>
  <c r="CS59" i="7"/>
  <c r="CT59" i="7"/>
  <c r="CU59" i="7"/>
  <c r="CV59" i="7"/>
  <c r="CW59" i="7"/>
  <c r="CX59" i="7"/>
  <c r="CY59" i="7"/>
  <c r="DA59" i="7"/>
  <c r="DB59" i="7"/>
  <c r="DC59" i="7"/>
  <c r="DD59" i="7"/>
  <c r="DB60" i="7"/>
  <c r="DC60" i="7"/>
  <c r="DB61" i="7"/>
  <c r="D63" i="7"/>
  <c r="E63" i="7"/>
  <c r="F63" i="7"/>
  <c r="G63" i="7"/>
  <c r="H63" i="7"/>
  <c r="I63" i="7"/>
  <c r="J63" i="7"/>
  <c r="K63" i="7"/>
  <c r="L63" i="7"/>
  <c r="M63" i="7"/>
  <c r="N63" i="7"/>
  <c r="O63" i="7"/>
  <c r="P63" i="7"/>
  <c r="Q63" i="7"/>
  <c r="R63" i="7"/>
  <c r="S63" i="7"/>
  <c r="T63" i="7"/>
  <c r="U63" i="7"/>
  <c r="V63" i="7"/>
  <c r="W63" i="7"/>
  <c r="X63" i="7"/>
  <c r="Y63" i="7"/>
  <c r="Z63" i="7"/>
  <c r="AA63" i="7"/>
  <c r="AB63" i="7"/>
  <c r="AC63" i="7"/>
  <c r="AD63" i="7"/>
  <c r="AE63" i="7"/>
  <c r="AF63" i="7"/>
  <c r="AG63" i="7"/>
  <c r="AH63" i="7"/>
  <c r="AI63" i="7"/>
  <c r="AJ63" i="7"/>
  <c r="AK63" i="7"/>
  <c r="AL63" i="7"/>
  <c r="AM63" i="7"/>
  <c r="AN63" i="7"/>
  <c r="AO63" i="7"/>
  <c r="AP63" i="7"/>
  <c r="AQ63" i="7"/>
  <c r="AR63" i="7"/>
  <c r="AS63" i="7"/>
  <c r="AT63" i="7"/>
  <c r="AU63" i="7"/>
  <c r="AV63" i="7"/>
  <c r="AW63" i="7"/>
  <c r="AX63" i="7"/>
  <c r="AY63" i="7"/>
  <c r="AZ63" i="7"/>
  <c r="BA63" i="7"/>
  <c r="BB63" i="7"/>
  <c r="BC63" i="7"/>
  <c r="BD63" i="7"/>
  <c r="BE63" i="7"/>
  <c r="BF63" i="7"/>
  <c r="BG63" i="7"/>
  <c r="BH63" i="7"/>
  <c r="BI63" i="7"/>
  <c r="BJ63" i="7"/>
  <c r="BK63" i="7"/>
  <c r="BL63" i="7"/>
  <c r="BM63" i="7"/>
  <c r="BN63" i="7"/>
  <c r="BO63" i="7"/>
  <c r="BP63" i="7"/>
  <c r="BQ63" i="7"/>
  <c r="BR63" i="7"/>
  <c r="BS63" i="7"/>
  <c r="BT63" i="7"/>
  <c r="BU63" i="7"/>
  <c r="BV63" i="7"/>
  <c r="BW63" i="7"/>
  <c r="BX63" i="7"/>
  <c r="BY63" i="7"/>
  <c r="BZ63" i="7"/>
  <c r="CB63" i="7"/>
  <c r="CC63" i="7"/>
  <c r="CD63" i="7"/>
  <c r="CE63" i="7"/>
  <c r="CF63" i="7"/>
  <c r="CG63" i="7"/>
  <c r="CH63" i="7"/>
  <c r="CI63" i="7"/>
  <c r="CJ63" i="7"/>
  <c r="CK63" i="7"/>
  <c r="CL63" i="7"/>
  <c r="CM63" i="7"/>
  <c r="CN63" i="7"/>
  <c r="CO63" i="7"/>
  <c r="CP63" i="7"/>
  <c r="CQ63" i="7"/>
  <c r="CR63" i="7"/>
  <c r="CS63" i="7"/>
  <c r="CT63" i="7"/>
  <c r="CU63" i="7"/>
  <c r="CV63" i="7"/>
  <c r="CW63" i="7"/>
  <c r="CX63" i="7"/>
  <c r="CY63" i="7"/>
  <c r="DA63" i="7"/>
  <c r="DC63" i="7"/>
  <c r="DD63" i="7"/>
  <c r="D65" i="7"/>
  <c r="E65" i="7"/>
  <c r="F65" i="7"/>
  <c r="G65" i="7"/>
  <c r="H65" i="7"/>
  <c r="I65" i="7"/>
  <c r="J65" i="7"/>
  <c r="K65" i="7"/>
  <c r="L65" i="7"/>
  <c r="M65" i="7"/>
  <c r="N65" i="7"/>
  <c r="O65" i="7"/>
  <c r="P65" i="7"/>
  <c r="Q65" i="7"/>
  <c r="R65" i="7"/>
  <c r="S65" i="7"/>
  <c r="T65" i="7"/>
  <c r="U65" i="7"/>
  <c r="V65" i="7"/>
  <c r="W65" i="7"/>
  <c r="X65" i="7"/>
  <c r="Y65" i="7"/>
  <c r="Z65" i="7"/>
  <c r="AA65" i="7"/>
  <c r="AB65" i="7"/>
  <c r="AC65" i="7"/>
  <c r="AD65" i="7"/>
  <c r="AE65" i="7"/>
  <c r="AF65" i="7"/>
  <c r="AG65" i="7"/>
  <c r="AH65" i="7"/>
  <c r="AI65" i="7"/>
  <c r="AJ65" i="7"/>
  <c r="AK65" i="7"/>
  <c r="AL65" i="7"/>
  <c r="AM65" i="7"/>
  <c r="AN65" i="7"/>
  <c r="AO65" i="7"/>
  <c r="AP65" i="7"/>
  <c r="AQ65" i="7"/>
  <c r="AR65" i="7"/>
  <c r="AS65" i="7"/>
  <c r="AT65" i="7"/>
  <c r="AU65" i="7"/>
  <c r="AV65" i="7"/>
  <c r="AW65" i="7"/>
  <c r="AX65" i="7"/>
  <c r="AY65" i="7"/>
  <c r="AZ65" i="7"/>
  <c r="BA65" i="7"/>
  <c r="BB65" i="7"/>
  <c r="BC65" i="7"/>
  <c r="BD65" i="7"/>
  <c r="BE65" i="7"/>
  <c r="BF65" i="7"/>
  <c r="BG65" i="7"/>
  <c r="BH65" i="7"/>
  <c r="BI65" i="7"/>
  <c r="BJ65" i="7"/>
  <c r="BK65" i="7"/>
  <c r="BL65" i="7"/>
  <c r="BM65" i="7"/>
  <c r="BN65" i="7"/>
  <c r="BO65" i="7"/>
  <c r="BP65" i="7"/>
  <c r="BQ65" i="7"/>
  <c r="BR65" i="7"/>
  <c r="BS65" i="7"/>
  <c r="BT65" i="7"/>
  <c r="BU65" i="7"/>
  <c r="BV65" i="7"/>
  <c r="BW65" i="7"/>
  <c r="BX65" i="7"/>
  <c r="BY65" i="7"/>
  <c r="BZ65" i="7"/>
  <c r="CB65" i="7"/>
  <c r="CC65" i="7"/>
  <c r="CD65" i="7"/>
  <c r="CE65" i="7"/>
  <c r="CF65" i="7"/>
  <c r="CG65" i="7"/>
  <c r="CH65" i="7"/>
  <c r="CI65" i="7"/>
  <c r="CJ65" i="7"/>
  <c r="CK65" i="7"/>
  <c r="CL65" i="7"/>
  <c r="CM65" i="7"/>
  <c r="CN65" i="7"/>
  <c r="CO65" i="7"/>
  <c r="CP65" i="7"/>
  <c r="CQ65" i="7"/>
  <c r="CR65" i="7"/>
  <c r="CS65" i="7"/>
  <c r="CT65" i="7"/>
  <c r="CU65" i="7"/>
  <c r="CV65" i="7"/>
  <c r="CW65" i="7"/>
  <c r="CX65" i="7"/>
  <c r="CY65" i="7"/>
  <c r="DA65" i="7"/>
  <c r="DC65" i="7"/>
  <c r="DD65" i="7"/>
  <c r="D66" i="7"/>
  <c r="E66" i="7"/>
  <c r="F66" i="7"/>
  <c r="G66" i="7"/>
  <c r="H66" i="7"/>
  <c r="I66" i="7"/>
  <c r="J66" i="7"/>
  <c r="K66" i="7"/>
  <c r="L66" i="7"/>
  <c r="M66" i="7"/>
  <c r="N66" i="7"/>
  <c r="O66" i="7"/>
  <c r="P66" i="7"/>
  <c r="Q66" i="7"/>
  <c r="R66" i="7"/>
  <c r="S66" i="7"/>
  <c r="T66" i="7"/>
  <c r="U66" i="7"/>
  <c r="V66" i="7"/>
  <c r="W66" i="7"/>
  <c r="X66" i="7"/>
  <c r="Y66" i="7"/>
  <c r="Z66" i="7"/>
  <c r="AA66" i="7"/>
  <c r="AB66" i="7"/>
  <c r="AC66" i="7"/>
  <c r="AD66" i="7"/>
  <c r="AE66" i="7"/>
  <c r="AF66" i="7"/>
  <c r="AG66" i="7"/>
  <c r="AH66" i="7"/>
  <c r="AI66" i="7"/>
  <c r="AJ66" i="7"/>
  <c r="AK66" i="7"/>
  <c r="AL66" i="7"/>
  <c r="AM66" i="7"/>
  <c r="AN66" i="7"/>
  <c r="AO66" i="7"/>
  <c r="AP66" i="7"/>
  <c r="AQ66" i="7"/>
  <c r="AR66" i="7"/>
  <c r="AS66" i="7"/>
  <c r="AT66" i="7"/>
  <c r="AU66" i="7"/>
  <c r="AV66" i="7"/>
  <c r="AW66" i="7"/>
  <c r="AX66" i="7"/>
  <c r="AY66" i="7"/>
  <c r="AZ66" i="7"/>
  <c r="BA66" i="7"/>
  <c r="BB66" i="7"/>
  <c r="BC66" i="7"/>
  <c r="BD66" i="7"/>
  <c r="BE66" i="7"/>
  <c r="BF66" i="7"/>
  <c r="BG66" i="7"/>
  <c r="BH66" i="7"/>
  <c r="BI66" i="7"/>
  <c r="BJ66" i="7"/>
  <c r="BK66" i="7"/>
  <c r="BL66" i="7"/>
  <c r="BM66" i="7"/>
  <c r="BN66" i="7"/>
  <c r="BO66" i="7"/>
  <c r="BP66" i="7"/>
  <c r="BQ66" i="7"/>
  <c r="BR66" i="7"/>
  <c r="BS66" i="7"/>
  <c r="BT66" i="7"/>
  <c r="BU66" i="7"/>
  <c r="BV66" i="7"/>
  <c r="BW66" i="7"/>
  <c r="BX66" i="7"/>
  <c r="BY66" i="7"/>
  <c r="BZ66" i="7"/>
  <c r="CB66" i="7"/>
  <c r="CC66" i="7"/>
  <c r="CD66" i="7"/>
  <c r="CE66" i="7"/>
  <c r="CF66" i="7"/>
  <c r="CG66" i="7"/>
  <c r="CH66" i="7"/>
  <c r="CI66" i="7"/>
  <c r="CJ66" i="7"/>
  <c r="CK66" i="7"/>
  <c r="CL66" i="7"/>
  <c r="CM66" i="7"/>
  <c r="CN66" i="7"/>
  <c r="CO66" i="7"/>
  <c r="CP66" i="7"/>
  <c r="CQ66" i="7"/>
  <c r="CR66" i="7"/>
  <c r="CS66" i="7"/>
  <c r="CT66" i="7"/>
  <c r="CU66" i="7"/>
  <c r="CV66" i="7"/>
  <c r="CW66" i="7"/>
  <c r="CX66" i="7"/>
  <c r="CY66" i="7"/>
  <c r="DA66" i="7"/>
  <c r="DC66" i="7"/>
  <c r="DD66" i="7"/>
  <c r="D67" i="7"/>
  <c r="E67" i="7"/>
  <c r="F67" i="7"/>
  <c r="G67" i="7"/>
  <c r="H67" i="7"/>
  <c r="I67" i="7"/>
  <c r="J67" i="7"/>
  <c r="K67" i="7"/>
  <c r="L67" i="7"/>
  <c r="M67" i="7"/>
  <c r="N67" i="7"/>
  <c r="O67" i="7"/>
  <c r="P67" i="7"/>
  <c r="Q67" i="7"/>
  <c r="R67" i="7"/>
  <c r="S67" i="7"/>
  <c r="T67" i="7"/>
  <c r="U67" i="7"/>
  <c r="V67" i="7"/>
  <c r="W67" i="7"/>
  <c r="X67" i="7"/>
  <c r="Y67" i="7"/>
  <c r="Z67" i="7"/>
  <c r="AA67" i="7"/>
  <c r="AB67" i="7"/>
  <c r="AC67" i="7"/>
  <c r="AD67" i="7"/>
  <c r="AE67" i="7"/>
  <c r="AF67" i="7"/>
  <c r="AG67" i="7"/>
  <c r="AH67" i="7"/>
  <c r="AI67" i="7"/>
  <c r="AJ67" i="7"/>
  <c r="AK67" i="7"/>
  <c r="AL67" i="7"/>
  <c r="AM67" i="7"/>
  <c r="AN67" i="7"/>
  <c r="AO67" i="7"/>
  <c r="AP67" i="7"/>
  <c r="AQ67" i="7"/>
  <c r="AR67" i="7"/>
  <c r="AS67" i="7"/>
  <c r="AT67" i="7"/>
  <c r="AU67" i="7"/>
  <c r="AV67" i="7"/>
  <c r="AW67" i="7"/>
  <c r="AX67" i="7"/>
  <c r="AY67" i="7"/>
  <c r="AZ67" i="7"/>
  <c r="BA67" i="7"/>
  <c r="BB67" i="7"/>
  <c r="BC67" i="7"/>
  <c r="BD67" i="7"/>
  <c r="BE67" i="7"/>
  <c r="BF67" i="7"/>
  <c r="BG67" i="7"/>
  <c r="BH67" i="7"/>
  <c r="BI67" i="7"/>
  <c r="BJ67" i="7"/>
  <c r="BK67" i="7"/>
  <c r="BL67" i="7"/>
  <c r="BM67" i="7"/>
  <c r="BN67" i="7"/>
  <c r="BO67" i="7"/>
  <c r="BP67" i="7"/>
  <c r="BQ67" i="7"/>
  <c r="BR67" i="7"/>
  <c r="BS67" i="7"/>
  <c r="BT67" i="7"/>
  <c r="BU67" i="7"/>
  <c r="BV67" i="7"/>
  <c r="BW67" i="7"/>
  <c r="BX67" i="7"/>
  <c r="BY67" i="7"/>
  <c r="BZ67" i="7"/>
  <c r="CB67" i="7"/>
  <c r="CC67" i="7"/>
  <c r="CD67" i="7"/>
  <c r="CE67" i="7"/>
  <c r="CF67" i="7"/>
  <c r="CG67" i="7"/>
  <c r="CH67" i="7"/>
  <c r="CI67" i="7"/>
  <c r="CJ67" i="7"/>
  <c r="CK67" i="7"/>
  <c r="CL67" i="7"/>
  <c r="CM67" i="7"/>
  <c r="CN67" i="7"/>
  <c r="CO67" i="7"/>
  <c r="CP67" i="7"/>
  <c r="CQ67" i="7"/>
  <c r="CR67" i="7"/>
  <c r="CS67" i="7"/>
  <c r="CT67" i="7"/>
  <c r="CU67" i="7"/>
  <c r="CV67" i="7"/>
  <c r="CW67" i="7"/>
  <c r="CX67" i="7"/>
  <c r="CY67" i="7"/>
  <c r="DA67" i="7"/>
  <c r="DC67" i="7"/>
  <c r="DD67" i="7"/>
  <c r="D68" i="7"/>
  <c r="E68" i="7"/>
  <c r="F68" i="7"/>
  <c r="G68" i="7"/>
  <c r="H68" i="7"/>
  <c r="I68" i="7"/>
  <c r="J68" i="7"/>
  <c r="K68" i="7"/>
  <c r="L68" i="7"/>
  <c r="M68" i="7"/>
  <c r="N68" i="7"/>
  <c r="O68" i="7"/>
  <c r="P68" i="7"/>
  <c r="Q68" i="7"/>
  <c r="R68" i="7"/>
  <c r="S68" i="7"/>
  <c r="T68" i="7"/>
  <c r="U68" i="7"/>
  <c r="V68" i="7"/>
  <c r="W68" i="7"/>
  <c r="X68" i="7"/>
  <c r="Y68" i="7"/>
  <c r="Z68" i="7"/>
  <c r="AA68" i="7"/>
  <c r="AB68" i="7"/>
  <c r="AC68" i="7"/>
  <c r="AD68" i="7"/>
  <c r="AE68" i="7"/>
  <c r="AF68" i="7"/>
  <c r="AG68" i="7"/>
  <c r="AH68" i="7"/>
  <c r="AI68" i="7"/>
  <c r="AJ68" i="7"/>
  <c r="AK68" i="7"/>
  <c r="AL68" i="7"/>
  <c r="AM68" i="7"/>
  <c r="AN68" i="7"/>
  <c r="AO68" i="7"/>
  <c r="AP68" i="7"/>
  <c r="AQ68" i="7"/>
  <c r="AR68" i="7"/>
  <c r="AS68" i="7"/>
  <c r="AT68" i="7"/>
  <c r="AU68" i="7"/>
  <c r="AV68" i="7"/>
  <c r="AW68" i="7"/>
  <c r="AX68" i="7"/>
  <c r="AY68" i="7"/>
  <c r="AZ68" i="7"/>
  <c r="BA68" i="7"/>
  <c r="BB68" i="7"/>
  <c r="BC68" i="7"/>
  <c r="BD68" i="7"/>
  <c r="BE68" i="7"/>
  <c r="BF68" i="7"/>
  <c r="BG68" i="7"/>
  <c r="BH68" i="7"/>
  <c r="BI68" i="7"/>
  <c r="BJ68" i="7"/>
  <c r="BK68" i="7"/>
  <c r="BL68" i="7"/>
  <c r="BM68" i="7"/>
  <c r="BN68" i="7"/>
  <c r="BO68" i="7"/>
  <c r="BP68" i="7"/>
  <c r="BQ68" i="7"/>
  <c r="BR68" i="7"/>
  <c r="BS68" i="7"/>
  <c r="BT68" i="7"/>
  <c r="BU68" i="7"/>
  <c r="BV68" i="7"/>
  <c r="BW68" i="7"/>
  <c r="BX68" i="7"/>
  <c r="BY68" i="7"/>
  <c r="BZ68" i="7"/>
  <c r="CB68" i="7"/>
  <c r="CC68" i="7"/>
  <c r="CD68" i="7"/>
  <c r="CE68" i="7"/>
  <c r="CF68" i="7"/>
  <c r="CG68" i="7"/>
  <c r="CH68" i="7"/>
  <c r="CI68" i="7"/>
  <c r="CJ68" i="7"/>
  <c r="CK68" i="7"/>
  <c r="CL68" i="7"/>
  <c r="CM68" i="7"/>
  <c r="CN68" i="7"/>
  <c r="CO68" i="7"/>
  <c r="CP68" i="7"/>
  <c r="CQ68" i="7"/>
  <c r="CR68" i="7"/>
  <c r="CS68" i="7"/>
  <c r="CT68" i="7"/>
  <c r="CU68" i="7"/>
  <c r="CV68" i="7"/>
  <c r="CW68" i="7"/>
  <c r="CX68" i="7"/>
  <c r="CY68" i="7"/>
  <c r="DA68" i="7"/>
  <c r="DC68" i="7"/>
  <c r="DD68" i="7"/>
  <c r="D70" i="7"/>
  <c r="E70" i="7"/>
  <c r="F70" i="7"/>
  <c r="G70" i="7"/>
  <c r="H70" i="7"/>
  <c r="I70" i="7"/>
  <c r="J70" i="7"/>
  <c r="K70" i="7"/>
  <c r="L70" i="7"/>
  <c r="M70" i="7"/>
  <c r="N70" i="7"/>
  <c r="O70" i="7"/>
  <c r="P70" i="7"/>
  <c r="Q70" i="7"/>
  <c r="R70" i="7"/>
  <c r="S70" i="7"/>
  <c r="T70" i="7"/>
  <c r="U70" i="7"/>
  <c r="V70" i="7"/>
  <c r="W70" i="7"/>
  <c r="X70" i="7"/>
  <c r="Y70" i="7"/>
  <c r="Z70" i="7"/>
  <c r="AA70" i="7"/>
  <c r="AB70" i="7"/>
  <c r="AC70" i="7"/>
  <c r="AD70" i="7"/>
  <c r="AE70" i="7"/>
  <c r="AF70" i="7"/>
  <c r="AG70" i="7"/>
  <c r="AH70" i="7"/>
  <c r="AI70" i="7"/>
  <c r="AJ70" i="7"/>
  <c r="AK70" i="7"/>
  <c r="AL70" i="7"/>
  <c r="AM70" i="7"/>
  <c r="AN70" i="7"/>
  <c r="AO70" i="7"/>
  <c r="AP70" i="7"/>
  <c r="AQ70" i="7"/>
  <c r="AR70" i="7"/>
  <c r="AS70" i="7"/>
  <c r="AT70" i="7"/>
  <c r="AU70" i="7"/>
  <c r="AV70" i="7"/>
  <c r="AW70" i="7"/>
  <c r="AX70" i="7"/>
  <c r="AY70" i="7"/>
  <c r="AZ70" i="7"/>
  <c r="BA70" i="7"/>
  <c r="BB70" i="7"/>
  <c r="BC70" i="7"/>
  <c r="BD70" i="7"/>
  <c r="BE70" i="7"/>
  <c r="BF70" i="7"/>
  <c r="BG70" i="7"/>
  <c r="BH70" i="7"/>
  <c r="BI70" i="7"/>
  <c r="BJ70" i="7"/>
  <c r="BK70" i="7"/>
  <c r="BL70" i="7"/>
  <c r="BM70" i="7"/>
  <c r="BN70" i="7"/>
  <c r="BO70" i="7"/>
  <c r="BP70" i="7"/>
  <c r="BQ70" i="7"/>
  <c r="BR70" i="7"/>
  <c r="BS70" i="7"/>
  <c r="BT70" i="7"/>
  <c r="BU70" i="7"/>
  <c r="BV70" i="7"/>
  <c r="BW70" i="7"/>
  <c r="BX70" i="7"/>
  <c r="BY70" i="7"/>
  <c r="BZ70" i="7"/>
  <c r="CB70" i="7"/>
  <c r="CC70" i="7"/>
  <c r="CD70" i="7"/>
  <c r="CE70" i="7"/>
  <c r="CF70" i="7"/>
  <c r="CG70" i="7"/>
  <c r="CH70" i="7"/>
  <c r="CI70" i="7"/>
  <c r="CJ70" i="7"/>
  <c r="CK70" i="7"/>
  <c r="CL70" i="7"/>
  <c r="CM70" i="7"/>
  <c r="CN70" i="7"/>
  <c r="CO70" i="7"/>
  <c r="CP70" i="7"/>
  <c r="CQ70" i="7"/>
  <c r="CR70" i="7"/>
  <c r="CS70" i="7"/>
  <c r="CT70" i="7"/>
  <c r="CU70" i="7"/>
  <c r="CV70" i="7"/>
  <c r="CW70" i="7"/>
  <c r="CX70" i="7"/>
  <c r="CY70" i="7"/>
  <c r="DA70" i="7"/>
  <c r="DC70" i="7"/>
  <c r="DD70" i="7"/>
  <c r="D71" i="7"/>
  <c r="E71" i="7"/>
  <c r="F71" i="7"/>
  <c r="G71" i="7"/>
  <c r="H71" i="7"/>
  <c r="I71" i="7"/>
  <c r="J71" i="7"/>
  <c r="K71" i="7"/>
  <c r="L71" i="7"/>
  <c r="M71" i="7"/>
  <c r="N71" i="7"/>
  <c r="O71" i="7"/>
  <c r="P71" i="7"/>
  <c r="Q71" i="7"/>
  <c r="R71" i="7"/>
  <c r="S71" i="7"/>
  <c r="T71" i="7"/>
  <c r="U71" i="7"/>
  <c r="V71" i="7"/>
  <c r="W71" i="7"/>
  <c r="X71" i="7"/>
  <c r="Y71" i="7"/>
  <c r="Z71" i="7"/>
  <c r="AA71" i="7"/>
  <c r="AB71" i="7"/>
  <c r="AC71" i="7"/>
  <c r="AD71" i="7"/>
  <c r="AE71" i="7"/>
  <c r="AF71" i="7"/>
  <c r="AG71" i="7"/>
  <c r="AH71" i="7"/>
  <c r="AI71" i="7"/>
  <c r="AJ71" i="7"/>
  <c r="AK71" i="7"/>
  <c r="AL71" i="7"/>
  <c r="AM71" i="7"/>
  <c r="AN71" i="7"/>
  <c r="AO71" i="7"/>
  <c r="AP71" i="7"/>
  <c r="AQ71" i="7"/>
  <c r="AR71" i="7"/>
  <c r="AS71" i="7"/>
  <c r="AT71" i="7"/>
  <c r="AU71" i="7"/>
  <c r="AV71" i="7"/>
  <c r="AW71" i="7"/>
  <c r="AX71" i="7"/>
  <c r="AY71" i="7"/>
  <c r="AZ71" i="7"/>
  <c r="BA71" i="7"/>
  <c r="BB71" i="7"/>
  <c r="BC71" i="7"/>
  <c r="BD71" i="7"/>
  <c r="BE71" i="7"/>
  <c r="BF71" i="7"/>
  <c r="BG71" i="7"/>
  <c r="BH71" i="7"/>
  <c r="BI71" i="7"/>
  <c r="BJ71" i="7"/>
  <c r="BK71" i="7"/>
  <c r="BL71" i="7"/>
  <c r="BM71" i="7"/>
  <c r="BN71" i="7"/>
  <c r="BO71" i="7"/>
  <c r="BP71" i="7"/>
  <c r="BQ71" i="7"/>
  <c r="BR71" i="7"/>
  <c r="BS71" i="7"/>
  <c r="BT71" i="7"/>
  <c r="BU71" i="7"/>
  <c r="BV71" i="7"/>
  <c r="BW71" i="7"/>
  <c r="BX71" i="7"/>
  <c r="BY71" i="7"/>
  <c r="BZ71" i="7"/>
  <c r="CB71" i="7"/>
  <c r="CC71" i="7"/>
  <c r="CD71" i="7"/>
  <c r="CE71" i="7"/>
  <c r="CF71" i="7"/>
  <c r="CG71" i="7"/>
  <c r="CH71" i="7"/>
  <c r="CI71" i="7"/>
  <c r="CJ71" i="7"/>
  <c r="CK71" i="7"/>
  <c r="CL71" i="7"/>
  <c r="CM71" i="7"/>
  <c r="CN71" i="7"/>
  <c r="CO71" i="7"/>
  <c r="CP71" i="7"/>
  <c r="CQ71" i="7"/>
  <c r="CR71" i="7"/>
  <c r="CS71" i="7"/>
  <c r="CT71" i="7"/>
  <c r="CU71" i="7"/>
  <c r="CV71" i="7"/>
  <c r="CW71" i="7"/>
  <c r="CX71" i="7"/>
  <c r="CY71" i="7"/>
  <c r="DA71" i="7"/>
  <c r="DC71" i="7"/>
  <c r="DD71" i="7"/>
  <c r="D72" i="7"/>
  <c r="E72" i="7"/>
  <c r="F72" i="7"/>
  <c r="G72" i="7"/>
  <c r="H72" i="7"/>
  <c r="I72" i="7"/>
  <c r="J72" i="7"/>
  <c r="K72" i="7"/>
  <c r="L72" i="7"/>
  <c r="M72" i="7"/>
  <c r="N72" i="7"/>
  <c r="O72" i="7"/>
  <c r="P72" i="7"/>
  <c r="Q72" i="7"/>
  <c r="R72" i="7"/>
  <c r="S72" i="7"/>
  <c r="T72" i="7"/>
  <c r="U72" i="7"/>
  <c r="V72" i="7"/>
  <c r="W72" i="7"/>
  <c r="X72" i="7"/>
  <c r="Y72" i="7"/>
  <c r="Z72" i="7"/>
  <c r="AA72" i="7"/>
  <c r="AB72" i="7"/>
  <c r="AC72" i="7"/>
  <c r="AD72" i="7"/>
  <c r="AE72" i="7"/>
  <c r="AF72" i="7"/>
  <c r="AG72" i="7"/>
  <c r="AH72" i="7"/>
  <c r="AI72" i="7"/>
  <c r="AJ72" i="7"/>
  <c r="AK72" i="7"/>
  <c r="AL72" i="7"/>
  <c r="AM72" i="7"/>
  <c r="AN72" i="7"/>
  <c r="AO72" i="7"/>
  <c r="AP72" i="7"/>
  <c r="AQ72" i="7"/>
  <c r="AR72" i="7"/>
  <c r="AS72" i="7"/>
  <c r="AT72" i="7"/>
  <c r="AU72" i="7"/>
  <c r="AV72" i="7"/>
  <c r="AW72" i="7"/>
  <c r="AX72" i="7"/>
  <c r="AY72" i="7"/>
  <c r="AZ72" i="7"/>
  <c r="BA72" i="7"/>
  <c r="BB72" i="7"/>
  <c r="BC72" i="7"/>
  <c r="BD72" i="7"/>
  <c r="BE72" i="7"/>
  <c r="BF72" i="7"/>
  <c r="BG72" i="7"/>
  <c r="BH72" i="7"/>
  <c r="BI72" i="7"/>
  <c r="BJ72" i="7"/>
  <c r="BK72" i="7"/>
  <c r="BL72" i="7"/>
  <c r="BM72" i="7"/>
  <c r="BN72" i="7"/>
  <c r="BO72" i="7"/>
  <c r="BP72" i="7"/>
  <c r="BQ72" i="7"/>
  <c r="BR72" i="7"/>
  <c r="BS72" i="7"/>
  <c r="BT72" i="7"/>
  <c r="BU72" i="7"/>
  <c r="BV72" i="7"/>
  <c r="BW72" i="7"/>
  <c r="BX72" i="7"/>
  <c r="BY72" i="7"/>
  <c r="BZ72" i="7"/>
  <c r="CB72" i="7"/>
  <c r="CC72" i="7"/>
  <c r="CD72" i="7"/>
  <c r="CE72" i="7"/>
  <c r="CF72" i="7"/>
  <c r="CG72" i="7"/>
  <c r="CH72" i="7"/>
  <c r="CI72" i="7"/>
  <c r="CJ72" i="7"/>
  <c r="CK72" i="7"/>
  <c r="CL72" i="7"/>
  <c r="CM72" i="7"/>
  <c r="CN72" i="7"/>
  <c r="CO72" i="7"/>
  <c r="CP72" i="7"/>
  <c r="CQ72" i="7"/>
  <c r="CR72" i="7"/>
  <c r="CS72" i="7"/>
  <c r="CT72" i="7"/>
  <c r="CU72" i="7"/>
  <c r="CV72" i="7"/>
  <c r="CW72" i="7"/>
  <c r="CX72" i="7"/>
  <c r="CY72" i="7"/>
  <c r="DA72" i="7"/>
  <c r="DC72" i="7"/>
  <c r="DD72" i="7"/>
  <c r="D73" i="7"/>
  <c r="E73" i="7"/>
  <c r="F73" i="7"/>
  <c r="G73" i="7"/>
  <c r="H73" i="7"/>
  <c r="I73" i="7"/>
  <c r="J73" i="7"/>
  <c r="K73" i="7"/>
  <c r="L73" i="7"/>
  <c r="M73" i="7"/>
  <c r="N73" i="7"/>
  <c r="O73" i="7"/>
  <c r="P73" i="7"/>
  <c r="Q73" i="7"/>
  <c r="R73" i="7"/>
  <c r="S73" i="7"/>
  <c r="T73" i="7"/>
  <c r="U73" i="7"/>
  <c r="V73" i="7"/>
  <c r="W73" i="7"/>
  <c r="X73" i="7"/>
  <c r="Y73" i="7"/>
  <c r="Z73" i="7"/>
  <c r="AA73" i="7"/>
  <c r="AB73" i="7"/>
  <c r="AC73" i="7"/>
  <c r="AD73" i="7"/>
  <c r="AE73" i="7"/>
  <c r="AF73" i="7"/>
  <c r="AG73" i="7"/>
  <c r="AH73" i="7"/>
  <c r="AI73" i="7"/>
  <c r="AJ73" i="7"/>
  <c r="AK73" i="7"/>
  <c r="AL73" i="7"/>
  <c r="AM73" i="7"/>
  <c r="AN73" i="7"/>
  <c r="AO73" i="7"/>
  <c r="AP73" i="7"/>
  <c r="AQ73" i="7"/>
  <c r="AR73" i="7"/>
  <c r="AS73" i="7"/>
  <c r="AT73" i="7"/>
  <c r="AU73" i="7"/>
  <c r="AV73" i="7"/>
  <c r="AW73" i="7"/>
  <c r="AX73" i="7"/>
  <c r="AY73" i="7"/>
  <c r="AZ73" i="7"/>
  <c r="BA73" i="7"/>
  <c r="BB73" i="7"/>
  <c r="BC73" i="7"/>
  <c r="BD73" i="7"/>
  <c r="BE73" i="7"/>
  <c r="BF73" i="7"/>
  <c r="BG73" i="7"/>
  <c r="BH73" i="7"/>
  <c r="BI73" i="7"/>
  <c r="BJ73" i="7"/>
  <c r="BK73" i="7"/>
  <c r="BL73" i="7"/>
  <c r="BM73" i="7"/>
  <c r="BN73" i="7"/>
  <c r="BO73" i="7"/>
  <c r="BP73" i="7"/>
  <c r="BQ73" i="7"/>
  <c r="BR73" i="7"/>
  <c r="BS73" i="7"/>
  <c r="BT73" i="7"/>
  <c r="BU73" i="7"/>
  <c r="BV73" i="7"/>
  <c r="BW73" i="7"/>
  <c r="BX73" i="7"/>
  <c r="BY73" i="7"/>
  <c r="BZ73" i="7"/>
  <c r="CB73" i="7"/>
  <c r="CC73" i="7"/>
  <c r="CD73" i="7"/>
  <c r="CE73" i="7"/>
  <c r="CF73" i="7"/>
  <c r="CG73" i="7"/>
  <c r="CH73" i="7"/>
  <c r="CI73" i="7"/>
  <c r="CJ73" i="7"/>
  <c r="CK73" i="7"/>
  <c r="CL73" i="7"/>
  <c r="CM73" i="7"/>
  <c r="CN73" i="7"/>
  <c r="CO73" i="7"/>
  <c r="CP73" i="7"/>
  <c r="CQ73" i="7"/>
  <c r="CR73" i="7"/>
  <c r="CS73" i="7"/>
  <c r="CT73" i="7"/>
  <c r="CU73" i="7"/>
  <c r="CV73" i="7"/>
  <c r="CW73" i="7"/>
  <c r="CX73" i="7"/>
  <c r="CY73" i="7"/>
  <c r="DA73" i="7"/>
  <c r="DC73" i="7"/>
  <c r="DD73" i="7"/>
  <c r="D76" i="7"/>
  <c r="E76" i="7"/>
  <c r="F76" i="7"/>
  <c r="G76" i="7"/>
  <c r="H76" i="7"/>
  <c r="I76" i="7"/>
  <c r="J76" i="7"/>
  <c r="K76" i="7"/>
  <c r="L76" i="7"/>
  <c r="M76" i="7"/>
  <c r="N76" i="7"/>
  <c r="O76" i="7"/>
  <c r="P76" i="7"/>
  <c r="Q76" i="7"/>
  <c r="R76" i="7"/>
  <c r="S76" i="7"/>
  <c r="T76" i="7"/>
  <c r="U76" i="7"/>
  <c r="V76" i="7"/>
  <c r="W76" i="7"/>
  <c r="X76" i="7"/>
  <c r="Y76" i="7"/>
  <c r="Z76" i="7"/>
  <c r="AA76" i="7"/>
  <c r="AB76" i="7"/>
  <c r="AC76" i="7"/>
  <c r="AD76" i="7"/>
  <c r="AE76" i="7"/>
  <c r="AF76" i="7"/>
  <c r="AG76" i="7"/>
  <c r="AH76" i="7"/>
  <c r="AI76" i="7"/>
  <c r="AJ76" i="7"/>
  <c r="AK76" i="7"/>
  <c r="AL76" i="7"/>
  <c r="AM76" i="7"/>
  <c r="AN76" i="7"/>
  <c r="AO76" i="7"/>
  <c r="AP76" i="7"/>
  <c r="AQ76" i="7"/>
  <c r="AR76" i="7"/>
  <c r="AS76" i="7"/>
  <c r="AT76" i="7"/>
  <c r="AU76" i="7"/>
  <c r="AV76" i="7"/>
  <c r="AW76" i="7"/>
  <c r="AX76" i="7"/>
  <c r="AY76" i="7"/>
  <c r="AZ76" i="7"/>
  <c r="BA76" i="7"/>
  <c r="BB76" i="7"/>
  <c r="BC76" i="7"/>
  <c r="BD76" i="7"/>
  <c r="BE76" i="7"/>
  <c r="BF76" i="7"/>
  <c r="BG76" i="7"/>
  <c r="BH76" i="7"/>
  <c r="BI76" i="7"/>
  <c r="BJ76" i="7"/>
  <c r="BK76" i="7"/>
  <c r="BL76" i="7"/>
  <c r="BM76" i="7"/>
  <c r="BN76" i="7"/>
  <c r="BO76" i="7"/>
  <c r="BP76" i="7"/>
  <c r="BQ76" i="7"/>
  <c r="BR76" i="7"/>
  <c r="BS76" i="7"/>
  <c r="BT76" i="7"/>
  <c r="BU76" i="7"/>
  <c r="BV76" i="7"/>
  <c r="BW76" i="7"/>
  <c r="BX76" i="7"/>
  <c r="BY76" i="7"/>
  <c r="BZ76" i="7"/>
  <c r="CB76" i="7"/>
  <c r="CC76" i="7"/>
  <c r="CD76" i="7"/>
  <c r="CE76" i="7"/>
  <c r="CF76" i="7"/>
  <c r="CG76" i="7"/>
  <c r="CH76" i="7"/>
  <c r="CI76" i="7"/>
  <c r="CJ76" i="7"/>
  <c r="CK76" i="7"/>
  <c r="CL76" i="7"/>
  <c r="CM76" i="7"/>
  <c r="CN76" i="7"/>
  <c r="CO76" i="7"/>
  <c r="CP76" i="7"/>
  <c r="CQ76" i="7"/>
  <c r="CR76" i="7"/>
  <c r="CS76" i="7"/>
  <c r="CT76" i="7"/>
  <c r="CU76" i="7"/>
  <c r="CV76" i="7"/>
  <c r="CW76" i="7"/>
  <c r="CX76" i="7"/>
  <c r="CY76" i="7"/>
  <c r="DA76" i="7"/>
  <c r="DC76" i="7"/>
  <c r="DD76" i="7"/>
  <c r="D79" i="7"/>
  <c r="E79" i="7"/>
  <c r="F79" i="7"/>
  <c r="G79" i="7"/>
  <c r="H79" i="7"/>
  <c r="I79" i="7"/>
  <c r="J79" i="7"/>
  <c r="K79" i="7"/>
  <c r="L79" i="7"/>
  <c r="M79" i="7"/>
  <c r="N79" i="7"/>
  <c r="O79" i="7"/>
  <c r="P79" i="7"/>
  <c r="Q79" i="7"/>
  <c r="R79" i="7"/>
  <c r="S79" i="7"/>
  <c r="T79" i="7"/>
  <c r="U79" i="7"/>
  <c r="V79" i="7"/>
  <c r="W79" i="7"/>
  <c r="X79" i="7"/>
  <c r="Y79" i="7"/>
  <c r="Z79" i="7"/>
  <c r="AA79" i="7"/>
  <c r="AB79" i="7"/>
  <c r="AC79" i="7"/>
  <c r="AD79" i="7"/>
  <c r="AE79" i="7"/>
  <c r="AF79" i="7"/>
  <c r="AG79" i="7"/>
  <c r="AH79" i="7"/>
  <c r="AI79" i="7"/>
  <c r="AJ79" i="7"/>
  <c r="AK79" i="7"/>
  <c r="AL79" i="7"/>
  <c r="AM79" i="7"/>
  <c r="AN79" i="7"/>
  <c r="AO79" i="7"/>
  <c r="AP79" i="7"/>
  <c r="AQ79" i="7"/>
  <c r="AR79" i="7"/>
  <c r="AS79" i="7"/>
  <c r="AT79" i="7"/>
  <c r="AU79" i="7"/>
  <c r="AV79" i="7"/>
  <c r="AW79" i="7"/>
  <c r="AX79" i="7"/>
  <c r="AY79" i="7"/>
  <c r="AZ79" i="7"/>
  <c r="BA79" i="7"/>
  <c r="BB79" i="7"/>
  <c r="BC79" i="7"/>
  <c r="BD79" i="7"/>
  <c r="BE79" i="7"/>
  <c r="BF79" i="7"/>
  <c r="BG79" i="7"/>
  <c r="BH79" i="7"/>
  <c r="BI79" i="7"/>
  <c r="BJ79" i="7"/>
  <c r="BK79" i="7"/>
  <c r="BL79" i="7"/>
  <c r="BM79" i="7"/>
  <c r="BN79" i="7"/>
  <c r="BO79" i="7"/>
  <c r="BP79" i="7"/>
  <c r="BQ79" i="7"/>
  <c r="BR79" i="7"/>
  <c r="BS79" i="7"/>
  <c r="BT79" i="7"/>
  <c r="BU79" i="7"/>
  <c r="BV79" i="7"/>
  <c r="BW79" i="7"/>
  <c r="BX79" i="7"/>
  <c r="BY79" i="7"/>
  <c r="BZ79" i="7"/>
  <c r="CB79" i="7"/>
  <c r="CC79" i="7"/>
  <c r="CD79" i="7"/>
  <c r="CE79" i="7"/>
  <c r="CF79" i="7"/>
  <c r="CG79" i="7"/>
  <c r="CH79" i="7"/>
  <c r="CI79" i="7"/>
  <c r="CJ79" i="7"/>
  <c r="CK79" i="7"/>
  <c r="CL79" i="7"/>
  <c r="CM79" i="7"/>
  <c r="CN79" i="7"/>
  <c r="CO79" i="7"/>
  <c r="CP79" i="7"/>
  <c r="CQ79" i="7"/>
  <c r="CR79" i="7"/>
  <c r="CS79" i="7"/>
  <c r="CT79" i="7"/>
  <c r="CU79" i="7"/>
  <c r="CV79" i="7"/>
  <c r="CW79" i="7"/>
  <c r="CX79" i="7"/>
  <c r="CY79" i="7"/>
  <c r="DA79" i="7"/>
  <c r="DC79" i="7"/>
  <c r="DD79" i="7"/>
  <c r="D81" i="7"/>
  <c r="E81" i="7"/>
  <c r="F81" i="7"/>
  <c r="G81" i="7"/>
  <c r="H81" i="7"/>
  <c r="I81" i="7"/>
  <c r="J81" i="7"/>
  <c r="K81" i="7"/>
  <c r="L81" i="7"/>
  <c r="M81" i="7"/>
  <c r="N81" i="7"/>
  <c r="O81" i="7"/>
  <c r="P81" i="7"/>
  <c r="Q81" i="7"/>
  <c r="R81" i="7"/>
  <c r="S81" i="7"/>
  <c r="T81" i="7"/>
  <c r="U81" i="7"/>
  <c r="V81" i="7"/>
  <c r="W81" i="7"/>
  <c r="X81" i="7"/>
  <c r="Y81" i="7"/>
  <c r="Z81" i="7"/>
  <c r="AA81" i="7"/>
  <c r="AB81" i="7"/>
  <c r="AC81" i="7"/>
  <c r="AD81" i="7"/>
  <c r="AE81" i="7"/>
  <c r="AF81" i="7"/>
  <c r="AG81" i="7"/>
  <c r="AH81" i="7"/>
  <c r="AI81" i="7"/>
  <c r="AJ81" i="7"/>
  <c r="AK81" i="7"/>
  <c r="AL81" i="7"/>
  <c r="AM81" i="7"/>
  <c r="AN81" i="7"/>
  <c r="AO81" i="7"/>
  <c r="AP81" i="7"/>
  <c r="AQ81" i="7"/>
  <c r="AR81" i="7"/>
  <c r="AS81" i="7"/>
  <c r="AT81" i="7"/>
  <c r="AU81" i="7"/>
  <c r="AV81" i="7"/>
  <c r="AW81" i="7"/>
  <c r="AX81" i="7"/>
  <c r="AY81" i="7"/>
  <c r="AZ81" i="7"/>
  <c r="BA81" i="7"/>
  <c r="BB81" i="7"/>
  <c r="BC81" i="7"/>
  <c r="BD81" i="7"/>
  <c r="BE81" i="7"/>
  <c r="BF81" i="7"/>
  <c r="BG81" i="7"/>
  <c r="BH81" i="7"/>
  <c r="BI81" i="7"/>
  <c r="BJ81" i="7"/>
  <c r="BK81" i="7"/>
  <c r="BL81" i="7"/>
  <c r="BM81" i="7"/>
  <c r="BN81" i="7"/>
  <c r="BO81" i="7"/>
  <c r="BP81" i="7"/>
  <c r="BQ81" i="7"/>
  <c r="BR81" i="7"/>
  <c r="BS81" i="7"/>
  <c r="BT81" i="7"/>
  <c r="BU81" i="7"/>
  <c r="BV81" i="7"/>
  <c r="BW81" i="7"/>
  <c r="BX81" i="7"/>
  <c r="BY81" i="7"/>
  <c r="BZ81" i="7"/>
  <c r="CB81" i="7"/>
  <c r="CC81" i="7"/>
  <c r="CD81" i="7"/>
  <c r="CE81" i="7"/>
  <c r="CF81" i="7"/>
  <c r="CG81" i="7"/>
  <c r="CH81" i="7"/>
  <c r="CI81" i="7"/>
  <c r="CJ81" i="7"/>
  <c r="CK81" i="7"/>
  <c r="CL81" i="7"/>
  <c r="CM81" i="7"/>
  <c r="CN81" i="7"/>
  <c r="CO81" i="7"/>
  <c r="CP81" i="7"/>
  <c r="CQ81" i="7"/>
  <c r="CR81" i="7"/>
  <c r="CS81" i="7"/>
  <c r="CT81" i="7"/>
  <c r="CU81" i="7"/>
  <c r="CV81" i="7"/>
  <c r="CW81" i="7"/>
  <c r="CX81" i="7"/>
  <c r="CY81" i="7"/>
  <c r="DA81" i="7"/>
  <c r="DB81" i="7"/>
  <c r="DC81" i="7"/>
  <c r="DD81" i="7"/>
  <c r="D83" i="7"/>
  <c r="E83" i="7"/>
  <c r="F83" i="7"/>
  <c r="G83" i="7"/>
  <c r="H83" i="7"/>
  <c r="I83" i="7"/>
  <c r="J83" i="7"/>
  <c r="K83" i="7"/>
  <c r="L83" i="7"/>
  <c r="M83" i="7"/>
  <c r="N83" i="7"/>
  <c r="O83" i="7"/>
  <c r="P83" i="7"/>
  <c r="Q83" i="7"/>
  <c r="R83" i="7"/>
  <c r="S83" i="7"/>
  <c r="T83" i="7"/>
  <c r="U83" i="7"/>
  <c r="V83" i="7"/>
  <c r="W83" i="7"/>
  <c r="X83" i="7"/>
  <c r="Y83" i="7"/>
  <c r="Z83" i="7"/>
  <c r="AA83" i="7"/>
  <c r="AB83" i="7"/>
  <c r="AC83" i="7"/>
  <c r="AD83" i="7"/>
  <c r="AE83" i="7"/>
  <c r="AF83" i="7"/>
  <c r="AG83" i="7"/>
  <c r="AH83" i="7"/>
  <c r="AI83" i="7"/>
  <c r="AJ83" i="7"/>
  <c r="AK83" i="7"/>
  <c r="AL83" i="7"/>
  <c r="AM83" i="7"/>
  <c r="AN83" i="7"/>
  <c r="AO83" i="7"/>
  <c r="AP83" i="7"/>
  <c r="AQ83" i="7"/>
  <c r="AR83" i="7"/>
  <c r="AS83" i="7"/>
  <c r="AT83" i="7"/>
  <c r="AU83" i="7"/>
  <c r="AV83" i="7"/>
  <c r="AW83" i="7"/>
  <c r="AX83" i="7"/>
  <c r="AY83" i="7"/>
  <c r="AZ83" i="7"/>
  <c r="BA83" i="7"/>
  <c r="BB83" i="7"/>
  <c r="BC83" i="7"/>
  <c r="BD83" i="7"/>
  <c r="BE83" i="7"/>
  <c r="BF83" i="7"/>
  <c r="BG83" i="7"/>
  <c r="BH83" i="7"/>
  <c r="BI83" i="7"/>
  <c r="BJ83" i="7"/>
  <c r="BK83" i="7"/>
  <c r="BL83" i="7"/>
  <c r="BM83" i="7"/>
  <c r="BN83" i="7"/>
  <c r="BO83" i="7"/>
  <c r="BP83" i="7"/>
  <c r="BQ83" i="7"/>
  <c r="BR83" i="7"/>
  <c r="BS83" i="7"/>
  <c r="BT83" i="7"/>
  <c r="BU83" i="7"/>
  <c r="BV83" i="7"/>
  <c r="BW83" i="7"/>
  <c r="BX83" i="7"/>
  <c r="BY83" i="7"/>
  <c r="CB83" i="7"/>
  <c r="CC83" i="7"/>
  <c r="CD83" i="7"/>
  <c r="CE83" i="7"/>
  <c r="CF83" i="7"/>
  <c r="CG83" i="7"/>
  <c r="CH83" i="7"/>
  <c r="CI83" i="7"/>
  <c r="CJ83" i="7"/>
  <c r="CK83" i="7"/>
  <c r="CL83" i="7"/>
  <c r="CM83" i="7"/>
  <c r="CN83" i="7"/>
  <c r="CO83" i="7"/>
  <c r="CP83" i="7"/>
  <c r="CQ83" i="7"/>
  <c r="CR83" i="7"/>
  <c r="CS83" i="7"/>
  <c r="CT83" i="7"/>
  <c r="CU83" i="7"/>
  <c r="CV83" i="7"/>
  <c r="CW83" i="7"/>
  <c r="CX83" i="7"/>
  <c r="DA83" i="7"/>
  <c r="DC83" i="7"/>
  <c r="DD83" i="7"/>
  <c r="C87" i="7"/>
  <c r="C88" i="7"/>
  <c r="C89" i="7"/>
  <c r="DA92" i="7"/>
  <c r="D93" i="7"/>
  <c r="N93" i="7"/>
  <c r="Y93" i="7"/>
  <c r="BF93" i="7"/>
  <c r="BK93" i="7"/>
  <c r="BT93" i="7"/>
  <c r="BW93" i="7"/>
  <c r="BZ93" i="7"/>
  <c r="CH93" i="7"/>
  <c r="CJ93" i="7"/>
  <c r="CM93" i="7"/>
  <c r="CN93" i="7"/>
  <c r="CP93" i="7"/>
  <c r="CV93" i="7"/>
  <c r="CY93" i="7"/>
  <c r="DA93" i="7"/>
  <c r="DB93" i="7"/>
  <c r="DC93" i="7"/>
  <c r="DD93" i="7"/>
  <c r="D94" i="7"/>
  <c r="N94" i="7"/>
  <c r="Y94" i="7"/>
  <c r="BF94" i="7"/>
  <c r="BK94" i="7"/>
  <c r="BT94" i="7"/>
  <c r="BW94" i="7"/>
  <c r="BZ94" i="7"/>
  <c r="CH94" i="7"/>
  <c r="CJ94" i="7"/>
  <c r="CM94" i="7"/>
  <c r="CN94" i="7"/>
  <c r="CP94" i="7"/>
  <c r="CV94" i="7"/>
  <c r="CY94" i="7"/>
  <c r="DA94" i="7"/>
  <c r="DB94" i="7"/>
  <c r="DC94" i="7"/>
  <c r="DD94" i="7"/>
  <c r="D95" i="7"/>
  <c r="N95" i="7"/>
  <c r="Y95" i="7"/>
  <c r="BF95" i="7"/>
  <c r="BK95" i="7"/>
  <c r="BT95" i="7"/>
  <c r="BW95" i="7"/>
  <c r="BZ95" i="7"/>
  <c r="CH95" i="7"/>
  <c r="CJ95" i="7"/>
  <c r="CM95" i="7"/>
  <c r="CN95" i="7"/>
  <c r="CP95" i="7"/>
  <c r="CV95" i="7"/>
  <c r="CY95" i="7"/>
  <c r="DA95" i="7"/>
  <c r="DB95" i="7"/>
  <c r="DC95" i="7"/>
  <c r="DD95" i="7"/>
  <c r="D96" i="7"/>
  <c r="N96" i="7"/>
  <c r="Y96" i="7"/>
  <c r="BF96" i="7"/>
  <c r="BK96" i="7"/>
  <c r="BT96" i="7"/>
  <c r="BW96" i="7"/>
  <c r="BZ96" i="7"/>
  <c r="CH96" i="7"/>
  <c r="CJ96" i="7"/>
  <c r="CM96" i="7"/>
  <c r="CN96" i="7"/>
  <c r="CP96" i="7"/>
  <c r="CV96" i="7"/>
  <c r="CY96" i="7"/>
  <c r="DA96" i="7"/>
  <c r="DB96" i="7"/>
  <c r="DC96" i="7"/>
  <c r="DD96" i="7"/>
  <c r="D97" i="7"/>
  <c r="N97" i="7"/>
  <c r="Y97" i="7"/>
  <c r="BF97" i="7"/>
  <c r="BK97" i="7"/>
  <c r="BT97" i="7"/>
  <c r="BW97" i="7"/>
  <c r="BZ97" i="7"/>
  <c r="CH97" i="7"/>
  <c r="CJ97" i="7"/>
  <c r="CM97" i="7"/>
  <c r="CN97" i="7"/>
  <c r="CP97" i="7"/>
  <c r="CV97" i="7"/>
  <c r="CY97" i="7"/>
  <c r="DA97" i="7"/>
  <c r="DB97" i="7"/>
  <c r="DC97" i="7"/>
  <c r="DD97" i="7"/>
  <c r="D98" i="7"/>
  <c r="N98" i="7"/>
  <c r="Y98" i="7"/>
  <c r="BF98" i="7"/>
  <c r="BK98" i="7"/>
  <c r="BT98" i="7"/>
  <c r="BW98" i="7"/>
  <c r="BZ98" i="7"/>
  <c r="CH98" i="7"/>
  <c r="CJ98" i="7"/>
  <c r="CM98" i="7"/>
  <c r="CN98" i="7"/>
  <c r="CP98" i="7"/>
  <c r="CV98" i="7"/>
  <c r="CY98" i="7"/>
  <c r="DA98" i="7"/>
  <c r="DB98" i="7"/>
  <c r="DC98" i="7"/>
  <c r="DD98" i="7"/>
  <c r="DA99" i="7"/>
  <c r="D100" i="7"/>
  <c r="N100" i="7"/>
  <c r="Y100" i="7"/>
  <c r="BF100" i="7"/>
  <c r="BK100" i="7"/>
  <c r="BT100" i="7"/>
  <c r="BW100" i="7"/>
  <c r="BZ100" i="7"/>
  <c r="CH100" i="7"/>
  <c r="CJ100" i="7"/>
  <c r="CM100" i="7"/>
  <c r="CN100" i="7"/>
  <c r="CP100" i="7"/>
  <c r="CR100" i="7"/>
  <c r="CS100" i="7"/>
  <c r="CV100" i="7"/>
  <c r="CY100" i="7"/>
  <c r="DA100" i="7"/>
  <c r="DB100" i="7"/>
  <c r="DC100" i="7"/>
  <c r="DD100" i="7"/>
  <c r="D101" i="7"/>
  <c r="N101" i="7"/>
  <c r="Y101" i="7"/>
  <c r="BF101" i="7"/>
  <c r="BK101" i="7"/>
  <c r="BT101" i="7"/>
  <c r="BW101" i="7"/>
  <c r="BZ101" i="7"/>
  <c r="CH101" i="7"/>
  <c r="CJ101" i="7"/>
  <c r="CM101" i="7"/>
  <c r="CN101" i="7"/>
  <c r="CP101" i="7"/>
  <c r="CR101" i="7"/>
  <c r="CS101" i="7"/>
  <c r="CV101" i="7"/>
  <c r="CY101" i="7"/>
  <c r="DA101" i="7"/>
  <c r="DB101" i="7"/>
  <c r="DC101" i="7"/>
  <c r="DD101" i="7"/>
  <c r="D102" i="7"/>
  <c r="N102" i="7"/>
  <c r="Y102" i="7"/>
  <c r="BF102" i="7"/>
  <c r="BK102" i="7"/>
  <c r="BT102" i="7"/>
  <c r="BW102" i="7"/>
  <c r="BZ102" i="7"/>
  <c r="CH102" i="7"/>
  <c r="CJ102" i="7"/>
  <c r="CM102" i="7"/>
  <c r="CN102" i="7"/>
  <c r="CP102" i="7"/>
  <c r="CR102" i="7"/>
  <c r="CS102" i="7"/>
  <c r="CV102" i="7"/>
  <c r="CY102" i="7"/>
  <c r="DA102" i="7"/>
  <c r="DB102" i="7"/>
  <c r="DC102" i="7"/>
  <c r="DD102" i="7"/>
  <c r="D103" i="7"/>
  <c r="N103" i="7"/>
  <c r="Y103" i="7"/>
  <c r="BF103" i="7"/>
  <c r="BK103" i="7"/>
  <c r="BT103" i="7"/>
  <c r="BW103" i="7"/>
  <c r="BZ103" i="7"/>
  <c r="CH103" i="7"/>
  <c r="CJ103" i="7"/>
  <c r="CM103" i="7"/>
  <c r="CN103" i="7"/>
  <c r="CP103" i="7"/>
  <c r="CR103" i="7"/>
  <c r="CS103" i="7"/>
  <c r="CV103" i="7"/>
  <c r="CY103" i="7"/>
  <c r="DA103" i="7"/>
  <c r="DB103" i="7"/>
  <c r="DC103" i="7"/>
  <c r="DD103" i="7"/>
  <c r="D104" i="7"/>
  <c r="N104" i="7"/>
  <c r="Y104" i="7"/>
  <c r="BF104" i="7"/>
  <c r="BK104" i="7"/>
  <c r="BT104" i="7"/>
  <c r="BW104" i="7"/>
  <c r="BZ104" i="7"/>
  <c r="CH104" i="7"/>
  <c r="CJ104" i="7"/>
  <c r="CM104" i="7"/>
  <c r="CN104" i="7"/>
  <c r="CP104" i="7"/>
  <c r="CR104" i="7"/>
  <c r="CS104" i="7"/>
  <c r="CV104" i="7"/>
  <c r="CY104" i="7"/>
  <c r="DA104" i="7"/>
  <c r="DB104" i="7"/>
  <c r="DC104" i="7"/>
  <c r="DD104" i="7"/>
  <c r="D105" i="7"/>
  <c r="N105" i="7"/>
  <c r="Y105" i="7"/>
  <c r="BF105" i="7"/>
  <c r="BK105" i="7"/>
  <c r="BT105" i="7"/>
  <c r="BW105" i="7"/>
  <c r="BZ105" i="7"/>
  <c r="CH105" i="7"/>
  <c r="CJ105" i="7"/>
  <c r="CM105" i="7"/>
  <c r="CN105" i="7"/>
  <c r="CP105" i="7"/>
  <c r="CR105" i="7"/>
  <c r="CS105" i="7"/>
  <c r="CV105" i="7"/>
  <c r="CY105" i="7"/>
  <c r="DA105" i="7"/>
  <c r="DB105" i="7"/>
  <c r="DC105" i="7"/>
  <c r="DD105" i="7"/>
  <c r="DA106" i="7"/>
  <c r="D107" i="7"/>
  <c r="N107" i="7"/>
  <c r="Y107" i="7"/>
  <c r="BF107" i="7"/>
  <c r="BK107" i="7"/>
  <c r="BT107" i="7"/>
  <c r="BW107" i="7"/>
  <c r="BZ107" i="7"/>
  <c r="CH107" i="7"/>
  <c r="CJ107" i="7"/>
  <c r="CM107" i="7"/>
  <c r="CN107" i="7"/>
  <c r="CP107" i="7"/>
  <c r="CV107" i="7"/>
  <c r="CY107" i="7"/>
  <c r="DA107" i="7"/>
  <c r="DB107" i="7"/>
  <c r="DC107" i="7"/>
  <c r="DD107" i="7"/>
  <c r="D108" i="7"/>
  <c r="N108" i="7"/>
  <c r="Y108" i="7"/>
  <c r="BF108" i="7"/>
  <c r="BK108" i="7"/>
  <c r="BT108" i="7"/>
  <c r="BW108" i="7"/>
  <c r="BZ108" i="7"/>
  <c r="CH108" i="7"/>
  <c r="CJ108" i="7"/>
  <c r="CM108" i="7"/>
  <c r="CN108" i="7"/>
  <c r="CP108" i="7"/>
  <c r="CV108" i="7"/>
  <c r="CY108" i="7"/>
  <c r="DA108" i="7"/>
  <c r="DB108" i="7"/>
  <c r="DC108" i="7"/>
  <c r="DD108" i="7"/>
  <c r="D109" i="7"/>
  <c r="N109" i="7"/>
  <c r="Y109" i="7"/>
  <c r="BF109" i="7"/>
  <c r="BK109" i="7"/>
  <c r="BT109" i="7"/>
  <c r="BW109" i="7"/>
  <c r="BZ109" i="7"/>
  <c r="CH109" i="7"/>
  <c r="CJ109" i="7"/>
  <c r="CM109" i="7"/>
  <c r="CN109" i="7"/>
  <c r="CP109" i="7"/>
  <c r="CV109" i="7"/>
  <c r="CY109" i="7"/>
  <c r="DA109" i="7"/>
  <c r="DB109" i="7"/>
  <c r="DC109" i="7"/>
  <c r="DD109" i="7"/>
  <c r="D110" i="7"/>
  <c r="N110" i="7"/>
  <c r="Y110" i="7"/>
  <c r="BF110" i="7"/>
  <c r="BK110" i="7"/>
  <c r="BT110" i="7"/>
  <c r="BW110" i="7"/>
  <c r="BZ110" i="7"/>
  <c r="CH110" i="7"/>
  <c r="CJ110" i="7"/>
  <c r="CM110" i="7"/>
  <c r="CN110" i="7"/>
  <c r="CP110" i="7"/>
  <c r="CV110" i="7"/>
  <c r="CY110" i="7"/>
  <c r="DA110" i="7"/>
  <c r="DB110" i="7"/>
  <c r="DC110" i="7"/>
  <c r="DD110" i="7"/>
  <c r="D111" i="7"/>
  <c r="N111" i="7"/>
  <c r="Y111" i="7"/>
  <c r="BF111" i="7"/>
  <c r="BK111" i="7"/>
  <c r="BT111" i="7"/>
  <c r="BW111" i="7"/>
  <c r="BZ111" i="7"/>
  <c r="CH111" i="7"/>
  <c r="CJ111" i="7"/>
  <c r="CM111" i="7"/>
  <c r="CN111" i="7"/>
  <c r="CP111" i="7"/>
  <c r="CV111" i="7"/>
  <c r="CY111" i="7"/>
  <c r="DA111" i="7"/>
  <c r="DB111" i="7"/>
  <c r="DC111" i="7"/>
  <c r="DD111" i="7"/>
  <c r="D112" i="7"/>
  <c r="N112" i="7"/>
  <c r="Y112" i="7"/>
  <c r="BF112" i="7"/>
  <c r="BK112" i="7"/>
  <c r="BT112" i="7"/>
  <c r="BW112" i="7"/>
  <c r="BZ112" i="7"/>
  <c r="CH112" i="7"/>
  <c r="CJ112" i="7"/>
  <c r="CM112" i="7"/>
  <c r="CN112" i="7"/>
  <c r="CP112" i="7"/>
  <c r="CV112" i="7"/>
  <c r="CY112" i="7"/>
  <c r="DA112" i="7"/>
  <c r="DB112" i="7"/>
  <c r="DC112" i="7"/>
  <c r="DD112" i="7"/>
  <c r="DA114" i="7"/>
  <c r="D115" i="7"/>
  <c r="E115" i="7"/>
  <c r="F115" i="7"/>
  <c r="G115" i="7"/>
  <c r="H115" i="7"/>
  <c r="I115" i="7"/>
  <c r="J115" i="7"/>
  <c r="K115" i="7"/>
  <c r="L115" i="7"/>
  <c r="M115" i="7"/>
  <c r="N115" i="7"/>
  <c r="O115" i="7"/>
  <c r="P115" i="7"/>
  <c r="Q115" i="7"/>
  <c r="R115" i="7"/>
  <c r="S115" i="7"/>
  <c r="T115" i="7"/>
  <c r="U115" i="7"/>
  <c r="V115" i="7"/>
  <c r="W115" i="7"/>
  <c r="X115" i="7"/>
  <c r="Y115" i="7"/>
  <c r="Z115" i="7"/>
  <c r="AA115" i="7"/>
  <c r="AB115" i="7"/>
  <c r="AC115" i="7"/>
  <c r="AD115" i="7"/>
  <c r="AE115" i="7"/>
  <c r="AF115" i="7"/>
  <c r="AG115" i="7"/>
  <c r="AH115" i="7"/>
  <c r="AI115" i="7"/>
  <c r="AJ115" i="7"/>
  <c r="AK115" i="7"/>
  <c r="AL115" i="7"/>
  <c r="AM115" i="7"/>
  <c r="AN115" i="7"/>
  <c r="AO115" i="7"/>
  <c r="AP115" i="7"/>
  <c r="AQ115" i="7"/>
  <c r="AR115" i="7"/>
  <c r="AS115" i="7"/>
  <c r="AT115" i="7"/>
  <c r="AU115" i="7"/>
  <c r="AV115" i="7"/>
  <c r="AW115" i="7"/>
  <c r="AX115" i="7"/>
  <c r="AY115" i="7"/>
  <c r="AZ115" i="7"/>
  <c r="BA115" i="7"/>
  <c r="BB115" i="7"/>
  <c r="BC115" i="7"/>
  <c r="BD115" i="7"/>
  <c r="BE115" i="7"/>
  <c r="BF115" i="7"/>
  <c r="BG115" i="7"/>
  <c r="BH115" i="7"/>
  <c r="BI115" i="7"/>
  <c r="BJ115" i="7"/>
  <c r="BK115" i="7"/>
  <c r="BL115" i="7"/>
  <c r="BM115" i="7"/>
  <c r="BN115" i="7"/>
  <c r="BO115" i="7"/>
  <c r="BP115" i="7"/>
  <c r="BQ115" i="7"/>
  <c r="BR115" i="7"/>
  <c r="BS115" i="7"/>
  <c r="BT115" i="7"/>
  <c r="BU115" i="7"/>
  <c r="BV115" i="7"/>
  <c r="BW115" i="7"/>
  <c r="BX115" i="7"/>
  <c r="BY115" i="7"/>
  <c r="BZ115" i="7"/>
  <c r="CB115" i="7"/>
  <c r="CC115" i="7"/>
  <c r="CD115" i="7"/>
  <c r="CE115" i="7"/>
  <c r="CF115" i="7"/>
  <c r="CG115" i="7"/>
  <c r="CH115" i="7"/>
  <c r="CI115" i="7"/>
  <c r="CJ115" i="7"/>
  <c r="CK115" i="7"/>
  <c r="CL115" i="7"/>
  <c r="CM115" i="7"/>
  <c r="CN115" i="7"/>
  <c r="CO115" i="7"/>
  <c r="CP115" i="7"/>
  <c r="CQ115" i="7"/>
  <c r="CR115" i="7"/>
  <c r="CS115" i="7"/>
  <c r="CT115" i="7"/>
  <c r="CU115" i="7"/>
  <c r="CV115" i="7"/>
  <c r="CW115" i="7"/>
  <c r="CX115" i="7"/>
  <c r="CY115" i="7"/>
  <c r="DA115" i="7"/>
  <c r="DB115" i="7"/>
  <c r="DC115" i="7"/>
  <c r="DD115" i="7"/>
  <c r="D116" i="7"/>
  <c r="E116" i="7"/>
  <c r="F116" i="7"/>
  <c r="G116" i="7"/>
  <c r="H116" i="7"/>
  <c r="I116" i="7"/>
  <c r="J116" i="7"/>
  <c r="K116" i="7"/>
  <c r="L116" i="7"/>
  <c r="M116" i="7"/>
  <c r="N116" i="7"/>
  <c r="O116" i="7"/>
  <c r="P116" i="7"/>
  <c r="Q116" i="7"/>
  <c r="R116" i="7"/>
  <c r="S116" i="7"/>
  <c r="T116" i="7"/>
  <c r="U116" i="7"/>
  <c r="V116" i="7"/>
  <c r="W116" i="7"/>
  <c r="X116" i="7"/>
  <c r="Y116" i="7"/>
  <c r="Z116" i="7"/>
  <c r="AA116" i="7"/>
  <c r="AB116" i="7"/>
  <c r="AC116" i="7"/>
  <c r="AD116" i="7"/>
  <c r="AE116" i="7"/>
  <c r="AF116" i="7"/>
  <c r="AG116" i="7"/>
  <c r="AH116" i="7"/>
  <c r="AI116" i="7"/>
  <c r="AJ116" i="7"/>
  <c r="AK116" i="7"/>
  <c r="AL116" i="7"/>
  <c r="AM116" i="7"/>
  <c r="AN116" i="7"/>
  <c r="AO116" i="7"/>
  <c r="AP116" i="7"/>
  <c r="AQ116" i="7"/>
  <c r="AR116" i="7"/>
  <c r="AS116" i="7"/>
  <c r="AT116" i="7"/>
  <c r="AU116" i="7"/>
  <c r="AV116" i="7"/>
  <c r="AW116" i="7"/>
  <c r="AX116" i="7"/>
  <c r="AY116" i="7"/>
  <c r="AZ116" i="7"/>
  <c r="BA116" i="7"/>
  <c r="BB116" i="7"/>
  <c r="BC116" i="7"/>
  <c r="BD116" i="7"/>
  <c r="BE116" i="7"/>
  <c r="BF116" i="7"/>
  <c r="BG116" i="7"/>
  <c r="BH116" i="7"/>
  <c r="BI116" i="7"/>
  <c r="BJ116" i="7"/>
  <c r="BK116" i="7"/>
  <c r="BL116" i="7"/>
  <c r="BM116" i="7"/>
  <c r="BN116" i="7"/>
  <c r="BO116" i="7"/>
  <c r="BP116" i="7"/>
  <c r="BQ116" i="7"/>
  <c r="BR116" i="7"/>
  <c r="BS116" i="7"/>
  <c r="BT116" i="7"/>
  <c r="BU116" i="7"/>
  <c r="BV116" i="7"/>
  <c r="BW116" i="7"/>
  <c r="BX116" i="7"/>
  <c r="BY116" i="7"/>
  <c r="BZ116" i="7"/>
  <c r="CB116" i="7"/>
  <c r="CC116" i="7"/>
  <c r="CD116" i="7"/>
  <c r="CE116" i="7"/>
  <c r="CF116" i="7"/>
  <c r="CG116" i="7"/>
  <c r="CH116" i="7"/>
  <c r="CI116" i="7"/>
  <c r="CJ116" i="7"/>
  <c r="CK116" i="7"/>
  <c r="CL116" i="7"/>
  <c r="CM116" i="7"/>
  <c r="CN116" i="7"/>
  <c r="CO116" i="7"/>
  <c r="CP116" i="7"/>
  <c r="CQ116" i="7"/>
  <c r="CR116" i="7"/>
  <c r="CS116" i="7"/>
  <c r="CT116" i="7"/>
  <c r="CU116" i="7"/>
  <c r="CV116" i="7"/>
  <c r="CW116" i="7"/>
  <c r="CX116" i="7"/>
  <c r="CY116" i="7"/>
  <c r="DA116" i="7"/>
  <c r="DB116" i="7"/>
  <c r="DC116" i="7"/>
  <c r="DD116" i="7"/>
  <c r="D117" i="7"/>
  <c r="E117" i="7"/>
  <c r="F117" i="7"/>
  <c r="G117" i="7"/>
  <c r="H117" i="7"/>
  <c r="I117" i="7"/>
  <c r="J117" i="7"/>
  <c r="K117" i="7"/>
  <c r="L117" i="7"/>
  <c r="M117" i="7"/>
  <c r="N117" i="7"/>
  <c r="O117" i="7"/>
  <c r="P117" i="7"/>
  <c r="Q117" i="7"/>
  <c r="R117" i="7"/>
  <c r="S117" i="7"/>
  <c r="T117" i="7"/>
  <c r="U117" i="7"/>
  <c r="V117" i="7"/>
  <c r="W117" i="7"/>
  <c r="X117" i="7"/>
  <c r="Y117" i="7"/>
  <c r="Z117" i="7"/>
  <c r="AA117" i="7"/>
  <c r="AB117" i="7"/>
  <c r="AC117" i="7"/>
  <c r="AD117" i="7"/>
  <c r="AE117" i="7"/>
  <c r="AF117" i="7"/>
  <c r="AG117" i="7"/>
  <c r="AH117" i="7"/>
  <c r="AI117" i="7"/>
  <c r="AJ117" i="7"/>
  <c r="AK117" i="7"/>
  <c r="AL117" i="7"/>
  <c r="AM117" i="7"/>
  <c r="AN117" i="7"/>
  <c r="AO117" i="7"/>
  <c r="AP117" i="7"/>
  <c r="AQ117" i="7"/>
  <c r="AR117" i="7"/>
  <c r="AS117" i="7"/>
  <c r="AT117" i="7"/>
  <c r="AU117" i="7"/>
  <c r="AV117" i="7"/>
  <c r="AW117" i="7"/>
  <c r="AX117" i="7"/>
  <c r="AY117" i="7"/>
  <c r="AZ117" i="7"/>
  <c r="BA117" i="7"/>
  <c r="BB117" i="7"/>
  <c r="BC117" i="7"/>
  <c r="BD117" i="7"/>
  <c r="BE117" i="7"/>
  <c r="BF117" i="7"/>
  <c r="BG117" i="7"/>
  <c r="BH117" i="7"/>
  <c r="BI117" i="7"/>
  <c r="BJ117" i="7"/>
  <c r="BK117" i="7"/>
  <c r="BL117" i="7"/>
  <c r="BM117" i="7"/>
  <c r="BN117" i="7"/>
  <c r="BO117" i="7"/>
  <c r="BP117" i="7"/>
  <c r="BQ117" i="7"/>
  <c r="BR117" i="7"/>
  <c r="BS117" i="7"/>
  <c r="BT117" i="7"/>
  <c r="BU117" i="7"/>
  <c r="BV117" i="7"/>
  <c r="BW117" i="7"/>
  <c r="BX117" i="7"/>
  <c r="BY117" i="7"/>
  <c r="BZ117" i="7"/>
  <c r="CB117" i="7"/>
  <c r="CC117" i="7"/>
  <c r="CD117" i="7"/>
  <c r="CE117" i="7"/>
  <c r="CF117" i="7"/>
  <c r="CG117" i="7"/>
  <c r="CH117" i="7"/>
  <c r="CI117" i="7"/>
  <c r="CJ117" i="7"/>
  <c r="CK117" i="7"/>
  <c r="CL117" i="7"/>
  <c r="CM117" i="7"/>
  <c r="CN117" i="7"/>
  <c r="CO117" i="7"/>
  <c r="CP117" i="7"/>
  <c r="CQ117" i="7"/>
  <c r="CR117" i="7"/>
  <c r="CS117" i="7"/>
  <c r="CT117" i="7"/>
  <c r="CU117" i="7"/>
  <c r="CV117" i="7"/>
  <c r="CW117" i="7"/>
  <c r="CX117" i="7"/>
  <c r="CY117" i="7"/>
  <c r="DA117" i="7"/>
  <c r="DB117" i="7"/>
  <c r="DC117" i="7"/>
  <c r="DD117" i="7"/>
  <c r="D118" i="7"/>
  <c r="E118" i="7"/>
  <c r="F118" i="7"/>
  <c r="G118" i="7"/>
  <c r="H118" i="7"/>
  <c r="I118" i="7"/>
  <c r="J118" i="7"/>
  <c r="K118" i="7"/>
  <c r="L118" i="7"/>
  <c r="M118" i="7"/>
  <c r="N118" i="7"/>
  <c r="O118" i="7"/>
  <c r="P118" i="7"/>
  <c r="Q118" i="7"/>
  <c r="R118" i="7"/>
  <c r="S118" i="7"/>
  <c r="T118" i="7"/>
  <c r="U118" i="7"/>
  <c r="V118" i="7"/>
  <c r="W118" i="7"/>
  <c r="X118" i="7"/>
  <c r="Y118" i="7"/>
  <c r="Z118" i="7"/>
  <c r="AA118" i="7"/>
  <c r="AB118" i="7"/>
  <c r="AC118" i="7"/>
  <c r="AD118" i="7"/>
  <c r="AE118" i="7"/>
  <c r="AF118" i="7"/>
  <c r="AG118" i="7"/>
  <c r="AH118" i="7"/>
  <c r="AI118" i="7"/>
  <c r="AJ118" i="7"/>
  <c r="AK118" i="7"/>
  <c r="AL118" i="7"/>
  <c r="AM118" i="7"/>
  <c r="AN118" i="7"/>
  <c r="AO118" i="7"/>
  <c r="AP118" i="7"/>
  <c r="AQ118" i="7"/>
  <c r="AR118" i="7"/>
  <c r="AS118" i="7"/>
  <c r="AT118" i="7"/>
  <c r="AU118" i="7"/>
  <c r="AV118" i="7"/>
  <c r="AW118" i="7"/>
  <c r="AX118" i="7"/>
  <c r="AY118" i="7"/>
  <c r="AZ118" i="7"/>
  <c r="BA118" i="7"/>
  <c r="BB118" i="7"/>
  <c r="BC118" i="7"/>
  <c r="BD118" i="7"/>
  <c r="BE118" i="7"/>
  <c r="BF118" i="7"/>
  <c r="BG118" i="7"/>
  <c r="BH118" i="7"/>
  <c r="BI118" i="7"/>
  <c r="BJ118" i="7"/>
  <c r="BK118" i="7"/>
  <c r="BL118" i="7"/>
  <c r="BM118" i="7"/>
  <c r="BN118" i="7"/>
  <c r="BO118" i="7"/>
  <c r="BP118" i="7"/>
  <c r="BQ118" i="7"/>
  <c r="BR118" i="7"/>
  <c r="BS118" i="7"/>
  <c r="BT118" i="7"/>
  <c r="BU118" i="7"/>
  <c r="BV118" i="7"/>
  <c r="BW118" i="7"/>
  <c r="BX118" i="7"/>
  <c r="BY118" i="7"/>
  <c r="BZ118" i="7"/>
  <c r="CB118" i="7"/>
  <c r="CC118" i="7"/>
  <c r="CD118" i="7"/>
  <c r="CE118" i="7"/>
  <c r="CF118" i="7"/>
  <c r="CG118" i="7"/>
  <c r="CH118" i="7"/>
  <c r="CI118" i="7"/>
  <c r="CJ118" i="7"/>
  <c r="CK118" i="7"/>
  <c r="CL118" i="7"/>
  <c r="CM118" i="7"/>
  <c r="CN118" i="7"/>
  <c r="CO118" i="7"/>
  <c r="CP118" i="7"/>
  <c r="CQ118" i="7"/>
  <c r="CR118" i="7"/>
  <c r="CS118" i="7"/>
  <c r="CT118" i="7"/>
  <c r="CU118" i="7"/>
  <c r="CV118" i="7"/>
  <c r="CW118" i="7"/>
  <c r="CX118" i="7"/>
  <c r="CY118" i="7"/>
  <c r="DA118" i="7"/>
  <c r="DB118" i="7"/>
  <c r="DC118" i="7"/>
  <c r="DD118" i="7"/>
  <c r="D119" i="7"/>
  <c r="E119" i="7"/>
  <c r="F119" i="7"/>
  <c r="G119" i="7"/>
  <c r="H119" i="7"/>
  <c r="I119" i="7"/>
  <c r="J119" i="7"/>
  <c r="K119" i="7"/>
  <c r="L119" i="7"/>
  <c r="M119" i="7"/>
  <c r="N119" i="7"/>
  <c r="O119" i="7"/>
  <c r="P119" i="7"/>
  <c r="Q119" i="7"/>
  <c r="R119" i="7"/>
  <c r="S119" i="7"/>
  <c r="T119" i="7"/>
  <c r="U119" i="7"/>
  <c r="V119" i="7"/>
  <c r="W119" i="7"/>
  <c r="X119" i="7"/>
  <c r="Y119" i="7"/>
  <c r="Z119" i="7"/>
  <c r="AA119" i="7"/>
  <c r="AB119" i="7"/>
  <c r="AC119" i="7"/>
  <c r="AD119" i="7"/>
  <c r="AE119" i="7"/>
  <c r="AF119" i="7"/>
  <c r="AG119" i="7"/>
  <c r="AH119" i="7"/>
  <c r="AI119" i="7"/>
  <c r="AJ119" i="7"/>
  <c r="AK119" i="7"/>
  <c r="AL119" i="7"/>
  <c r="AM119" i="7"/>
  <c r="AN119" i="7"/>
  <c r="AO119" i="7"/>
  <c r="AP119" i="7"/>
  <c r="AQ119" i="7"/>
  <c r="AR119" i="7"/>
  <c r="AS119" i="7"/>
  <c r="AT119" i="7"/>
  <c r="AU119" i="7"/>
  <c r="AV119" i="7"/>
  <c r="AW119" i="7"/>
  <c r="AX119" i="7"/>
  <c r="AY119" i="7"/>
  <c r="AZ119" i="7"/>
  <c r="BA119" i="7"/>
  <c r="BB119" i="7"/>
  <c r="BC119" i="7"/>
  <c r="BD119" i="7"/>
  <c r="BE119" i="7"/>
  <c r="BF119" i="7"/>
  <c r="BG119" i="7"/>
  <c r="BH119" i="7"/>
  <c r="BI119" i="7"/>
  <c r="BJ119" i="7"/>
  <c r="BK119" i="7"/>
  <c r="BL119" i="7"/>
  <c r="BM119" i="7"/>
  <c r="BN119" i="7"/>
  <c r="BO119" i="7"/>
  <c r="BP119" i="7"/>
  <c r="BQ119" i="7"/>
  <c r="BR119" i="7"/>
  <c r="BS119" i="7"/>
  <c r="BT119" i="7"/>
  <c r="BU119" i="7"/>
  <c r="BV119" i="7"/>
  <c r="BW119" i="7"/>
  <c r="BX119" i="7"/>
  <c r="BY119" i="7"/>
  <c r="BZ119" i="7"/>
  <c r="CB119" i="7"/>
  <c r="CC119" i="7"/>
  <c r="CD119" i="7"/>
  <c r="CE119" i="7"/>
  <c r="CF119" i="7"/>
  <c r="CG119" i="7"/>
  <c r="CH119" i="7"/>
  <c r="CI119" i="7"/>
  <c r="CJ119" i="7"/>
  <c r="CK119" i="7"/>
  <c r="CL119" i="7"/>
  <c r="CM119" i="7"/>
  <c r="CN119" i="7"/>
  <c r="CO119" i="7"/>
  <c r="CP119" i="7"/>
  <c r="CQ119" i="7"/>
  <c r="CR119" i="7"/>
  <c r="CS119" i="7"/>
  <c r="CT119" i="7"/>
  <c r="CU119" i="7"/>
  <c r="CV119" i="7"/>
  <c r="CW119" i="7"/>
  <c r="CX119" i="7"/>
  <c r="CY119" i="7"/>
  <c r="DA119" i="7"/>
  <c r="DB119" i="7"/>
  <c r="DC119" i="7"/>
  <c r="DD119" i="7"/>
  <c r="D120" i="7"/>
  <c r="E120" i="7"/>
  <c r="F120" i="7"/>
  <c r="G120" i="7"/>
  <c r="H120" i="7"/>
  <c r="I120" i="7"/>
  <c r="J120" i="7"/>
  <c r="K120" i="7"/>
  <c r="L120" i="7"/>
  <c r="M120" i="7"/>
  <c r="N120" i="7"/>
  <c r="O120" i="7"/>
  <c r="P120" i="7"/>
  <c r="Q120" i="7"/>
  <c r="R120" i="7"/>
  <c r="S120" i="7"/>
  <c r="T120" i="7"/>
  <c r="U120" i="7"/>
  <c r="V120" i="7"/>
  <c r="W120" i="7"/>
  <c r="X120" i="7"/>
  <c r="Y120" i="7"/>
  <c r="Z120" i="7"/>
  <c r="AA120" i="7"/>
  <c r="AB120" i="7"/>
  <c r="AC120" i="7"/>
  <c r="AD120" i="7"/>
  <c r="AE120" i="7"/>
  <c r="AF120" i="7"/>
  <c r="AG120" i="7"/>
  <c r="AH120" i="7"/>
  <c r="AI120" i="7"/>
  <c r="AJ120" i="7"/>
  <c r="AK120" i="7"/>
  <c r="AL120" i="7"/>
  <c r="AM120" i="7"/>
  <c r="AN120" i="7"/>
  <c r="AO120" i="7"/>
  <c r="AP120" i="7"/>
  <c r="AQ120" i="7"/>
  <c r="AR120" i="7"/>
  <c r="AS120" i="7"/>
  <c r="AT120" i="7"/>
  <c r="AU120" i="7"/>
  <c r="AV120" i="7"/>
  <c r="AW120" i="7"/>
  <c r="AX120" i="7"/>
  <c r="AY120" i="7"/>
  <c r="AZ120" i="7"/>
  <c r="BA120" i="7"/>
  <c r="BB120" i="7"/>
  <c r="BC120" i="7"/>
  <c r="BD120" i="7"/>
  <c r="BE120" i="7"/>
  <c r="BF120" i="7"/>
  <c r="BG120" i="7"/>
  <c r="BH120" i="7"/>
  <c r="BI120" i="7"/>
  <c r="BJ120" i="7"/>
  <c r="BK120" i="7"/>
  <c r="BL120" i="7"/>
  <c r="BM120" i="7"/>
  <c r="BN120" i="7"/>
  <c r="BO120" i="7"/>
  <c r="BP120" i="7"/>
  <c r="BQ120" i="7"/>
  <c r="BR120" i="7"/>
  <c r="BS120" i="7"/>
  <c r="BT120" i="7"/>
  <c r="BU120" i="7"/>
  <c r="BV120" i="7"/>
  <c r="BW120" i="7"/>
  <c r="BX120" i="7"/>
  <c r="BY120" i="7"/>
  <c r="BZ120" i="7"/>
  <c r="CB120" i="7"/>
  <c r="CC120" i="7"/>
  <c r="CD120" i="7"/>
  <c r="CE120" i="7"/>
  <c r="CF120" i="7"/>
  <c r="CG120" i="7"/>
  <c r="CH120" i="7"/>
  <c r="CI120" i="7"/>
  <c r="CJ120" i="7"/>
  <c r="CK120" i="7"/>
  <c r="CL120" i="7"/>
  <c r="CM120" i="7"/>
  <c r="CN120" i="7"/>
  <c r="CO120" i="7"/>
  <c r="CP120" i="7"/>
  <c r="CQ120" i="7"/>
  <c r="CR120" i="7"/>
  <c r="CS120" i="7"/>
  <c r="CT120" i="7"/>
  <c r="CU120" i="7"/>
  <c r="CV120" i="7"/>
  <c r="CW120" i="7"/>
  <c r="CX120" i="7"/>
  <c r="CY120" i="7"/>
  <c r="DA120" i="7"/>
  <c r="DB120" i="7"/>
  <c r="DC120" i="7"/>
  <c r="DD120" i="7"/>
  <c r="D122" i="7"/>
  <c r="E122" i="7"/>
  <c r="F122" i="7"/>
  <c r="G122" i="7"/>
  <c r="H122" i="7"/>
  <c r="I122" i="7"/>
  <c r="J122" i="7"/>
  <c r="K122" i="7"/>
  <c r="L122" i="7"/>
  <c r="M122" i="7"/>
  <c r="N122" i="7"/>
  <c r="O122" i="7"/>
  <c r="P122" i="7"/>
  <c r="Q122" i="7"/>
  <c r="R122" i="7"/>
  <c r="S122" i="7"/>
  <c r="T122" i="7"/>
  <c r="U122" i="7"/>
  <c r="V122" i="7"/>
  <c r="W122" i="7"/>
  <c r="X122" i="7"/>
  <c r="Y122" i="7"/>
  <c r="Z122" i="7"/>
  <c r="AA122" i="7"/>
  <c r="AB122" i="7"/>
  <c r="AC122" i="7"/>
  <c r="AD122" i="7"/>
  <c r="AE122" i="7"/>
  <c r="AF122" i="7"/>
  <c r="AG122" i="7"/>
  <c r="AH122" i="7"/>
  <c r="AI122" i="7"/>
  <c r="AJ122" i="7"/>
  <c r="AK122" i="7"/>
  <c r="AL122" i="7"/>
  <c r="AM122" i="7"/>
  <c r="AN122" i="7"/>
  <c r="AO122" i="7"/>
  <c r="AP122" i="7"/>
  <c r="AQ122" i="7"/>
  <c r="AR122" i="7"/>
  <c r="AS122" i="7"/>
  <c r="AT122" i="7"/>
  <c r="AU122" i="7"/>
  <c r="AV122" i="7"/>
  <c r="AW122" i="7"/>
  <c r="AX122" i="7"/>
  <c r="AY122" i="7"/>
  <c r="AZ122" i="7"/>
  <c r="BA122" i="7"/>
  <c r="BB122" i="7"/>
  <c r="BC122" i="7"/>
  <c r="BD122" i="7"/>
  <c r="BE122" i="7"/>
  <c r="BF122" i="7"/>
  <c r="BG122" i="7"/>
  <c r="BH122" i="7"/>
  <c r="BI122" i="7"/>
  <c r="BJ122" i="7"/>
  <c r="BK122" i="7"/>
  <c r="BL122" i="7"/>
  <c r="BM122" i="7"/>
  <c r="BN122" i="7"/>
  <c r="BO122" i="7"/>
  <c r="BP122" i="7"/>
  <c r="BQ122" i="7"/>
  <c r="BR122" i="7"/>
  <c r="BS122" i="7"/>
  <c r="BT122" i="7"/>
  <c r="BU122" i="7"/>
  <c r="BV122" i="7"/>
  <c r="BW122" i="7"/>
  <c r="BX122" i="7"/>
  <c r="BY122" i="7"/>
  <c r="BZ122" i="7"/>
  <c r="CB122" i="7"/>
  <c r="CC122" i="7"/>
  <c r="CD122" i="7"/>
  <c r="CE122" i="7"/>
  <c r="CF122" i="7"/>
  <c r="CG122" i="7"/>
  <c r="CH122" i="7"/>
  <c r="CI122" i="7"/>
  <c r="CJ122" i="7"/>
  <c r="CK122" i="7"/>
  <c r="CL122" i="7"/>
  <c r="CM122" i="7"/>
  <c r="CN122" i="7"/>
  <c r="CO122" i="7"/>
  <c r="CP122" i="7"/>
  <c r="CQ122" i="7"/>
  <c r="CR122" i="7"/>
  <c r="CS122" i="7"/>
  <c r="CT122" i="7"/>
  <c r="CU122" i="7"/>
  <c r="CV122" i="7"/>
  <c r="CW122" i="7"/>
  <c r="CX122" i="7"/>
  <c r="CY122" i="7"/>
  <c r="DA122" i="7"/>
  <c r="DB122" i="7"/>
  <c r="DC122" i="7"/>
  <c r="DD122" i="7"/>
  <c r="D123" i="7"/>
  <c r="E123" i="7"/>
  <c r="F123" i="7"/>
  <c r="G123" i="7"/>
  <c r="H123" i="7"/>
  <c r="I123" i="7"/>
  <c r="J123" i="7"/>
  <c r="K123" i="7"/>
  <c r="L123" i="7"/>
  <c r="M123" i="7"/>
  <c r="N123" i="7"/>
  <c r="O123" i="7"/>
  <c r="P123" i="7"/>
  <c r="Q123" i="7"/>
  <c r="R123" i="7"/>
  <c r="S123" i="7"/>
  <c r="T123" i="7"/>
  <c r="U123" i="7"/>
  <c r="V123" i="7"/>
  <c r="W123" i="7"/>
  <c r="X123" i="7"/>
  <c r="Y123" i="7"/>
  <c r="Z123" i="7"/>
  <c r="AA123" i="7"/>
  <c r="AB123" i="7"/>
  <c r="AC123" i="7"/>
  <c r="AD123" i="7"/>
  <c r="AE123" i="7"/>
  <c r="AF123" i="7"/>
  <c r="AG123" i="7"/>
  <c r="AH123" i="7"/>
  <c r="AI123" i="7"/>
  <c r="AJ123" i="7"/>
  <c r="AK123" i="7"/>
  <c r="AL123" i="7"/>
  <c r="AM123" i="7"/>
  <c r="AN123" i="7"/>
  <c r="AO123" i="7"/>
  <c r="AP123" i="7"/>
  <c r="AQ123" i="7"/>
  <c r="AR123" i="7"/>
  <c r="AS123" i="7"/>
  <c r="AT123" i="7"/>
  <c r="AU123" i="7"/>
  <c r="AV123" i="7"/>
  <c r="AW123" i="7"/>
  <c r="AX123" i="7"/>
  <c r="AY123" i="7"/>
  <c r="AZ123" i="7"/>
  <c r="BA123" i="7"/>
  <c r="BB123" i="7"/>
  <c r="BC123" i="7"/>
  <c r="BD123" i="7"/>
  <c r="BE123" i="7"/>
  <c r="BF123" i="7"/>
  <c r="BG123" i="7"/>
  <c r="BH123" i="7"/>
  <c r="BI123" i="7"/>
  <c r="BJ123" i="7"/>
  <c r="BK123" i="7"/>
  <c r="BL123" i="7"/>
  <c r="BM123" i="7"/>
  <c r="BN123" i="7"/>
  <c r="BO123" i="7"/>
  <c r="BP123" i="7"/>
  <c r="BQ123" i="7"/>
  <c r="BR123" i="7"/>
  <c r="BS123" i="7"/>
  <c r="BT123" i="7"/>
  <c r="BU123" i="7"/>
  <c r="BV123" i="7"/>
  <c r="BW123" i="7"/>
  <c r="BX123" i="7"/>
  <c r="BY123" i="7"/>
  <c r="BZ123" i="7"/>
  <c r="CB123" i="7"/>
  <c r="CC123" i="7"/>
  <c r="CD123" i="7"/>
  <c r="CE123" i="7"/>
  <c r="CF123" i="7"/>
  <c r="CG123" i="7"/>
  <c r="CH123" i="7"/>
  <c r="CI123" i="7"/>
  <c r="CJ123" i="7"/>
  <c r="CK123" i="7"/>
  <c r="CL123" i="7"/>
  <c r="CM123" i="7"/>
  <c r="CN123" i="7"/>
  <c r="CO123" i="7"/>
  <c r="CP123" i="7"/>
  <c r="CQ123" i="7"/>
  <c r="CR123" i="7"/>
  <c r="CS123" i="7"/>
  <c r="CT123" i="7"/>
  <c r="CU123" i="7"/>
  <c r="CV123" i="7"/>
  <c r="CW123" i="7"/>
  <c r="CX123" i="7"/>
  <c r="CY123" i="7"/>
  <c r="DA123" i="7"/>
  <c r="DC125" i="7"/>
  <c r="DD125" i="7"/>
  <c r="D126" i="7"/>
  <c r="E126" i="7"/>
  <c r="F126" i="7"/>
  <c r="G126" i="7"/>
  <c r="H126" i="7"/>
  <c r="I126" i="7"/>
  <c r="J126" i="7"/>
  <c r="K126" i="7"/>
  <c r="L126" i="7"/>
  <c r="M126" i="7"/>
  <c r="N126" i="7"/>
  <c r="O126" i="7"/>
  <c r="P126" i="7"/>
  <c r="Q126" i="7"/>
  <c r="R126" i="7"/>
  <c r="S126" i="7"/>
  <c r="T126" i="7"/>
  <c r="U126" i="7"/>
  <c r="V126" i="7"/>
  <c r="W126" i="7"/>
  <c r="X126" i="7"/>
  <c r="Y126" i="7"/>
  <c r="Z126" i="7"/>
  <c r="AA126" i="7"/>
  <c r="AB126" i="7"/>
  <c r="AC126" i="7"/>
  <c r="AD126" i="7"/>
  <c r="AE126" i="7"/>
  <c r="AF126" i="7"/>
  <c r="AG126" i="7"/>
  <c r="AH126" i="7"/>
  <c r="AI126" i="7"/>
  <c r="AJ126" i="7"/>
  <c r="AK126" i="7"/>
  <c r="AL126" i="7"/>
  <c r="AM126" i="7"/>
  <c r="AN126" i="7"/>
  <c r="AO126" i="7"/>
  <c r="AP126" i="7"/>
  <c r="AQ126" i="7"/>
  <c r="AR126" i="7"/>
  <c r="AS126" i="7"/>
  <c r="AT126" i="7"/>
  <c r="AU126" i="7"/>
  <c r="AV126" i="7"/>
  <c r="AW126" i="7"/>
  <c r="AX126" i="7"/>
  <c r="AY126" i="7"/>
  <c r="AZ126" i="7"/>
  <c r="BA126" i="7"/>
  <c r="BB126" i="7"/>
  <c r="BC126" i="7"/>
  <c r="BD126" i="7"/>
  <c r="BE126" i="7"/>
  <c r="BF126" i="7"/>
  <c r="BG126" i="7"/>
  <c r="BH126" i="7"/>
  <c r="BI126" i="7"/>
  <c r="BJ126" i="7"/>
  <c r="BK126" i="7"/>
  <c r="BL126" i="7"/>
  <c r="BM126" i="7"/>
  <c r="BN126" i="7"/>
  <c r="BO126" i="7"/>
  <c r="BP126" i="7"/>
  <c r="BQ126" i="7"/>
  <c r="BR126" i="7"/>
  <c r="BS126" i="7"/>
  <c r="BT126" i="7"/>
  <c r="BU126" i="7"/>
  <c r="BV126" i="7"/>
  <c r="BW126" i="7"/>
  <c r="BX126" i="7"/>
  <c r="BY126" i="7"/>
  <c r="CB126" i="7"/>
  <c r="CC126" i="7"/>
  <c r="CD126" i="7"/>
  <c r="CE126" i="7"/>
  <c r="CF126" i="7"/>
  <c r="CG126" i="7"/>
  <c r="CH126" i="7"/>
  <c r="CI126" i="7"/>
  <c r="CJ126" i="7"/>
  <c r="CK126" i="7"/>
  <c r="CL126" i="7"/>
  <c r="CM126" i="7"/>
  <c r="CN126" i="7"/>
  <c r="CO126" i="7"/>
  <c r="CP126" i="7"/>
  <c r="CQ126" i="7"/>
  <c r="CR126" i="7"/>
  <c r="CS126" i="7"/>
  <c r="CT126" i="7"/>
  <c r="CU126" i="7"/>
  <c r="CV126" i="7"/>
  <c r="CW126" i="7"/>
  <c r="CX126" i="7"/>
  <c r="DC126" i="7"/>
  <c r="DD126" i="7"/>
  <c r="D127" i="7"/>
  <c r="E127" i="7"/>
  <c r="F127" i="7"/>
  <c r="G127" i="7"/>
  <c r="H127" i="7"/>
  <c r="I127" i="7"/>
  <c r="J127" i="7"/>
  <c r="K127" i="7"/>
  <c r="L127" i="7"/>
  <c r="M127" i="7"/>
  <c r="N127" i="7"/>
  <c r="O127" i="7"/>
  <c r="P127" i="7"/>
  <c r="Q127" i="7"/>
  <c r="R127" i="7"/>
  <c r="S127" i="7"/>
  <c r="T127" i="7"/>
  <c r="U127" i="7"/>
  <c r="V127" i="7"/>
  <c r="W127" i="7"/>
  <c r="X127" i="7"/>
  <c r="Y127" i="7"/>
  <c r="Z127" i="7"/>
  <c r="AA127" i="7"/>
  <c r="AB127" i="7"/>
  <c r="AC127" i="7"/>
  <c r="AD127" i="7"/>
  <c r="AE127" i="7"/>
  <c r="AF127" i="7"/>
  <c r="AG127" i="7"/>
  <c r="AH127" i="7"/>
  <c r="AI127" i="7"/>
  <c r="AJ127" i="7"/>
  <c r="AK127" i="7"/>
  <c r="AL127" i="7"/>
  <c r="AM127" i="7"/>
  <c r="AN127" i="7"/>
  <c r="AO127" i="7"/>
  <c r="AP127" i="7"/>
  <c r="AQ127" i="7"/>
  <c r="AR127" i="7"/>
  <c r="AS127" i="7"/>
  <c r="AT127" i="7"/>
  <c r="AU127" i="7"/>
  <c r="AV127" i="7"/>
  <c r="AW127" i="7"/>
  <c r="AX127" i="7"/>
  <c r="AY127" i="7"/>
  <c r="AZ127" i="7"/>
  <c r="BA127" i="7"/>
  <c r="BB127" i="7"/>
  <c r="BC127" i="7"/>
  <c r="BD127" i="7"/>
  <c r="BE127" i="7"/>
  <c r="BF127" i="7"/>
  <c r="BG127" i="7"/>
  <c r="BH127" i="7"/>
  <c r="BI127" i="7"/>
  <c r="BJ127" i="7"/>
  <c r="BK127" i="7"/>
  <c r="BL127" i="7"/>
  <c r="BM127" i="7"/>
  <c r="BN127" i="7"/>
  <c r="BO127" i="7"/>
  <c r="BP127" i="7"/>
  <c r="BQ127" i="7"/>
  <c r="BR127" i="7"/>
  <c r="BS127" i="7"/>
  <c r="BT127" i="7"/>
  <c r="BU127" i="7"/>
  <c r="BV127" i="7"/>
  <c r="BW127" i="7"/>
  <c r="BX127" i="7"/>
  <c r="BY127" i="7"/>
  <c r="CB127" i="7"/>
  <c r="CC127" i="7"/>
  <c r="CD127" i="7"/>
  <c r="CE127" i="7"/>
  <c r="CF127" i="7"/>
  <c r="CG127" i="7"/>
  <c r="CH127" i="7"/>
  <c r="CI127" i="7"/>
  <c r="CJ127" i="7"/>
  <c r="CK127" i="7"/>
  <c r="CL127" i="7"/>
  <c r="CM127" i="7"/>
  <c r="CN127" i="7"/>
  <c r="CO127" i="7"/>
  <c r="CP127" i="7"/>
  <c r="CQ127" i="7"/>
  <c r="CR127" i="7"/>
  <c r="CS127" i="7"/>
  <c r="CT127" i="7"/>
  <c r="CU127" i="7"/>
  <c r="CV127" i="7"/>
  <c r="CW127" i="7"/>
  <c r="CX127" i="7"/>
  <c r="DC127" i="7"/>
  <c r="DD127" i="7"/>
  <c r="D128" i="7"/>
  <c r="E128" i="7"/>
  <c r="F128" i="7"/>
  <c r="G128" i="7"/>
  <c r="H128" i="7"/>
  <c r="I128" i="7"/>
  <c r="J128" i="7"/>
  <c r="K128" i="7"/>
  <c r="L128" i="7"/>
  <c r="M128" i="7"/>
  <c r="N128" i="7"/>
  <c r="O128" i="7"/>
  <c r="P128" i="7"/>
  <c r="Q128" i="7"/>
  <c r="R128" i="7"/>
  <c r="S128" i="7"/>
  <c r="T128" i="7"/>
  <c r="U128" i="7"/>
  <c r="V128" i="7"/>
  <c r="W128" i="7"/>
  <c r="X128" i="7"/>
  <c r="Y128" i="7"/>
  <c r="Z128" i="7"/>
  <c r="AA128" i="7"/>
  <c r="AB128" i="7"/>
  <c r="AC128" i="7"/>
  <c r="AD128" i="7"/>
  <c r="AE128" i="7"/>
  <c r="AF128" i="7"/>
  <c r="AG128" i="7"/>
  <c r="AH128" i="7"/>
  <c r="AI128" i="7"/>
  <c r="AJ128" i="7"/>
  <c r="AK128" i="7"/>
  <c r="AL128" i="7"/>
  <c r="AM128" i="7"/>
  <c r="AN128" i="7"/>
  <c r="AO128" i="7"/>
  <c r="AP128" i="7"/>
  <c r="AQ128" i="7"/>
  <c r="AR128" i="7"/>
  <c r="AS128" i="7"/>
  <c r="AT128" i="7"/>
  <c r="AU128" i="7"/>
  <c r="AV128" i="7"/>
  <c r="AW128" i="7"/>
  <c r="AX128" i="7"/>
  <c r="AY128" i="7"/>
  <c r="AZ128" i="7"/>
  <c r="BA128" i="7"/>
  <c r="BB128" i="7"/>
  <c r="BC128" i="7"/>
  <c r="BD128" i="7"/>
  <c r="BE128" i="7"/>
  <c r="BF128" i="7"/>
  <c r="BG128" i="7"/>
  <c r="BH128" i="7"/>
  <c r="BI128" i="7"/>
  <c r="BJ128" i="7"/>
  <c r="BK128" i="7"/>
  <c r="BL128" i="7"/>
  <c r="BM128" i="7"/>
  <c r="BN128" i="7"/>
  <c r="BO128" i="7"/>
  <c r="BP128" i="7"/>
  <c r="BQ128" i="7"/>
  <c r="BR128" i="7"/>
  <c r="BS128" i="7"/>
  <c r="BT128" i="7"/>
  <c r="BU128" i="7"/>
  <c r="BV128" i="7"/>
  <c r="BW128" i="7"/>
  <c r="BX128" i="7"/>
  <c r="BY128" i="7"/>
  <c r="CB128" i="7"/>
  <c r="CC128" i="7"/>
  <c r="CD128" i="7"/>
  <c r="CE128" i="7"/>
  <c r="CF128" i="7"/>
  <c r="CG128" i="7"/>
  <c r="CH128" i="7"/>
  <c r="CI128" i="7"/>
  <c r="CJ128" i="7"/>
  <c r="CK128" i="7"/>
  <c r="CL128" i="7"/>
  <c r="CM128" i="7"/>
  <c r="CN128" i="7"/>
  <c r="CO128" i="7"/>
  <c r="CP128" i="7"/>
  <c r="CQ128" i="7"/>
  <c r="CR128" i="7"/>
  <c r="CS128" i="7"/>
  <c r="CT128" i="7"/>
  <c r="CU128" i="7"/>
  <c r="CV128" i="7"/>
  <c r="CW128" i="7"/>
  <c r="CX128" i="7"/>
  <c r="DC128" i="7"/>
  <c r="DD128" i="7"/>
  <c r="D131" i="7"/>
  <c r="E131" i="7"/>
  <c r="F131" i="7"/>
  <c r="G131" i="7"/>
  <c r="H131" i="7"/>
  <c r="I131" i="7"/>
  <c r="J131" i="7"/>
  <c r="K131" i="7"/>
  <c r="L131" i="7"/>
  <c r="M131" i="7"/>
  <c r="N131" i="7"/>
  <c r="O131" i="7"/>
  <c r="P131" i="7"/>
  <c r="Q131" i="7"/>
  <c r="R131" i="7"/>
  <c r="S131" i="7"/>
  <c r="T131" i="7"/>
  <c r="U131" i="7"/>
  <c r="V131" i="7"/>
  <c r="W131" i="7"/>
  <c r="X131" i="7"/>
  <c r="Y131" i="7"/>
  <c r="Z131" i="7"/>
  <c r="AA131" i="7"/>
  <c r="AB131" i="7"/>
  <c r="AC131" i="7"/>
  <c r="AD131" i="7"/>
  <c r="AE131" i="7"/>
  <c r="AF131" i="7"/>
  <c r="AG131" i="7"/>
  <c r="AH131" i="7"/>
  <c r="AI131" i="7"/>
  <c r="AJ131" i="7"/>
  <c r="AK131" i="7"/>
  <c r="AL131" i="7"/>
  <c r="AM131" i="7"/>
  <c r="AN131" i="7"/>
  <c r="AO131" i="7"/>
  <c r="AP131" i="7"/>
  <c r="AQ131" i="7"/>
  <c r="AR131" i="7"/>
  <c r="AS131" i="7"/>
  <c r="AT131" i="7"/>
  <c r="AU131" i="7"/>
  <c r="AV131" i="7"/>
  <c r="AW131" i="7"/>
  <c r="AX131" i="7"/>
  <c r="AY131" i="7"/>
  <c r="AZ131" i="7"/>
  <c r="BA131" i="7"/>
  <c r="BB131" i="7"/>
  <c r="BC131" i="7"/>
  <c r="BD131" i="7"/>
  <c r="BE131" i="7"/>
  <c r="BF131" i="7"/>
  <c r="BG131" i="7"/>
  <c r="BH131" i="7"/>
  <c r="BI131" i="7"/>
  <c r="BJ131" i="7"/>
  <c r="BK131" i="7"/>
  <c r="BL131" i="7"/>
  <c r="BM131" i="7"/>
  <c r="BN131" i="7"/>
  <c r="BO131" i="7"/>
  <c r="BP131" i="7"/>
  <c r="BQ131" i="7"/>
  <c r="BR131" i="7"/>
  <c r="BS131" i="7"/>
  <c r="BT131" i="7"/>
  <c r="BU131" i="7"/>
  <c r="BV131" i="7"/>
  <c r="BW131" i="7"/>
  <c r="BX131" i="7"/>
  <c r="BY131" i="7"/>
  <c r="CB131" i="7"/>
  <c r="CC131" i="7"/>
  <c r="CD131" i="7"/>
  <c r="CE131" i="7"/>
  <c r="CF131" i="7"/>
  <c r="CG131" i="7"/>
  <c r="CH131" i="7"/>
  <c r="CI131" i="7"/>
  <c r="CJ131" i="7"/>
  <c r="CK131" i="7"/>
  <c r="CL131" i="7"/>
  <c r="CM131" i="7"/>
  <c r="CN131" i="7"/>
  <c r="CO131" i="7"/>
  <c r="CP131" i="7"/>
  <c r="CQ131" i="7"/>
  <c r="CR131" i="7"/>
  <c r="CS131" i="7"/>
  <c r="CT131" i="7"/>
  <c r="CU131" i="7"/>
  <c r="CV131" i="7"/>
  <c r="CW131" i="7"/>
  <c r="CX131" i="7"/>
  <c r="DC131" i="7"/>
  <c r="DD131" i="7"/>
  <c r="D132" i="7"/>
  <c r="E132" i="7"/>
  <c r="F132" i="7"/>
  <c r="G132" i="7"/>
  <c r="H132" i="7"/>
  <c r="I132" i="7"/>
  <c r="J132" i="7"/>
  <c r="K132" i="7"/>
  <c r="L132" i="7"/>
  <c r="M132" i="7"/>
  <c r="N132" i="7"/>
  <c r="O132" i="7"/>
  <c r="P132" i="7"/>
  <c r="Q132" i="7"/>
  <c r="R132" i="7"/>
  <c r="S132" i="7"/>
  <c r="T132" i="7"/>
  <c r="U132" i="7"/>
  <c r="V132" i="7"/>
  <c r="W132" i="7"/>
  <c r="X132" i="7"/>
  <c r="Y132" i="7"/>
  <c r="Z132" i="7"/>
  <c r="AA132" i="7"/>
  <c r="AB132" i="7"/>
  <c r="AC132" i="7"/>
  <c r="AD132" i="7"/>
  <c r="AE132" i="7"/>
  <c r="AF132" i="7"/>
  <c r="AG132" i="7"/>
  <c r="AH132" i="7"/>
  <c r="AI132" i="7"/>
  <c r="AJ132" i="7"/>
  <c r="AK132" i="7"/>
  <c r="AL132" i="7"/>
  <c r="AM132" i="7"/>
  <c r="AN132" i="7"/>
  <c r="AO132" i="7"/>
  <c r="AP132" i="7"/>
  <c r="AQ132" i="7"/>
  <c r="AR132" i="7"/>
  <c r="AS132" i="7"/>
  <c r="AT132" i="7"/>
  <c r="AU132" i="7"/>
  <c r="AV132" i="7"/>
  <c r="AW132" i="7"/>
  <c r="AX132" i="7"/>
  <c r="AY132" i="7"/>
  <c r="AZ132" i="7"/>
  <c r="BA132" i="7"/>
  <c r="BB132" i="7"/>
  <c r="BC132" i="7"/>
  <c r="BD132" i="7"/>
  <c r="BE132" i="7"/>
  <c r="BF132" i="7"/>
  <c r="BG132" i="7"/>
  <c r="BH132" i="7"/>
  <c r="BI132" i="7"/>
  <c r="BJ132" i="7"/>
  <c r="BK132" i="7"/>
  <c r="BL132" i="7"/>
  <c r="BM132" i="7"/>
  <c r="BN132" i="7"/>
  <c r="BO132" i="7"/>
  <c r="BP132" i="7"/>
  <c r="BQ132" i="7"/>
  <c r="BR132" i="7"/>
  <c r="BS132" i="7"/>
  <c r="BT132" i="7"/>
  <c r="BU132" i="7"/>
  <c r="BV132" i="7"/>
  <c r="BW132" i="7"/>
  <c r="BX132" i="7"/>
  <c r="BY132" i="7"/>
  <c r="CB132" i="7"/>
  <c r="CC132" i="7"/>
  <c r="CD132" i="7"/>
  <c r="CE132" i="7"/>
  <c r="CF132" i="7"/>
  <c r="CG132" i="7"/>
  <c r="CH132" i="7"/>
  <c r="CI132" i="7"/>
  <c r="CJ132" i="7"/>
  <c r="CK132" i="7"/>
  <c r="CL132" i="7"/>
  <c r="CM132" i="7"/>
  <c r="CN132" i="7"/>
  <c r="CO132" i="7"/>
  <c r="CP132" i="7"/>
  <c r="CQ132" i="7"/>
  <c r="CR132" i="7"/>
  <c r="CS132" i="7"/>
  <c r="CT132" i="7"/>
  <c r="CU132" i="7"/>
  <c r="CV132" i="7"/>
  <c r="CW132" i="7"/>
  <c r="CX132" i="7"/>
  <c r="DC132" i="7"/>
  <c r="DD132" i="7"/>
  <c r="D133" i="7"/>
  <c r="E133" i="7"/>
  <c r="F133" i="7"/>
  <c r="G133" i="7"/>
  <c r="H133" i="7"/>
  <c r="I133" i="7"/>
  <c r="J133" i="7"/>
  <c r="K133" i="7"/>
  <c r="L133" i="7"/>
  <c r="M133" i="7"/>
  <c r="N133" i="7"/>
  <c r="O133" i="7"/>
  <c r="P133" i="7"/>
  <c r="Q133" i="7"/>
  <c r="R133" i="7"/>
  <c r="S133" i="7"/>
  <c r="T133" i="7"/>
  <c r="U133" i="7"/>
  <c r="V133" i="7"/>
  <c r="W133" i="7"/>
  <c r="X133" i="7"/>
  <c r="Y133" i="7"/>
  <c r="Z133" i="7"/>
  <c r="AA133" i="7"/>
  <c r="AB133" i="7"/>
  <c r="AC133" i="7"/>
  <c r="AD133" i="7"/>
  <c r="AE133" i="7"/>
  <c r="AF133" i="7"/>
  <c r="AG133" i="7"/>
  <c r="AH133" i="7"/>
  <c r="AI133" i="7"/>
  <c r="AJ133" i="7"/>
  <c r="AK133" i="7"/>
  <c r="AL133" i="7"/>
  <c r="AM133" i="7"/>
  <c r="AN133" i="7"/>
  <c r="AO133" i="7"/>
  <c r="AP133" i="7"/>
  <c r="AQ133" i="7"/>
  <c r="AR133" i="7"/>
  <c r="AS133" i="7"/>
  <c r="AT133" i="7"/>
  <c r="AU133" i="7"/>
  <c r="AV133" i="7"/>
  <c r="AW133" i="7"/>
  <c r="AX133" i="7"/>
  <c r="AY133" i="7"/>
  <c r="AZ133" i="7"/>
  <c r="BA133" i="7"/>
  <c r="BB133" i="7"/>
  <c r="BC133" i="7"/>
  <c r="BD133" i="7"/>
  <c r="BE133" i="7"/>
  <c r="BF133" i="7"/>
  <c r="BG133" i="7"/>
  <c r="BH133" i="7"/>
  <c r="BI133" i="7"/>
  <c r="BJ133" i="7"/>
  <c r="BK133" i="7"/>
  <c r="BL133" i="7"/>
  <c r="BM133" i="7"/>
  <c r="BN133" i="7"/>
  <c r="BO133" i="7"/>
  <c r="BP133" i="7"/>
  <c r="BQ133" i="7"/>
  <c r="BR133" i="7"/>
  <c r="BS133" i="7"/>
  <c r="BT133" i="7"/>
  <c r="BU133" i="7"/>
  <c r="BV133" i="7"/>
  <c r="BW133" i="7"/>
  <c r="BX133" i="7"/>
  <c r="BY133" i="7"/>
  <c r="CB133" i="7"/>
  <c r="CC133" i="7"/>
  <c r="CD133" i="7"/>
  <c r="CE133" i="7"/>
  <c r="CF133" i="7"/>
  <c r="CG133" i="7"/>
  <c r="CH133" i="7"/>
  <c r="CI133" i="7"/>
  <c r="CJ133" i="7"/>
  <c r="CK133" i="7"/>
  <c r="CL133" i="7"/>
  <c r="CM133" i="7"/>
  <c r="CN133" i="7"/>
  <c r="CO133" i="7"/>
  <c r="CP133" i="7"/>
  <c r="CQ133" i="7"/>
  <c r="CR133" i="7"/>
  <c r="CS133" i="7"/>
  <c r="CT133" i="7"/>
  <c r="CU133" i="7"/>
  <c r="CV133" i="7"/>
  <c r="CW133" i="7"/>
  <c r="CX133" i="7"/>
  <c r="DC133" i="7"/>
  <c r="DD133" i="7"/>
  <c r="D134" i="7"/>
  <c r="E134" i="7"/>
  <c r="F134" i="7"/>
  <c r="G134" i="7"/>
  <c r="H134" i="7"/>
  <c r="I134" i="7"/>
  <c r="J134" i="7"/>
  <c r="K134" i="7"/>
  <c r="L134" i="7"/>
  <c r="M134" i="7"/>
  <c r="N134" i="7"/>
  <c r="O134" i="7"/>
  <c r="P134" i="7"/>
  <c r="Q134" i="7"/>
  <c r="R134" i="7"/>
  <c r="S134" i="7"/>
  <c r="T134" i="7"/>
  <c r="U134" i="7"/>
  <c r="V134" i="7"/>
  <c r="W134" i="7"/>
  <c r="X134" i="7"/>
  <c r="Y134" i="7"/>
  <c r="Z134" i="7"/>
  <c r="AA134" i="7"/>
  <c r="AB134" i="7"/>
  <c r="AC134" i="7"/>
  <c r="AD134" i="7"/>
  <c r="AE134" i="7"/>
  <c r="AF134" i="7"/>
  <c r="AG134" i="7"/>
  <c r="AH134" i="7"/>
  <c r="AI134" i="7"/>
  <c r="AJ134" i="7"/>
  <c r="AK134" i="7"/>
  <c r="AL134" i="7"/>
  <c r="AM134" i="7"/>
  <c r="AN134" i="7"/>
  <c r="AO134" i="7"/>
  <c r="AP134" i="7"/>
  <c r="AQ134" i="7"/>
  <c r="AR134" i="7"/>
  <c r="AS134" i="7"/>
  <c r="AT134" i="7"/>
  <c r="AU134" i="7"/>
  <c r="AV134" i="7"/>
  <c r="AW134" i="7"/>
  <c r="AX134" i="7"/>
  <c r="AY134" i="7"/>
  <c r="AZ134" i="7"/>
  <c r="BA134" i="7"/>
  <c r="BB134" i="7"/>
  <c r="BC134" i="7"/>
  <c r="BD134" i="7"/>
  <c r="BE134" i="7"/>
  <c r="BF134" i="7"/>
  <c r="BG134" i="7"/>
  <c r="BH134" i="7"/>
  <c r="BI134" i="7"/>
  <c r="BJ134" i="7"/>
  <c r="BK134" i="7"/>
  <c r="BL134" i="7"/>
  <c r="BM134" i="7"/>
  <c r="BN134" i="7"/>
  <c r="BO134" i="7"/>
  <c r="BP134" i="7"/>
  <c r="BQ134" i="7"/>
  <c r="BR134" i="7"/>
  <c r="BS134" i="7"/>
  <c r="BT134" i="7"/>
  <c r="BU134" i="7"/>
  <c r="BV134" i="7"/>
  <c r="BW134" i="7"/>
  <c r="BX134" i="7"/>
  <c r="BY134" i="7"/>
  <c r="CB134" i="7"/>
  <c r="CC134" i="7"/>
  <c r="CD134" i="7"/>
  <c r="CE134" i="7"/>
  <c r="CF134" i="7"/>
  <c r="CG134" i="7"/>
  <c r="CH134" i="7"/>
  <c r="CI134" i="7"/>
  <c r="CJ134" i="7"/>
  <c r="CK134" i="7"/>
  <c r="CL134" i="7"/>
  <c r="CM134" i="7"/>
  <c r="CN134" i="7"/>
  <c r="CO134" i="7"/>
  <c r="CP134" i="7"/>
  <c r="CQ134" i="7"/>
  <c r="CR134" i="7"/>
  <c r="CS134" i="7"/>
  <c r="CT134" i="7"/>
  <c r="CU134" i="7"/>
  <c r="CV134" i="7"/>
  <c r="CW134" i="7"/>
  <c r="CX134" i="7"/>
  <c r="DC134" i="7"/>
  <c r="DD134" i="7"/>
  <c r="D135" i="7"/>
  <c r="E135" i="7"/>
  <c r="F135" i="7"/>
  <c r="G135" i="7"/>
  <c r="H135" i="7"/>
  <c r="I135" i="7"/>
  <c r="J135" i="7"/>
  <c r="K135" i="7"/>
  <c r="L135" i="7"/>
  <c r="M135" i="7"/>
  <c r="N135" i="7"/>
  <c r="O135" i="7"/>
  <c r="P135" i="7"/>
  <c r="Q135" i="7"/>
  <c r="R135" i="7"/>
  <c r="S135" i="7"/>
  <c r="T135" i="7"/>
  <c r="U135" i="7"/>
  <c r="V135" i="7"/>
  <c r="W135" i="7"/>
  <c r="X135" i="7"/>
  <c r="Y135" i="7"/>
  <c r="Z135" i="7"/>
  <c r="AA135" i="7"/>
  <c r="AB135" i="7"/>
  <c r="AC135" i="7"/>
  <c r="AD135" i="7"/>
  <c r="AE135" i="7"/>
  <c r="AF135" i="7"/>
  <c r="AG135" i="7"/>
  <c r="AH135" i="7"/>
  <c r="AI135" i="7"/>
  <c r="AJ135" i="7"/>
  <c r="AK135" i="7"/>
  <c r="AL135" i="7"/>
  <c r="AM135" i="7"/>
  <c r="AN135" i="7"/>
  <c r="AO135" i="7"/>
  <c r="AP135" i="7"/>
  <c r="AQ135" i="7"/>
  <c r="AR135" i="7"/>
  <c r="AS135" i="7"/>
  <c r="AT135" i="7"/>
  <c r="AU135" i="7"/>
  <c r="AV135" i="7"/>
  <c r="AW135" i="7"/>
  <c r="AX135" i="7"/>
  <c r="AY135" i="7"/>
  <c r="AZ135" i="7"/>
  <c r="BA135" i="7"/>
  <c r="BB135" i="7"/>
  <c r="BC135" i="7"/>
  <c r="BD135" i="7"/>
  <c r="BE135" i="7"/>
  <c r="BF135" i="7"/>
  <c r="BG135" i="7"/>
  <c r="BH135" i="7"/>
  <c r="BI135" i="7"/>
  <c r="BJ135" i="7"/>
  <c r="BK135" i="7"/>
  <c r="BL135" i="7"/>
  <c r="BM135" i="7"/>
  <c r="BN135" i="7"/>
  <c r="BO135" i="7"/>
  <c r="BP135" i="7"/>
  <c r="BQ135" i="7"/>
  <c r="BR135" i="7"/>
  <c r="BS135" i="7"/>
  <c r="BT135" i="7"/>
  <c r="BU135" i="7"/>
  <c r="BV135" i="7"/>
  <c r="BW135" i="7"/>
  <c r="BX135" i="7"/>
  <c r="BY135" i="7"/>
  <c r="CB135" i="7"/>
  <c r="CC135" i="7"/>
  <c r="CD135" i="7"/>
  <c r="CE135" i="7"/>
  <c r="CF135" i="7"/>
  <c r="CG135" i="7"/>
  <c r="CH135" i="7"/>
  <c r="CI135" i="7"/>
  <c r="CJ135" i="7"/>
  <c r="CK135" i="7"/>
  <c r="CL135" i="7"/>
  <c r="CM135" i="7"/>
  <c r="CN135" i="7"/>
  <c r="CO135" i="7"/>
  <c r="CP135" i="7"/>
  <c r="CQ135" i="7"/>
  <c r="CR135" i="7"/>
  <c r="CS135" i="7"/>
  <c r="CT135" i="7"/>
  <c r="CU135" i="7"/>
  <c r="CV135" i="7"/>
  <c r="CW135" i="7"/>
  <c r="CX135" i="7"/>
  <c r="DC135" i="7"/>
  <c r="DD135" i="7"/>
  <c r="D136" i="7"/>
  <c r="E136" i="7"/>
  <c r="F136" i="7"/>
  <c r="G136" i="7"/>
  <c r="H136" i="7"/>
  <c r="I136" i="7"/>
  <c r="J136" i="7"/>
  <c r="K136" i="7"/>
  <c r="L136" i="7"/>
  <c r="M136" i="7"/>
  <c r="N136" i="7"/>
  <c r="O136" i="7"/>
  <c r="P136" i="7"/>
  <c r="Q136" i="7"/>
  <c r="R136" i="7"/>
  <c r="S136" i="7"/>
  <c r="T136" i="7"/>
  <c r="U136" i="7"/>
  <c r="V136" i="7"/>
  <c r="W136" i="7"/>
  <c r="X136" i="7"/>
  <c r="Y136" i="7"/>
  <c r="Z136" i="7"/>
  <c r="AA136" i="7"/>
  <c r="AB136" i="7"/>
  <c r="AC136" i="7"/>
  <c r="AD136" i="7"/>
  <c r="AE136" i="7"/>
  <c r="AF136" i="7"/>
  <c r="AG136" i="7"/>
  <c r="AH136" i="7"/>
  <c r="AI136" i="7"/>
  <c r="AJ136" i="7"/>
  <c r="AK136" i="7"/>
  <c r="AL136" i="7"/>
  <c r="AM136" i="7"/>
  <c r="AN136" i="7"/>
  <c r="AO136" i="7"/>
  <c r="AP136" i="7"/>
  <c r="AQ136" i="7"/>
  <c r="AR136" i="7"/>
  <c r="AS136" i="7"/>
  <c r="AT136" i="7"/>
  <c r="AU136" i="7"/>
  <c r="AV136" i="7"/>
  <c r="AW136" i="7"/>
  <c r="AX136" i="7"/>
  <c r="AY136" i="7"/>
  <c r="AZ136" i="7"/>
  <c r="BA136" i="7"/>
  <c r="BB136" i="7"/>
  <c r="BC136" i="7"/>
  <c r="BD136" i="7"/>
  <c r="BE136" i="7"/>
  <c r="BF136" i="7"/>
  <c r="BG136" i="7"/>
  <c r="BH136" i="7"/>
  <c r="BI136" i="7"/>
  <c r="BJ136" i="7"/>
  <c r="BK136" i="7"/>
  <c r="BL136" i="7"/>
  <c r="BM136" i="7"/>
  <c r="BN136" i="7"/>
  <c r="BO136" i="7"/>
  <c r="BP136" i="7"/>
  <c r="BQ136" i="7"/>
  <c r="BR136" i="7"/>
  <c r="BS136" i="7"/>
  <c r="BT136" i="7"/>
  <c r="BU136" i="7"/>
  <c r="BV136" i="7"/>
  <c r="BW136" i="7"/>
  <c r="BX136" i="7"/>
  <c r="BY136" i="7"/>
  <c r="CB136" i="7"/>
  <c r="CC136" i="7"/>
  <c r="CD136" i="7"/>
  <c r="CE136" i="7"/>
  <c r="CF136" i="7"/>
  <c r="CG136" i="7"/>
  <c r="CH136" i="7"/>
  <c r="CI136" i="7"/>
  <c r="CJ136" i="7"/>
  <c r="CK136" i="7"/>
  <c r="CL136" i="7"/>
  <c r="CM136" i="7"/>
  <c r="CN136" i="7"/>
  <c r="CO136" i="7"/>
  <c r="CP136" i="7"/>
  <c r="CQ136" i="7"/>
  <c r="CR136" i="7"/>
  <c r="CS136" i="7"/>
  <c r="CT136" i="7"/>
  <c r="CU136" i="7"/>
  <c r="CV136" i="7"/>
  <c r="CW136" i="7"/>
  <c r="CX136" i="7"/>
  <c r="DC136" i="7"/>
  <c r="DD136" i="7"/>
  <c r="D137" i="7"/>
  <c r="E137" i="7"/>
  <c r="F137" i="7"/>
  <c r="G137" i="7"/>
  <c r="H137" i="7"/>
  <c r="I137" i="7"/>
  <c r="J137" i="7"/>
  <c r="K137" i="7"/>
  <c r="L137" i="7"/>
  <c r="M137" i="7"/>
  <c r="N137" i="7"/>
  <c r="O137" i="7"/>
  <c r="P137" i="7"/>
  <c r="Q137" i="7"/>
  <c r="R137" i="7"/>
  <c r="S137" i="7"/>
  <c r="T137" i="7"/>
  <c r="U137" i="7"/>
  <c r="V137" i="7"/>
  <c r="W137" i="7"/>
  <c r="X137" i="7"/>
  <c r="Y137" i="7"/>
  <c r="Z137" i="7"/>
  <c r="AA137" i="7"/>
  <c r="AB137" i="7"/>
  <c r="AC137" i="7"/>
  <c r="AD137" i="7"/>
  <c r="AE137" i="7"/>
  <c r="AF137" i="7"/>
  <c r="AG137" i="7"/>
  <c r="AH137" i="7"/>
  <c r="AI137" i="7"/>
  <c r="AJ137" i="7"/>
  <c r="AK137" i="7"/>
  <c r="AL137" i="7"/>
  <c r="AM137" i="7"/>
  <c r="AN137" i="7"/>
  <c r="AO137" i="7"/>
  <c r="AP137" i="7"/>
  <c r="AQ137" i="7"/>
  <c r="AR137" i="7"/>
  <c r="AS137" i="7"/>
  <c r="AT137" i="7"/>
  <c r="AU137" i="7"/>
  <c r="AV137" i="7"/>
  <c r="AW137" i="7"/>
  <c r="AX137" i="7"/>
  <c r="AY137" i="7"/>
  <c r="AZ137" i="7"/>
  <c r="BA137" i="7"/>
  <c r="BB137" i="7"/>
  <c r="BC137" i="7"/>
  <c r="BD137" i="7"/>
  <c r="BE137" i="7"/>
  <c r="BF137" i="7"/>
  <c r="BG137" i="7"/>
  <c r="BH137" i="7"/>
  <c r="BI137" i="7"/>
  <c r="BJ137" i="7"/>
  <c r="BK137" i="7"/>
  <c r="BL137" i="7"/>
  <c r="BM137" i="7"/>
  <c r="BN137" i="7"/>
  <c r="BO137" i="7"/>
  <c r="BP137" i="7"/>
  <c r="BQ137" i="7"/>
  <c r="BR137" i="7"/>
  <c r="BS137" i="7"/>
  <c r="BT137" i="7"/>
  <c r="BU137" i="7"/>
  <c r="BV137" i="7"/>
  <c r="BW137" i="7"/>
  <c r="BX137" i="7"/>
  <c r="BY137" i="7"/>
  <c r="CB137" i="7"/>
  <c r="CC137" i="7"/>
  <c r="CD137" i="7"/>
  <c r="CE137" i="7"/>
  <c r="CF137" i="7"/>
  <c r="CG137" i="7"/>
  <c r="CH137" i="7"/>
  <c r="CI137" i="7"/>
  <c r="CJ137" i="7"/>
  <c r="CK137" i="7"/>
  <c r="CL137" i="7"/>
  <c r="CM137" i="7"/>
  <c r="CN137" i="7"/>
  <c r="CO137" i="7"/>
  <c r="CP137" i="7"/>
  <c r="CQ137" i="7"/>
  <c r="CR137" i="7"/>
  <c r="CS137" i="7"/>
  <c r="CT137" i="7"/>
  <c r="CU137" i="7"/>
  <c r="CV137" i="7"/>
  <c r="CW137" i="7"/>
  <c r="CX137" i="7"/>
  <c r="DC137" i="7"/>
  <c r="DD137" i="7"/>
  <c r="C6" i="27"/>
  <c r="I6" i="27"/>
  <c r="J6" i="27"/>
  <c r="C7" i="27"/>
  <c r="I7" i="27"/>
  <c r="J7" i="27"/>
  <c r="C8" i="27"/>
  <c r="I8" i="27"/>
  <c r="J8" i="27"/>
  <c r="C9" i="27"/>
  <c r="C10" i="27"/>
  <c r="E10" i="27"/>
  <c r="F10" i="27"/>
  <c r="H10" i="27"/>
  <c r="C11" i="27"/>
  <c r="E11" i="27"/>
  <c r="F11" i="27"/>
  <c r="H11" i="27"/>
  <c r="C12" i="27"/>
  <c r="E12" i="27"/>
  <c r="F12" i="27"/>
  <c r="H12" i="27"/>
  <c r="C13" i="27"/>
  <c r="E13" i="27"/>
  <c r="F13" i="27"/>
  <c r="H13" i="27"/>
  <c r="I13" i="27"/>
  <c r="J13" i="27"/>
  <c r="B2" i="39"/>
  <c r="C2" i="39"/>
  <c r="D2" i="39"/>
  <c r="E2" i="39"/>
  <c r="F2" i="39"/>
  <c r="G2" i="39"/>
  <c r="H2" i="39"/>
  <c r="I2" i="39"/>
  <c r="J2" i="39"/>
  <c r="K2" i="39"/>
  <c r="L2" i="39"/>
  <c r="M2" i="39"/>
  <c r="N2" i="39"/>
  <c r="O2" i="39"/>
  <c r="P2" i="39"/>
  <c r="Q2" i="39"/>
  <c r="R2" i="39"/>
  <c r="S2" i="39"/>
  <c r="T2" i="39"/>
  <c r="U2" i="39"/>
  <c r="V2" i="39"/>
  <c r="W2" i="39"/>
  <c r="X2" i="39"/>
  <c r="Y2" i="39"/>
  <c r="Z2" i="39"/>
  <c r="AA2" i="39"/>
  <c r="AB2" i="39"/>
  <c r="AC2" i="39"/>
  <c r="AD2" i="39"/>
  <c r="AE2" i="39"/>
  <c r="AF2" i="39"/>
  <c r="AG2" i="39"/>
  <c r="AH2" i="39"/>
  <c r="AI2" i="39"/>
  <c r="AJ2" i="39"/>
  <c r="AK2" i="39"/>
  <c r="AL2" i="39"/>
  <c r="AM2" i="39"/>
  <c r="AN2" i="39"/>
  <c r="AO2" i="39"/>
  <c r="AP2" i="39"/>
  <c r="AQ2" i="39"/>
  <c r="AR2" i="39"/>
  <c r="AS2" i="39"/>
  <c r="AT2" i="39"/>
  <c r="AU2" i="39"/>
  <c r="AV2" i="39"/>
  <c r="AW2" i="39"/>
  <c r="AX2" i="39"/>
  <c r="AY2" i="39"/>
  <c r="AZ2" i="39"/>
  <c r="BA2" i="39"/>
  <c r="BB2" i="39"/>
  <c r="BC2" i="39"/>
  <c r="BD2" i="39"/>
  <c r="BE2" i="39"/>
  <c r="BF2" i="39"/>
  <c r="BG2" i="39"/>
  <c r="BH2" i="39"/>
  <c r="BI2" i="39"/>
  <c r="BJ2" i="39"/>
  <c r="BK2" i="39"/>
  <c r="BL2" i="39"/>
  <c r="BM2" i="39"/>
  <c r="BN2" i="39"/>
  <c r="BO2" i="39"/>
  <c r="BP2" i="39"/>
  <c r="BQ2" i="39"/>
  <c r="BR2" i="39"/>
  <c r="BS2" i="39"/>
  <c r="BT2" i="39"/>
  <c r="BU2" i="39"/>
  <c r="BV2" i="39"/>
  <c r="BW2" i="39"/>
  <c r="BZ2" i="39"/>
  <c r="CA2" i="39"/>
  <c r="CB2" i="39"/>
  <c r="CC2" i="39"/>
  <c r="CD2" i="39"/>
  <c r="CE2" i="39"/>
  <c r="CF2" i="39"/>
  <c r="CG2" i="39"/>
  <c r="CH2" i="39"/>
  <c r="CI2" i="39"/>
  <c r="CJ2" i="39"/>
  <c r="CK2" i="39"/>
  <c r="CL2" i="39"/>
  <c r="CM2" i="39"/>
  <c r="CN2" i="39"/>
  <c r="CO2" i="39"/>
  <c r="CP2" i="39"/>
  <c r="CQ2" i="39"/>
  <c r="CR2" i="39"/>
  <c r="CS2" i="39"/>
  <c r="CT2" i="39"/>
  <c r="CU2" i="39"/>
  <c r="CV2" i="39"/>
  <c r="B3" i="39"/>
  <c r="C3" i="39"/>
  <c r="D3" i="39"/>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AH3" i="39"/>
  <c r="AI3" i="39"/>
  <c r="AJ3" i="39"/>
  <c r="AK3" i="39"/>
  <c r="AL3" i="39"/>
  <c r="AM3" i="39"/>
  <c r="AN3" i="39"/>
  <c r="AO3" i="39"/>
  <c r="AP3" i="39"/>
  <c r="AQ3" i="39"/>
  <c r="AR3" i="39"/>
  <c r="AS3" i="39"/>
  <c r="AT3" i="39"/>
  <c r="AU3" i="39"/>
  <c r="AV3" i="39"/>
  <c r="AW3" i="39"/>
  <c r="AX3" i="39"/>
  <c r="AY3" i="39"/>
  <c r="AZ3" i="39"/>
  <c r="BA3" i="39"/>
  <c r="BB3" i="39"/>
  <c r="BC3" i="39"/>
  <c r="BD3" i="39"/>
  <c r="BE3" i="39"/>
  <c r="BF3" i="39"/>
  <c r="BG3" i="39"/>
  <c r="BH3" i="39"/>
  <c r="BI3" i="39"/>
  <c r="BJ3" i="39"/>
  <c r="BK3" i="39"/>
  <c r="BL3" i="39"/>
  <c r="BM3" i="39"/>
  <c r="BN3" i="39"/>
  <c r="BO3" i="39"/>
  <c r="BP3" i="39"/>
  <c r="BQ3" i="39"/>
  <c r="BR3" i="39"/>
  <c r="BS3" i="39"/>
  <c r="BT3" i="39"/>
  <c r="BU3" i="39"/>
  <c r="BV3" i="39"/>
  <c r="BW3" i="39"/>
  <c r="BZ3" i="39"/>
  <c r="CA3" i="39"/>
  <c r="CB3" i="39"/>
  <c r="CC3" i="39"/>
  <c r="CD3" i="39"/>
  <c r="CE3" i="39"/>
  <c r="CF3" i="39"/>
  <c r="CG3" i="39"/>
  <c r="CH3" i="39"/>
  <c r="CI3" i="39"/>
  <c r="CJ3" i="39"/>
  <c r="CK3" i="39"/>
  <c r="CL3" i="39"/>
  <c r="CM3" i="39"/>
  <c r="CN3" i="39"/>
  <c r="CO3" i="39"/>
  <c r="CP3" i="39"/>
  <c r="CQ3" i="39"/>
  <c r="CR3" i="39"/>
  <c r="CS3" i="39"/>
  <c r="CT3" i="39"/>
  <c r="CU3" i="39"/>
  <c r="CV3" i="39"/>
  <c r="B4" i="39"/>
  <c r="C4" i="39"/>
  <c r="D4" i="39"/>
  <c r="E4" i="39"/>
  <c r="F4" i="39"/>
  <c r="G4" i="39"/>
  <c r="H4" i="39"/>
  <c r="I4" i="39"/>
  <c r="J4" i="39"/>
  <c r="K4" i="39"/>
  <c r="L4" i="39"/>
  <c r="M4" i="39"/>
  <c r="N4" i="39"/>
  <c r="O4" i="39"/>
  <c r="P4" i="39"/>
  <c r="Q4" i="39"/>
  <c r="R4" i="39"/>
  <c r="S4" i="39"/>
  <c r="T4" i="39"/>
  <c r="U4" i="39"/>
  <c r="V4" i="39"/>
  <c r="W4" i="39"/>
  <c r="X4" i="39"/>
  <c r="Y4" i="39"/>
  <c r="Z4" i="39"/>
  <c r="AA4" i="39"/>
  <c r="AB4" i="39"/>
  <c r="AC4" i="39"/>
  <c r="AD4" i="39"/>
  <c r="AE4" i="39"/>
  <c r="AF4" i="39"/>
  <c r="AG4" i="39"/>
  <c r="AH4" i="39"/>
  <c r="AI4" i="39"/>
  <c r="AJ4" i="39"/>
  <c r="AK4" i="39"/>
  <c r="AL4" i="39"/>
  <c r="AM4" i="39"/>
  <c r="AN4" i="39"/>
  <c r="AO4" i="39"/>
  <c r="AP4" i="39"/>
  <c r="AQ4" i="39"/>
  <c r="AR4" i="39"/>
  <c r="AS4" i="39"/>
  <c r="AT4" i="39"/>
  <c r="AU4" i="39"/>
  <c r="AV4" i="39"/>
  <c r="AW4" i="39"/>
  <c r="AX4" i="39"/>
  <c r="AY4" i="39"/>
  <c r="AZ4" i="39"/>
  <c r="BA4" i="39"/>
  <c r="BB4" i="39"/>
  <c r="BC4" i="39"/>
  <c r="BD4" i="39"/>
  <c r="BE4" i="39"/>
  <c r="BF4" i="39"/>
  <c r="BG4" i="39"/>
  <c r="BH4" i="39"/>
  <c r="BI4" i="39"/>
  <c r="BJ4" i="39"/>
  <c r="BK4" i="39"/>
  <c r="BL4" i="39"/>
  <c r="BM4" i="39"/>
  <c r="BN4" i="39"/>
  <c r="BO4" i="39"/>
  <c r="BP4" i="39"/>
  <c r="BQ4" i="39"/>
  <c r="BR4" i="39"/>
  <c r="BS4" i="39"/>
  <c r="BT4" i="39"/>
  <c r="BU4" i="39"/>
  <c r="BV4" i="39"/>
  <c r="BW4" i="39"/>
  <c r="BZ4" i="39"/>
  <c r="CA4" i="39"/>
  <c r="CB4" i="39"/>
  <c r="CC4" i="39"/>
  <c r="CD4" i="39"/>
  <c r="CE4" i="39"/>
  <c r="CF4" i="39"/>
  <c r="CG4" i="39"/>
  <c r="CH4" i="39"/>
  <c r="CI4" i="39"/>
  <c r="CJ4" i="39"/>
  <c r="CK4" i="39"/>
  <c r="CL4" i="39"/>
  <c r="CM4" i="39"/>
  <c r="CN4" i="39"/>
  <c r="CO4" i="39"/>
  <c r="CP4" i="39"/>
  <c r="CQ4" i="39"/>
  <c r="CR4" i="39"/>
  <c r="CS4" i="39"/>
  <c r="CT4" i="39"/>
  <c r="CU4" i="39"/>
  <c r="CV4" i="39"/>
  <c r="B5" i="39"/>
  <c r="C5"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AH5" i="39"/>
  <c r="AI5" i="39"/>
  <c r="AJ5" i="39"/>
  <c r="AK5" i="39"/>
  <c r="AL5" i="39"/>
  <c r="AM5" i="39"/>
  <c r="AN5" i="39"/>
  <c r="AO5" i="39"/>
  <c r="AP5" i="39"/>
  <c r="AQ5" i="39"/>
  <c r="AR5" i="39"/>
  <c r="AS5" i="39"/>
  <c r="AT5" i="39"/>
  <c r="AU5" i="39"/>
  <c r="AV5" i="39"/>
  <c r="AW5" i="39"/>
  <c r="AX5" i="39"/>
  <c r="AY5" i="39"/>
  <c r="AZ5" i="39"/>
  <c r="BA5" i="39"/>
  <c r="BB5" i="39"/>
  <c r="BC5" i="39"/>
  <c r="BD5" i="39"/>
  <c r="BE5" i="39"/>
  <c r="BF5" i="39"/>
  <c r="BG5" i="39"/>
  <c r="BH5" i="39"/>
  <c r="BI5" i="39"/>
  <c r="BJ5" i="39"/>
  <c r="BK5" i="39"/>
  <c r="BL5" i="39"/>
  <c r="BM5" i="39"/>
  <c r="BN5" i="39"/>
  <c r="BO5" i="39"/>
  <c r="BP5" i="39"/>
  <c r="BQ5" i="39"/>
  <c r="BR5" i="39"/>
  <c r="BS5" i="39"/>
  <c r="BT5" i="39"/>
  <c r="BU5" i="39"/>
  <c r="BV5" i="39"/>
  <c r="BW5" i="39"/>
  <c r="BZ5" i="39"/>
  <c r="CA5" i="39"/>
  <c r="CB5" i="39"/>
  <c r="CC5" i="39"/>
  <c r="CD5" i="39"/>
  <c r="CE5" i="39"/>
  <c r="CF5" i="39"/>
  <c r="CG5" i="39"/>
  <c r="CH5" i="39"/>
  <c r="CI5" i="39"/>
  <c r="CJ5" i="39"/>
  <c r="CK5" i="39"/>
  <c r="CL5" i="39"/>
  <c r="CM5" i="39"/>
  <c r="CN5" i="39"/>
  <c r="CO5" i="39"/>
  <c r="CP5" i="39"/>
  <c r="CQ5" i="39"/>
  <c r="CR5" i="39"/>
  <c r="CS5" i="39"/>
  <c r="CT5" i="39"/>
  <c r="CU5" i="39"/>
  <c r="CV5" i="39"/>
  <c r="B6" i="39"/>
  <c r="C6" i="39"/>
  <c r="D6" i="39"/>
  <c r="E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AH6" i="39"/>
  <c r="AI6" i="39"/>
  <c r="AJ6" i="39"/>
  <c r="AK6" i="39"/>
  <c r="AL6" i="39"/>
  <c r="AM6" i="39"/>
  <c r="AN6" i="39"/>
  <c r="AO6" i="39"/>
  <c r="AP6" i="39"/>
  <c r="AQ6" i="39"/>
  <c r="AR6" i="39"/>
  <c r="AS6" i="39"/>
  <c r="AT6" i="39"/>
  <c r="AU6" i="39"/>
  <c r="AV6" i="39"/>
  <c r="AW6" i="39"/>
  <c r="AX6" i="39"/>
  <c r="AY6" i="39"/>
  <c r="AZ6" i="39"/>
  <c r="BA6" i="39"/>
  <c r="BB6" i="39"/>
  <c r="BC6" i="39"/>
  <c r="BD6" i="39"/>
  <c r="BE6" i="39"/>
  <c r="BF6" i="39"/>
  <c r="BG6" i="39"/>
  <c r="BH6" i="39"/>
  <c r="BI6" i="39"/>
  <c r="BJ6" i="39"/>
  <c r="BK6" i="39"/>
  <c r="BL6" i="39"/>
  <c r="BM6" i="39"/>
  <c r="BN6" i="39"/>
  <c r="BO6" i="39"/>
  <c r="BP6" i="39"/>
  <c r="BQ6" i="39"/>
  <c r="BR6" i="39"/>
  <c r="BS6" i="39"/>
  <c r="BT6" i="39"/>
  <c r="BU6" i="39"/>
  <c r="BV6" i="39"/>
  <c r="BW6" i="39"/>
  <c r="BZ6" i="39"/>
  <c r="CA6" i="39"/>
  <c r="CB6" i="39"/>
  <c r="CC6" i="39"/>
  <c r="CD6" i="39"/>
  <c r="CE6" i="39"/>
  <c r="CF6" i="39"/>
  <c r="CG6" i="39"/>
  <c r="CH6" i="39"/>
  <c r="CI6" i="39"/>
  <c r="CJ6" i="39"/>
  <c r="CK6" i="39"/>
  <c r="CL6" i="39"/>
  <c r="CM6" i="39"/>
  <c r="CN6" i="39"/>
  <c r="CO6" i="39"/>
  <c r="CP6" i="39"/>
  <c r="CQ6" i="39"/>
  <c r="CR6" i="39"/>
  <c r="CS6" i="39"/>
  <c r="CT6" i="39"/>
  <c r="CU6" i="39"/>
  <c r="CV6" i="39"/>
  <c r="B7" i="39"/>
  <c r="C7"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AH7" i="39"/>
  <c r="AI7" i="39"/>
  <c r="AJ7" i="39"/>
  <c r="AK7" i="39"/>
  <c r="AL7" i="39"/>
  <c r="AM7" i="39"/>
  <c r="AN7" i="39"/>
  <c r="AO7" i="39"/>
  <c r="AP7" i="39"/>
  <c r="AQ7" i="39"/>
  <c r="AR7" i="39"/>
  <c r="AS7" i="39"/>
  <c r="AT7" i="39"/>
  <c r="AU7" i="39"/>
  <c r="AV7" i="39"/>
  <c r="AW7" i="39"/>
  <c r="AX7" i="39"/>
  <c r="AY7" i="39"/>
  <c r="AZ7" i="39"/>
  <c r="BA7" i="39"/>
  <c r="BB7" i="39"/>
  <c r="BC7" i="39"/>
  <c r="BD7" i="39"/>
  <c r="BE7" i="39"/>
  <c r="BF7" i="39"/>
  <c r="BG7" i="39"/>
  <c r="BH7" i="39"/>
  <c r="BI7" i="39"/>
  <c r="BJ7" i="39"/>
  <c r="BK7" i="39"/>
  <c r="BL7" i="39"/>
  <c r="BM7" i="39"/>
  <c r="BN7" i="39"/>
  <c r="BO7" i="39"/>
  <c r="BP7" i="39"/>
  <c r="BQ7" i="39"/>
  <c r="BR7" i="39"/>
  <c r="BS7" i="39"/>
  <c r="BT7" i="39"/>
  <c r="BU7" i="39"/>
  <c r="BV7" i="39"/>
  <c r="BW7" i="39"/>
  <c r="BZ7" i="39"/>
  <c r="CA7" i="39"/>
  <c r="CB7" i="39"/>
  <c r="CC7" i="39"/>
  <c r="CD7" i="39"/>
  <c r="CE7" i="39"/>
  <c r="CF7" i="39"/>
  <c r="CG7" i="39"/>
  <c r="CH7" i="39"/>
  <c r="CI7" i="39"/>
  <c r="CJ7" i="39"/>
  <c r="CK7" i="39"/>
  <c r="CL7" i="39"/>
  <c r="CM7" i="39"/>
  <c r="CN7" i="39"/>
  <c r="CO7" i="39"/>
  <c r="CP7" i="39"/>
  <c r="CQ7" i="39"/>
  <c r="CR7" i="39"/>
  <c r="CS7" i="39"/>
  <c r="CT7" i="39"/>
  <c r="CU7" i="39"/>
  <c r="CV7" i="39"/>
  <c r="B8" i="39"/>
  <c r="C8"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AH8" i="39"/>
  <c r="AI8" i="39"/>
  <c r="AJ8" i="39"/>
  <c r="AK8" i="39"/>
  <c r="AL8" i="39"/>
  <c r="AM8" i="39"/>
  <c r="AN8" i="39"/>
  <c r="AO8" i="39"/>
  <c r="AP8" i="39"/>
  <c r="AQ8" i="39"/>
  <c r="AR8" i="39"/>
  <c r="AS8" i="39"/>
  <c r="AT8" i="39"/>
  <c r="AU8" i="39"/>
  <c r="AV8" i="39"/>
  <c r="AW8" i="39"/>
  <c r="AX8" i="39"/>
  <c r="AY8" i="39"/>
  <c r="AZ8" i="39"/>
  <c r="BA8" i="39"/>
  <c r="BB8" i="39"/>
  <c r="BC8" i="39"/>
  <c r="BD8" i="39"/>
  <c r="BE8" i="39"/>
  <c r="BF8" i="39"/>
  <c r="BG8" i="39"/>
  <c r="BH8" i="39"/>
  <c r="BI8" i="39"/>
  <c r="BJ8" i="39"/>
  <c r="BK8" i="39"/>
  <c r="BL8" i="39"/>
  <c r="BM8" i="39"/>
  <c r="BN8" i="39"/>
  <c r="BO8" i="39"/>
  <c r="BP8" i="39"/>
  <c r="BQ8" i="39"/>
  <c r="BR8" i="39"/>
  <c r="BS8" i="39"/>
  <c r="BT8" i="39"/>
  <c r="BU8" i="39"/>
  <c r="BV8" i="39"/>
  <c r="BW8" i="39"/>
  <c r="BX8" i="39"/>
  <c r="BZ8" i="39"/>
  <c r="CA8" i="39"/>
  <c r="CB8" i="39"/>
  <c r="CC8" i="39"/>
  <c r="CD8" i="39"/>
  <c r="CE8" i="39"/>
  <c r="CF8" i="39"/>
  <c r="CG8" i="39"/>
  <c r="CH8" i="39"/>
  <c r="CI8" i="39"/>
  <c r="CJ8" i="39"/>
  <c r="CK8" i="39"/>
  <c r="CL8" i="39"/>
  <c r="CM8" i="39"/>
  <c r="CN8" i="39"/>
  <c r="CO8" i="39"/>
  <c r="CP8" i="39"/>
  <c r="CQ8" i="39"/>
  <c r="CR8" i="39"/>
  <c r="CS8" i="39"/>
  <c r="CT8" i="39"/>
  <c r="CU8" i="39"/>
  <c r="CV8" i="39"/>
  <c r="CW8" i="39"/>
  <c r="CY8" i="39"/>
  <c r="DA8" i="39"/>
  <c r="DB8" i="39"/>
  <c r="DC8" i="39"/>
  <c r="DD8" i="39"/>
  <c r="DE8" i="39"/>
  <c r="DF8" i="39"/>
  <c r="DG8" i="39"/>
  <c r="DH8" i="39"/>
  <c r="DJ8" i="39"/>
  <c r="DA12" i="39"/>
  <c r="DB12" i="39"/>
  <c r="DC12" i="39"/>
  <c r="DD12" i="39"/>
  <c r="DE12" i="39"/>
  <c r="DF12" i="39"/>
  <c r="DG12" i="39"/>
  <c r="DH12" i="39"/>
  <c r="DJ12" i="39"/>
  <c r="B13" i="39"/>
  <c r="C13" i="39"/>
  <c r="D13" i="39"/>
  <c r="E13" i="39"/>
  <c r="F13" i="39"/>
  <c r="G13" i="39"/>
  <c r="H13" i="39"/>
  <c r="I13" i="39"/>
  <c r="J13" i="39"/>
  <c r="K13" i="39"/>
  <c r="L13" i="39"/>
  <c r="M13" i="39"/>
  <c r="N13" i="39"/>
  <c r="O13" i="39"/>
  <c r="P13" i="39"/>
  <c r="Q13" i="39"/>
  <c r="R13" i="39"/>
  <c r="S13" i="39"/>
  <c r="T13" i="39"/>
  <c r="U13" i="39"/>
  <c r="V13" i="39"/>
  <c r="W13" i="39"/>
  <c r="X13" i="39"/>
  <c r="Y13" i="39"/>
  <c r="Z13" i="39"/>
  <c r="AA13" i="39"/>
  <c r="AB13" i="39"/>
  <c r="AC13" i="39"/>
  <c r="AD13" i="39"/>
  <c r="AE13" i="39"/>
  <c r="AF13" i="39"/>
  <c r="AG13" i="39"/>
  <c r="AH13" i="39"/>
  <c r="AI13" i="39"/>
  <c r="AJ13" i="39"/>
  <c r="AK13" i="39"/>
  <c r="AL13" i="39"/>
  <c r="AM13" i="39"/>
  <c r="AN13" i="39"/>
  <c r="AO13" i="39"/>
  <c r="AP13" i="39"/>
  <c r="AQ13" i="39"/>
  <c r="AR13" i="39"/>
  <c r="AS13" i="39"/>
  <c r="AT13" i="39"/>
  <c r="AU13" i="39"/>
  <c r="AV13" i="39"/>
  <c r="AW13" i="39"/>
  <c r="AX13" i="39"/>
  <c r="AY13" i="39"/>
  <c r="AZ13" i="39"/>
  <c r="BA13" i="39"/>
  <c r="BB13" i="39"/>
  <c r="BC13" i="39"/>
  <c r="BD13" i="39"/>
  <c r="BE13" i="39"/>
  <c r="BF13" i="39"/>
  <c r="BG13" i="39"/>
  <c r="BH13" i="39"/>
  <c r="BI13" i="39"/>
  <c r="BJ13" i="39"/>
  <c r="BK13" i="39"/>
  <c r="BL13" i="39"/>
  <c r="BM13" i="39"/>
  <c r="BN13" i="39"/>
  <c r="BO13" i="39"/>
  <c r="BP13" i="39"/>
  <c r="BQ13" i="39"/>
  <c r="BR13" i="39"/>
  <c r="BS13" i="39"/>
  <c r="BT13" i="39"/>
  <c r="BU13" i="39"/>
  <c r="BV13" i="39"/>
  <c r="BW13" i="39"/>
  <c r="BX13" i="39"/>
  <c r="BZ13" i="39"/>
  <c r="CA13" i="39"/>
  <c r="CB13" i="39"/>
  <c r="CC13" i="39"/>
  <c r="CD13" i="39"/>
  <c r="CE13" i="39"/>
  <c r="CF13" i="39"/>
  <c r="CG13" i="39"/>
  <c r="CH13" i="39"/>
  <c r="CI13" i="39"/>
  <c r="CJ13" i="39"/>
  <c r="CK13" i="39"/>
  <c r="CL13" i="39"/>
  <c r="CM13" i="39"/>
  <c r="CN13" i="39"/>
  <c r="CO13" i="39"/>
  <c r="CP13" i="39"/>
  <c r="CQ13" i="39"/>
  <c r="CR13" i="39"/>
  <c r="CS13" i="39"/>
  <c r="CT13" i="39"/>
  <c r="CU13" i="39"/>
  <c r="CV13" i="39"/>
  <c r="CW13" i="39"/>
  <c r="CY13" i="39"/>
  <c r="DJ13" i="39"/>
  <c r="B14" i="39"/>
  <c r="C14" i="39"/>
  <c r="D14" i="39"/>
  <c r="E14" i="39"/>
  <c r="F14" i="39"/>
  <c r="G14" i="39"/>
  <c r="H14" i="39"/>
  <c r="I14" i="39"/>
  <c r="J14" i="39"/>
  <c r="K14" i="39"/>
  <c r="L14" i="39"/>
  <c r="M14" i="39"/>
  <c r="N14" i="39"/>
  <c r="O14" i="39"/>
  <c r="P14" i="39"/>
  <c r="Q14" i="39"/>
  <c r="R14" i="39"/>
  <c r="S14" i="39"/>
  <c r="T14" i="39"/>
  <c r="U14" i="39"/>
  <c r="V14" i="39"/>
  <c r="W14" i="39"/>
  <c r="X14" i="39"/>
  <c r="Y14" i="39"/>
  <c r="Z14" i="39"/>
  <c r="AA14" i="39"/>
  <c r="AB14" i="39"/>
  <c r="AC14" i="39"/>
  <c r="AD14" i="39"/>
  <c r="AE14" i="39"/>
  <c r="AF14" i="39"/>
  <c r="AG14" i="39"/>
  <c r="AH14" i="39"/>
  <c r="AI14" i="39"/>
  <c r="AJ14" i="39"/>
  <c r="AK14" i="39"/>
  <c r="AL14" i="39"/>
  <c r="AM14" i="39"/>
  <c r="AN14" i="39"/>
  <c r="AO14" i="39"/>
  <c r="AP14" i="39"/>
  <c r="AQ14" i="39"/>
  <c r="AR14" i="39"/>
  <c r="AS14" i="39"/>
  <c r="AT14" i="39"/>
  <c r="AU14" i="39"/>
  <c r="AV14" i="39"/>
  <c r="AW14" i="39"/>
  <c r="AX14" i="39"/>
  <c r="AY14" i="39"/>
  <c r="AZ14" i="39"/>
  <c r="BA14" i="39"/>
  <c r="BB14" i="39"/>
  <c r="BC14" i="39"/>
  <c r="BD14" i="39"/>
  <c r="BE14" i="39"/>
  <c r="BF14" i="39"/>
  <c r="BG14" i="39"/>
  <c r="BH14" i="39"/>
  <c r="BI14" i="39"/>
  <c r="BJ14" i="39"/>
  <c r="BK14" i="39"/>
  <c r="BL14" i="39"/>
  <c r="BM14" i="39"/>
  <c r="BN14" i="39"/>
  <c r="BO14" i="39"/>
  <c r="BP14" i="39"/>
  <c r="BQ14" i="39"/>
  <c r="BR14" i="39"/>
  <c r="BS14" i="39"/>
  <c r="BT14" i="39"/>
  <c r="BU14" i="39"/>
  <c r="BV14" i="39"/>
  <c r="BW14" i="39"/>
  <c r="BX14" i="39"/>
  <c r="BZ14" i="39"/>
  <c r="CA14" i="39"/>
  <c r="CB14" i="39"/>
  <c r="CC14" i="39"/>
  <c r="CD14" i="39"/>
  <c r="CE14" i="39"/>
  <c r="CF14" i="39"/>
  <c r="CG14" i="39"/>
  <c r="CH14" i="39"/>
  <c r="CI14" i="39"/>
  <c r="CJ14" i="39"/>
  <c r="CK14" i="39"/>
  <c r="CL14" i="39"/>
  <c r="CM14" i="39"/>
  <c r="CN14" i="39"/>
  <c r="CO14" i="39"/>
  <c r="CP14" i="39"/>
  <c r="CQ14" i="39"/>
  <c r="CR14" i="39"/>
  <c r="CS14" i="39"/>
  <c r="CT14" i="39"/>
  <c r="CU14" i="39"/>
  <c r="CV14" i="39"/>
  <c r="CW14" i="39"/>
  <c r="CY14" i="39"/>
  <c r="DJ14" i="39"/>
  <c r="B15" i="39"/>
  <c r="C15" i="39"/>
  <c r="D15" i="39"/>
  <c r="E15" i="39"/>
  <c r="F15" i="39"/>
  <c r="G15" i="39"/>
  <c r="H15" i="39"/>
  <c r="I15" i="39"/>
  <c r="J15" i="39"/>
  <c r="K15" i="39"/>
  <c r="L15" i="39"/>
  <c r="M15" i="39"/>
  <c r="N15" i="39"/>
  <c r="O15" i="39"/>
  <c r="P15" i="39"/>
  <c r="Q15" i="39"/>
  <c r="R15" i="39"/>
  <c r="S15" i="39"/>
  <c r="T15" i="39"/>
  <c r="U15" i="39"/>
  <c r="V15" i="39"/>
  <c r="W15" i="39"/>
  <c r="X15" i="39"/>
  <c r="Y15" i="39"/>
  <c r="Z15" i="39"/>
  <c r="AA15" i="39"/>
  <c r="AB15" i="39"/>
  <c r="AC15" i="39"/>
  <c r="AD15" i="39"/>
  <c r="AE15" i="39"/>
  <c r="AF15" i="39"/>
  <c r="AG15" i="39"/>
  <c r="AH15" i="39"/>
  <c r="AI15" i="39"/>
  <c r="AJ15" i="39"/>
  <c r="AK15" i="39"/>
  <c r="AL15" i="39"/>
  <c r="AM15" i="39"/>
  <c r="AN15" i="39"/>
  <c r="AO15" i="39"/>
  <c r="AP15" i="39"/>
  <c r="AQ15" i="39"/>
  <c r="AR15" i="39"/>
  <c r="AS15" i="39"/>
  <c r="AT15" i="39"/>
  <c r="AU15" i="39"/>
  <c r="AV15" i="39"/>
  <c r="AW15" i="39"/>
  <c r="AX15" i="39"/>
  <c r="AY15" i="39"/>
  <c r="AZ15" i="39"/>
  <c r="BA15" i="39"/>
  <c r="BB15" i="39"/>
  <c r="BC15" i="39"/>
  <c r="BD15" i="39"/>
  <c r="BE15" i="39"/>
  <c r="BF15" i="39"/>
  <c r="BG15" i="39"/>
  <c r="BH15" i="39"/>
  <c r="BI15" i="39"/>
  <c r="BJ15" i="39"/>
  <c r="BK15" i="39"/>
  <c r="BL15" i="39"/>
  <c r="BM15" i="39"/>
  <c r="BN15" i="39"/>
  <c r="BO15" i="39"/>
  <c r="BP15" i="39"/>
  <c r="BQ15" i="39"/>
  <c r="BR15" i="39"/>
  <c r="BS15" i="39"/>
  <c r="BT15" i="39"/>
  <c r="BU15" i="39"/>
  <c r="BV15" i="39"/>
  <c r="BW15" i="39"/>
  <c r="BX15" i="39"/>
  <c r="BZ15" i="39"/>
  <c r="CA15" i="39"/>
  <c r="CB15" i="39"/>
  <c r="CC15" i="39"/>
  <c r="CD15" i="39"/>
  <c r="CE15" i="39"/>
  <c r="CF15" i="39"/>
  <c r="CG15" i="39"/>
  <c r="CH15" i="39"/>
  <c r="CI15" i="39"/>
  <c r="CJ15" i="39"/>
  <c r="CK15" i="39"/>
  <c r="CL15" i="39"/>
  <c r="CM15" i="39"/>
  <c r="CN15" i="39"/>
  <c r="CO15" i="39"/>
  <c r="CP15" i="39"/>
  <c r="CQ15" i="39"/>
  <c r="CR15" i="39"/>
  <c r="CS15" i="39"/>
  <c r="CT15" i="39"/>
  <c r="CU15" i="39"/>
  <c r="CV15" i="39"/>
  <c r="CW15" i="39"/>
  <c r="CY15" i="39"/>
  <c r="DJ15" i="39"/>
  <c r="B16" i="39"/>
  <c r="C16" i="39"/>
  <c r="D16" i="39"/>
  <c r="E16" i="39"/>
  <c r="F16" i="39"/>
  <c r="G16" i="39"/>
  <c r="H16" i="39"/>
  <c r="I16" i="39"/>
  <c r="J16" i="39"/>
  <c r="K16" i="39"/>
  <c r="L16" i="39"/>
  <c r="M16" i="39"/>
  <c r="N16" i="39"/>
  <c r="O16" i="39"/>
  <c r="P16" i="39"/>
  <c r="Q16" i="39"/>
  <c r="R16" i="39"/>
  <c r="S16" i="39"/>
  <c r="T16" i="39"/>
  <c r="U16" i="39"/>
  <c r="V16" i="39"/>
  <c r="W16" i="39"/>
  <c r="X16" i="39"/>
  <c r="Y16" i="39"/>
  <c r="Z16" i="39"/>
  <c r="AA16" i="39"/>
  <c r="AB16" i="39"/>
  <c r="AC16" i="39"/>
  <c r="AD16" i="39"/>
  <c r="AE16" i="39"/>
  <c r="AF16" i="39"/>
  <c r="AG16" i="39"/>
  <c r="AH16" i="39"/>
  <c r="AI16" i="39"/>
  <c r="AJ16" i="39"/>
  <c r="AK16" i="39"/>
  <c r="AL16" i="39"/>
  <c r="AM16" i="39"/>
  <c r="AN16" i="39"/>
  <c r="AO16" i="39"/>
  <c r="AP16" i="39"/>
  <c r="AQ16" i="39"/>
  <c r="AR16" i="39"/>
  <c r="AS16" i="39"/>
  <c r="AT16" i="39"/>
  <c r="AU16" i="39"/>
  <c r="AV16" i="39"/>
  <c r="AW16" i="39"/>
  <c r="AX16" i="39"/>
  <c r="AY16" i="39"/>
  <c r="AZ16" i="39"/>
  <c r="BA16" i="39"/>
  <c r="BB16" i="39"/>
  <c r="BC16" i="39"/>
  <c r="BD16" i="39"/>
  <c r="BE16" i="39"/>
  <c r="BF16" i="39"/>
  <c r="BG16" i="39"/>
  <c r="BH16" i="39"/>
  <c r="BI16" i="39"/>
  <c r="BJ16" i="39"/>
  <c r="BK16" i="39"/>
  <c r="BL16" i="39"/>
  <c r="BM16" i="39"/>
  <c r="BN16" i="39"/>
  <c r="BO16" i="39"/>
  <c r="BP16" i="39"/>
  <c r="BQ16" i="39"/>
  <c r="BR16" i="39"/>
  <c r="BS16" i="39"/>
  <c r="BT16" i="39"/>
  <c r="BU16" i="39"/>
  <c r="BV16" i="39"/>
  <c r="BW16" i="39"/>
  <c r="BX16" i="39"/>
  <c r="BZ16" i="39"/>
  <c r="CA16" i="39"/>
  <c r="CB16" i="39"/>
  <c r="CC16" i="39"/>
  <c r="CD16" i="39"/>
  <c r="CE16" i="39"/>
  <c r="CF16" i="39"/>
  <c r="CG16" i="39"/>
  <c r="CH16" i="39"/>
  <c r="CI16" i="39"/>
  <c r="CJ16" i="39"/>
  <c r="CK16" i="39"/>
  <c r="CL16" i="39"/>
  <c r="CM16" i="39"/>
  <c r="CN16" i="39"/>
  <c r="CO16" i="39"/>
  <c r="CP16" i="39"/>
  <c r="CQ16" i="39"/>
  <c r="CR16" i="39"/>
  <c r="CS16" i="39"/>
  <c r="CT16" i="39"/>
  <c r="CU16" i="39"/>
  <c r="CV16" i="39"/>
  <c r="CW16" i="39"/>
  <c r="CY16" i="39"/>
  <c r="DA16" i="39"/>
  <c r="DB16" i="39"/>
  <c r="DC16" i="39"/>
  <c r="DD16" i="39"/>
  <c r="DE16" i="39"/>
  <c r="DF16" i="39"/>
  <c r="DG16" i="39"/>
  <c r="DH16" i="39"/>
  <c r="DJ16" i="39"/>
  <c r="B17" i="39"/>
  <c r="C17" i="39"/>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AH17" i="39"/>
  <c r="AI17" i="39"/>
  <c r="AJ17" i="39"/>
  <c r="AK17" i="39"/>
  <c r="AL17" i="39"/>
  <c r="AM17" i="39"/>
  <c r="AN17" i="39"/>
  <c r="AO17" i="39"/>
  <c r="AP17" i="39"/>
  <c r="AQ17" i="39"/>
  <c r="AR17" i="39"/>
  <c r="AS17" i="39"/>
  <c r="AT17" i="39"/>
  <c r="AU17" i="39"/>
  <c r="AV17" i="39"/>
  <c r="AW17" i="39"/>
  <c r="AX17" i="39"/>
  <c r="AY17" i="39"/>
  <c r="AZ17" i="39"/>
  <c r="BA17" i="39"/>
  <c r="BB17" i="39"/>
  <c r="BC17" i="39"/>
  <c r="BD17" i="39"/>
  <c r="BE17" i="39"/>
  <c r="BF17" i="39"/>
  <c r="BG17" i="39"/>
  <c r="BH17" i="39"/>
  <c r="BI17" i="39"/>
  <c r="BJ17" i="39"/>
  <c r="BK17" i="39"/>
  <c r="BL17" i="39"/>
  <c r="BM17" i="39"/>
  <c r="BN17" i="39"/>
  <c r="BO17" i="39"/>
  <c r="BP17" i="39"/>
  <c r="BQ17" i="39"/>
  <c r="BR17" i="39"/>
  <c r="BS17" i="39"/>
  <c r="BT17" i="39"/>
  <c r="BU17" i="39"/>
  <c r="BV17" i="39"/>
  <c r="BW17" i="39"/>
  <c r="BX17" i="39"/>
  <c r="BZ17" i="39"/>
  <c r="CA17" i="39"/>
  <c r="CB17" i="39"/>
  <c r="CC17" i="39"/>
  <c r="CD17" i="39"/>
  <c r="CE17" i="39"/>
  <c r="CF17" i="39"/>
  <c r="CG17" i="39"/>
  <c r="CH17" i="39"/>
  <c r="CI17" i="39"/>
  <c r="CJ17" i="39"/>
  <c r="CK17" i="39"/>
  <c r="CL17" i="39"/>
  <c r="CM17" i="39"/>
  <c r="CN17" i="39"/>
  <c r="CO17" i="39"/>
  <c r="CP17" i="39"/>
  <c r="CQ17" i="39"/>
  <c r="CR17" i="39"/>
  <c r="CS17" i="39"/>
  <c r="CT17" i="39"/>
  <c r="CU17" i="39"/>
  <c r="CV17" i="39"/>
  <c r="CW17" i="39"/>
  <c r="CY17" i="39"/>
  <c r="DA17" i="39"/>
  <c r="DB17" i="39"/>
  <c r="DC17" i="39"/>
  <c r="DD17" i="39"/>
  <c r="DE17" i="39"/>
  <c r="DF17" i="39"/>
  <c r="DG17" i="39"/>
  <c r="DH17" i="39"/>
  <c r="DJ17" i="39"/>
  <c r="B18" i="39"/>
  <c r="C18"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AH18" i="39"/>
  <c r="AI18" i="39"/>
  <c r="AJ18" i="39"/>
  <c r="AK18" i="39"/>
  <c r="AL18" i="39"/>
  <c r="AM18" i="39"/>
  <c r="AN18" i="39"/>
  <c r="AO18" i="39"/>
  <c r="AP18" i="39"/>
  <c r="AQ18" i="39"/>
  <c r="AR18" i="39"/>
  <c r="AS18" i="39"/>
  <c r="AT18" i="39"/>
  <c r="AU18" i="39"/>
  <c r="AV18" i="39"/>
  <c r="AW18" i="39"/>
  <c r="AX18" i="39"/>
  <c r="AY18" i="39"/>
  <c r="AZ18" i="39"/>
  <c r="BA18" i="39"/>
  <c r="BB18" i="39"/>
  <c r="BC18" i="39"/>
  <c r="BD18" i="39"/>
  <c r="BE18" i="39"/>
  <c r="BF18" i="39"/>
  <c r="BG18" i="39"/>
  <c r="BH18" i="39"/>
  <c r="BI18" i="39"/>
  <c r="BJ18" i="39"/>
  <c r="BK18" i="39"/>
  <c r="BL18" i="39"/>
  <c r="BM18" i="39"/>
  <c r="BN18" i="39"/>
  <c r="BO18" i="39"/>
  <c r="BP18" i="39"/>
  <c r="BQ18" i="39"/>
  <c r="BR18" i="39"/>
  <c r="BS18" i="39"/>
  <c r="BT18" i="39"/>
  <c r="BU18" i="39"/>
  <c r="BV18" i="39"/>
  <c r="BW18" i="39"/>
  <c r="BX18" i="39"/>
  <c r="BZ18" i="39"/>
  <c r="CA18" i="39"/>
  <c r="CB18" i="39"/>
  <c r="CC18" i="39"/>
  <c r="CD18" i="39"/>
  <c r="CE18" i="39"/>
  <c r="CF18" i="39"/>
  <c r="CG18" i="39"/>
  <c r="CH18" i="39"/>
  <c r="CI18" i="39"/>
  <c r="CJ18" i="39"/>
  <c r="CK18" i="39"/>
  <c r="CL18" i="39"/>
  <c r="CM18" i="39"/>
  <c r="CN18" i="39"/>
  <c r="CO18" i="39"/>
  <c r="CP18" i="39"/>
  <c r="CQ18" i="39"/>
  <c r="CR18" i="39"/>
  <c r="CS18" i="39"/>
  <c r="CT18" i="39"/>
  <c r="CU18" i="39"/>
  <c r="CV18" i="39"/>
  <c r="CW18" i="39"/>
  <c r="CY18" i="39"/>
  <c r="DA18" i="39"/>
  <c r="DB18" i="39"/>
  <c r="DC18" i="39"/>
  <c r="DD18" i="39"/>
  <c r="DE18" i="39"/>
  <c r="DF18" i="39"/>
  <c r="DG18" i="39"/>
  <c r="DH18" i="39"/>
  <c r="DJ18" i="39"/>
  <c r="B20" i="39"/>
  <c r="C20" i="39"/>
  <c r="D20" i="39"/>
  <c r="E20" i="39"/>
  <c r="F20" i="39"/>
  <c r="G20" i="39"/>
  <c r="H20" i="39"/>
  <c r="I20" i="39"/>
  <c r="J20" i="39"/>
  <c r="K20" i="39"/>
  <c r="L20" i="39"/>
  <c r="M20" i="39"/>
  <c r="N20" i="39"/>
  <c r="O20" i="39"/>
  <c r="P20" i="39"/>
  <c r="Q20" i="39"/>
  <c r="R20" i="39"/>
  <c r="S20" i="39"/>
  <c r="T20" i="39"/>
  <c r="U20" i="39"/>
  <c r="V20" i="39"/>
  <c r="W20" i="39"/>
  <c r="X20" i="39"/>
  <c r="Y20" i="39"/>
  <c r="Z20" i="39"/>
  <c r="AA20" i="39"/>
  <c r="AB20" i="39"/>
  <c r="AC20" i="39"/>
  <c r="AD20" i="39"/>
  <c r="AE20" i="39"/>
  <c r="AF20" i="39"/>
  <c r="AG20" i="39"/>
  <c r="AH20" i="39"/>
  <c r="AI20" i="39"/>
  <c r="AJ20" i="39"/>
  <c r="AK20" i="39"/>
  <c r="AL20" i="39"/>
  <c r="AM20" i="39"/>
  <c r="AN20" i="39"/>
  <c r="AO20" i="39"/>
  <c r="AP20" i="39"/>
  <c r="AQ20" i="39"/>
  <c r="AR20" i="39"/>
  <c r="AS20" i="39"/>
  <c r="AT20" i="39"/>
  <c r="AU20" i="39"/>
  <c r="AV20" i="39"/>
  <c r="AW20" i="39"/>
  <c r="AX20" i="39"/>
  <c r="AY20" i="39"/>
  <c r="AZ20" i="39"/>
  <c r="BA20" i="39"/>
  <c r="BB20" i="39"/>
  <c r="BC20" i="39"/>
  <c r="BD20" i="39"/>
  <c r="BE20" i="39"/>
  <c r="BF20" i="39"/>
  <c r="BG20" i="39"/>
  <c r="BH20" i="39"/>
  <c r="BI20" i="39"/>
  <c r="BJ20" i="39"/>
  <c r="BK20" i="39"/>
  <c r="BL20" i="39"/>
  <c r="BM20" i="39"/>
  <c r="BN20" i="39"/>
  <c r="BO20" i="39"/>
  <c r="BP20" i="39"/>
  <c r="BQ20" i="39"/>
  <c r="BR20" i="39"/>
  <c r="BS20" i="39"/>
  <c r="BT20" i="39"/>
  <c r="BU20" i="39"/>
  <c r="BV20" i="39"/>
  <c r="BW20" i="39"/>
  <c r="BX20" i="39"/>
  <c r="BZ20" i="39"/>
  <c r="CA20" i="39"/>
  <c r="CB20" i="39"/>
  <c r="CC20" i="39"/>
  <c r="CD20" i="39"/>
  <c r="CE20" i="39"/>
  <c r="CF20" i="39"/>
  <c r="CG20" i="39"/>
  <c r="CH20" i="39"/>
  <c r="CI20" i="39"/>
  <c r="CJ20" i="39"/>
  <c r="CK20" i="39"/>
  <c r="CL20" i="39"/>
  <c r="CM20" i="39"/>
  <c r="CN20" i="39"/>
  <c r="CO20" i="39"/>
  <c r="CP20" i="39"/>
  <c r="CQ20" i="39"/>
  <c r="CR20" i="39"/>
  <c r="CS20" i="39"/>
  <c r="CT20" i="39"/>
  <c r="CU20" i="39"/>
  <c r="CV20" i="39"/>
  <c r="CW20" i="39"/>
  <c r="CY20" i="39"/>
  <c r="DA20" i="39"/>
  <c r="DB20" i="39"/>
  <c r="DC20" i="39"/>
  <c r="DD20" i="39"/>
  <c r="DE20" i="39"/>
  <c r="DF20" i="39"/>
  <c r="DG20" i="39"/>
  <c r="DH20" i="39"/>
  <c r="DJ20" i="39"/>
  <c r="B21" i="39"/>
  <c r="C21" i="39"/>
  <c r="D21" i="39"/>
  <c r="E21" i="39"/>
  <c r="F21" i="39"/>
  <c r="G21" i="39"/>
  <c r="H21" i="39"/>
  <c r="I21" i="39"/>
  <c r="J21" i="39"/>
  <c r="K21" i="39"/>
  <c r="L21" i="39"/>
  <c r="M21" i="39"/>
  <c r="N21" i="39"/>
  <c r="O21" i="39"/>
  <c r="P21" i="39"/>
  <c r="Q21" i="39"/>
  <c r="R21" i="39"/>
  <c r="S21" i="39"/>
  <c r="T21" i="39"/>
  <c r="U21" i="39"/>
  <c r="V21" i="39"/>
  <c r="W21" i="39"/>
  <c r="X21" i="39"/>
  <c r="Y21" i="39"/>
  <c r="Z21" i="39"/>
  <c r="AA21" i="39"/>
  <c r="AB21" i="39"/>
  <c r="AC21" i="39"/>
  <c r="AD21" i="39"/>
  <c r="AE21" i="39"/>
  <c r="AF21" i="39"/>
  <c r="AG21" i="39"/>
  <c r="AH21" i="39"/>
  <c r="AI21" i="39"/>
  <c r="AJ21" i="39"/>
  <c r="AK21" i="39"/>
  <c r="AL21" i="39"/>
  <c r="AM21" i="39"/>
  <c r="AN21" i="39"/>
  <c r="AO21" i="39"/>
  <c r="AP21" i="39"/>
  <c r="AQ21" i="39"/>
  <c r="AR21" i="39"/>
  <c r="AS21" i="39"/>
  <c r="AT21" i="39"/>
  <c r="AU21" i="39"/>
  <c r="AV21" i="39"/>
  <c r="AW21" i="39"/>
  <c r="AX21" i="39"/>
  <c r="AY21" i="39"/>
  <c r="AZ21" i="39"/>
  <c r="BA21" i="39"/>
  <c r="BB21" i="39"/>
  <c r="BC21" i="39"/>
  <c r="BD21" i="39"/>
  <c r="BE21" i="39"/>
  <c r="BF21" i="39"/>
  <c r="BG21" i="39"/>
  <c r="BH21" i="39"/>
  <c r="BI21" i="39"/>
  <c r="BJ21" i="39"/>
  <c r="BK21" i="39"/>
  <c r="BL21" i="39"/>
  <c r="BM21" i="39"/>
  <c r="BN21" i="39"/>
  <c r="BO21" i="39"/>
  <c r="BP21" i="39"/>
  <c r="BQ21" i="39"/>
  <c r="BR21" i="39"/>
  <c r="BS21" i="39"/>
  <c r="BT21" i="39"/>
  <c r="BU21" i="39"/>
  <c r="BV21" i="39"/>
  <c r="BW21" i="39"/>
  <c r="BX21" i="39"/>
  <c r="BZ21" i="39"/>
  <c r="CA21" i="39"/>
  <c r="CB21" i="39"/>
  <c r="CC21" i="39"/>
  <c r="CD21" i="39"/>
  <c r="CE21" i="39"/>
  <c r="CF21" i="39"/>
  <c r="CG21" i="39"/>
  <c r="CH21" i="39"/>
  <c r="CI21" i="39"/>
  <c r="CJ21" i="39"/>
  <c r="CK21" i="39"/>
  <c r="CL21" i="39"/>
  <c r="CM21" i="39"/>
  <c r="CN21" i="39"/>
  <c r="CO21" i="39"/>
  <c r="CP21" i="39"/>
  <c r="CQ21" i="39"/>
  <c r="CR21" i="39"/>
  <c r="CS21" i="39"/>
  <c r="CT21" i="39"/>
  <c r="CU21" i="39"/>
  <c r="CV21" i="39"/>
  <c r="CW21" i="39"/>
  <c r="CY21" i="39"/>
  <c r="DA21" i="39"/>
  <c r="DB21" i="39"/>
  <c r="DC21" i="39"/>
  <c r="DD21" i="39"/>
  <c r="DE21" i="39"/>
  <c r="DF21" i="39"/>
  <c r="DG21" i="39"/>
  <c r="DH21" i="39"/>
  <c r="DJ21" i="39"/>
  <c r="DA24" i="39"/>
  <c r="DB24" i="39"/>
  <c r="DC24" i="39"/>
  <c r="DD24" i="39"/>
  <c r="DE24" i="39"/>
  <c r="DF24" i="39"/>
  <c r="DG24" i="39"/>
  <c r="B25" i="39"/>
  <c r="C25"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AH25" i="39"/>
  <c r="AI25" i="39"/>
  <c r="AJ25" i="39"/>
  <c r="AK25" i="39"/>
  <c r="AL25" i="39"/>
  <c r="AM25" i="39"/>
  <c r="AN25" i="39"/>
  <c r="AO25" i="39"/>
  <c r="AP25" i="39"/>
  <c r="AQ25" i="39"/>
  <c r="AR25" i="39"/>
  <c r="AS25" i="39"/>
  <c r="AT25" i="39"/>
  <c r="AU25" i="39"/>
  <c r="AV25" i="39"/>
  <c r="AW25" i="39"/>
  <c r="AX25" i="39"/>
  <c r="AY25" i="39"/>
  <c r="AZ25" i="39"/>
  <c r="BA25" i="39"/>
  <c r="BB25" i="39"/>
  <c r="BC25" i="39"/>
  <c r="BD25" i="39"/>
  <c r="BE25" i="39"/>
  <c r="BF25" i="39"/>
  <c r="BG25" i="39"/>
  <c r="BH25" i="39"/>
  <c r="BI25" i="39"/>
  <c r="BJ25" i="39"/>
  <c r="BK25" i="39"/>
  <c r="BL25" i="39"/>
  <c r="BM25" i="39"/>
  <c r="BN25" i="39"/>
  <c r="BO25" i="39"/>
  <c r="BP25" i="39"/>
  <c r="BQ25" i="39"/>
  <c r="BR25" i="39"/>
  <c r="BS25" i="39"/>
  <c r="BT25" i="39"/>
  <c r="BU25" i="39"/>
  <c r="BV25" i="39"/>
  <c r="BW25" i="39"/>
  <c r="BZ25" i="39"/>
  <c r="CA25" i="39"/>
  <c r="CB25" i="39"/>
  <c r="CC25" i="39"/>
  <c r="CD25" i="39"/>
  <c r="CE25" i="39"/>
  <c r="CF25" i="39"/>
  <c r="CG25" i="39"/>
  <c r="CH25" i="39"/>
  <c r="CI25" i="39"/>
  <c r="CJ25" i="39"/>
  <c r="CK25" i="39"/>
  <c r="CL25" i="39"/>
  <c r="CM25" i="39"/>
  <c r="CN25" i="39"/>
  <c r="CO25" i="39"/>
  <c r="CP25" i="39"/>
  <c r="CQ25" i="39"/>
  <c r="CR25" i="39"/>
  <c r="CS25" i="39"/>
  <c r="CT25" i="39"/>
  <c r="CU25" i="39"/>
  <c r="CV25" i="39"/>
  <c r="DA25" i="39"/>
  <c r="DB25" i="39"/>
  <c r="DC25" i="39"/>
  <c r="DD25" i="39"/>
  <c r="DE25" i="39"/>
  <c r="DF25" i="39"/>
  <c r="DG25" i="39"/>
  <c r="B26" i="39"/>
  <c r="C26"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AH26" i="39"/>
  <c r="AI26" i="39"/>
  <c r="AJ26" i="39"/>
  <c r="AK26" i="39"/>
  <c r="AL26" i="39"/>
  <c r="AM26" i="39"/>
  <c r="AN26" i="39"/>
  <c r="AO26" i="39"/>
  <c r="AP26" i="39"/>
  <c r="AQ26" i="39"/>
  <c r="AR26" i="39"/>
  <c r="AS26" i="39"/>
  <c r="AT26" i="39"/>
  <c r="AU26" i="39"/>
  <c r="AV26" i="39"/>
  <c r="AW26" i="39"/>
  <c r="AX26" i="39"/>
  <c r="AY26" i="39"/>
  <c r="AZ26" i="39"/>
  <c r="BA26" i="39"/>
  <c r="BB26" i="39"/>
  <c r="BC26" i="39"/>
  <c r="BD26" i="39"/>
  <c r="BE26" i="39"/>
  <c r="BF26" i="39"/>
  <c r="BG26" i="39"/>
  <c r="BH26" i="39"/>
  <c r="BI26" i="39"/>
  <c r="BJ26" i="39"/>
  <c r="BK26" i="39"/>
  <c r="BL26" i="39"/>
  <c r="BM26" i="39"/>
  <c r="BN26" i="39"/>
  <c r="BO26" i="39"/>
  <c r="BP26" i="39"/>
  <c r="BQ26" i="39"/>
  <c r="BR26" i="39"/>
  <c r="BS26" i="39"/>
  <c r="BT26" i="39"/>
  <c r="BU26" i="39"/>
  <c r="BV26" i="39"/>
  <c r="BW26" i="39"/>
  <c r="BZ26" i="39"/>
  <c r="CA26" i="39"/>
  <c r="CB26" i="39"/>
  <c r="CC26" i="39"/>
  <c r="CD26" i="39"/>
  <c r="CE26" i="39"/>
  <c r="CF26" i="39"/>
  <c r="CG26" i="39"/>
  <c r="CH26" i="39"/>
  <c r="CI26" i="39"/>
  <c r="CJ26" i="39"/>
  <c r="CK26" i="39"/>
  <c r="CL26" i="39"/>
  <c r="CM26" i="39"/>
  <c r="CN26" i="39"/>
  <c r="CO26" i="39"/>
  <c r="CP26" i="39"/>
  <c r="CQ26" i="39"/>
  <c r="CR26" i="39"/>
  <c r="CS26" i="39"/>
  <c r="CT26" i="39"/>
  <c r="CU26" i="39"/>
  <c r="CV26" i="39"/>
  <c r="DA26" i="39"/>
  <c r="DB26" i="39"/>
  <c r="DC26" i="39"/>
  <c r="DD26" i="39"/>
  <c r="DE26" i="39"/>
  <c r="DF26" i="39"/>
  <c r="DG26" i="39"/>
  <c r="B27" i="39"/>
  <c r="C27"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AH27" i="39"/>
  <c r="AI27" i="39"/>
  <c r="AJ27" i="39"/>
  <c r="AK27" i="39"/>
  <c r="AL27" i="39"/>
  <c r="AM27" i="39"/>
  <c r="AN27" i="39"/>
  <c r="AO27" i="39"/>
  <c r="AP27" i="39"/>
  <c r="AQ27" i="39"/>
  <c r="AR27" i="39"/>
  <c r="AS27" i="39"/>
  <c r="AT27" i="39"/>
  <c r="AU27" i="39"/>
  <c r="AV27" i="39"/>
  <c r="AW27" i="39"/>
  <c r="AX27" i="39"/>
  <c r="AY27" i="39"/>
  <c r="AZ27" i="39"/>
  <c r="BA27" i="39"/>
  <c r="BB27" i="39"/>
  <c r="BC27" i="39"/>
  <c r="BD27" i="39"/>
  <c r="BE27" i="39"/>
  <c r="BF27" i="39"/>
  <c r="BG27" i="39"/>
  <c r="BH27" i="39"/>
  <c r="BI27" i="39"/>
  <c r="BJ27" i="39"/>
  <c r="BK27" i="39"/>
  <c r="BL27" i="39"/>
  <c r="BM27" i="39"/>
  <c r="BN27" i="39"/>
  <c r="BO27" i="39"/>
  <c r="BP27" i="39"/>
  <c r="BQ27" i="39"/>
  <c r="BR27" i="39"/>
  <c r="BS27" i="39"/>
  <c r="BT27" i="39"/>
  <c r="BU27" i="39"/>
  <c r="BV27" i="39"/>
  <c r="BW27" i="39"/>
  <c r="BZ27" i="39"/>
  <c r="CA27" i="39"/>
  <c r="CB27" i="39"/>
  <c r="CC27" i="39"/>
  <c r="CD27" i="39"/>
  <c r="CE27" i="39"/>
  <c r="CF27" i="39"/>
  <c r="CG27" i="39"/>
  <c r="CH27" i="39"/>
  <c r="CI27" i="39"/>
  <c r="CJ27" i="39"/>
  <c r="CK27" i="39"/>
  <c r="CL27" i="39"/>
  <c r="CM27" i="39"/>
  <c r="CN27" i="39"/>
  <c r="CO27" i="39"/>
  <c r="CP27" i="39"/>
  <c r="CQ27" i="39"/>
  <c r="CR27" i="39"/>
  <c r="CS27" i="39"/>
  <c r="CT27" i="39"/>
  <c r="CU27" i="39"/>
  <c r="CV27" i="39"/>
  <c r="DA27" i="39"/>
  <c r="DB27" i="39"/>
  <c r="DC27" i="39"/>
  <c r="DD27" i="39"/>
  <c r="DE27" i="39"/>
  <c r="DF27" i="39"/>
  <c r="DG27" i="39"/>
  <c r="DA30" i="39"/>
  <c r="DB30" i="39"/>
  <c r="DC30" i="39"/>
  <c r="DD30" i="39"/>
  <c r="DE30" i="39"/>
  <c r="DF30" i="39"/>
  <c r="DG30" i="39"/>
  <c r="B31" i="39"/>
  <c r="C31"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AH31" i="39"/>
  <c r="AI31" i="39"/>
  <c r="AJ31" i="39"/>
  <c r="AK31" i="39"/>
  <c r="AL31" i="39"/>
  <c r="AM31" i="39"/>
  <c r="AN31" i="39"/>
  <c r="AO31" i="39"/>
  <c r="AP31" i="39"/>
  <c r="AQ31" i="39"/>
  <c r="AR31" i="39"/>
  <c r="AS31" i="39"/>
  <c r="AT31" i="39"/>
  <c r="AU31" i="39"/>
  <c r="AV31" i="39"/>
  <c r="AW31" i="39"/>
  <c r="AX31" i="39"/>
  <c r="AY31" i="39"/>
  <c r="AZ31" i="39"/>
  <c r="BA31" i="39"/>
  <c r="BB31" i="39"/>
  <c r="BC31" i="39"/>
  <c r="BD31" i="39"/>
  <c r="BE31" i="39"/>
  <c r="BF31" i="39"/>
  <c r="BG31" i="39"/>
  <c r="BH31" i="39"/>
  <c r="BI31" i="39"/>
  <c r="BJ31" i="39"/>
  <c r="BK31" i="39"/>
  <c r="BL31" i="39"/>
  <c r="BM31" i="39"/>
  <c r="BN31" i="39"/>
  <c r="BO31" i="39"/>
  <c r="BP31" i="39"/>
  <c r="BQ31" i="39"/>
  <c r="BR31" i="39"/>
  <c r="BS31" i="39"/>
  <c r="BT31" i="39"/>
  <c r="BU31" i="39"/>
  <c r="BV31" i="39"/>
  <c r="BW31" i="39"/>
  <c r="BZ31" i="39"/>
  <c r="CA31" i="39"/>
  <c r="CB31" i="39"/>
  <c r="CC31" i="39"/>
  <c r="CD31" i="39"/>
  <c r="CE31" i="39"/>
  <c r="CF31" i="39"/>
  <c r="CG31" i="39"/>
  <c r="CH31" i="39"/>
  <c r="CI31" i="39"/>
  <c r="CJ31" i="39"/>
  <c r="CK31" i="39"/>
  <c r="CL31" i="39"/>
  <c r="CM31" i="39"/>
  <c r="CN31" i="39"/>
  <c r="CO31" i="39"/>
  <c r="CP31" i="39"/>
  <c r="CQ31" i="39"/>
  <c r="CR31" i="39"/>
  <c r="CS31" i="39"/>
  <c r="CT31" i="39"/>
  <c r="CU31" i="39"/>
  <c r="CV31" i="39"/>
  <c r="B32" i="39"/>
  <c r="C32"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AH32" i="39"/>
  <c r="AI32" i="39"/>
  <c r="AJ32" i="39"/>
  <c r="AK32" i="39"/>
  <c r="AL32" i="39"/>
  <c r="AM32" i="39"/>
  <c r="AN32" i="39"/>
  <c r="AO32" i="39"/>
  <c r="AP32" i="39"/>
  <c r="AQ32" i="39"/>
  <c r="AR32" i="39"/>
  <c r="AS32" i="39"/>
  <c r="AT32" i="39"/>
  <c r="AU32" i="39"/>
  <c r="AV32" i="39"/>
  <c r="AW32" i="39"/>
  <c r="AX32" i="39"/>
  <c r="AY32" i="39"/>
  <c r="AZ32" i="39"/>
  <c r="BA32" i="39"/>
  <c r="BB32" i="39"/>
  <c r="BC32" i="39"/>
  <c r="BD32" i="39"/>
  <c r="BE32" i="39"/>
  <c r="BF32" i="39"/>
  <c r="BG32" i="39"/>
  <c r="BH32" i="39"/>
  <c r="BI32" i="39"/>
  <c r="BJ32" i="39"/>
  <c r="BK32" i="39"/>
  <c r="BL32" i="39"/>
  <c r="BM32" i="39"/>
  <c r="BN32" i="39"/>
  <c r="BO32" i="39"/>
  <c r="BP32" i="39"/>
  <c r="BQ32" i="39"/>
  <c r="BR32" i="39"/>
  <c r="BS32" i="39"/>
  <c r="BT32" i="39"/>
  <c r="BU32" i="39"/>
  <c r="BV32" i="39"/>
  <c r="BW32" i="39"/>
  <c r="BZ32" i="39"/>
  <c r="CA32" i="39"/>
  <c r="CB32" i="39"/>
  <c r="CC32" i="39"/>
  <c r="CD32" i="39"/>
  <c r="CE32" i="39"/>
  <c r="CF32" i="39"/>
  <c r="CG32" i="39"/>
  <c r="CH32" i="39"/>
  <c r="CI32" i="39"/>
  <c r="CJ32" i="39"/>
  <c r="CK32" i="39"/>
  <c r="CL32" i="39"/>
  <c r="CM32" i="39"/>
  <c r="CN32" i="39"/>
  <c r="CO32" i="39"/>
  <c r="CP32" i="39"/>
  <c r="CQ32" i="39"/>
  <c r="CR32" i="39"/>
  <c r="CS32" i="39"/>
  <c r="CT32" i="39"/>
  <c r="CU32" i="39"/>
  <c r="CV32" i="39"/>
  <c r="B33" i="39"/>
  <c r="C33"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AH33" i="39"/>
  <c r="AI33" i="39"/>
  <c r="AJ33" i="39"/>
  <c r="AK33" i="39"/>
  <c r="AL33" i="39"/>
  <c r="AM33" i="39"/>
  <c r="AN33" i="39"/>
  <c r="AO33" i="39"/>
  <c r="AP33" i="39"/>
  <c r="AQ33" i="39"/>
  <c r="AR33" i="39"/>
  <c r="AS33" i="39"/>
  <c r="AT33" i="39"/>
  <c r="AU33" i="39"/>
  <c r="AV33" i="39"/>
  <c r="AW33" i="39"/>
  <c r="AX33" i="39"/>
  <c r="AY33" i="39"/>
  <c r="AZ33" i="39"/>
  <c r="BA33" i="39"/>
  <c r="BB33" i="39"/>
  <c r="BC33" i="39"/>
  <c r="BD33" i="39"/>
  <c r="BE33" i="39"/>
  <c r="BF33" i="39"/>
  <c r="BG33" i="39"/>
  <c r="BH33" i="39"/>
  <c r="BI33" i="39"/>
  <c r="BJ33" i="39"/>
  <c r="BK33" i="39"/>
  <c r="BL33" i="39"/>
  <c r="BM33" i="39"/>
  <c r="BN33" i="39"/>
  <c r="BO33" i="39"/>
  <c r="BP33" i="39"/>
  <c r="BQ33" i="39"/>
  <c r="BR33" i="39"/>
  <c r="BS33" i="39"/>
  <c r="BT33" i="39"/>
  <c r="BU33" i="39"/>
  <c r="BV33" i="39"/>
  <c r="BW33" i="39"/>
  <c r="BZ33" i="39"/>
  <c r="CA33" i="39"/>
  <c r="CB33" i="39"/>
  <c r="CC33" i="39"/>
  <c r="CD33" i="39"/>
  <c r="CE33" i="39"/>
  <c r="CF33" i="39"/>
  <c r="CG33" i="39"/>
  <c r="CH33" i="39"/>
  <c r="CI33" i="39"/>
  <c r="CJ33" i="39"/>
  <c r="CK33" i="39"/>
  <c r="CL33" i="39"/>
  <c r="CM33" i="39"/>
  <c r="CN33" i="39"/>
  <c r="CO33" i="39"/>
  <c r="CP33" i="39"/>
  <c r="CQ33" i="39"/>
  <c r="CR33" i="39"/>
  <c r="CS33" i="39"/>
  <c r="CT33" i="39"/>
  <c r="CU33" i="39"/>
  <c r="CV33" i="39"/>
  <c r="B34" i="39"/>
  <c r="C34"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AH34" i="39"/>
  <c r="AI34" i="39"/>
  <c r="AJ34" i="39"/>
  <c r="AK34" i="39"/>
  <c r="AL34" i="39"/>
  <c r="AM34" i="39"/>
  <c r="AN34" i="39"/>
  <c r="AO34" i="39"/>
  <c r="AP34" i="39"/>
  <c r="AQ34" i="39"/>
  <c r="AR34" i="39"/>
  <c r="AS34" i="39"/>
  <c r="AT34" i="39"/>
  <c r="AU34" i="39"/>
  <c r="AV34" i="39"/>
  <c r="AW34" i="39"/>
  <c r="AX34" i="39"/>
  <c r="AY34" i="39"/>
  <c r="AZ34" i="39"/>
  <c r="BA34" i="39"/>
  <c r="BB34" i="39"/>
  <c r="BC34" i="39"/>
  <c r="BD34" i="39"/>
  <c r="BE34" i="39"/>
  <c r="BF34" i="39"/>
  <c r="BG34" i="39"/>
  <c r="BH34" i="39"/>
  <c r="BI34" i="39"/>
  <c r="BJ34" i="39"/>
  <c r="BK34" i="39"/>
  <c r="BL34" i="39"/>
  <c r="BM34" i="39"/>
  <c r="BN34" i="39"/>
  <c r="BO34" i="39"/>
  <c r="BP34" i="39"/>
  <c r="BQ34" i="39"/>
  <c r="BR34" i="39"/>
  <c r="BS34" i="39"/>
  <c r="BT34" i="39"/>
  <c r="BU34" i="39"/>
  <c r="BV34" i="39"/>
  <c r="BW34" i="39"/>
  <c r="BZ34" i="39"/>
  <c r="CA34" i="39"/>
  <c r="CB34" i="39"/>
  <c r="CC34" i="39"/>
  <c r="CD34" i="39"/>
  <c r="CE34" i="39"/>
  <c r="CF34" i="39"/>
  <c r="CG34" i="39"/>
  <c r="CH34" i="39"/>
  <c r="CI34" i="39"/>
  <c r="CJ34" i="39"/>
  <c r="CK34" i="39"/>
  <c r="CL34" i="39"/>
  <c r="CM34" i="39"/>
  <c r="CN34" i="39"/>
  <c r="CO34" i="39"/>
  <c r="CP34" i="39"/>
  <c r="CQ34" i="39"/>
  <c r="CR34" i="39"/>
  <c r="CS34" i="39"/>
  <c r="CT34" i="39"/>
  <c r="CU34" i="39"/>
  <c r="CV34" i="39"/>
  <c r="DA34" i="39"/>
  <c r="DB34" i="39"/>
  <c r="DC34" i="39"/>
  <c r="DD34" i="39"/>
  <c r="DE34" i="39"/>
  <c r="DF34" i="39"/>
  <c r="DG34" i="39"/>
  <c r="B35" i="39"/>
  <c r="C35" i="39"/>
  <c r="D35" i="39"/>
  <c r="E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AH35" i="39"/>
  <c r="AI35" i="39"/>
  <c r="AJ35" i="39"/>
  <c r="AK35" i="39"/>
  <c r="AL35" i="39"/>
  <c r="AM35" i="39"/>
  <c r="AN35" i="39"/>
  <c r="AO35" i="39"/>
  <c r="AP35" i="39"/>
  <c r="AQ35" i="39"/>
  <c r="AR35" i="39"/>
  <c r="AS35" i="39"/>
  <c r="AT35" i="39"/>
  <c r="AU35" i="39"/>
  <c r="AV35" i="39"/>
  <c r="AW35" i="39"/>
  <c r="AX35" i="39"/>
  <c r="AY35" i="39"/>
  <c r="AZ35" i="39"/>
  <c r="BA35" i="39"/>
  <c r="BB35" i="39"/>
  <c r="BC35" i="39"/>
  <c r="BD35" i="39"/>
  <c r="BE35" i="39"/>
  <c r="BF35" i="39"/>
  <c r="BG35" i="39"/>
  <c r="BH35" i="39"/>
  <c r="BI35" i="39"/>
  <c r="BJ35" i="39"/>
  <c r="BK35" i="39"/>
  <c r="BL35" i="39"/>
  <c r="BM35" i="39"/>
  <c r="BN35" i="39"/>
  <c r="BO35" i="39"/>
  <c r="BP35" i="39"/>
  <c r="BQ35" i="39"/>
  <c r="BR35" i="39"/>
  <c r="BS35" i="39"/>
  <c r="BT35" i="39"/>
  <c r="BU35" i="39"/>
  <c r="BV35" i="39"/>
  <c r="BW35" i="39"/>
  <c r="BZ35" i="39"/>
  <c r="CA35" i="39"/>
  <c r="CB35" i="39"/>
  <c r="CC35" i="39"/>
  <c r="CD35" i="39"/>
  <c r="CE35" i="39"/>
  <c r="CF35" i="39"/>
  <c r="CG35" i="39"/>
  <c r="CH35" i="39"/>
  <c r="CI35" i="39"/>
  <c r="CJ35" i="39"/>
  <c r="CK35" i="39"/>
  <c r="CL35" i="39"/>
  <c r="CM35" i="39"/>
  <c r="CN35" i="39"/>
  <c r="CO35" i="39"/>
  <c r="CP35" i="39"/>
  <c r="CQ35" i="39"/>
  <c r="CR35" i="39"/>
  <c r="CS35" i="39"/>
  <c r="CT35" i="39"/>
  <c r="CU35" i="39"/>
  <c r="CV35" i="39"/>
  <c r="DA35" i="39"/>
  <c r="DB35" i="39"/>
  <c r="DC35" i="39"/>
  <c r="DD35" i="39"/>
  <c r="DE35" i="39"/>
  <c r="DF35" i="39"/>
  <c r="DG35" i="39"/>
  <c r="B36" i="39"/>
  <c r="C36"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AH36" i="39"/>
  <c r="AI36" i="39"/>
  <c r="AJ36" i="39"/>
  <c r="AK36" i="39"/>
  <c r="AL36" i="39"/>
  <c r="AM36" i="39"/>
  <c r="AN36" i="39"/>
  <c r="AO36" i="39"/>
  <c r="AP36" i="39"/>
  <c r="AQ36" i="39"/>
  <c r="AR36" i="39"/>
  <c r="AS36" i="39"/>
  <c r="AT36" i="39"/>
  <c r="AU36" i="39"/>
  <c r="AV36" i="39"/>
  <c r="AW36" i="39"/>
  <c r="AX36" i="39"/>
  <c r="AY36" i="39"/>
  <c r="AZ36" i="39"/>
  <c r="BA36" i="39"/>
  <c r="BB36" i="39"/>
  <c r="BC36" i="39"/>
  <c r="BD36" i="39"/>
  <c r="BE36" i="39"/>
  <c r="BF36" i="39"/>
  <c r="BG36" i="39"/>
  <c r="BH36" i="39"/>
  <c r="BI36" i="39"/>
  <c r="BJ36" i="39"/>
  <c r="BK36" i="39"/>
  <c r="BL36" i="39"/>
  <c r="BM36" i="39"/>
  <c r="BN36" i="39"/>
  <c r="BO36" i="39"/>
  <c r="BP36" i="39"/>
  <c r="BQ36" i="39"/>
  <c r="BR36" i="39"/>
  <c r="BS36" i="39"/>
  <c r="BT36" i="39"/>
  <c r="BU36" i="39"/>
  <c r="BV36" i="39"/>
  <c r="BW36" i="39"/>
  <c r="BZ36" i="39"/>
  <c r="CA36" i="39"/>
  <c r="CB36" i="39"/>
  <c r="CC36" i="39"/>
  <c r="CD36" i="39"/>
  <c r="CE36" i="39"/>
  <c r="CF36" i="39"/>
  <c r="CG36" i="39"/>
  <c r="CH36" i="39"/>
  <c r="CI36" i="39"/>
  <c r="CJ36" i="39"/>
  <c r="CK36" i="39"/>
  <c r="CL36" i="39"/>
  <c r="CM36" i="39"/>
  <c r="CN36" i="39"/>
  <c r="CO36" i="39"/>
  <c r="CP36" i="39"/>
  <c r="CQ36" i="39"/>
  <c r="CR36" i="39"/>
  <c r="CS36" i="39"/>
  <c r="CT36" i="39"/>
  <c r="CU36" i="39"/>
  <c r="CV36" i="39"/>
  <c r="DA36" i="39"/>
  <c r="DB36" i="39"/>
  <c r="DC36" i="39"/>
  <c r="DD36" i="39"/>
  <c r="DE36" i="39"/>
  <c r="DF36" i="39"/>
  <c r="DG36" i="39"/>
  <c r="B37" i="39"/>
  <c r="C37" i="39"/>
  <c r="D37" i="39"/>
  <c r="E37" i="39"/>
  <c r="F37" i="39"/>
  <c r="G37" i="39"/>
  <c r="H37" i="39"/>
  <c r="I37" i="39"/>
  <c r="J37" i="39"/>
  <c r="K37" i="39"/>
  <c r="L37" i="39"/>
  <c r="M37" i="39"/>
  <c r="N37" i="39"/>
  <c r="O37" i="39"/>
  <c r="P37" i="39"/>
  <c r="Q37" i="39"/>
  <c r="R37" i="39"/>
  <c r="S37" i="39"/>
  <c r="T37" i="39"/>
  <c r="U37" i="39"/>
  <c r="V37" i="39"/>
  <c r="W37" i="39"/>
  <c r="X37" i="39"/>
  <c r="Y37" i="39"/>
  <c r="Z37" i="39"/>
  <c r="AA37" i="39"/>
  <c r="AB37" i="39"/>
  <c r="AC37" i="39"/>
  <c r="AD37" i="39"/>
  <c r="AE37" i="39"/>
  <c r="AF37" i="39"/>
  <c r="AG37" i="39"/>
  <c r="AH37" i="39"/>
  <c r="AI37" i="39"/>
  <c r="AJ37" i="39"/>
  <c r="AK37" i="39"/>
  <c r="AL37" i="39"/>
  <c r="AM37" i="39"/>
  <c r="AN37" i="39"/>
  <c r="AO37" i="39"/>
  <c r="AP37" i="39"/>
  <c r="AQ37" i="39"/>
  <c r="AR37" i="39"/>
  <c r="AS37" i="39"/>
  <c r="AT37" i="39"/>
  <c r="AU37" i="39"/>
  <c r="AV37" i="39"/>
  <c r="AW37" i="39"/>
  <c r="AX37" i="39"/>
  <c r="AY37" i="39"/>
  <c r="AZ37" i="39"/>
  <c r="BA37" i="39"/>
  <c r="BB37" i="39"/>
  <c r="BC37" i="39"/>
  <c r="BD37" i="39"/>
  <c r="BE37" i="39"/>
  <c r="BF37" i="39"/>
  <c r="BG37" i="39"/>
  <c r="BH37" i="39"/>
  <c r="BI37" i="39"/>
  <c r="BJ37" i="39"/>
  <c r="BK37" i="39"/>
  <c r="BL37" i="39"/>
  <c r="BM37" i="39"/>
  <c r="BN37" i="39"/>
  <c r="BO37" i="39"/>
  <c r="BP37" i="39"/>
  <c r="BQ37" i="39"/>
  <c r="BR37" i="39"/>
  <c r="BS37" i="39"/>
  <c r="BT37" i="39"/>
  <c r="BU37" i="39"/>
  <c r="BV37" i="39"/>
  <c r="BW37" i="39"/>
  <c r="BZ37" i="39"/>
  <c r="CA37" i="39"/>
  <c r="CB37" i="39"/>
  <c r="CC37" i="39"/>
  <c r="CD37" i="39"/>
  <c r="CE37" i="39"/>
  <c r="CF37" i="39"/>
  <c r="CG37" i="39"/>
  <c r="CH37" i="39"/>
  <c r="CI37" i="39"/>
  <c r="CJ37" i="39"/>
  <c r="CK37" i="39"/>
  <c r="CL37" i="39"/>
  <c r="CM37" i="39"/>
  <c r="CN37" i="39"/>
  <c r="CO37" i="39"/>
  <c r="CP37" i="39"/>
  <c r="CQ37" i="39"/>
  <c r="CR37" i="39"/>
  <c r="CS37" i="39"/>
  <c r="CT37" i="39"/>
  <c r="CU37" i="39"/>
  <c r="CV37" i="39"/>
  <c r="DA37" i="39"/>
  <c r="DB37" i="39"/>
  <c r="DC37" i="39"/>
  <c r="DD37" i="39"/>
  <c r="DE37" i="39"/>
  <c r="DF37" i="39"/>
  <c r="DG37" i="39"/>
  <c r="B40" i="39"/>
  <c r="L40" i="39"/>
  <c r="W40" i="39"/>
  <c r="BD40" i="39"/>
  <c r="BI40" i="39"/>
  <c r="BR40" i="39"/>
  <c r="BU40" i="39"/>
  <c r="BX40" i="39"/>
  <c r="CF40" i="39"/>
  <c r="CH40" i="39"/>
  <c r="CK40" i="39"/>
  <c r="CL40" i="39"/>
  <c r="CN40" i="39"/>
  <c r="CT40" i="39"/>
  <c r="CW40" i="39"/>
  <c r="CY40" i="39"/>
  <c r="B41" i="39"/>
  <c r="L41" i="39"/>
  <c r="W41" i="39"/>
  <c r="BD41" i="39"/>
  <c r="BI41" i="39"/>
  <c r="BR41" i="39"/>
  <c r="BU41" i="39"/>
  <c r="BX41" i="39"/>
  <c r="CF41" i="39"/>
  <c r="CH41" i="39"/>
  <c r="CK41" i="39"/>
  <c r="CL41" i="39"/>
  <c r="CN41" i="39"/>
  <c r="CT41" i="39"/>
  <c r="CW41" i="39"/>
  <c r="CY41" i="39"/>
  <c r="B42" i="39"/>
  <c r="L42" i="39"/>
  <c r="W42" i="39"/>
  <c r="BD42" i="39"/>
  <c r="BI42" i="39"/>
  <c r="BR42" i="39"/>
  <c r="BU42" i="39"/>
  <c r="BX42" i="39"/>
  <c r="CF42" i="39"/>
  <c r="CH42" i="39"/>
  <c r="CK42" i="39"/>
  <c r="CL42" i="39"/>
  <c r="CN42" i="39"/>
  <c r="CT42" i="39"/>
  <c r="CW42" i="39"/>
  <c r="CY42" i="39"/>
  <c r="B43" i="39"/>
  <c r="L43" i="39"/>
  <c r="W43" i="39"/>
  <c r="BD43" i="39"/>
  <c r="BI43" i="39"/>
  <c r="BR43" i="39"/>
  <c r="BU43" i="39"/>
  <c r="BX43" i="39"/>
  <c r="CF43" i="39"/>
  <c r="CH43" i="39"/>
  <c r="CK43" i="39"/>
  <c r="CL43" i="39"/>
  <c r="CN43" i="39"/>
  <c r="CT43" i="39"/>
  <c r="CW43" i="39"/>
  <c r="CY43" i="39"/>
  <c r="B44" i="39"/>
  <c r="L44" i="39"/>
  <c r="W44" i="39"/>
  <c r="BD44" i="39"/>
  <c r="BI44" i="39"/>
  <c r="BR44" i="39"/>
  <c r="BU44" i="39"/>
  <c r="BX44" i="39"/>
  <c r="CF44" i="39"/>
  <c r="CH44" i="39"/>
  <c r="CK44" i="39"/>
  <c r="CL44" i="39"/>
  <c r="CN44" i="39"/>
  <c r="CT44" i="39"/>
  <c r="CW44" i="39"/>
  <c r="CY44" i="39"/>
  <c r="B45" i="39"/>
  <c r="L45" i="39"/>
  <c r="W45" i="39"/>
  <c r="BD45" i="39"/>
  <c r="BI45" i="39"/>
  <c r="BR45" i="39"/>
  <c r="BU45" i="39"/>
  <c r="BX45" i="39"/>
  <c r="CF45" i="39"/>
  <c r="CH45" i="39"/>
  <c r="CK45" i="39"/>
  <c r="CL45" i="39"/>
  <c r="CN45" i="39"/>
  <c r="CT45" i="39"/>
  <c r="CW45" i="39"/>
  <c r="CY45" i="39"/>
  <c r="B46" i="39"/>
  <c r="L46" i="39"/>
  <c r="W46" i="39"/>
  <c r="BD46" i="39"/>
  <c r="BI46" i="39"/>
  <c r="BR46" i="39"/>
  <c r="BU46" i="39"/>
  <c r="BX46" i="39"/>
  <c r="CF46" i="39"/>
  <c r="CH46" i="39"/>
  <c r="CK46" i="39"/>
  <c r="CL46" i="39"/>
  <c r="CN46" i="39"/>
  <c r="CT46" i="39"/>
  <c r="CW46" i="39"/>
  <c r="CY46" i="39"/>
  <c r="B48" i="39"/>
  <c r="L48" i="39"/>
  <c r="W48" i="39"/>
  <c r="BD48" i="39"/>
  <c r="BI48" i="39"/>
  <c r="BR48" i="39"/>
  <c r="BU48" i="39"/>
  <c r="BX48" i="39"/>
  <c r="CF48" i="39"/>
  <c r="CH48" i="39"/>
  <c r="CK48" i="39"/>
  <c r="CL48" i="39"/>
  <c r="CN48" i="39"/>
  <c r="CP48" i="39"/>
  <c r="CQ48" i="39"/>
  <c r="CT48" i="39"/>
  <c r="CW48" i="39"/>
  <c r="CY48" i="39"/>
  <c r="B49" i="39"/>
  <c r="L49" i="39"/>
  <c r="W49" i="39"/>
  <c r="BD49" i="39"/>
  <c r="BI49" i="39"/>
  <c r="BR49" i="39"/>
  <c r="BU49" i="39"/>
  <c r="BX49" i="39"/>
  <c r="CF49" i="39"/>
  <c r="CH49" i="39"/>
  <c r="CK49" i="39"/>
  <c r="CL49" i="39"/>
  <c r="CN49" i="39"/>
  <c r="CP49" i="39"/>
  <c r="CQ49" i="39"/>
  <c r="CT49" i="39"/>
  <c r="CW49" i="39"/>
  <c r="CY49" i="39"/>
  <c r="B50" i="39"/>
  <c r="L50" i="39"/>
  <c r="W50" i="39"/>
  <c r="BD50" i="39"/>
  <c r="BI50" i="39"/>
  <c r="BR50" i="39"/>
  <c r="BU50" i="39"/>
  <c r="BX50" i="39"/>
  <c r="CF50" i="39"/>
  <c r="CH50" i="39"/>
  <c r="CK50" i="39"/>
  <c r="CL50" i="39"/>
  <c r="CN50" i="39"/>
  <c r="CP50" i="39"/>
  <c r="CQ50" i="39"/>
  <c r="CT50" i="39"/>
  <c r="CW50" i="39"/>
  <c r="CY50" i="39"/>
  <c r="B51" i="39"/>
  <c r="L51" i="39"/>
  <c r="W51" i="39"/>
  <c r="BD51" i="39"/>
  <c r="BI51" i="39"/>
  <c r="BR51" i="39"/>
  <c r="BU51" i="39"/>
  <c r="BX51" i="39"/>
  <c r="CF51" i="39"/>
  <c r="CH51" i="39"/>
  <c r="CK51" i="39"/>
  <c r="CL51" i="39"/>
  <c r="CN51" i="39"/>
  <c r="CP51" i="39"/>
  <c r="CQ51" i="39"/>
  <c r="CT51" i="39"/>
  <c r="CW51" i="39"/>
  <c r="CY51" i="39"/>
  <c r="B52" i="39"/>
  <c r="L52" i="39"/>
  <c r="W52" i="39"/>
  <c r="BD52" i="39"/>
  <c r="BI52" i="39"/>
  <c r="BR52" i="39"/>
  <c r="BU52" i="39"/>
  <c r="BX52" i="39"/>
  <c r="CF52" i="39"/>
  <c r="CH52" i="39"/>
  <c r="CK52" i="39"/>
  <c r="CL52" i="39"/>
  <c r="CN52" i="39"/>
  <c r="CP52" i="39"/>
  <c r="CQ52" i="39"/>
  <c r="CT52" i="39"/>
  <c r="CW52" i="39"/>
  <c r="CY52" i="39"/>
  <c r="B53" i="39"/>
  <c r="L53" i="39"/>
  <c r="W53" i="39"/>
  <c r="BD53" i="39"/>
  <c r="BI53" i="39"/>
  <c r="BR53" i="39"/>
  <c r="BU53" i="39"/>
  <c r="BX53" i="39"/>
  <c r="CF53" i="39"/>
  <c r="CH53" i="39"/>
  <c r="CK53" i="39"/>
  <c r="CL53" i="39"/>
  <c r="CN53" i="39"/>
  <c r="CP53" i="39"/>
  <c r="CQ53" i="39"/>
  <c r="CT53" i="39"/>
  <c r="CW53" i="39"/>
  <c r="CY53" i="39"/>
  <c r="B54" i="39"/>
  <c r="L54" i="39"/>
  <c r="W54" i="39"/>
  <c r="BD54" i="39"/>
  <c r="BI54" i="39"/>
  <c r="BR54" i="39"/>
  <c r="BU54" i="39"/>
  <c r="BX54" i="39"/>
  <c r="CF54" i="39"/>
  <c r="CH54" i="39"/>
  <c r="CK54" i="39"/>
  <c r="CL54" i="39"/>
  <c r="CN54" i="39"/>
  <c r="CP54" i="39"/>
  <c r="CQ54" i="39"/>
  <c r="CT54" i="39"/>
  <c r="CW54" i="39"/>
  <c r="CY54" i="39"/>
  <c r="B56" i="39"/>
  <c r="L56" i="39"/>
  <c r="W56" i="39"/>
  <c r="BD56" i="39"/>
  <c r="BI56" i="39"/>
  <c r="BR56" i="39"/>
  <c r="BU56" i="39"/>
  <c r="BX56" i="39"/>
  <c r="CF56" i="39"/>
  <c r="CH56" i="39"/>
  <c r="CK56" i="39"/>
  <c r="CL56" i="39"/>
  <c r="CN56" i="39"/>
  <c r="CT56" i="39"/>
  <c r="CW56" i="39"/>
  <c r="CY56" i="39"/>
  <c r="B57" i="39"/>
  <c r="L57" i="39"/>
  <c r="W57" i="39"/>
  <c r="BD57" i="39"/>
  <c r="BI57" i="39"/>
  <c r="BR57" i="39"/>
  <c r="BU57" i="39"/>
  <c r="BX57" i="39"/>
  <c r="CF57" i="39"/>
  <c r="CH57" i="39"/>
  <c r="CK57" i="39"/>
  <c r="CL57" i="39"/>
  <c r="CN57" i="39"/>
  <c r="CT57" i="39"/>
  <c r="CW57" i="39"/>
  <c r="CY57" i="39"/>
  <c r="B58" i="39"/>
  <c r="L58" i="39"/>
  <c r="W58" i="39"/>
  <c r="BD58" i="39"/>
  <c r="BI58" i="39"/>
  <c r="BR58" i="39"/>
  <c r="BU58" i="39"/>
  <c r="BX58" i="39"/>
  <c r="CF58" i="39"/>
  <c r="CH58" i="39"/>
  <c r="CK58" i="39"/>
  <c r="CL58" i="39"/>
  <c r="CN58" i="39"/>
  <c r="CT58" i="39"/>
  <c r="CW58" i="39"/>
  <c r="CY58" i="39"/>
  <c r="B59" i="39"/>
  <c r="L59" i="39"/>
  <c r="W59" i="39"/>
  <c r="BD59" i="39"/>
  <c r="BI59" i="39"/>
  <c r="BR59" i="39"/>
  <c r="BU59" i="39"/>
  <c r="BX59" i="39"/>
  <c r="CF59" i="39"/>
  <c r="CH59" i="39"/>
  <c r="CK59" i="39"/>
  <c r="CL59" i="39"/>
  <c r="CN59" i="39"/>
  <c r="CT59" i="39"/>
  <c r="CW59" i="39"/>
  <c r="CY59" i="39"/>
  <c r="B60" i="39"/>
  <c r="L60" i="39"/>
  <c r="W60" i="39"/>
  <c r="BD60" i="39"/>
  <c r="BI60" i="39"/>
  <c r="BR60" i="39"/>
  <c r="BU60" i="39"/>
  <c r="BX60" i="39"/>
  <c r="CF60" i="39"/>
  <c r="CH60" i="39"/>
  <c r="CK60" i="39"/>
  <c r="CL60" i="39"/>
  <c r="CN60" i="39"/>
  <c r="CT60" i="39"/>
  <c r="CW60" i="39"/>
  <c r="CY60" i="39"/>
  <c r="B61" i="39"/>
  <c r="L61" i="39"/>
  <c r="W61" i="39"/>
  <c r="BD61" i="39"/>
  <c r="BI61" i="39"/>
  <c r="BR61" i="39"/>
  <c r="BU61" i="39"/>
  <c r="BX61" i="39"/>
  <c r="CF61" i="39"/>
  <c r="CH61" i="39"/>
  <c r="CK61" i="39"/>
  <c r="CL61" i="39"/>
  <c r="CN61" i="39"/>
  <c r="CT61" i="39"/>
  <c r="CW61" i="39"/>
  <c r="CY61" i="39"/>
  <c r="B62" i="39"/>
  <c r="L62" i="39"/>
  <c r="W62" i="39"/>
  <c r="BD62" i="39"/>
  <c r="BI62" i="39"/>
  <c r="BR62" i="39"/>
  <c r="BU62" i="39"/>
  <c r="BX62" i="39"/>
  <c r="CF62" i="39"/>
  <c r="CH62" i="39"/>
  <c r="CK62" i="39"/>
  <c r="CL62" i="39"/>
  <c r="CN62" i="39"/>
  <c r="CT62" i="39"/>
  <c r="CW62" i="39"/>
  <c r="CY62" i="39"/>
  <c r="H10" i="2"/>
  <c r="B23" i="2"/>
  <c r="H25" i="2"/>
  <c r="B39" i="2"/>
  <c r="H41" i="2"/>
  <c r="H44" i="2"/>
  <c r="H47" i="2"/>
  <c r="B49" i="2"/>
  <c r="H51" i="2"/>
  <c r="B125" i="2"/>
  <c r="H127" i="2"/>
  <c r="B152" i="2"/>
  <c r="H154" i="2"/>
  <c r="B170" i="2"/>
  <c r="B172" i="2"/>
  <c r="G175" i="2"/>
</calcChain>
</file>

<file path=xl/comments1.xml><?xml version="1.0" encoding="utf-8"?>
<comments xmlns="http://schemas.openxmlformats.org/spreadsheetml/2006/main">
  <authors>
    <author>Bill Healy</author>
  </authors>
  <commentList>
    <comment ref="DM18" authorId="0" shapeId="0">
      <text>
        <r>
          <rPr>
            <b/>
            <sz val="8"/>
            <color indexed="81"/>
            <rFont val="Tahoma"/>
          </rPr>
          <t>Bill Healy:</t>
        </r>
        <r>
          <rPr>
            <sz val="8"/>
            <color indexed="81"/>
            <rFont val="Tahoma"/>
          </rPr>
          <t xml:space="preserve">
Assume 750 MMcf/d of the southern system west flow capacity is attributable to the High Pressure line. 
</t>
        </r>
      </text>
    </comment>
    <comment ref="DK22" authorId="0" shapeId="0">
      <text>
        <r>
          <rPr>
            <b/>
            <sz val="8"/>
            <color indexed="81"/>
            <rFont val="Tahoma"/>
          </rPr>
          <t>Bill Healy:</t>
        </r>
        <r>
          <rPr>
            <sz val="8"/>
            <color indexed="81"/>
            <rFont val="Tahoma"/>
          </rPr>
          <t xml:space="preserve">
This is the last goal seek you should do.  Adjusting this value will not affect the prior San Juan Basin calculations.   Goal seek on this cell, changing the value in cell H15 of the Basin Allocation spreadsheet until you eliminate the need to expand between Keystone and Waha.</t>
        </r>
      </text>
    </comment>
    <comment ref="C43" authorId="0" shapeId="0">
      <text>
        <r>
          <rPr>
            <b/>
            <sz val="8"/>
            <color indexed="81"/>
            <rFont val="Tahoma"/>
          </rPr>
          <t>Bill Healy:</t>
        </r>
        <r>
          <rPr>
            <sz val="8"/>
            <color indexed="81"/>
            <rFont val="Tahoma"/>
          </rPr>
          <t xml:space="preserve">
Use this factor to allocate the extra space made available from 97JB and 97J4 to the EOC full requirements shippers.  This is an iterative process  - do Bondad Station first, Bondad Mainline second, the total out of the San Juan Triangle third, and this factor fourth in each iteration.  The goal to seek for is noted in cell DB61</t>
        </r>
      </text>
    </comment>
    <comment ref="DA55" authorId="0" shapeId="0">
      <text>
        <r>
          <rPr>
            <b/>
            <sz val="8"/>
            <color indexed="81"/>
            <rFont val="Tahoma"/>
          </rPr>
          <t>Bill Healy:</t>
        </r>
        <r>
          <rPr>
            <sz val="8"/>
            <color indexed="81"/>
            <rFont val="Tahoma"/>
          </rPr>
          <t xml:space="preserve">
Iteratively run goal seek on the three cells adjacent to the error messages until you get all three cells to balance to the adjacent goals.</t>
        </r>
      </text>
    </comment>
    <comment ref="DA57" authorId="0" shapeId="0">
      <text>
        <r>
          <rPr>
            <b/>
            <sz val="8"/>
            <color indexed="81"/>
            <rFont val="Tahoma"/>
          </rPr>
          <t>Bill Healy:</t>
        </r>
        <r>
          <rPr>
            <sz val="8"/>
            <color indexed="81"/>
            <rFont val="Tahoma"/>
          </rPr>
          <t xml:space="preserve">
Iteratively run goal seek on the three cells adjacent to the error messages until you get all three cells to balance to the adjacent goals.</t>
        </r>
      </text>
    </comment>
    <comment ref="DA59" authorId="0" shapeId="0">
      <text>
        <r>
          <rPr>
            <b/>
            <sz val="8"/>
            <color indexed="81"/>
            <rFont val="Tahoma"/>
          </rPr>
          <t>Bill Healy:</t>
        </r>
        <r>
          <rPr>
            <sz val="8"/>
            <color indexed="81"/>
            <rFont val="Tahoma"/>
          </rPr>
          <t xml:space="preserve">
Iteratively run goal seek on the three cells adjacent to the error messages until you get all three cells to balance to the adjacent goals.
</t>
        </r>
      </text>
    </comment>
  </commentList>
</comments>
</file>

<file path=xl/sharedStrings.xml><?xml version="1.0" encoding="utf-8"?>
<sst xmlns="http://schemas.openxmlformats.org/spreadsheetml/2006/main" count="1749" uniqueCount="702">
  <si>
    <t>DRAM MID</t>
  </si>
  <si>
    <t>DTXOLPAN</t>
  </si>
  <si>
    <t>Design Limit</t>
  </si>
  <si>
    <t>Conoco 9DWE</t>
  </si>
  <si>
    <t>Enron 9E3X</t>
  </si>
  <si>
    <t>KN 9DQH</t>
  </si>
  <si>
    <t>PG&amp;E 9E4T</t>
  </si>
  <si>
    <t>Phillips 9DR2</t>
  </si>
  <si>
    <t>Williams 9J6Z</t>
  </si>
  <si>
    <t>Williams 9HFB</t>
  </si>
  <si>
    <t>Williams 9KZR</t>
  </si>
  <si>
    <t>MGI 9KXX</t>
  </si>
  <si>
    <t>Amoco 9JA3 North</t>
  </si>
  <si>
    <t>Amoco 9JA3 South</t>
  </si>
  <si>
    <t>KN 9JA2 North</t>
  </si>
  <si>
    <t>KN 9JA2 South</t>
  </si>
  <si>
    <t>Giant 9G55</t>
  </si>
  <si>
    <t>DPG&amp;ETOP, DSCALTOP,DSWG TOP, DMOJAVE</t>
  </si>
  <si>
    <t xml:space="preserve"> </t>
  </si>
  <si>
    <t>DRN</t>
  </si>
  <si>
    <t>BONDADST</t>
  </si>
  <si>
    <t>BONDAD ML</t>
  </si>
  <si>
    <t>San Juan</t>
  </si>
  <si>
    <t>Anadarko</t>
  </si>
  <si>
    <t>Permian</t>
  </si>
  <si>
    <t>Total</t>
  </si>
  <si>
    <t>Blanco</t>
  </si>
  <si>
    <t>Keystone</t>
  </si>
  <si>
    <t>Plains</t>
  </si>
  <si>
    <t>Waha</t>
  </si>
  <si>
    <t>ITOPOCK</t>
  </si>
  <si>
    <t>Totals</t>
  </si>
  <si>
    <t>MMcf/d</t>
  </si>
  <si>
    <t>IBIGBLUE</t>
  </si>
  <si>
    <t>ILEARWAS</t>
  </si>
  <si>
    <t>IW41-039</t>
  </si>
  <si>
    <t>IW41-056</t>
  </si>
  <si>
    <t>ICABHOBS</t>
  </si>
  <si>
    <t>IMOBILWA</t>
  </si>
  <si>
    <t>IW41-037</t>
  </si>
  <si>
    <t>INNKEYST</t>
  </si>
  <si>
    <t>IVALEROW</t>
  </si>
  <si>
    <t>IOASISWA</t>
  </si>
  <si>
    <t>Various</t>
  </si>
  <si>
    <t>DMTNSJX</t>
  </si>
  <si>
    <t>IVALEROS</t>
  </si>
  <si>
    <t>ILONESTR</t>
  </si>
  <si>
    <t>IGCNMMON</t>
  </si>
  <si>
    <t>IDELHIWA</t>
  </si>
  <si>
    <t>INGPLLEA</t>
  </si>
  <si>
    <t>IWTG DAL</t>
  </si>
  <si>
    <t>INN30PLA</t>
  </si>
  <si>
    <t>IWESTARW</t>
  </si>
  <si>
    <t>IRATLESN</t>
  </si>
  <si>
    <t>INNDUMAS</t>
  </si>
  <si>
    <t>INGPLW#7</t>
  </si>
  <si>
    <t>INGPLUSK</t>
  </si>
  <si>
    <t>IIGNACIO</t>
  </si>
  <si>
    <t>Minimum</t>
  </si>
  <si>
    <t>Maximum</t>
  </si>
  <si>
    <t>Shipper</t>
  </si>
  <si>
    <t>Aera Energy LLC (97YK)</t>
  </si>
  <si>
    <t>Apache Nitrogen Products, Inc. (97VV)</t>
  </si>
  <si>
    <t>Arizona Electric Power Cooperative, Inc. (9838)</t>
  </si>
  <si>
    <t>Arizona Public Service Company (97ZC)</t>
  </si>
  <si>
    <t>ASARCO Incorporated  Texas (9834)</t>
  </si>
  <si>
    <t>ASARCO Incorporated  Arizona (982A)</t>
  </si>
  <si>
    <t>BHP Copper Inc. (97ZU)</t>
  </si>
  <si>
    <t>Black Mountain Gas Company (982D)</t>
  </si>
  <si>
    <t>Burlington Resources Marketing Inc. (97YW)</t>
  </si>
  <si>
    <t>Burlington Resources Marketing Inc. (97YG)</t>
  </si>
  <si>
    <t>Chemical Lime Company of Arizona (982F)</t>
  </si>
  <si>
    <t>City of Benson, Arizona (982B)</t>
  </si>
  <si>
    <t>City of Big Lake, Texas (982C)</t>
  </si>
  <si>
    <t>City of Deming, Texas (982H)</t>
  </si>
  <si>
    <t>City of Denver City, Texas (97ZF)</t>
  </si>
  <si>
    <t>City of Goldsmith, Texas (9825)</t>
  </si>
  <si>
    <t>For Topock Shipper Allocations</t>
  </si>
  <si>
    <t>To SoCal</t>
  </si>
  <si>
    <t>To PG&amp;E</t>
  </si>
  <si>
    <t>To Mojave</t>
  </si>
  <si>
    <t>Bondad Sta.</t>
  </si>
  <si>
    <t>City of Las Cruces, New Mexico (982M)</t>
  </si>
  <si>
    <t>City of Lordsburg, New Mexico (982N)</t>
  </si>
  <si>
    <t>City of Los Angeles DWP (9836)</t>
  </si>
  <si>
    <t>City of Mesa, Arizona (97ZV)</t>
  </si>
  <si>
    <t>City of Morton, Texas (97ZT)</t>
  </si>
  <si>
    <t>City of Plains, Texas (97ZE)</t>
  </si>
  <si>
    <t>City of Safford, Arizona (9824)</t>
  </si>
  <si>
    <t>City of Socorro, New Mexico (9828)</t>
  </si>
  <si>
    <t>City of Spur, Texas (982R)</t>
  </si>
  <si>
    <t>City of Whiteface, Texas (97ZD)</t>
  </si>
  <si>
    <t>City of Willcox, Arizona (97YU)</t>
  </si>
  <si>
    <t>Corona, New Mexico, Village of (9829)</t>
  </si>
  <si>
    <t>Cyprus Miami Mining Corporation (982G)</t>
  </si>
  <si>
    <t>Dumas, Texas, City of (97ZQ)</t>
  </si>
  <si>
    <t>Duncan Rural Services Corporation (982J)</t>
  </si>
  <si>
    <t>El Paso Electric Company (9827)</t>
  </si>
  <si>
    <t>EMW Gas Association (982K)</t>
  </si>
  <si>
    <t>Graham County Utilities, Inc. (97ZP)</t>
  </si>
  <si>
    <t>McLean, Texas, City of (97ZM)</t>
  </si>
  <si>
    <t>MGI Supply, Ltd. (Naco) (97ZZ)</t>
  </si>
  <si>
    <t>Mission Energy Fuel Company (97YX)</t>
  </si>
  <si>
    <t>Natural Gas Processing Co. (Capitan) (97YR)</t>
  </si>
  <si>
    <t>Natural Gas Processing Co. (Capitan) (982E)</t>
  </si>
  <si>
    <t>Navajo Tribal Utility Authority (Prod Area) (97ZY)</t>
  </si>
  <si>
    <t>Navajo Tribal Utility Authority (Arizona) (97ZY)</t>
  </si>
  <si>
    <t>North Bailey Cooperative Society (97ZW)</t>
  </si>
  <si>
    <t>Phelps Dodge Corporation (New Mexico) (97Z7)</t>
  </si>
  <si>
    <t>Phelps Dodge Corporation (Arizona) (97Z7)</t>
  </si>
  <si>
    <t>Rio Grande Natural Gas Association (9823)</t>
  </si>
  <si>
    <t>Saguaro Power Company (97YE)</t>
  </si>
  <si>
    <t>Salt River Project (9826)</t>
  </si>
  <si>
    <t>San Diego Gas and Electric Company (9844)</t>
  </si>
  <si>
    <t>Southdown, Inc. (982Q)</t>
  </si>
  <si>
    <t>Southern California Edison Company (97YV)</t>
  </si>
  <si>
    <t>Southern Union Gas Company (Texas) (97VX)</t>
  </si>
  <si>
    <t>Southwest Gas Corporation (Nevada) (97ZL)</t>
  </si>
  <si>
    <t>Sterling Natural Gas, Inc. (982T)</t>
  </si>
  <si>
    <t>WTG (9L6T)</t>
  </si>
  <si>
    <t>Texaco Natural Gas Inc. (97YF)</t>
  </si>
  <si>
    <t>Texola, Town of (97Z8)</t>
  </si>
  <si>
    <t>Town of Mountainair, New Mexico (983K)</t>
  </si>
  <si>
    <t>U.S. Borax &amp; Chemical Corporation (97YH)</t>
  </si>
  <si>
    <t>West Texas Gas, Inc. (982V)</t>
  </si>
  <si>
    <t>Zia Natural Gas Company (97ZG)</t>
  </si>
  <si>
    <t>Traditional Mainline CD &amp; BD</t>
  </si>
  <si>
    <t>Total Turned Back CD &amp; BD</t>
  </si>
  <si>
    <t xml:space="preserve">R/S </t>
  </si>
  <si>
    <t>FT1</t>
  </si>
  <si>
    <t>FT2</t>
  </si>
  <si>
    <t>Begin Date</t>
  </si>
  <si>
    <t>End Date</t>
  </si>
  <si>
    <t>Receipt</t>
  </si>
  <si>
    <t>System</t>
  </si>
  <si>
    <t>SJ</t>
  </si>
  <si>
    <t>Primary Del Pts.</t>
  </si>
  <si>
    <t>DAPOWWIL</t>
  </si>
  <si>
    <t>DAEPCWIL</t>
  </si>
  <si>
    <t>DAPSPHX, DAPSYUM</t>
  </si>
  <si>
    <t>DASARELP</t>
  </si>
  <si>
    <t>DASARS-H, DKENNS-H</t>
  </si>
  <si>
    <t>DMAGMS-H</t>
  </si>
  <si>
    <t>DSCALEHR</t>
  </si>
  <si>
    <t>DPG&amp;ETOP, DSCALTOP,DSWGTOP, DMOJAVE</t>
  </si>
  <si>
    <t>DPAULWL</t>
  </si>
  <si>
    <t>DBENSTUS</t>
  </si>
  <si>
    <t>DBIGLSUT</t>
  </si>
  <si>
    <t>DDEM AFT</t>
  </si>
  <si>
    <t>DDENVJAL</t>
  </si>
  <si>
    <t>DGOLDSNY</t>
  </si>
  <si>
    <t>DLASCLAS</t>
  </si>
  <si>
    <t>DLORDAFT</t>
  </si>
  <si>
    <t>DPG&amp;ETOP, DSCALTOP, DSWG TOP, DMOJAVE</t>
  </si>
  <si>
    <t>DMESAPHX, DMESAS-H</t>
  </si>
  <si>
    <t>DMORTDIS</t>
  </si>
  <si>
    <t>DPLNSDIS</t>
  </si>
  <si>
    <t>DSAFFG-M</t>
  </si>
  <si>
    <t>DSOCRSCG</t>
  </si>
  <si>
    <t>DSPURSNY</t>
  </si>
  <si>
    <t>DWHITDIS</t>
  </si>
  <si>
    <t>DWLCXWIL</t>
  </si>
  <si>
    <t>DCOROSJX</t>
  </si>
  <si>
    <t>DINSPG-M</t>
  </si>
  <si>
    <t>DDUMSDIN</t>
  </si>
  <si>
    <t>DDUN G-M</t>
  </si>
  <si>
    <t>DEPECAFT, DEPECELP</t>
  </si>
  <si>
    <t>DEMW EMW</t>
  </si>
  <si>
    <t>DGRHMG-M, DGRHMWIL</t>
  </si>
  <si>
    <t>DMCLNPAN</t>
  </si>
  <si>
    <t>DCCNGCPT, INGPLLUK, IW40-043, INN30PLA</t>
  </si>
  <si>
    <t>DCCNGCPT</t>
  </si>
  <si>
    <t>DNTUAJST</t>
  </si>
  <si>
    <t>DNTUASJE</t>
  </si>
  <si>
    <t>DCOOPFAR - North Bailey</t>
  </si>
  <si>
    <t>DPD HUR, DPD SIL, DPD AFT</t>
  </si>
  <si>
    <t>DPD TUS, DPD WIL, DPD G-M</t>
  </si>
  <si>
    <t>DWGI ELP,  DGCNMSJT,  DGULFSJT</t>
  </si>
  <si>
    <t>DRIOGLAS</t>
  </si>
  <si>
    <t>DSRP PHX</t>
  </si>
  <si>
    <t>DSWPCELP, Southwest Portland</t>
  </si>
  <si>
    <t>DSUG UPT, DSUG KWX, DSUG PAN</t>
  </si>
  <si>
    <t>DSUG 311, DSUG ELP, DWGI ELP, DSUG EPE</t>
  </si>
  <si>
    <t>DSWG TOP</t>
  </si>
  <si>
    <t xml:space="preserve">DJAL JAL, Jal </t>
  </si>
  <si>
    <t>IRIOPUER</t>
  </si>
  <si>
    <t>Dth Entitlements</t>
  </si>
  <si>
    <t>Hueco</t>
  </si>
  <si>
    <t>Receipt Rights By Basin</t>
  </si>
  <si>
    <t xml:space="preserve">CD/BD By Delivery Point Location </t>
  </si>
  <si>
    <t>North System</t>
  </si>
  <si>
    <t>South System</t>
  </si>
  <si>
    <t>West Flow On S. Line</t>
  </si>
  <si>
    <t>Notes</t>
  </si>
  <si>
    <t>K N Marketing, L.P. (9KEE)</t>
  </si>
  <si>
    <t>Phillips Petroleum Company (9JPJ)</t>
  </si>
  <si>
    <t>Total East End CD &amp; BD</t>
  </si>
  <si>
    <t>IWTGAMER</t>
  </si>
  <si>
    <t>IPHHUTCH</t>
  </si>
  <si>
    <t>Old Location Code</t>
  </si>
  <si>
    <t>DRN Code</t>
  </si>
  <si>
    <t>Basin Flow Direction</t>
  </si>
  <si>
    <t>Description</t>
  </si>
  <si>
    <t>Supply Area</t>
  </si>
  <si>
    <t>Capacity Mcf</t>
  </si>
  <si>
    <t>Basin total Available</t>
  </si>
  <si>
    <t>OLD LOCATION</t>
  </si>
  <si>
    <t xml:space="preserve">DRN  </t>
  </si>
  <si>
    <t>FLOW</t>
  </si>
  <si>
    <t>SUPPLY</t>
  </si>
  <si>
    <t>CAPACITY</t>
  </si>
  <si>
    <t>Basin Total</t>
  </si>
  <si>
    <t>CODE</t>
  </si>
  <si>
    <t>BASIN</t>
  </si>
  <si>
    <t>DIRECTION</t>
  </si>
  <si>
    <t>DESCRIPTION</t>
  </si>
  <si>
    <t>AREA</t>
  </si>
  <si>
    <t>Mcf</t>
  </si>
  <si>
    <t>Available</t>
  </si>
  <si>
    <t>ANADARKO</t>
  </si>
  <si>
    <t xml:space="preserve">A </t>
  </si>
  <si>
    <t>B</t>
  </si>
  <si>
    <t xml:space="preserve">Anadarko                  </t>
  </si>
  <si>
    <t>CIG Big Blue</t>
  </si>
  <si>
    <t>IGRAYWST</t>
  </si>
  <si>
    <t>Westar Gray</t>
  </si>
  <si>
    <t>Lear Washita</t>
  </si>
  <si>
    <t xml:space="preserve">ILEEDE  </t>
  </si>
  <si>
    <t>R</t>
  </si>
  <si>
    <t>Leede Plant</t>
  </si>
  <si>
    <t>IML20EST</t>
  </si>
  <si>
    <t xml:space="preserve">EPFS 20" </t>
  </si>
  <si>
    <t>INGCBECK</t>
  </si>
  <si>
    <t>Transok Beckham</t>
  </si>
  <si>
    <t>NGPL Washita #7</t>
  </si>
  <si>
    <t>N.N. Sunray</t>
  </si>
  <si>
    <t xml:space="preserve">INORAM  </t>
  </si>
  <si>
    <t>Noram R/D Point</t>
  </si>
  <si>
    <t>IVHCCPD3</t>
  </si>
  <si>
    <t>Aquila #3 CPD</t>
  </si>
  <si>
    <t>IVHCPLNT</t>
  </si>
  <si>
    <t>Hydrocarbons Plt</t>
  </si>
  <si>
    <t>WTG Dalhart</t>
  </si>
  <si>
    <t>Count</t>
  </si>
  <si>
    <t>BLANCO</t>
  </si>
  <si>
    <t xml:space="preserve">S </t>
  </si>
  <si>
    <t xml:space="preserve">Blanco                    </t>
  </si>
  <si>
    <t>IDKALSJT</t>
  </si>
  <si>
    <t>Louis Dreyfus CPD</t>
  </si>
  <si>
    <t>IEXCPT37</t>
  </si>
  <si>
    <t>Williams #37</t>
  </si>
  <si>
    <t>IGCNMX37</t>
  </si>
  <si>
    <t>PNM #37</t>
  </si>
  <si>
    <t>IGLPGCNM</t>
  </si>
  <si>
    <t>Gallup-Grants(PNM)</t>
  </si>
  <si>
    <t>IMILAGRO</t>
  </si>
  <si>
    <t>Milagro Plant</t>
  </si>
  <si>
    <t>IMOITRKA</t>
  </si>
  <si>
    <t>Val Verde</t>
  </si>
  <si>
    <t>INWPLBLA</t>
  </si>
  <si>
    <t>TW 30" @ Blanco</t>
  </si>
  <si>
    <t>IOMNIBUS</t>
  </si>
  <si>
    <t>Headington Oil</t>
  </si>
  <si>
    <t>Rio Puerco</t>
  </si>
  <si>
    <t>ISJCMPLX</t>
  </si>
  <si>
    <t>San Juan Complex</t>
  </si>
  <si>
    <t>ISJMNLIN</t>
  </si>
  <si>
    <t>Texaco Tocito</t>
  </si>
  <si>
    <t>ISJRVPLT</t>
  </si>
  <si>
    <t>SJ River Plant</t>
  </si>
  <si>
    <t>ITCOLBLA</t>
  </si>
  <si>
    <t>TransColorado</t>
  </si>
  <si>
    <t>BONDAD</t>
  </si>
  <si>
    <t xml:space="preserve">Bondad                    </t>
  </si>
  <si>
    <t>IAMOCOAL</t>
  </si>
  <si>
    <t>Amoco Florida R.</t>
  </si>
  <si>
    <t>IBLINELM</t>
  </si>
  <si>
    <t>Elm Ridge B Line</t>
  </si>
  <si>
    <t>Bondad St</t>
  </si>
  <si>
    <t>Northwest P/L</t>
  </si>
  <si>
    <t>IMOIJACK</t>
  </si>
  <si>
    <t>Jack Rabbitt</t>
  </si>
  <si>
    <t>IWMSFLOR</t>
  </si>
  <si>
    <t>Williams Florida R.</t>
  </si>
  <si>
    <t>Bondad ML</t>
  </si>
  <si>
    <t xml:space="preserve">IWMSMAQ </t>
  </si>
  <si>
    <t>La Maquina</t>
  </si>
  <si>
    <t>IWSTCOAL</t>
  </si>
  <si>
    <t>Ark. Jct. Plant</t>
  </si>
  <si>
    <t>KEYSTONE</t>
  </si>
  <si>
    <t xml:space="preserve">P </t>
  </si>
  <si>
    <t xml:space="preserve">Keystone                  </t>
  </si>
  <si>
    <t>IANTECPD</t>
  </si>
  <si>
    <t>Antelope CPD</t>
  </si>
  <si>
    <t>IARCOMID</t>
  </si>
  <si>
    <t>Midland Plant Fuel</t>
  </si>
  <si>
    <t>IARCOPUC</t>
  </si>
  <si>
    <t>Arco Puckett</t>
  </si>
  <si>
    <t>IBARNHRT</t>
  </si>
  <si>
    <t>Davis Barnhart</t>
  </si>
  <si>
    <t>IBBSEDDY</t>
  </si>
  <si>
    <t>Bettis Boyle</t>
  </si>
  <si>
    <t xml:space="preserve">IBTALEA </t>
  </si>
  <si>
    <t>BTA Oil Lea</t>
  </si>
  <si>
    <t>Hobbs Plant</t>
  </si>
  <si>
    <t>ICABWALT</t>
  </si>
  <si>
    <t>Walton Plant</t>
  </si>
  <si>
    <t>ICONSTER</t>
  </si>
  <si>
    <t>Sterling Plant</t>
  </si>
  <si>
    <t>ICROCKT1</t>
  </si>
  <si>
    <t>Permian Benedum</t>
  </si>
  <si>
    <t>ICULBSON</t>
  </si>
  <si>
    <t>Shoreham Culberson</t>
  </si>
  <si>
    <t>IEDWJAMI</t>
  </si>
  <si>
    <t>Jameson Line</t>
  </si>
  <si>
    <t>IEPFSEUN</t>
  </si>
  <si>
    <t>EPFS CPD</t>
  </si>
  <si>
    <t>IEU-PECS</t>
  </si>
  <si>
    <t>EPFS 1100 ML</t>
  </si>
  <si>
    <t>IEXSNYDR</t>
  </si>
  <si>
    <t>Oryx Snyder</t>
  </si>
  <si>
    <t>PNM Monument</t>
  </si>
  <si>
    <t>IGRAMARI</t>
  </si>
  <si>
    <t>Llano Grama Ridge</t>
  </si>
  <si>
    <t>IHANCPD1</t>
  </si>
  <si>
    <t>Delivered to SoCal</t>
  </si>
  <si>
    <t>From Bondad Station</t>
  </si>
  <si>
    <t>From Bondad Mainline</t>
  </si>
  <si>
    <t>From Blanco</t>
  </si>
  <si>
    <t>From Plains</t>
  </si>
  <si>
    <t>From Keystone</t>
  </si>
  <si>
    <t>From Waha</t>
  </si>
  <si>
    <t>Delivered to PG&amp;E</t>
  </si>
  <si>
    <t>Delivered to Mojave</t>
  </si>
  <si>
    <t>Citizens Utilities Company (97ZH) North</t>
  </si>
  <si>
    <t>Citizens Utilities Company (97ZH) South</t>
  </si>
  <si>
    <t>K N Marketing, L.P. (982W) North</t>
  </si>
  <si>
    <t>K N Marketing, L.P. (982W) South</t>
  </si>
  <si>
    <t>PNM Gas Services (Production Area) (97VW) North</t>
  </si>
  <si>
    <t>PNM Gas Services (New Mexico) (97VW) North</t>
  </si>
  <si>
    <t>PNM Gas Services (New Mexico) (97VW) South</t>
  </si>
  <si>
    <t>Southern California Gas Company (97VT) North</t>
  </si>
  <si>
    <t>Southern California Gas Company (97VT) South</t>
  </si>
  <si>
    <t>Southern Union Gas Company (P.A.) (97VX) North</t>
  </si>
  <si>
    <t>Southern Union Gas Company (P.A.) (97VX) South</t>
  </si>
  <si>
    <t>Southwest Gas Corporation (Arizona) (97ZK) North</t>
  </si>
  <si>
    <t>Southwest Gas Corporation (Arizona) (97ZK) South</t>
  </si>
  <si>
    <t>Hanover Plant</t>
  </si>
  <si>
    <t>IHAYHOLO</t>
  </si>
  <si>
    <t>Hay Hollow</t>
  </si>
  <si>
    <t>IHUNTCUL</t>
  </si>
  <si>
    <t>Huntington Culberson Co.</t>
  </si>
  <si>
    <t>IHYBENDM</t>
  </si>
  <si>
    <t>Benedum Plant</t>
  </si>
  <si>
    <t>IJALCPLX</t>
  </si>
  <si>
    <t>Richardson Jal #3</t>
  </si>
  <si>
    <t>ILINAM</t>
  </si>
  <si>
    <t>Linam Ranch</t>
  </si>
  <si>
    <t>Lone Star Sweetie Pk</t>
  </si>
  <si>
    <t>IMARTCP1</t>
  </si>
  <si>
    <t>Martin Co CPD</t>
  </si>
  <si>
    <t>IMIDKIFF</t>
  </si>
  <si>
    <t>Midkiff Plant</t>
  </si>
  <si>
    <t xml:space="preserve">IMIDWAY </t>
  </si>
  <si>
    <t>Midway Lane Plant</t>
  </si>
  <si>
    <t>IMLEUNIC</t>
  </si>
  <si>
    <t>Carlsbad to Eunice</t>
  </si>
  <si>
    <t>IMLSCARL</t>
  </si>
  <si>
    <t>Carlsbad to Pecos</t>
  </si>
  <si>
    <t>IMOBILPE</t>
  </si>
  <si>
    <t>Pegasus Plant</t>
  </si>
  <si>
    <t xml:space="preserve">IMOSS X </t>
  </si>
  <si>
    <t>Moss Crossover</t>
  </si>
  <si>
    <t>NGPL Lea Co</t>
  </si>
  <si>
    <t>INITROTC</t>
  </si>
  <si>
    <t xml:space="preserve">Nitrotec Energy </t>
  </si>
  <si>
    <t>N.N. Winkler</t>
  </si>
  <si>
    <t>INNSCHLE</t>
  </si>
  <si>
    <t>N.N. Schleicher</t>
  </si>
  <si>
    <t>IORYXLEA</t>
  </si>
  <si>
    <t>Oryx CPD #1</t>
  </si>
  <si>
    <t>IPEACHML</t>
  </si>
  <si>
    <t>Peach Ridge P/L</t>
  </si>
  <si>
    <t>IPECSCPD</t>
  </si>
  <si>
    <t>Pecos Co CPD</t>
  </si>
  <si>
    <t>IPENWELL</t>
  </si>
  <si>
    <t xml:space="preserve">Penwell Energy </t>
  </si>
  <si>
    <t>IPHEUNIC</t>
  </si>
  <si>
    <t>GPM EUNICE</t>
  </si>
  <si>
    <t>IPHFULTN</t>
  </si>
  <si>
    <t>GPM Fullerton</t>
  </si>
  <si>
    <t>IPHGOLDS</t>
  </si>
  <si>
    <t>GPM Goldsmith</t>
  </si>
  <si>
    <t xml:space="preserve">IPHLEE  </t>
  </si>
  <si>
    <t>GPM Lee</t>
  </si>
  <si>
    <t>IPHSPBRY</t>
  </si>
  <si>
    <t>GPM Sprayberry</t>
  </si>
  <si>
    <t>IPINCPD2</t>
  </si>
  <si>
    <t>Pinnacle #2</t>
  </si>
  <si>
    <t>IPITCHFK</t>
  </si>
  <si>
    <t>Pitchfork CPD</t>
  </si>
  <si>
    <t>IPOKLAKE</t>
  </si>
  <si>
    <t>Poker Lake</t>
  </si>
  <si>
    <t>Rattlesnake Flat</t>
  </si>
  <si>
    <t>ISAMECPD</t>
  </si>
  <si>
    <t>Samedan CPD #1</t>
  </si>
  <si>
    <t>ISCHLEI1</t>
  </si>
  <si>
    <t>Jeffers Benedum</t>
  </si>
  <si>
    <t>ISCHLEI2</t>
  </si>
  <si>
    <t>Lively Benedum</t>
  </si>
  <si>
    <t>ISHOZONA</t>
  </si>
  <si>
    <t>Citation Ozona</t>
  </si>
  <si>
    <t>in &amp;  out Anadarko</t>
  </si>
  <si>
    <t>N thru Plains</t>
  </si>
  <si>
    <t>ISIDRICH</t>
  </si>
  <si>
    <t>Richardson Keystone</t>
  </si>
  <si>
    <t xml:space="preserve">ISONORA </t>
  </si>
  <si>
    <t>Sonora Plant</t>
  </si>
  <si>
    <t>ISOTAL#1</t>
  </si>
  <si>
    <t>Sonat Exploration</t>
  </si>
  <si>
    <t>ISTERLIN</t>
  </si>
  <si>
    <t>Rockland PL</t>
  </si>
  <si>
    <t>ISUNJAME</t>
  </si>
  <si>
    <t>Liquid Energy Jameson</t>
  </si>
  <si>
    <t>ITEXFULR</t>
  </si>
  <si>
    <t>Fuller Plant</t>
  </si>
  <si>
    <t>ITEXHARV</t>
  </si>
  <si>
    <t xml:space="preserve">Tex-Harvey </t>
  </si>
  <si>
    <t>ITEXKERM</t>
  </si>
  <si>
    <t>Kermit Plant</t>
  </si>
  <si>
    <t>ITEXMABE</t>
  </si>
  <si>
    <t>Mabee Plant</t>
  </si>
  <si>
    <t>ITEXNEUN</t>
  </si>
  <si>
    <t>Texaco Eunice</t>
  </si>
  <si>
    <t xml:space="preserve">ITEXON  </t>
  </si>
  <si>
    <t>WTG Texon</t>
  </si>
  <si>
    <t>IUTBENED</t>
  </si>
  <si>
    <t>Western Benedum</t>
  </si>
  <si>
    <t>IUTDOLHD</t>
  </si>
  <si>
    <t>Dollarhide Plant</t>
  </si>
  <si>
    <t>Valerow Sweet Pk.</t>
  </si>
  <si>
    <t>IVALEROZ</t>
  </si>
  <si>
    <t>Ozona Plant</t>
  </si>
  <si>
    <t>IVEALMOR</t>
  </si>
  <si>
    <t>Vealmoor Plant Bi-directional</t>
  </si>
  <si>
    <t>Martin Co R/D</t>
  </si>
  <si>
    <t>IWAREUNI</t>
  </si>
  <si>
    <t>Warren Eunice</t>
  </si>
  <si>
    <t>IWARMONU</t>
  </si>
  <si>
    <t>Warren Monument</t>
  </si>
  <si>
    <t>IWARWADD</t>
  </si>
  <si>
    <t>Waddell Plant</t>
  </si>
  <si>
    <t>IYTSALTX</t>
  </si>
  <si>
    <t>Yates Eddy</t>
  </si>
  <si>
    <t>PLAINS</t>
  </si>
  <si>
    <t xml:space="preserve">Plains                    </t>
  </si>
  <si>
    <t>DUCRIP</t>
  </si>
  <si>
    <t>Denver CO2 Plt</t>
  </si>
  <si>
    <t>IAMSLAUG</t>
  </si>
  <si>
    <t>Slaughter Plant</t>
  </si>
  <si>
    <t xml:space="preserve">IBAGLEY </t>
  </si>
  <si>
    <t>Bagley CPD</t>
  </si>
  <si>
    <t>IBHPCHAV</t>
  </si>
  <si>
    <t>Puffer State</t>
  </si>
  <si>
    <t>IBRNCHAV</t>
  </si>
  <si>
    <t>Barnhart Chaves</t>
  </si>
  <si>
    <t>ICHAVS#1</t>
  </si>
  <si>
    <t>Yates Hanland</t>
  </si>
  <si>
    <t>ICHAVS#2</t>
  </si>
  <si>
    <t>Comanche P/L</t>
  </si>
  <si>
    <t>ICHAVS#3</t>
  </si>
  <si>
    <t>McKay Oil</t>
  </si>
  <si>
    <t>ICHAVS#4</t>
  </si>
  <si>
    <t xml:space="preserve">IDENTON </t>
  </si>
  <si>
    <t>Davis Denton</t>
  </si>
  <si>
    <t>IMCDONLD</t>
  </si>
  <si>
    <t>McDonald CPD</t>
  </si>
  <si>
    <t>IMESCWOG</t>
  </si>
  <si>
    <t>Mescalero CPD</t>
  </si>
  <si>
    <t>IMEWLUSK</t>
  </si>
  <si>
    <t>Lusk Line CPD #1</t>
  </si>
  <si>
    <t>IMLNCARL</t>
  </si>
  <si>
    <t>Carlsbad to Lusk</t>
  </si>
  <si>
    <t>NGPL Lusk</t>
  </si>
  <si>
    <t>INN26PLA</t>
  </si>
  <si>
    <t>N.N. 26 Hobbs</t>
  </si>
  <si>
    <t>N.N. 30 Sprayberry</t>
  </si>
  <si>
    <t xml:space="preserve">IPARMER </t>
  </si>
  <si>
    <t>NGPL Parmer</t>
  </si>
  <si>
    <t>ISHORE46</t>
  </si>
  <si>
    <t>North 46 CPD</t>
  </si>
  <si>
    <t>IW40-043</t>
  </si>
  <si>
    <t>Felmac R/D</t>
  </si>
  <si>
    <t xml:space="preserve">Westar Umbarger </t>
  </si>
  <si>
    <t xml:space="preserve">Westar Amherst </t>
  </si>
  <si>
    <t>IWARSAUD</t>
  </si>
  <si>
    <t>Saunders Plant</t>
  </si>
  <si>
    <t>IWHITE46</t>
  </si>
  <si>
    <t>White Ranch CPD</t>
  </si>
  <si>
    <t>WAHA</t>
  </si>
  <si>
    <t xml:space="preserve">Waha                      </t>
  </si>
  <si>
    <t>ICOATCPD</t>
  </si>
  <si>
    <t>Coates CPD</t>
  </si>
  <si>
    <t>Delhi Waha</t>
  </si>
  <si>
    <t xml:space="preserve">ILONEWA </t>
  </si>
  <si>
    <t>Lonestar Waha</t>
  </si>
  <si>
    <t>IMLTERPK</t>
  </si>
  <si>
    <t>Terrell Co. CPD</t>
  </si>
  <si>
    <t xml:space="preserve">IMLWAHA </t>
  </si>
  <si>
    <t xml:space="preserve">EPFS Waha </t>
  </si>
  <si>
    <t>IMOBILCO</t>
  </si>
  <si>
    <t>Coyanosa Plant</t>
  </si>
  <si>
    <t>Waha Plant</t>
  </si>
  <si>
    <t>INNWAHA</t>
  </si>
  <si>
    <t>N.N. Waha</t>
  </si>
  <si>
    <t>Oasis P/L Waha</t>
  </si>
  <si>
    <t>IPUCKETT</t>
  </si>
  <si>
    <t>Puckett Plant</t>
  </si>
  <si>
    <t>ITER-PUK</t>
  </si>
  <si>
    <t>EPFS Terrell Co.</t>
  </si>
  <si>
    <t>ITERRELL</t>
  </si>
  <si>
    <t>Shell Terrell</t>
  </si>
  <si>
    <t>Valero Waha</t>
  </si>
  <si>
    <t>Westar Waha</t>
  </si>
  <si>
    <t>IYUCBUTE</t>
  </si>
  <si>
    <t>Helmrich/Payne</t>
  </si>
  <si>
    <t>Total Count</t>
  </si>
  <si>
    <t>DPMEXWIL</t>
  </si>
  <si>
    <t>DBMTNPHX</t>
  </si>
  <si>
    <t>West Flow Grand Total</t>
  </si>
  <si>
    <t>Colorado Greenhouse 9JVC</t>
  </si>
  <si>
    <t>A&amp;P</t>
  </si>
  <si>
    <t>Mainline Fuel Factor To Adjust Capacities</t>
  </si>
  <si>
    <t>Anadarko South</t>
  </si>
  <si>
    <t>Valve City West</t>
  </si>
  <si>
    <t>Southern System West</t>
  </si>
  <si>
    <t>Plains to South Line</t>
  </si>
  <si>
    <t>Plains to North Line</t>
  </si>
  <si>
    <t>Keystone to South Line</t>
  </si>
  <si>
    <t>Keystone to North Line</t>
  </si>
  <si>
    <t>Waha to South Line</t>
  </si>
  <si>
    <t>Waha to North Line</t>
  </si>
  <si>
    <t>Permian to South Line</t>
  </si>
  <si>
    <t>Permian to North Line</t>
  </si>
  <si>
    <t>San Juan Triangle</t>
  </si>
  <si>
    <t>Bondad Sta. To South</t>
  </si>
  <si>
    <t>Bondad Ml to South</t>
  </si>
  <si>
    <t>Blanco to South</t>
  </si>
  <si>
    <t>Total to South</t>
  </si>
  <si>
    <t>Bondad Sta. to North</t>
  </si>
  <si>
    <t>Bondad Ml to North</t>
  </si>
  <si>
    <t>Blanco to North</t>
  </si>
  <si>
    <t>Total to North</t>
  </si>
  <si>
    <t>Headed South</t>
  </si>
  <si>
    <t>Headed North</t>
  </si>
  <si>
    <t>San Juan Gas That Must Flow East on PSJXO</t>
  </si>
  <si>
    <t>Flow South Through Plains</t>
  </si>
  <si>
    <t>Headed North to Topock</t>
  </si>
  <si>
    <t>San Juan - Valve City West</t>
  </si>
  <si>
    <t>Flow West on Southern MLs</t>
  </si>
  <si>
    <t>Bondad Ml.</t>
  </si>
  <si>
    <t>Bondad Line Total</t>
  </si>
  <si>
    <t>Bondad Sta. Capacity Limit Factor</t>
  </si>
  <si>
    <t>Blanco Capacity Limit Factor</t>
  </si>
  <si>
    <t>Total Bondad Sta.</t>
  </si>
  <si>
    <t>Total Bondad Ml.</t>
  </si>
  <si>
    <t>Total Bondad Line</t>
  </si>
  <si>
    <t>Bondad ML Capacity Limit Factor</t>
  </si>
  <si>
    <t>Topock Shippers</t>
  </si>
  <si>
    <t>Other Shippers</t>
  </si>
  <si>
    <t>Summary of Full CD/BD Allocation Study In Dth/d Unless Noted Otherwise</t>
  </si>
  <si>
    <t>Check Deliveries</t>
  </si>
  <si>
    <t>Flow West on So. ML</t>
  </si>
  <si>
    <t>Plains Pool Headed South</t>
  </si>
  <si>
    <t>FT2 Somewhere</t>
  </si>
  <si>
    <t>Flow West on So. ML - Southern System West</t>
  </si>
  <si>
    <t>Flow South Through Plains - Plains South Capacity</t>
  </si>
  <si>
    <t>Valve City West - Valve City West Capacity</t>
  </si>
  <si>
    <t>EOC or California Shipper</t>
  </si>
  <si>
    <t>CA</t>
  </si>
  <si>
    <t>EOC</t>
  </si>
  <si>
    <t>EOC Delivery  Identifier</t>
  </si>
  <si>
    <t>DPG&amp;ETOP, DSCALTOP, DMOJAVE</t>
  </si>
  <si>
    <t>Waha &amp; Sprayberry</t>
  </si>
  <si>
    <t>Havasu Contract Phillips Hutchinson</t>
  </si>
  <si>
    <t>Topock</t>
  </si>
  <si>
    <t>Maricopa AZ</t>
  </si>
  <si>
    <t>Wingate</t>
  </si>
  <si>
    <t>Cibola New Mexico</t>
  </si>
  <si>
    <t>Topock Deliveries</t>
  </si>
  <si>
    <t>Ehrenberg Deliveries</t>
  </si>
  <si>
    <t>Total California</t>
  </si>
  <si>
    <t>Southwest Gas Nevada Deliveries</t>
  </si>
  <si>
    <t>EOC South ML West Flow Deliveries</t>
  </si>
  <si>
    <t>EOC North ML East End Deliveries</t>
  </si>
  <si>
    <t>EOC South ML East End Deliveries</t>
  </si>
  <si>
    <t>Total EOC Deliveries</t>
  </si>
  <si>
    <t>EOC North ML West Flow Deliveries (w/o SWG NV)</t>
  </si>
  <si>
    <t>Permian (Except Plains South) + South Flow Thru Plains - EOC SML EE Deliveries</t>
  </si>
  <si>
    <t>Grand Total</t>
  </si>
  <si>
    <t>Each FT1 Systemwide Shipper's Pro Rata Share of Receipt Capacity Is:</t>
  </si>
  <si>
    <t>FT1 Systemwide</t>
  </si>
  <si>
    <t>Calculate Pooling Area Market Shares Based on Receipt Capacity</t>
  </si>
  <si>
    <t>Shippers with SJ Only</t>
  </si>
  <si>
    <t>East End Contracts</t>
  </si>
  <si>
    <t>Plains Pooling Area</t>
  </si>
  <si>
    <t>Keystone Pooling Area</t>
  </si>
  <si>
    <t>Waha Pooling Area</t>
  </si>
  <si>
    <t>Shippers with Permian Only</t>
  </si>
  <si>
    <t>Anadarko Pooling Area</t>
  </si>
  <si>
    <t>Keystone and Waha Flowing North Through Plains</t>
  </si>
  <si>
    <t>Mcf/d</t>
  </si>
  <si>
    <t>Assume</t>
  </si>
  <si>
    <t>Waha West  + EOCSMLEE - Waha Pool Receipts</t>
  </si>
  <si>
    <t>Percentage By Basin</t>
  </si>
  <si>
    <t>??</t>
  </si>
  <si>
    <t>KN Marketing, L.P. (9L32)</t>
  </si>
  <si>
    <t>NN Sprayberry</t>
  </si>
  <si>
    <t>N to Plains</t>
  </si>
  <si>
    <r>
      <t>Tenaska Marketing Ventures (</t>
    </r>
    <r>
      <rPr>
        <sz val="10"/>
        <rFont val="Arial"/>
        <family val="2"/>
      </rPr>
      <t>9L9B</t>
    </r>
    <r>
      <rPr>
        <sz val="10"/>
        <rFont val="Arial"/>
      </rPr>
      <t>)</t>
    </r>
  </si>
  <si>
    <r>
      <t>Tenaska Marketing Ventures (</t>
    </r>
    <r>
      <rPr>
        <sz val="10"/>
        <rFont val="Arial"/>
        <family val="2"/>
      </rPr>
      <t>9L9J</t>
    </r>
    <r>
      <rPr>
        <sz val="10"/>
        <rFont val="Arial"/>
      </rPr>
      <t>)</t>
    </r>
  </si>
  <si>
    <t>Felmac</t>
  </si>
  <si>
    <t>Richardson Products II, Ltd. (9LAR)</t>
  </si>
  <si>
    <t>Borger</t>
  </si>
  <si>
    <t>PG&amp;E Topock</t>
  </si>
  <si>
    <t>Adjustment</t>
  </si>
  <si>
    <t>FR</t>
  </si>
  <si>
    <t>Constraint</t>
  </si>
  <si>
    <t>Percentage By Pooling Area</t>
  </si>
  <si>
    <t>SoCal</t>
  </si>
  <si>
    <t>PG&amp;E</t>
  </si>
  <si>
    <t>Mojave</t>
  </si>
  <si>
    <t>PSJXO east + Plains To South - EOCNML EE Deliveries</t>
  </si>
  <si>
    <t>Plains South</t>
  </si>
  <si>
    <t>Rights Assigned by Pooling Area</t>
  </si>
  <si>
    <t>From San Juan</t>
  </si>
  <si>
    <t>From Permian</t>
  </si>
  <si>
    <t>On FT-2</t>
  </si>
  <si>
    <t>Phelps Dodge Corporation (Texas) (97Z7)</t>
  </si>
  <si>
    <t>Total Assigned</t>
  </si>
  <si>
    <t>Total Unassigned</t>
  </si>
  <si>
    <t>From Anadarko Pool</t>
  </si>
  <si>
    <t xml:space="preserve">From Anadarko </t>
  </si>
  <si>
    <t>Allocation At Topock</t>
  </si>
  <si>
    <t>System-Wide</t>
  </si>
  <si>
    <t>Grand Totals</t>
  </si>
  <si>
    <t>Keystone to Waha Constraint</t>
  </si>
  <si>
    <t>Adjusted Percentages to Eliminate</t>
  </si>
  <si>
    <t>decrease by adjustment</t>
  </si>
  <si>
    <t>increase by adjustment</t>
  </si>
  <si>
    <t>Tenaska Marketing Ventures (9L9J)</t>
  </si>
  <si>
    <t>Tenaska Marketing Ventures (9L9B)</t>
  </si>
  <si>
    <t>Total EOC FR Rights</t>
  </si>
  <si>
    <t>Pimalco 9F8B</t>
  </si>
  <si>
    <t>Flow west on High Pressure Line From Waha</t>
  </si>
  <si>
    <t>Flow west on Low Pressure Line from Pecos River</t>
  </si>
  <si>
    <t>Current Capacity from Keystone to Waha</t>
  </si>
  <si>
    <t>Mcf/d Additional needed from Keystone to Waha</t>
  </si>
  <si>
    <t>EOCSMLEE</t>
  </si>
  <si>
    <t>EOCNMLEE</t>
  </si>
  <si>
    <t>EOCNML</t>
  </si>
  <si>
    <t>EOC Full Requirements Increase Factor</t>
  </si>
  <si>
    <t>Amoco 97JB Eliminated</t>
  </si>
  <si>
    <t>San Juan Receipt Rights To Reallocate</t>
  </si>
  <si>
    <t>Burlington Resources 97J4 Eliminated</t>
  </si>
  <si>
    <t>Son of Havasu CDs to be upgraded in SJ</t>
  </si>
  <si>
    <t>San Juan Rights redirected to EOC FT-1</t>
  </si>
  <si>
    <t>Summary of Capacity Right Changes Made in This Study Dth</t>
  </si>
  <si>
    <t>SJ Rights Allocated to EOC FT-1 in base</t>
  </si>
  <si>
    <t>New Target for EOC FT-1 SJ Rights</t>
  </si>
  <si>
    <t>EOC FR SJ Rights</t>
  </si>
  <si>
    <t>Target</t>
  </si>
  <si>
    <t>Block III Capacity Available From Amoco Energy Trading July 2000</t>
  </si>
  <si>
    <t>Block I El Paso Merchant Energy (9LBM)</t>
  </si>
  <si>
    <t>Block I El Paso Merchant Energy (9LCG)</t>
  </si>
  <si>
    <t>Block I Unsubscribed    To Ehrenberg</t>
  </si>
  <si>
    <t>Block II  Unsubscribed     To Topock</t>
  </si>
  <si>
    <t xml:space="preserve">Block II El Paso Merchant Energy (9LBN) </t>
  </si>
  <si>
    <t>Block III  Unsubscribed     To Ehrenberg</t>
  </si>
  <si>
    <t xml:space="preserve">Block III  El Paso Merchant Energy  (9LBP)  </t>
  </si>
  <si>
    <t>MMcf/d Entitlements</t>
  </si>
  <si>
    <t>Total FT2 Contract Rights in MMcf/d</t>
  </si>
  <si>
    <t xml:space="preserve">Note - all conversions between Dth and MMcf use a heating value of 1023 BTU/cf </t>
  </si>
  <si>
    <t>Mcf/d less FT2</t>
  </si>
  <si>
    <t>MMcf/d less fuel</t>
  </si>
  <si>
    <t>San Juan Receipt Rights in Mcf/d</t>
  </si>
  <si>
    <t>Rights Remaining to be Assigned in Mcf/d</t>
  </si>
  <si>
    <t>Total Permian Rights Assigned</t>
  </si>
  <si>
    <t>Receipt Rights Not Assigned</t>
  </si>
  <si>
    <t>Total Assigned and FT-2 Rights</t>
  </si>
  <si>
    <t xml:space="preserve">Percentage of Rights Assigned </t>
  </si>
  <si>
    <t>Allocation of Rights to Receipt and Delivery Combinations for Topock Shippers</t>
  </si>
  <si>
    <t>Total San Juan Rights Assigned</t>
  </si>
  <si>
    <t>Permian Mcf/d</t>
  </si>
  <si>
    <t>San Juan Mcf/d</t>
  </si>
  <si>
    <t>EOCSML</t>
  </si>
  <si>
    <t>Approximate System Loading Versus Capacity</t>
  </si>
  <si>
    <t>Mcf/d Entitlements</t>
  </si>
  <si>
    <t>Assign Receipt Rights Proportionally Among Permian Pooling Areas</t>
  </si>
  <si>
    <t>Assign Anadarko Receipt Rights to Appropriate Shippers</t>
  </si>
  <si>
    <t>Total Receipt Rights Assigned</t>
  </si>
  <si>
    <t>Receipt Right Assignments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</si>
</sst>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1" formatCode="_(* #,##0_);_(* \(#,##0\);_(* &quot;-&quot;_);_(@_)"/>
    <numFmt numFmtId="44" formatCode="_(&quot;$&quot;* #,##0.00_);_(&quot;$&quot;* \(#,##0.00\);_(&quot;$&quot;* &quot;-&quot;??_);_(@_)"/>
    <numFmt numFmtId="43" formatCode="_(* #,##0.00_);_(* \(#,##0.00\);_(* &quot;-&quot;??_);_(@_)"/>
    <numFmt numFmtId="164" formatCode="mm/dd/yy"/>
    <numFmt numFmtId="165" formatCode="_(* #,##0_);_(* \(#,##0\);_(* &quot;-&quot;??_);_(@_)"/>
    <numFmt numFmtId="169" formatCode="#,##0.0000"/>
    <numFmt numFmtId="172" formatCode="_(* #,##0.000_);_(* \(#,##0.000\);_(* &quot;-&quot;??_);_(@_)"/>
    <numFmt numFmtId="176" formatCode="_(* #,##0.0000_);_(* \(#,##0.0000\);_(* &quot;-&quot;??_);_(@_)"/>
    <numFmt numFmtId="178" formatCode="_(* #,##0.000000_);_(* \(#,##0.000000\);_(* &quot;-&quot;??_);_(@_)"/>
    <numFmt numFmtId="185" formatCode="0.0000%"/>
    <numFmt numFmtId="186" formatCode="_(* #,##0.0000_);_(* \(#,##0.0000\);_(* &quot;-&quot;????_);_(@_)"/>
  </numFmts>
  <fonts count="16" x14ac:knownFonts="1">
    <font>
      <sz val="10"/>
      <name val="Arial"/>
    </font>
    <font>
      <sz val="10"/>
      <name val="Arial"/>
    </font>
    <font>
      <b/>
      <sz val="10"/>
      <name val="Arial"/>
      <family val="2"/>
    </font>
    <font>
      <sz val="8"/>
      <name val="Arial"/>
      <family val="2"/>
    </font>
    <font>
      <sz val="10"/>
      <name val="Arial"/>
      <family val="2"/>
    </font>
    <font>
      <sz val="10"/>
      <color indexed="10"/>
      <name val="Arial"/>
      <family val="2"/>
    </font>
    <font>
      <b/>
      <sz val="10"/>
      <name val="Arial"/>
    </font>
    <font>
      <sz val="10"/>
      <color indexed="56"/>
      <name val="Arial"/>
      <family val="2"/>
    </font>
    <font>
      <b/>
      <sz val="8"/>
      <name val="Arial"/>
      <family val="2"/>
    </font>
    <font>
      <sz val="10"/>
      <color indexed="8"/>
      <name val="MS Sans Serif"/>
    </font>
    <font>
      <sz val="10"/>
      <name val="Arial"/>
    </font>
    <font>
      <sz val="10"/>
      <name val="Times New Roman"/>
      <family val="1"/>
    </font>
    <font>
      <sz val="8"/>
      <color indexed="81"/>
      <name val="Tahoma"/>
    </font>
    <font>
      <b/>
      <sz val="8"/>
      <color indexed="81"/>
      <name val="Tahoma"/>
    </font>
    <font>
      <sz val="10"/>
      <color indexed="8"/>
      <name val="Arial"/>
      <family val="2"/>
    </font>
    <font>
      <b/>
      <i/>
      <sz val="10"/>
      <name val="Arial"/>
      <family val="2"/>
    </font>
  </fonts>
  <fills count="3">
    <fill>
      <patternFill patternType="none"/>
    </fill>
    <fill>
      <patternFill patternType="gray125"/>
    </fill>
    <fill>
      <patternFill patternType="solid">
        <fgColor indexed="13"/>
        <bgColor indexed="64"/>
      </patternFill>
    </fill>
  </fills>
  <borders count="15">
    <border>
      <left/>
      <right/>
      <top/>
      <bottom/>
      <diagonal/>
    </border>
    <border>
      <left/>
      <right/>
      <top/>
      <bottom style="thick">
        <color indexed="64"/>
      </bottom>
      <diagonal/>
    </border>
    <border>
      <left/>
      <right/>
      <top style="thick">
        <color indexed="64"/>
      </top>
      <bottom/>
      <diagonal/>
    </border>
    <border>
      <left/>
      <right/>
      <top style="medium">
        <color indexed="64"/>
      </top>
      <bottom style="medium">
        <color indexed="64"/>
      </bottom>
      <diagonal/>
    </border>
    <border>
      <left/>
      <right style="medium">
        <color indexed="64"/>
      </right>
      <top/>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style="medium">
        <color indexed="64"/>
      </right>
      <top style="thin">
        <color indexed="64"/>
      </top>
      <bottom style="double">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9" fillId="0" borderId="0"/>
    <xf numFmtId="9" fontId="1" fillId="0" borderId="0" applyFont="0" applyFill="0" applyBorder="0" applyAlignment="0" applyProtection="0"/>
  </cellStyleXfs>
  <cellXfs count="259">
    <xf numFmtId="0" fontId="0" fillId="0" borderId="0" xfId="0"/>
    <xf numFmtId="0" fontId="2" fillId="0" borderId="0" xfId="0" applyFont="1"/>
    <xf numFmtId="0" fontId="0" fillId="0" borderId="0" xfId="0" applyBorder="1" applyAlignment="1">
      <alignment horizontal="right"/>
    </xf>
    <xf numFmtId="0" fontId="2" fillId="0" borderId="0" xfId="0" applyFont="1" applyBorder="1" applyAlignment="1">
      <alignment horizontal="center"/>
    </xf>
    <xf numFmtId="1" fontId="0" fillId="0" borderId="0" xfId="0" applyNumberFormat="1" applyAlignment="1"/>
    <xf numFmtId="0" fontId="2" fillId="0" borderId="0" xfId="0" applyFont="1" applyBorder="1" applyAlignment="1">
      <alignment horizontal="left"/>
    </xf>
    <xf numFmtId="43" fontId="2" fillId="0" borderId="0" xfId="1" applyFont="1" applyBorder="1" applyAlignment="1">
      <alignment horizontal="center"/>
    </xf>
    <xf numFmtId="0" fontId="2" fillId="0" borderId="0" xfId="0" applyFont="1" applyBorder="1"/>
    <xf numFmtId="0" fontId="2" fillId="0" borderId="0" xfId="0" applyFont="1" applyBorder="1" applyAlignment="1"/>
    <xf numFmtId="43" fontId="0" fillId="0" borderId="0" xfId="1" applyFont="1" applyAlignment="1">
      <alignment horizontal="right"/>
    </xf>
    <xf numFmtId="0" fontId="6" fillId="0" borderId="0" xfId="0" applyFont="1" applyFill="1" applyBorder="1"/>
    <xf numFmtId="1" fontId="1" fillId="0" borderId="0" xfId="0" applyNumberFormat="1" applyFont="1" applyFill="1" applyBorder="1" applyAlignment="1"/>
    <xf numFmtId="0" fontId="1" fillId="0" borderId="0" xfId="0" applyFont="1" applyFill="1" applyBorder="1" applyAlignment="1">
      <alignment horizontal="center"/>
    </xf>
    <xf numFmtId="0" fontId="1" fillId="0" borderId="0" xfId="0" applyFont="1" applyFill="1" applyBorder="1"/>
    <xf numFmtId="0" fontId="1" fillId="0" borderId="0" xfId="0" applyFont="1" applyFill="1" applyBorder="1" applyAlignment="1">
      <alignment horizontal="left"/>
    </xf>
    <xf numFmtId="43" fontId="5" fillId="0" borderId="0" xfId="1" applyFont="1" applyFill="1" applyAlignment="1">
      <alignment horizontal="right"/>
    </xf>
    <xf numFmtId="0" fontId="0" fillId="0" borderId="0" xfId="0" applyFill="1" applyProtection="1">
      <protection locked="0"/>
    </xf>
    <xf numFmtId="1" fontId="0" fillId="0" borderId="0" xfId="0" applyNumberFormat="1" applyFill="1" applyAlignment="1" applyProtection="1">
      <protection locked="0"/>
    </xf>
    <xf numFmtId="0" fontId="0" fillId="0" borderId="0" xfId="0" applyFill="1" applyAlignment="1" applyProtection="1">
      <alignment horizontal="center"/>
      <protection locked="0"/>
    </xf>
    <xf numFmtId="0" fontId="0" fillId="0" borderId="0" xfId="0" applyFill="1" applyAlignment="1" applyProtection="1">
      <alignment horizontal="left"/>
      <protection locked="0"/>
    </xf>
    <xf numFmtId="43" fontId="0" fillId="0" borderId="0" xfId="1" applyFont="1" applyFill="1" applyAlignment="1">
      <alignment horizontal="right"/>
    </xf>
    <xf numFmtId="0" fontId="0" fillId="0" borderId="0" xfId="0" applyProtection="1">
      <protection locked="0"/>
    </xf>
    <xf numFmtId="1" fontId="0" fillId="0" borderId="0" xfId="0" applyNumberFormat="1" applyAlignment="1" applyProtection="1">
      <protection locked="0"/>
    </xf>
    <xf numFmtId="0" fontId="0" fillId="0" borderId="0" xfId="0" applyAlignment="1" applyProtection="1">
      <alignment horizontal="center"/>
      <protection locked="0"/>
    </xf>
    <xf numFmtId="0" fontId="0" fillId="0" borderId="0" xfId="0" applyAlignment="1" applyProtection="1">
      <alignment horizontal="left"/>
      <protection locked="0"/>
    </xf>
    <xf numFmtId="43" fontId="7" fillId="0" borderId="0" xfId="1" applyFont="1" applyAlignment="1">
      <alignment horizontal="right"/>
    </xf>
    <xf numFmtId="0" fontId="6" fillId="0" borderId="0" xfId="0" applyFont="1" applyProtection="1">
      <protection locked="0"/>
    </xf>
    <xf numFmtId="43" fontId="5" fillId="0" borderId="0" xfId="1" applyFont="1" applyAlignment="1">
      <alignment horizontal="right"/>
    </xf>
    <xf numFmtId="0" fontId="4" fillId="0" borderId="0" xfId="0" applyFont="1" applyProtection="1">
      <protection locked="0"/>
    </xf>
    <xf numFmtId="1" fontId="4" fillId="0" borderId="0" xfId="0" applyNumberFormat="1" applyFont="1" applyAlignment="1" applyProtection="1">
      <protection locked="0"/>
    </xf>
    <xf numFmtId="0" fontId="4" fillId="0" borderId="0" xfId="0" applyFont="1" applyAlignment="1" applyProtection="1">
      <alignment horizontal="center"/>
      <protection locked="0"/>
    </xf>
    <xf numFmtId="0" fontId="4" fillId="0" borderId="0" xfId="0" applyFont="1" applyAlignment="1" applyProtection="1">
      <alignment horizontal="left"/>
      <protection locked="0"/>
    </xf>
    <xf numFmtId="43" fontId="4" fillId="0" borderId="0" xfId="1" applyFont="1" applyAlignment="1">
      <alignment horizontal="right"/>
    </xf>
    <xf numFmtId="0" fontId="1" fillId="0" borderId="0" xfId="0" applyFont="1" applyProtection="1">
      <protection locked="0"/>
    </xf>
    <xf numFmtId="1" fontId="1" fillId="0" borderId="0" xfId="0" applyNumberFormat="1" applyFont="1" applyAlignment="1" applyProtection="1">
      <protection locked="0"/>
    </xf>
    <xf numFmtId="0" fontId="1" fillId="0" borderId="0" xfId="0" applyFont="1" applyAlignment="1" applyProtection="1">
      <alignment horizontal="center"/>
      <protection locked="0"/>
    </xf>
    <xf numFmtId="0" fontId="1" fillId="0" borderId="0" xfId="0" applyFont="1" applyAlignment="1" applyProtection="1">
      <alignment horizontal="left"/>
      <protection locked="0"/>
    </xf>
    <xf numFmtId="0" fontId="2" fillId="0" borderId="0" xfId="0" applyFont="1" applyProtection="1">
      <protection locked="0"/>
    </xf>
    <xf numFmtId="0" fontId="4" fillId="0" borderId="0" xfId="0" applyFont="1" applyBorder="1"/>
    <xf numFmtId="0" fontId="2" fillId="0" borderId="0" xfId="0" applyFont="1" applyBorder="1" applyAlignment="1">
      <alignment horizontal="right"/>
    </xf>
    <xf numFmtId="0" fontId="2" fillId="0" borderId="1" xfId="0" applyFont="1" applyBorder="1" applyAlignment="1">
      <alignment horizontal="center"/>
    </xf>
    <xf numFmtId="0" fontId="2" fillId="0" borderId="1" xfId="0" applyFont="1" applyBorder="1" applyAlignment="1">
      <alignment horizontal="left"/>
    </xf>
    <xf numFmtId="43" fontId="2" fillId="0" borderId="1" xfId="1" applyFont="1" applyBorder="1" applyAlignment="1"/>
    <xf numFmtId="0" fontId="2" fillId="0" borderId="1" xfId="0" applyFont="1" applyBorder="1"/>
    <xf numFmtId="165" fontId="0" fillId="0" borderId="0" xfId="0" applyNumberFormat="1"/>
    <xf numFmtId="0" fontId="0" fillId="0" borderId="2" xfId="0" applyBorder="1"/>
    <xf numFmtId="0" fontId="0" fillId="0" borderId="2" xfId="0" applyBorder="1" applyAlignment="1">
      <alignment horizontal="left"/>
    </xf>
    <xf numFmtId="3" fontId="0" fillId="0" borderId="2" xfId="0" applyNumberFormat="1" applyBorder="1" applyAlignment="1">
      <alignment horizontal="right"/>
    </xf>
    <xf numFmtId="0" fontId="2" fillId="0" borderId="0" xfId="0" applyFont="1" applyFill="1" applyBorder="1" applyAlignment="1">
      <alignment horizontal="left"/>
    </xf>
    <xf numFmtId="165" fontId="0" fillId="0" borderId="0" xfId="1" applyNumberFormat="1" applyFont="1" applyFill="1" applyBorder="1"/>
    <xf numFmtId="0" fontId="0" fillId="0" borderId="0" xfId="0" applyFill="1" applyBorder="1" applyAlignment="1">
      <alignment horizontal="center" wrapText="1"/>
    </xf>
    <xf numFmtId="0" fontId="4" fillId="0" borderId="2" xfId="0" applyFont="1" applyBorder="1"/>
    <xf numFmtId="0" fontId="3" fillId="2" borderId="0" xfId="0" applyFont="1" applyFill="1" applyBorder="1" applyAlignment="1">
      <alignment horizontal="center" wrapText="1"/>
    </xf>
    <xf numFmtId="0" fontId="4" fillId="0" borderId="0" xfId="0" applyFont="1"/>
    <xf numFmtId="0" fontId="4" fillId="0" borderId="0" xfId="0" applyFont="1" applyAlignment="1">
      <alignment horizontal="right"/>
    </xf>
    <xf numFmtId="0" fontId="3" fillId="0" borderId="0" xfId="0" applyFont="1" applyFill="1" applyBorder="1" applyAlignment="1">
      <alignment horizontal="center" wrapText="1"/>
    </xf>
    <xf numFmtId="41" fontId="0" fillId="0" borderId="0" xfId="1" applyNumberFormat="1" applyFont="1" applyFill="1" applyAlignment="1">
      <alignment horizontal="right"/>
    </xf>
    <xf numFmtId="0" fontId="0" fillId="0" borderId="0" xfId="0" applyFill="1" applyBorder="1" applyAlignment="1">
      <alignment horizontal="center"/>
    </xf>
    <xf numFmtId="14" fontId="0" fillId="0" borderId="0" xfId="0" applyNumberFormat="1" applyFill="1" applyBorder="1" applyAlignment="1">
      <alignment horizontal="center"/>
    </xf>
    <xf numFmtId="43" fontId="2" fillId="0" borderId="0" xfId="1" applyFont="1" applyFill="1" applyBorder="1"/>
    <xf numFmtId="0" fontId="4" fillId="0" borderId="0" xfId="0" applyFont="1" applyFill="1" applyBorder="1" applyAlignment="1">
      <alignment horizontal="center" wrapText="1"/>
    </xf>
    <xf numFmtId="0" fontId="4" fillId="0" borderId="0" xfId="0" applyFont="1" applyBorder="1" applyAlignment="1">
      <alignment horizontal="center"/>
    </xf>
    <xf numFmtId="0" fontId="4" fillId="0" borderId="0" xfId="0" applyFont="1" applyFill="1" applyBorder="1" applyAlignment="1">
      <alignment horizontal="center"/>
    </xf>
    <xf numFmtId="14" fontId="4" fillId="0" borderId="0" xfId="0" applyNumberFormat="1" applyFont="1" applyFill="1" applyBorder="1" applyAlignment="1">
      <alignment horizontal="center"/>
    </xf>
    <xf numFmtId="185" fontId="4" fillId="0" borderId="0" xfId="0" applyNumberFormat="1" applyFont="1" applyFill="1" applyBorder="1" applyAlignment="1">
      <alignment horizontal="center" wrapText="1"/>
    </xf>
    <xf numFmtId="165" fontId="4" fillId="0" borderId="0" xfId="1" applyNumberFormat="1" applyFont="1" applyFill="1" applyBorder="1"/>
    <xf numFmtId="3" fontId="4" fillId="0" borderId="0" xfId="1" applyNumberFormat="1" applyFont="1" applyFill="1" applyBorder="1"/>
    <xf numFmtId="41" fontId="4" fillId="0" borderId="0" xfId="1" applyNumberFormat="1" applyFont="1" applyFill="1" applyBorder="1"/>
    <xf numFmtId="165" fontId="4" fillId="0" borderId="0" xfId="1" applyNumberFormat="1" applyFont="1"/>
    <xf numFmtId="0" fontId="4" fillId="0" borderId="0" xfId="0" applyFont="1" applyFill="1"/>
    <xf numFmtId="0" fontId="4" fillId="0" borderId="0" xfId="0" applyFont="1" applyFill="1" applyAlignment="1">
      <alignment horizontal="right"/>
    </xf>
    <xf numFmtId="43" fontId="4" fillId="0" borderId="0" xfId="1" applyFont="1" applyFill="1" applyBorder="1" applyAlignment="1">
      <alignment horizontal="right"/>
    </xf>
    <xf numFmtId="165" fontId="2" fillId="0" borderId="0" xfId="1" applyNumberFormat="1" applyFont="1" applyFill="1" applyBorder="1"/>
    <xf numFmtId="41" fontId="2" fillId="0" borderId="0" xfId="1" applyNumberFormat="1" applyFont="1" applyFill="1" applyBorder="1"/>
    <xf numFmtId="169" fontId="4" fillId="0" borderId="0" xfId="0" applyNumberFormat="1" applyFont="1" applyFill="1" applyBorder="1"/>
    <xf numFmtId="165" fontId="4" fillId="0" borderId="0" xfId="0" applyNumberFormat="1" applyFont="1"/>
    <xf numFmtId="0" fontId="4" fillId="2" borderId="0" xfId="0" applyFont="1" applyFill="1"/>
    <xf numFmtId="178" fontId="4" fillId="0" borderId="0" xfId="0" applyNumberFormat="1" applyFont="1" applyFill="1"/>
    <xf numFmtId="165" fontId="2" fillId="0" borderId="0" xfId="1" applyNumberFormat="1" applyFont="1" applyFill="1" applyBorder="1" applyAlignment="1"/>
    <xf numFmtId="43" fontId="4" fillId="0" borderId="3" xfId="1" applyFont="1" applyFill="1" applyBorder="1"/>
    <xf numFmtId="43" fontId="4" fillId="0" borderId="3" xfId="1" applyFont="1" applyFill="1" applyBorder="1" applyAlignment="1">
      <alignment horizontal="right"/>
    </xf>
    <xf numFmtId="41" fontId="2" fillId="0" borderId="3" xfId="1" applyNumberFormat="1" applyFont="1" applyFill="1" applyBorder="1"/>
    <xf numFmtId="41" fontId="4" fillId="0" borderId="3" xfId="1" applyNumberFormat="1" applyFont="1" applyFill="1" applyBorder="1"/>
    <xf numFmtId="43" fontId="4" fillId="0" borderId="0" xfId="1" applyFont="1" applyFill="1" applyBorder="1"/>
    <xf numFmtId="43" fontId="4" fillId="0" borderId="3" xfId="1" applyNumberFormat="1" applyFont="1" applyFill="1" applyBorder="1"/>
    <xf numFmtId="43" fontId="4" fillId="0" borderId="0" xfId="1" applyNumberFormat="1" applyFont="1" applyFill="1" applyBorder="1"/>
    <xf numFmtId="43" fontId="4" fillId="0" borderId="0" xfId="1" applyFont="1" applyFill="1"/>
    <xf numFmtId="9" fontId="4" fillId="0" borderId="3" xfId="4" applyFont="1" applyFill="1" applyBorder="1"/>
    <xf numFmtId="43" fontId="4" fillId="0" borderId="0" xfId="1" applyNumberFormat="1" applyFont="1" applyFill="1"/>
    <xf numFmtId="0" fontId="10" fillId="0" borderId="0" xfId="0" applyFont="1" applyFill="1"/>
    <xf numFmtId="9" fontId="4" fillId="0" borderId="0" xfId="4" applyFont="1"/>
    <xf numFmtId="165" fontId="2" fillId="0" borderId="3" xfId="1" applyNumberFormat="1" applyFont="1" applyFill="1" applyBorder="1"/>
    <xf numFmtId="165" fontId="4" fillId="0" borderId="3" xfId="1" applyNumberFormat="1" applyFont="1" applyFill="1" applyBorder="1"/>
    <xf numFmtId="165" fontId="4" fillId="0" borderId="3" xfId="1" applyNumberFormat="1" applyFont="1" applyFill="1" applyBorder="1" applyAlignment="1">
      <alignment horizontal="right"/>
    </xf>
    <xf numFmtId="0" fontId="4" fillId="2" borderId="0" xfId="0" applyFont="1" applyFill="1" applyBorder="1" applyAlignment="1">
      <alignment horizontal="center" wrapText="1"/>
    </xf>
    <xf numFmtId="0" fontId="3" fillId="0" borderId="0" xfId="0" applyFont="1" applyFill="1" applyAlignment="1" applyProtection="1">
      <alignment horizontal="center"/>
      <protection locked="0"/>
    </xf>
    <xf numFmtId="41" fontId="4" fillId="2" borderId="0" xfId="0" applyNumberFormat="1" applyFont="1" applyFill="1" applyBorder="1" applyAlignment="1">
      <alignment horizontal="center" wrapText="1"/>
    </xf>
    <xf numFmtId="10" fontId="4" fillId="0" borderId="3" xfId="4" applyNumberFormat="1" applyFont="1" applyFill="1" applyBorder="1"/>
    <xf numFmtId="41" fontId="15" fillId="0" borderId="0" xfId="1" applyNumberFormat="1" applyFont="1" applyFill="1" applyBorder="1" applyAlignment="1">
      <alignment horizontal="left"/>
    </xf>
    <xf numFmtId="176" fontId="4" fillId="0" borderId="0" xfId="1" applyNumberFormat="1" applyFont="1" applyFill="1" applyBorder="1" applyAlignment="1">
      <alignment horizontal="right"/>
    </xf>
    <xf numFmtId="0" fontId="0" fillId="0" borderId="0" xfId="0" applyBorder="1"/>
    <xf numFmtId="0" fontId="4" fillId="0" borderId="0" xfId="0" applyFont="1" applyBorder="1" applyAlignment="1"/>
    <xf numFmtId="0" fontId="0" fillId="0" borderId="0" xfId="0" applyBorder="1" applyAlignment="1"/>
    <xf numFmtId="0" fontId="14" fillId="0" borderId="0" xfId="3" applyFont="1" applyFill="1" applyBorder="1" applyAlignment="1">
      <alignment horizontal="right"/>
    </xf>
    <xf numFmtId="165" fontId="14" fillId="0" borderId="0" xfId="1" applyNumberFormat="1" applyFont="1" applyFill="1" applyBorder="1" applyAlignment="1">
      <alignment horizontal="right"/>
    </xf>
    <xf numFmtId="165" fontId="4" fillId="0" borderId="0" xfId="0" applyNumberFormat="1" applyFont="1" applyBorder="1" applyAlignment="1"/>
    <xf numFmtId="10" fontId="4" fillId="0" borderId="0" xfId="4" applyNumberFormat="1" applyFont="1" applyBorder="1" applyAlignment="1"/>
    <xf numFmtId="0" fontId="4" fillId="0" borderId="0" xfId="0" applyFont="1" applyFill="1" applyBorder="1" applyAlignment="1">
      <alignment horizontal="right"/>
    </xf>
    <xf numFmtId="0" fontId="4" fillId="0" borderId="0" xfId="0" applyFont="1" applyFill="1" applyBorder="1" applyAlignment="1"/>
    <xf numFmtId="10" fontId="0" fillId="0" borderId="0" xfId="4" applyNumberFormat="1" applyFont="1" applyBorder="1" applyAlignment="1"/>
    <xf numFmtId="165" fontId="4" fillId="0" borderId="0" xfId="0" applyNumberFormat="1" applyFont="1" applyFill="1" applyBorder="1" applyAlignment="1">
      <alignment horizontal="right"/>
    </xf>
    <xf numFmtId="9" fontId="4" fillId="0" borderId="0" xfId="4" applyFont="1" applyFill="1" applyBorder="1" applyAlignment="1">
      <alignment horizontal="right"/>
    </xf>
    <xf numFmtId="9" fontId="4" fillId="0" borderId="0" xfId="4" applyFont="1" applyBorder="1" applyAlignment="1"/>
    <xf numFmtId="0" fontId="0" fillId="0" borderId="0" xfId="0" applyFill="1" applyBorder="1"/>
    <xf numFmtId="0" fontId="4" fillId="0" borderId="0" xfId="0" applyFont="1" applyFill="1" applyAlignment="1">
      <alignment horizontal="center" wrapText="1"/>
    </xf>
    <xf numFmtId="1" fontId="4" fillId="0" borderId="0" xfId="0" applyNumberFormat="1" applyFont="1" applyFill="1" applyBorder="1" applyAlignment="1"/>
    <xf numFmtId="1" fontId="4" fillId="0" borderId="3" xfId="0" applyNumberFormat="1" applyFont="1" applyFill="1" applyBorder="1"/>
    <xf numFmtId="165" fontId="4" fillId="0" borderId="0" xfId="1" applyNumberFormat="1" applyFont="1" applyFill="1"/>
    <xf numFmtId="9" fontId="4" fillId="2" borderId="0" xfId="4" applyFont="1" applyFill="1"/>
    <xf numFmtId="0" fontId="0" fillId="0" borderId="0" xfId="0" applyFill="1"/>
    <xf numFmtId="41" fontId="3" fillId="0" borderId="0" xfId="0" applyNumberFormat="1" applyFont="1" applyFill="1" applyAlignment="1">
      <alignment horizontal="center" wrapText="1"/>
    </xf>
    <xf numFmtId="41" fontId="4" fillId="0" borderId="0" xfId="0" applyNumberFormat="1" applyFont="1" applyFill="1"/>
    <xf numFmtId="10" fontId="0" fillId="0" borderId="0" xfId="4" applyNumberFormat="1" applyFont="1" applyFill="1" applyBorder="1" applyAlignment="1"/>
    <xf numFmtId="165" fontId="0" fillId="0" borderId="0" xfId="1" applyNumberFormat="1" applyFont="1" applyFill="1"/>
    <xf numFmtId="165" fontId="2" fillId="0" borderId="0" xfId="1" applyNumberFormat="1" applyFont="1" applyFill="1" applyBorder="1" applyAlignment="1">
      <alignment horizontal="left"/>
    </xf>
    <xf numFmtId="0" fontId="2" fillId="0" borderId="0" xfId="0" applyFont="1" applyFill="1"/>
    <xf numFmtId="165" fontId="0" fillId="0" borderId="0" xfId="0" applyNumberFormat="1" applyFill="1"/>
    <xf numFmtId="0" fontId="2" fillId="0" borderId="0" xfId="0" applyFont="1" applyFill="1" applyBorder="1"/>
    <xf numFmtId="10" fontId="0" fillId="0" borderId="0" xfId="0" applyNumberFormat="1" applyBorder="1"/>
    <xf numFmtId="165" fontId="4" fillId="2" borderId="0" xfId="1" applyNumberFormat="1" applyFont="1" applyFill="1"/>
    <xf numFmtId="9" fontId="4" fillId="0" borderId="0" xfId="4" applyFont="1" applyFill="1"/>
    <xf numFmtId="9" fontId="10" fillId="0" borderId="0" xfId="4" applyFont="1" applyFill="1"/>
    <xf numFmtId="165" fontId="10" fillId="0" borderId="0" xfId="1" applyNumberFormat="1" applyFont="1" applyFill="1"/>
    <xf numFmtId="0" fontId="4" fillId="0" borderId="4" xfId="0" applyFont="1" applyFill="1" applyBorder="1"/>
    <xf numFmtId="0" fontId="2" fillId="0" borderId="0" xfId="0" applyFont="1" applyFill="1" applyAlignment="1">
      <alignment horizontal="left"/>
    </xf>
    <xf numFmtId="0" fontId="3" fillId="0" borderId="0" xfId="0" applyFont="1" applyFill="1" applyAlignment="1">
      <alignment horizontal="center" wrapText="1"/>
    </xf>
    <xf numFmtId="0" fontId="2" fillId="0" borderId="0" xfId="0" applyFont="1" applyFill="1" applyAlignment="1">
      <alignment horizontal="center" wrapText="1"/>
    </xf>
    <xf numFmtId="0" fontId="1" fillId="0" borderId="0" xfId="0" applyFont="1" applyFill="1"/>
    <xf numFmtId="0" fontId="4" fillId="0" borderId="0" xfId="0" applyFont="1" applyFill="1" applyAlignment="1">
      <alignment horizontal="right" wrapText="1"/>
    </xf>
    <xf numFmtId="0" fontId="4" fillId="0" borderId="0" xfId="0" applyFont="1" applyFill="1" applyBorder="1" applyAlignment="1">
      <alignment horizontal="right" wrapText="1"/>
    </xf>
    <xf numFmtId="44" fontId="4" fillId="0" borderId="0" xfId="2" applyFont="1" applyFill="1" applyBorder="1" applyAlignment="1">
      <alignment horizontal="center" wrapText="1"/>
    </xf>
    <xf numFmtId="0" fontId="2" fillId="0" borderId="0" xfId="0" applyFont="1" applyFill="1" applyBorder="1" applyAlignment="1">
      <alignment horizontal="center" wrapText="1"/>
    </xf>
    <xf numFmtId="0" fontId="4" fillId="0" borderId="0" xfId="0" applyFont="1" applyFill="1" applyAlignment="1">
      <alignment wrapText="1"/>
    </xf>
    <xf numFmtId="0" fontId="10" fillId="0" borderId="0" xfId="0" applyFont="1" applyFill="1" applyAlignment="1">
      <alignment horizontal="right"/>
    </xf>
    <xf numFmtId="0" fontId="2" fillId="0" borderId="0" xfId="0" applyFont="1" applyFill="1" applyBorder="1" applyAlignment="1">
      <alignment horizontal="center"/>
    </xf>
    <xf numFmtId="3" fontId="4" fillId="0" borderId="0" xfId="0" applyNumberFormat="1" applyFont="1" applyFill="1" applyAlignment="1">
      <alignment horizontal="right"/>
    </xf>
    <xf numFmtId="0" fontId="4" fillId="0" borderId="0" xfId="0" applyFont="1" applyFill="1" applyAlignment="1">
      <alignment horizontal="left"/>
    </xf>
    <xf numFmtId="0" fontId="10" fillId="0" borderId="0" xfId="0" applyFont="1" applyFill="1" applyAlignment="1">
      <alignment horizontal="left"/>
    </xf>
    <xf numFmtId="0" fontId="10" fillId="0" borderId="0" xfId="0" applyNumberFormat="1" applyFont="1" applyFill="1" applyAlignment="1">
      <alignment horizontal="right"/>
    </xf>
    <xf numFmtId="165" fontId="10" fillId="0" borderId="0" xfId="0" applyNumberFormat="1" applyFont="1" applyFill="1"/>
    <xf numFmtId="14" fontId="4" fillId="0" borderId="0" xfId="0" applyNumberFormat="1" applyFont="1" applyFill="1" applyAlignment="1">
      <alignment horizontal="center"/>
    </xf>
    <xf numFmtId="41" fontId="10" fillId="0" borderId="0" xfId="0" applyNumberFormat="1" applyFont="1" applyFill="1"/>
    <xf numFmtId="164" fontId="4" fillId="0" borderId="0" xfId="0" applyNumberFormat="1" applyFont="1" applyFill="1" applyAlignment="1">
      <alignment horizontal="center"/>
    </xf>
    <xf numFmtId="0" fontId="4" fillId="0" borderId="0" xfId="0" applyFont="1" applyFill="1" applyAlignment="1">
      <alignment horizontal="center"/>
    </xf>
    <xf numFmtId="43" fontId="2" fillId="0" borderId="0" xfId="0" applyNumberFormat="1" applyFont="1" applyFill="1" applyBorder="1" applyAlignment="1">
      <alignment horizontal="center"/>
    </xf>
    <xf numFmtId="0" fontId="3" fillId="0" borderId="0" xfId="0" applyFont="1" applyFill="1" applyAlignment="1">
      <alignment horizontal="right" wrapText="1"/>
    </xf>
    <xf numFmtId="0" fontId="3" fillId="0" borderId="0" xfId="0" applyFont="1" applyFill="1" applyBorder="1" applyAlignment="1">
      <alignment horizontal="right" wrapText="1"/>
    </xf>
    <xf numFmtId="0" fontId="8" fillId="0" borderId="0" xfId="0" applyFont="1" applyFill="1" applyBorder="1" applyAlignment="1">
      <alignment horizontal="center" wrapText="1"/>
    </xf>
    <xf numFmtId="41" fontId="2" fillId="0" borderId="0" xfId="0" applyNumberFormat="1" applyFont="1" applyFill="1" applyBorder="1" applyAlignment="1">
      <alignment horizontal="center" wrapText="1"/>
    </xf>
    <xf numFmtId="43" fontId="4" fillId="0" borderId="0" xfId="0" applyNumberFormat="1" applyFont="1" applyFill="1" applyBorder="1" applyAlignment="1">
      <alignment horizontal="center" wrapText="1"/>
    </xf>
    <xf numFmtId="3" fontId="4" fillId="0" borderId="0" xfId="0" applyNumberFormat="1" applyFont="1" applyFill="1" applyBorder="1"/>
    <xf numFmtId="41" fontId="10" fillId="0" borderId="5" xfId="0" applyNumberFormat="1" applyFont="1" applyFill="1" applyBorder="1"/>
    <xf numFmtId="0" fontId="10" fillId="0" borderId="6" xfId="0" applyFont="1" applyFill="1" applyBorder="1" applyAlignment="1">
      <alignment horizontal="right"/>
    </xf>
    <xf numFmtId="165" fontId="10" fillId="0" borderId="7" xfId="1" applyNumberFormat="1" applyFont="1" applyFill="1" applyBorder="1"/>
    <xf numFmtId="0" fontId="4" fillId="0" borderId="7" xfId="0" applyFont="1" applyFill="1" applyBorder="1" applyAlignment="1">
      <alignment horizontal="left"/>
    </xf>
    <xf numFmtId="0" fontId="10" fillId="0" borderId="7" xfId="0" applyFont="1" applyFill="1" applyBorder="1"/>
    <xf numFmtId="165" fontId="4" fillId="0" borderId="8" xfId="1" applyNumberFormat="1" applyFont="1" applyFill="1" applyBorder="1"/>
    <xf numFmtId="0" fontId="10" fillId="0" borderId="9" xfId="0" applyFont="1" applyFill="1" applyBorder="1" applyAlignment="1">
      <alignment horizontal="right"/>
    </xf>
    <xf numFmtId="165" fontId="10" fillId="0" borderId="0" xfId="1" applyNumberFormat="1" applyFont="1" applyFill="1" applyBorder="1"/>
    <xf numFmtId="0" fontId="10" fillId="0" borderId="0" xfId="0" applyNumberFormat="1" applyFont="1" applyFill="1" applyBorder="1" applyAlignment="1">
      <alignment horizontal="left"/>
    </xf>
    <xf numFmtId="0" fontId="10" fillId="0" borderId="0" xfId="0" applyFont="1" applyFill="1" applyBorder="1"/>
    <xf numFmtId="0" fontId="10" fillId="0" borderId="0" xfId="0" applyFont="1" applyFill="1" applyBorder="1" applyAlignment="1">
      <alignment horizontal="left"/>
    </xf>
    <xf numFmtId="0" fontId="10" fillId="0" borderId="9" xfId="0" applyFont="1" applyFill="1" applyBorder="1"/>
    <xf numFmtId="165" fontId="1" fillId="0" borderId="0" xfId="1" applyNumberFormat="1" applyFont="1" applyFill="1" applyBorder="1"/>
    <xf numFmtId="165" fontId="4" fillId="0" borderId="0" xfId="0" applyNumberFormat="1" applyFont="1" applyFill="1"/>
    <xf numFmtId="0" fontId="1" fillId="0" borderId="9" xfId="0" applyFont="1" applyFill="1" applyBorder="1" applyAlignment="1">
      <alignment horizontal="right"/>
    </xf>
    <xf numFmtId="165" fontId="4" fillId="0" borderId="0" xfId="1" applyNumberFormat="1" applyFont="1" applyFill="1" applyBorder="1" applyAlignment="1">
      <alignment horizontal="right"/>
    </xf>
    <xf numFmtId="0" fontId="1" fillId="0" borderId="9" xfId="0" applyFont="1" applyFill="1" applyBorder="1"/>
    <xf numFmtId="0" fontId="1" fillId="0" borderId="10" xfId="0" applyFont="1" applyFill="1" applyBorder="1" applyAlignment="1">
      <alignment horizontal="right"/>
    </xf>
    <xf numFmtId="165" fontId="1" fillId="0" borderId="11" xfId="0" applyNumberFormat="1" applyFont="1" applyFill="1" applyBorder="1"/>
    <xf numFmtId="0" fontId="1" fillId="0" borderId="11" xfId="0" applyFont="1" applyFill="1" applyBorder="1"/>
    <xf numFmtId="0" fontId="4" fillId="0" borderId="11" xfId="0" applyFont="1" applyFill="1" applyBorder="1"/>
    <xf numFmtId="0" fontId="4" fillId="0" borderId="12" xfId="0" applyFont="1" applyFill="1" applyBorder="1"/>
    <xf numFmtId="10" fontId="4" fillId="0" borderId="0" xfId="4" applyNumberFormat="1" applyFont="1" applyFill="1" applyBorder="1" applyAlignment="1">
      <alignment horizontal="right"/>
    </xf>
    <xf numFmtId="165" fontId="4" fillId="0" borderId="0" xfId="1" applyNumberFormat="1" applyFont="1" applyFill="1" applyAlignment="1">
      <alignment horizontal="right"/>
    </xf>
    <xf numFmtId="165" fontId="0" fillId="0" borderId="0" xfId="1" applyNumberFormat="1" applyFont="1" applyFill="1" applyAlignment="1"/>
    <xf numFmtId="165" fontId="4" fillId="0" borderId="5" xfId="0" applyNumberFormat="1" applyFont="1" applyFill="1" applyBorder="1"/>
    <xf numFmtId="10" fontId="2" fillId="0" borderId="0" xfId="1" applyNumberFormat="1" applyFont="1" applyFill="1" applyBorder="1"/>
    <xf numFmtId="178" fontId="2" fillId="0" borderId="0" xfId="1" applyNumberFormat="1" applyFont="1" applyFill="1" applyBorder="1"/>
    <xf numFmtId="178" fontId="4" fillId="0" borderId="0" xfId="1" applyNumberFormat="1" applyFont="1" applyFill="1"/>
    <xf numFmtId="0" fontId="4" fillId="0" borderId="13" xfId="0" applyFont="1" applyFill="1" applyBorder="1"/>
    <xf numFmtId="165" fontId="4" fillId="0" borderId="13" xfId="1" applyNumberFormat="1" applyFont="1" applyFill="1" applyBorder="1"/>
    <xf numFmtId="172" fontId="4" fillId="0" borderId="0" xfId="0" applyNumberFormat="1" applyFont="1" applyFill="1"/>
    <xf numFmtId="0" fontId="2" fillId="0" borderId="0" xfId="0" applyFont="1" applyFill="1" applyBorder="1" applyAlignment="1">
      <alignment horizontal="right"/>
    </xf>
    <xf numFmtId="41" fontId="4" fillId="0" borderId="0" xfId="1" applyNumberFormat="1" applyFont="1" applyFill="1"/>
    <xf numFmtId="165" fontId="10" fillId="0" borderId="5" xfId="0" applyNumberFormat="1" applyFont="1" applyFill="1" applyBorder="1"/>
    <xf numFmtId="0" fontId="2" fillId="0" borderId="3" xfId="0" applyFont="1" applyFill="1" applyBorder="1"/>
    <xf numFmtId="43" fontId="4" fillId="0" borderId="0" xfId="1" applyFont="1" applyFill="1" applyBorder="1" applyAlignment="1">
      <alignment horizontal="right" wrapText="1"/>
    </xf>
    <xf numFmtId="9" fontId="11" fillId="0" borderId="0" xfId="4" applyFont="1" applyFill="1" applyAlignment="1">
      <alignment horizontal="center"/>
    </xf>
    <xf numFmtId="165" fontId="10" fillId="0" borderId="0" xfId="1" applyNumberFormat="1" applyFont="1" applyFill="1" applyAlignment="1">
      <alignment horizontal="left"/>
    </xf>
    <xf numFmtId="165" fontId="4" fillId="0" borderId="0" xfId="1" applyNumberFormat="1" applyFont="1" applyFill="1" applyAlignment="1">
      <alignment horizontal="left"/>
    </xf>
    <xf numFmtId="1" fontId="4" fillId="0" borderId="0" xfId="0" applyNumberFormat="1" applyFont="1" applyFill="1" applyAlignment="1">
      <alignment horizontal="left"/>
    </xf>
    <xf numFmtId="41" fontId="4" fillId="0" borderId="0" xfId="0" applyNumberFormat="1" applyFont="1" applyFill="1" applyAlignment="1">
      <alignment horizontal="right"/>
    </xf>
    <xf numFmtId="9" fontId="2" fillId="0" borderId="0" xfId="4" applyFont="1" applyFill="1" applyBorder="1"/>
    <xf numFmtId="0" fontId="0" fillId="2" borderId="0" xfId="0" applyFill="1"/>
    <xf numFmtId="0" fontId="0" fillId="0" borderId="0" xfId="0" applyFill="1" applyBorder="1" applyAlignment="1">
      <alignment horizontal="right"/>
    </xf>
    <xf numFmtId="0" fontId="0" fillId="0" borderId="0" xfId="0" applyFill="1" applyBorder="1" applyAlignment="1">
      <alignment horizontal="left"/>
    </xf>
    <xf numFmtId="43" fontId="0" fillId="0" borderId="0" xfId="1" applyFont="1" applyFill="1" applyBorder="1" applyAlignment="1">
      <alignment horizontal="right"/>
    </xf>
    <xf numFmtId="186" fontId="0" fillId="0" borderId="0" xfId="0" applyNumberFormat="1" applyFill="1" applyBorder="1"/>
    <xf numFmtId="165" fontId="0" fillId="0" borderId="0" xfId="1" applyNumberFormat="1" applyFont="1" applyFill="1" applyBorder="1" applyAlignment="1">
      <alignment horizontal="center"/>
    </xf>
    <xf numFmtId="10" fontId="0" fillId="0" borderId="0" xfId="0" applyNumberFormat="1" applyFill="1" applyBorder="1" applyAlignment="1">
      <alignment wrapText="1"/>
    </xf>
    <xf numFmtId="0" fontId="0" fillId="0" borderId="0" xfId="0" applyFill="1" applyBorder="1" applyAlignment="1">
      <alignment horizontal="right" wrapText="1"/>
    </xf>
    <xf numFmtId="0" fontId="0" fillId="0" borderId="0" xfId="0" applyFill="1" applyBorder="1" applyAlignment="1">
      <alignment wrapText="1"/>
    </xf>
    <xf numFmtId="165" fontId="2" fillId="0" borderId="0" xfId="0" applyNumberFormat="1" applyFont="1"/>
    <xf numFmtId="176" fontId="4" fillId="0" borderId="0" xfId="1" applyNumberFormat="1" applyFont="1" applyBorder="1" applyAlignment="1">
      <alignment horizontal="right"/>
    </xf>
    <xf numFmtId="0" fontId="0" fillId="0" borderId="0" xfId="0" applyFill="1" applyAlignment="1">
      <alignment horizontal="right"/>
    </xf>
    <xf numFmtId="0" fontId="4" fillId="0" borderId="6" xfId="0" applyFont="1" applyFill="1" applyBorder="1"/>
    <xf numFmtId="0" fontId="4" fillId="0" borderId="7" xfId="0" applyFont="1" applyFill="1" applyBorder="1"/>
    <xf numFmtId="0" fontId="4" fillId="0" borderId="8" xfId="0" applyFont="1" applyFill="1" applyBorder="1"/>
    <xf numFmtId="0" fontId="0" fillId="0" borderId="9" xfId="0" applyFill="1" applyBorder="1"/>
    <xf numFmtId="0" fontId="4" fillId="0" borderId="0" xfId="0" applyFont="1" applyFill="1" applyBorder="1"/>
    <xf numFmtId="165" fontId="4" fillId="0" borderId="4" xfId="1" applyNumberFormat="1" applyFont="1" applyFill="1" applyBorder="1"/>
    <xf numFmtId="0" fontId="4" fillId="0" borderId="9" xfId="0" applyFont="1" applyFill="1" applyBorder="1"/>
    <xf numFmtId="165" fontId="0" fillId="0" borderId="4" xfId="1" applyNumberFormat="1" applyFont="1" applyFill="1" applyBorder="1"/>
    <xf numFmtId="165" fontId="0" fillId="0" borderId="14" xfId="0" applyNumberFormat="1" applyFill="1" applyBorder="1"/>
    <xf numFmtId="41" fontId="0" fillId="0" borderId="4" xfId="0" applyNumberFormat="1" applyFill="1" applyBorder="1"/>
    <xf numFmtId="0" fontId="0" fillId="0" borderId="10" xfId="0" applyFill="1" applyBorder="1"/>
    <xf numFmtId="0" fontId="0" fillId="0" borderId="11" xfId="0" applyFill="1" applyBorder="1"/>
    <xf numFmtId="165" fontId="0" fillId="0" borderId="12" xfId="0" applyNumberFormat="1" applyFill="1" applyBorder="1"/>
    <xf numFmtId="165" fontId="0" fillId="0" borderId="4" xfId="0" applyNumberFormat="1" applyFill="1" applyBorder="1"/>
    <xf numFmtId="0" fontId="4" fillId="2" borderId="0" xfId="0" applyFont="1" applyFill="1" applyAlignment="1">
      <alignment wrapText="1"/>
    </xf>
    <xf numFmtId="0" fontId="2" fillId="0" borderId="0" xfId="0" applyFont="1" applyAlignment="1">
      <alignment wrapText="1"/>
    </xf>
    <xf numFmtId="0" fontId="4" fillId="0" borderId="0" xfId="0" applyFont="1" applyAlignment="1">
      <alignment wrapText="1"/>
    </xf>
    <xf numFmtId="164" fontId="4" fillId="0" borderId="0" xfId="0" applyNumberFormat="1" applyFont="1" applyFill="1" applyBorder="1" applyAlignment="1">
      <alignment horizontal="right"/>
    </xf>
    <xf numFmtId="164" fontId="2" fillId="0" borderId="0" xfId="0" applyNumberFormat="1" applyFont="1" applyFill="1" applyBorder="1" applyAlignment="1">
      <alignment horizontal="center"/>
    </xf>
    <xf numFmtId="164" fontId="4" fillId="0" borderId="0" xfId="0" applyNumberFormat="1" applyFont="1" applyFill="1" applyBorder="1" applyAlignment="1">
      <alignment horizontal="center"/>
    </xf>
    <xf numFmtId="164" fontId="4" fillId="0" borderId="0" xfId="1" applyNumberFormat="1" applyFont="1" applyFill="1" applyAlignment="1">
      <alignment horizontal="center"/>
    </xf>
    <xf numFmtId="164" fontId="4" fillId="2" borderId="0" xfId="0" applyNumberFormat="1" applyFont="1" applyFill="1" applyAlignment="1">
      <alignment horizontal="center"/>
    </xf>
    <xf numFmtId="164" fontId="2" fillId="0" borderId="0" xfId="0" applyNumberFormat="1" applyFont="1" applyAlignment="1">
      <alignment horizontal="center"/>
    </xf>
    <xf numFmtId="164" fontId="4" fillId="0" borderId="0" xfId="0" applyNumberFormat="1" applyFont="1" applyAlignment="1">
      <alignment horizontal="center"/>
    </xf>
    <xf numFmtId="165" fontId="4" fillId="0" borderId="0" xfId="1" applyNumberFormat="1" applyFont="1" applyFill="1" applyAlignment="1">
      <alignment horizontal="center" wrapText="1"/>
    </xf>
    <xf numFmtId="0" fontId="4" fillId="2" borderId="0" xfId="0" applyFont="1" applyFill="1" applyAlignment="1">
      <alignment horizontal="center" wrapText="1"/>
    </xf>
    <xf numFmtId="165" fontId="4" fillId="0" borderId="0" xfId="1" applyNumberFormat="1" applyFont="1" applyFill="1" applyAlignment="1">
      <alignment horizontal="center"/>
    </xf>
    <xf numFmtId="0" fontId="4" fillId="2" borderId="0" xfId="0" applyFont="1" applyFill="1" applyAlignment="1">
      <alignment horizontal="center"/>
    </xf>
    <xf numFmtId="165" fontId="2" fillId="0" borderId="0" xfId="1" applyNumberFormat="1" applyFont="1" applyFill="1" applyBorder="1" applyAlignment="1">
      <alignment horizontal="center"/>
    </xf>
    <xf numFmtId="41" fontId="2" fillId="0" borderId="0" xfId="1" applyNumberFormat="1" applyFont="1" applyFill="1" applyBorder="1" applyAlignment="1">
      <alignment wrapText="1"/>
    </xf>
    <xf numFmtId="165" fontId="4" fillId="0" borderId="0" xfId="0" applyNumberFormat="1" applyFont="1" applyFill="1" applyBorder="1"/>
    <xf numFmtId="49" fontId="2" fillId="0" borderId="0" xfId="1" applyNumberFormat="1" applyFont="1" applyFill="1" applyBorder="1"/>
    <xf numFmtId="49" fontId="2" fillId="0" borderId="3" xfId="1" applyNumberFormat="1" applyFont="1" applyFill="1" applyBorder="1"/>
    <xf numFmtId="0" fontId="10" fillId="0" borderId="0" xfId="0" applyFont="1" applyFill="1" applyAlignment="1">
      <alignment wrapText="1"/>
    </xf>
    <xf numFmtId="0" fontId="4" fillId="0" borderId="0" xfId="0" applyFont="1" applyBorder="1" applyAlignment="1">
      <alignment horizontal="center"/>
    </xf>
    <xf numFmtId="0" fontId="0" fillId="0" borderId="0" xfId="0" applyBorder="1" applyAlignment="1">
      <alignment horizontal="center"/>
    </xf>
    <xf numFmtId="0" fontId="0" fillId="0" borderId="0" xfId="0" applyFill="1" applyAlignment="1">
      <alignment horizontal="center"/>
    </xf>
    <xf numFmtId="0" fontId="4" fillId="0" borderId="0" xfId="0" applyFont="1" applyFill="1" applyAlignment="1">
      <alignment horizontal="right" vertical="top" wrapText="1"/>
    </xf>
    <xf numFmtId="0" fontId="10" fillId="0" borderId="0" xfId="0" applyFont="1" applyFill="1" applyAlignment="1">
      <alignment horizontal="right" vertical="top" wrapText="1"/>
    </xf>
    <xf numFmtId="0" fontId="10" fillId="0" borderId="0" xfId="0" applyFont="1" applyFill="1" applyAlignment="1">
      <alignment horizontal="right" wrapText="1"/>
    </xf>
    <xf numFmtId="43" fontId="4" fillId="0" borderId="0" xfId="1" applyFont="1" applyFill="1" applyBorder="1" applyAlignment="1">
      <alignment horizontal="right" wrapText="1"/>
    </xf>
    <xf numFmtId="0" fontId="4" fillId="0" borderId="0" xfId="0" applyFont="1" applyFill="1" applyBorder="1" applyAlignment="1">
      <alignment horizontal="right" wrapText="1"/>
    </xf>
    <xf numFmtId="0" fontId="2" fillId="0" borderId="0" xfId="0" applyFont="1" applyFill="1" applyBorder="1" applyAlignment="1">
      <alignment horizontal="right" wrapText="1"/>
    </xf>
  </cellXfs>
  <cellStyles count="5">
    <cellStyle name="Comma" xfId="1" builtinId="3"/>
    <cellStyle name="Currency" xfId="2" builtinId="4"/>
    <cellStyle name="Normal" xfId="0" builtinId="0"/>
    <cellStyle name="Normal_Rent Ent Allocation" xfId="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PEOPLE\WALKER\Filing%20February%209%202000\Final%20documents\Norms%20Permian%20allocation.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havlicek/source/repos/enron_xls/edrm/June%2012%20Proposal%20%20With%20J4J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6">
          <cell r="B6">
            <v>3157240</v>
          </cell>
        </row>
        <row r="7">
          <cell r="B7">
            <v>2038000</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eipt Point Capacities"/>
      <sheetName val="Basin Allocations"/>
      <sheetName val="Contract Reconciliation"/>
      <sheetName val="Assign To West Contracts"/>
      <sheetName val="Assign to East Contracts"/>
      <sheetName val="Consolidated Results"/>
    </sheetNames>
    <sheetDataSet>
      <sheetData sheetId="0"/>
      <sheetData sheetId="1"/>
      <sheetData sheetId="2"/>
      <sheetData sheetId="3"/>
      <sheetData sheetId="4"/>
      <sheetData sheetId="5">
        <row r="8">
          <cell r="D8">
            <v>34986.6</v>
          </cell>
          <cell r="E8">
            <v>26393</v>
          </cell>
          <cell r="N8">
            <v>30690</v>
          </cell>
          <cell r="O8">
            <v>276210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62"/>
  <sheetViews>
    <sheetView tabSelected="1" workbookViewId="0"/>
  </sheetViews>
  <sheetFormatPr defaultColWidth="9.109375" defaultRowHeight="13.2" x14ac:dyDescent="0.25"/>
  <cols>
    <col min="1" max="1" width="24.44140625" style="53" bestFit="1" customWidth="1"/>
    <col min="2" max="76" width="15.6640625" style="53" customWidth="1"/>
    <col min="77" max="77" width="2.6640625" style="53" customWidth="1"/>
    <col min="78" max="101" width="15.6640625" style="53" customWidth="1"/>
    <col min="102" max="102" width="2.6640625" style="53" customWidth="1"/>
    <col min="103" max="103" width="15.6640625" style="53" customWidth="1"/>
    <col min="104" max="104" width="2.6640625" style="53" customWidth="1"/>
    <col min="105" max="112" width="15.6640625" style="53" customWidth="1"/>
    <col min="113" max="113" width="2.6640625" style="53" customWidth="1"/>
    <col min="114" max="114" width="15.6640625" style="53" customWidth="1"/>
    <col min="115" max="115" width="2.6640625" style="53" customWidth="1"/>
    <col min="116" max="16384" width="9.109375" style="53"/>
  </cols>
  <sheetData>
    <row r="1" spans="1:115" ht="22.5" customHeight="1" x14ac:dyDescent="0.25">
      <c r="A1" s="114"/>
      <c r="B1" s="114"/>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36"/>
      <c r="BY1" s="76"/>
      <c r="BZ1" s="69"/>
      <c r="CA1" s="69"/>
      <c r="CB1" s="69"/>
      <c r="CC1" s="69"/>
      <c r="CD1" s="69"/>
      <c r="CE1" s="69"/>
      <c r="CF1" s="69"/>
      <c r="CG1" s="69"/>
      <c r="CH1" s="69"/>
      <c r="CI1" s="69"/>
      <c r="CJ1" s="69"/>
      <c r="CK1" s="69"/>
      <c r="CL1" s="69"/>
      <c r="CM1" s="69"/>
      <c r="CN1" s="69"/>
      <c r="CO1" s="69"/>
      <c r="CP1" s="69"/>
      <c r="CQ1" s="69"/>
      <c r="CR1" s="69"/>
      <c r="CS1" s="69"/>
      <c r="CT1" s="69"/>
      <c r="CU1" s="69"/>
      <c r="CV1" s="69"/>
      <c r="CW1" s="69"/>
      <c r="CX1" s="76"/>
      <c r="CY1" s="136"/>
      <c r="CZ1" s="76"/>
      <c r="DI1" s="76"/>
      <c r="DJ1" s="1"/>
      <c r="DK1" s="76"/>
    </row>
    <row r="2" spans="1:115" s="232" customFormat="1" ht="66" x14ac:dyDescent="0.25">
      <c r="A2" s="139" t="s">
        <v>60</v>
      </c>
      <c r="B2" s="240" t="str">
        <f>'Assign To West Contracts'!D2</f>
        <v>Aera Energy LLC (97YK)</v>
      </c>
      <c r="C2" s="240" t="str">
        <f>'Assign To West Contracts'!E2</f>
        <v>Block III Capacity Available From Amoco Energy Trading July 2000</v>
      </c>
      <c r="D2" s="240" t="str">
        <f>'Assign To West Contracts'!F2</f>
        <v>Apache Nitrogen Products, Inc. (97VV)</v>
      </c>
      <c r="E2" s="240" t="str">
        <f>'Assign To West Contracts'!G2</f>
        <v>Arizona Electric Power Cooperative, Inc. (9838)</v>
      </c>
      <c r="F2" s="240" t="str">
        <f>'Assign To West Contracts'!H2</f>
        <v>Arizona Public Service Company (97ZC)</v>
      </c>
      <c r="G2" s="240" t="str">
        <f>'Assign To West Contracts'!I2</f>
        <v>ASARCO Incorporated  Texas (9834)</v>
      </c>
      <c r="H2" s="240" t="str">
        <f>'Assign To West Contracts'!J2</f>
        <v>ASARCO Incorporated  Arizona (982A)</v>
      </c>
      <c r="I2" s="240" t="str">
        <f>'Assign To West Contracts'!K2</f>
        <v>BHP Copper Inc. (97ZU)</v>
      </c>
      <c r="J2" s="240" t="str">
        <f>'Assign To West Contracts'!L2</f>
        <v>Black Mountain Gas Company (982D)</v>
      </c>
      <c r="K2" s="240" t="str">
        <f>'Assign To West Contracts'!M2</f>
        <v>Burlington Resources Marketing Inc. (97YW)</v>
      </c>
      <c r="L2" s="240" t="str">
        <f>'Assign To West Contracts'!N2</f>
        <v>Burlington Resources Marketing Inc. (97YG)</v>
      </c>
      <c r="M2" s="240" t="str">
        <f>'Assign To West Contracts'!O2</f>
        <v>Chemical Lime Company of Arizona (982F)</v>
      </c>
      <c r="N2" s="240" t="str">
        <f>'Assign To West Contracts'!P2</f>
        <v>Citizens Utilities Company (97ZH) North</v>
      </c>
      <c r="O2" s="240" t="str">
        <f>'Assign To West Contracts'!Q2</f>
        <v>Citizens Utilities Company (97ZH) South</v>
      </c>
      <c r="P2" s="240" t="str">
        <f>'Assign To West Contracts'!R2</f>
        <v>City of Benson, Arizona (982B)</v>
      </c>
      <c r="Q2" s="240" t="str">
        <f>'Assign To West Contracts'!S2</f>
        <v>City of Big Lake, Texas (982C)</v>
      </c>
      <c r="R2" s="240" t="str">
        <f>'Assign To West Contracts'!T2</f>
        <v>City of Deming, Texas (982H)</v>
      </c>
      <c r="S2" s="240" t="str">
        <f>'Assign To West Contracts'!U2</f>
        <v>City of Denver City, Texas (97ZF)</v>
      </c>
      <c r="T2" s="240" t="str">
        <f>'Assign To West Contracts'!V2</f>
        <v>City of Goldsmith, Texas (9825)</v>
      </c>
      <c r="U2" s="240" t="str">
        <f>'Assign To West Contracts'!W2</f>
        <v>City of Las Cruces, New Mexico (982M)</v>
      </c>
      <c r="V2" s="240" t="str">
        <f>'Assign To West Contracts'!X2</f>
        <v>City of Lordsburg, New Mexico (982N)</v>
      </c>
      <c r="W2" s="240" t="str">
        <f>'Assign To West Contracts'!Y2</f>
        <v>City of Los Angeles DWP (9836)</v>
      </c>
      <c r="X2" s="240" t="str">
        <f>'Assign To West Contracts'!Z2</f>
        <v>City of Mesa, Arizona (97ZV)</v>
      </c>
      <c r="Y2" s="240" t="str">
        <f>'Assign To West Contracts'!AA2</f>
        <v>City of Morton, Texas (97ZT)</v>
      </c>
      <c r="Z2" s="240" t="str">
        <f>'Assign To West Contracts'!AB2</f>
        <v>City of Plains, Texas (97ZE)</v>
      </c>
      <c r="AA2" s="240" t="str">
        <f>'Assign To West Contracts'!AC2</f>
        <v>City of Safford, Arizona (9824)</v>
      </c>
      <c r="AB2" s="240" t="str">
        <f>'Assign To West Contracts'!AD2</f>
        <v>City of Socorro, New Mexico (9828)</v>
      </c>
      <c r="AC2" s="240" t="str">
        <f>'Assign To West Contracts'!AE2</f>
        <v>City of Spur, Texas (982R)</v>
      </c>
      <c r="AD2" s="240" t="str">
        <f>'Assign To West Contracts'!AF2</f>
        <v>City of Whiteface, Texas (97ZD)</v>
      </c>
      <c r="AE2" s="240" t="str">
        <f>'Assign To West Contracts'!AG2</f>
        <v>City of Willcox, Arizona (97YU)</v>
      </c>
      <c r="AF2" s="240" t="str">
        <f>'Assign To West Contracts'!AH2</f>
        <v>Corona, New Mexico, Village of (9829)</v>
      </c>
      <c r="AG2" s="240" t="str">
        <f>'Assign To West Contracts'!AI2</f>
        <v>Cyprus Miami Mining Corporation (982G)</v>
      </c>
      <c r="AH2" s="240" t="str">
        <f>'Assign To West Contracts'!AJ2</f>
        <v>Dumas, Texas, City of (97ZQ)</v>
      </c>
      <c r="AI2" s="240" t="str">
        <f>'Assign To West Contracts'!AK2</f>
        <v>Duncan Rural Services Corporation (982J)</v>
      </c>
      <c r="AJ2" s="240" t="str">
        <f>'Assign To West Contracts'!AL2</f>
        <v>El Paso Electric Company (9827)</v>
      </c>
      <c r="AK2" s="240" t="str">
        <f>'Assign To West Contracts'!AM2</f>
        <v>EMW Gas Association (982K)</v>
      </c>
      <c r="AL2" s="240" t="str">
        <f>'Assign To West Contracts'!AN2</f>
        <v>Graham County Utilities, Inc. (97ZP)</v>
      </c>
      <c r="AM2" s="240" t="str">
        <f>'Assign To West Contracts'!AO2</f>
        <v>K N Marketing, L.P. (982W) North</v>
      </c>
      <c r="AN2" s="240" t="str">
        <f>'Assign To West Contracts'!AP2</f>
        <v>K N Marketing, L.P. (982W) South</v>
      </c>
      <c r="AO2" s="240" t="str">
        <f>'Assign To West Contracts'!AQ2</f>
        <v>McLean, Texas, City of (97ZM)</v>
      </c>
      <c r="AP2" s="240" t="str">
        <f>'Assign To West Contracts'!AR2</f>
        <v>MGI Supply, Ltd. (Naco) (97ZZ)</v>
      </c>
      <c r="AQ2" s="240" t="str">
        <f>'Assign To West Contracts'!AS2</f>
        <v>Mission Energy Fuel Company (97YX)</v>
      </c>
      <c r="AR2" s="240" t="str">
        <f>'Assign To West Contracts'!AT2</f>
        <v>Natural Gas Processing Co. (Capitan) (97YR)</v>
      </c>
      <c r="AS2" s="240" t="str">
        <f>'Assign To West Contracts'!AU2</f>
        <v>Natural Gas Processing Co. (Capitan) (982E)</v>
      </c>
      <c r="AT2" s="240" t="str">
        <f>'Assign To West Contracts'!AV2</f>
        <v>Navajo Tribal Utility Authority (Prod Area) (97ZY)</v>
      </c>
      <c r="AU2" s="240" t="str">
        <f>'Assign To West Contracts'!AW2</f>
        <v>Navajo Tribal Utility Authority (Arizona) (97ZY)</v>
      </c>
      <c r="AV2" s="240" t="str">
        <f>'Assign To West Contracts'!AX2</f>
        <v>North Bailey Cooperative Society (97ZW)</v>
      </c>
      <c r="AW2" s="240" t="str">
        <f>'Assign To West Contracts'!AY2</f>
        <v>Phelps Dodge Corporation (New Mexico) (97Z7)</v>
      </c>
      <c r="AX2" s="240" t="str">
        <f>'Assign To West Contracts'!AZ2</f>
        <v>Phelps Dodge Corporation (Arizona) (97Z7)</v>
      </c>
      <c r="AY2" s="240" t="str">
        <f>'Assign To West Contracts'!BA2</f>
        <v>Phelps Dodge Corporation (Texas) (97Z7)</v>
      </c>
      <c r="AZ2" s="240" t="str">
        <f>'Assign To West Contracts'!BB2</f>
        <v>PNM Gas Services (Production Area) (97VW) North</v>
      </c>
      <c r="BA2" s="240" t="str">
        <f>'Assign To West Contracts'!BC2</f>
        <v>PNM Gas Services (New Mexico) (97VW) North</v>
      </c>
      <c r="BB2" s="240" t="str">
        <f>'Assign To West Contracts'!BD2</f>
        <v>PNM Gas Services (New Mexico) (97VW) South</v>
      </c>
      <c r="BC2" s="240" t="str">
        <f>'Assign To West Contracts'!BE2</f>
        <v>Rio Grande Natural Gas Association (9823)</v>
      </c>
      <c r="BD2" s="240" t="str">
        <f>'Assign To West Contracts'!BF2</f>
        <v>Saguaro Power Company (97YE)</v>
      </c>
      <c r="BE2" s="240" t="str">
        <f>'Assign To West Contracts'!BG2</f>
        <v>Salt River Project (9826)</v>
      </c>
      <c r="BF2" s="240" t="str">
        <f>'Assign To West Contracts'!BH2</f>
        <v>San Diego Gas and Electric Company (9844)</v>
      </c>
      <c r="BG2" s="240" t="str">
        <f>'Assign To West Contracts'!BI2</f>
        <v>Southdown, Inc. (982Q)</v>
      </c>
      <c r="BH2" s="240" t="str">
        <f>'Assign To West Contracts'!BJ2</f>
        <v>Southern California Edison Company (97YV)</v>
      </c>
      <c r="BI2" s="240" t="str">
        <f>'Assign To West Contracts'!BK2</f>
        <v>Southern California Gas Company (97VT) North</v>
      </c>
      <c r="BJ2" s="240" t="str">
        <f>'Assign To West Contracts'!BL2</f>
        <v>Southern California Gas Company (97VT) South</v>
      </c>
      <c r="BK2" s="240" t="str">
        <f>'Assign To West Contracts'!BM2</f>
        <v>Southern Union Gas Company (P.A.) (97VX) North</v>
      </c>
      <c r="BL2" s="240" t="str">
        <f>'Assign To West Contracts'!BN2</f>
        <v>Southern Union Gas Company (P.A.) (97VX) South</v>
      </c>
      <c r="BM2" s="240" t="str">
        <f>'Assign To West Contracts'!BO2</f>
        <v>Southern Union Gas Company (Texas) (97VX)</v>
      </c>
      <c r="BN2" s="240" t="str">
        <f>'Assign To West Contracts'!BP2</f>
        <v>Southwest Gas Corporation (Nevada) (97ZL)</v>
      </c>
      <c r="BO2" s="240" t="str">
        <f>'Assign To West Contracts'!BQ2</f>
        <v>Southwest Gas Corporation (Arizona) (97ZK) North</v>
      </c>
      <c r="BP2" s="240" t="str">
        <f>'Assign To West Contracts'!BR2</f>
        <v>Southwest Gas Corporation (Arizona) (97ZK) South</v>
      </c>
      <c r="BQ2" s="240" t="str">
        <f>'Assign To West Contracts'!BS2</f>
        <v>Sterling Natural Gas, Inc. (982T)</v>
      </c>
      <c r="BR2" s="240" t="str">
        <f>'Assign To West Contracts'!BT2</f>
        <v>Texaco Natural Gas Inc. (97YF)</v>
      </c>
      <c r="BS2" s="240" t="str">
        <f>'Assign To West Contracts'!BU2</f>
        <v>Texola, Town of (97Z8)</v>
      </c>
      <c r="BT2" s="240" t="str">
        <f>'Assign To West Contracts'!BV2</f>
        <v>Town of Mountainair, New Mexico (983K)</v>
      </c>
      <c r="BU2" s="240" t="str">
        <f>'Assign To West Contracts'!BW2</f>
        <v>U.S. Borax &amp; Chemical Corporation (97YH)</v>
      </c>
      <c r="BV2" s="240" t="str">
        <f>'Assign To West Contracts'!BX2</f>
        <v>West Texas Gas, Inc. (982V)</v>
      </c>
      <c r="BW2" s="240" t="str">
        <f>'Assign To West Contracts'!BY2</f>
        <v>Zia Natural Gas Company (97ZG)</v>
      </c>
      <c r="BX2" s="141" t="s">
        <v>126</v>
      </c>
      <c r="BY2" s="241"/>
      <c r="BZ2" s="240" t="str">
        <f>'Assign To West Contracts'!CB2</f>
        <v>Conoco 9DWE</v>
      </c>
      <c r="CA2" s="240" t="str">
        <f>'Assign To West Contracts'!CC2</f>
        <v>Enron 9E3X</v>
      </c>
      <c r="CB2" s="240" t="str">
        <f>'Assign To West Contracts'!CD2</f>
        <v>KN 9DQH</v>
      </c>
      <c r="CC2" s="240" t="str">
        <f>'Assign To West Contracts'!CE2</f>
        <v>PG&amp;E 9E4T</v>
      </c>
      <c r="CD2" s="240" t="str">
        <f>'Assign To West Contracts'!CF2</f>
        <v>Phillips 9DR2</v>
      </c>
      <c r="CE2" s="240" t="str">
        <f>'Assign To West Contracts'!CG2</f>
        <v>Williams 9J6Z</v>
      </c>
      <c r="CF2" s="240" t="str">
        <f>'Assign To West Contracts'!CH2</f>
        <v>Amoco 9JA3 North</v>
      </c>
      <c r="CG2" s="240" t="str">
        <f>'Assign To West Contracts'!CI2</f>
        <v>Amoco 9JA3 South</v>
      </c>
      <c r="CH2" s="240" t="str">
        <f>'Assign To West Contracts'!CJ2</f>
        <v>KN 9JA2 North</v>
      </c>
      <c r="CI2" s="240" t="str">
        <f>'Assign To West Contracts'!CK2</f>
        <v>KN 9JA2 South</v>
      </c>
      <c r="CJ2" s="240" t="str">
        <f>'Assign To West Contracts'!CL2</f>
        <v>Pimalco 9F8B</v>
      </c>
      <c r="CK2" s="240" t="str">
        <f>'Assign To West Contracts'!CM2</f>
        <v>Williams 9HFB</v>
      </c>
      <c r="CL2" s="240" t="str">
        <f>'Assign To West Contracts'!CN2</f>
        <v>Williams 9KZR</v>
      </c>
      <c r="CM2" s="240" t="str">
        <f>'Assign To West Contracts'!CO2</f>
        <v>Giant 9G55</v>
      </c>
      <c r="CN2" s="240" t="str">
        <f>'Assign To West Contracts'!CP2</f>
        <v xml:space="preserve">Block III  El Paso Merchant Energy  (9LBP)  </v>
      </c>
      <c r="CO2" s="240" t="str">
        <f>'Assign To West Contracts'!CQ2</f>
        <v>Block III  Unsubscribed     To Ehrenberg</v>
      </c>
      <c r="CP2" s="240" t="str">
        <f>'Assign To West Contracts'!CR2</f>
        <v xml:space="preserve">Block II El Paso Merchant Energy (9LBN) </v>
      </c>
      <c r="CQ2" s="240" t="str">
        <f>'Assign To West Contracts'!CS2</f>
        <v>Block II  Unsubscribed     To Topock</v>
      </c>
      <c r="CR2" s="240" t="str">
        <f>'Assign To West Contracts'!CT2</f>
        <v>Colorado Greenhouse 9JVC</v>
      </c>
      <c r="CS2" s="240" t="str">
        <f>'Assign To West Contracts'!CU2</f>
        <v>MGI 9KXX</v>
      </c>
      <c r="CT2" s="240" t="str">
        <f>'Assign To West Contracts'!CV2</f>
        <v>Block I El Paso Merchant Energy (9LBM)</v>
      </c>
      <c r="CU2" s="240" t="str">
        <f>'Assign To West Contracts'!CW2</f>
        <v>Block I El Paso Merchant Energy (9LCG)</v>
      </c>
      <c r="CV2" s="240" t="str">
        <f>'Assign To West Contracts'!CX2</f>
        <v>Block I Unsubscribed    To Ehrenberg</v>
      </c>
      <c r="CW2" s="141" t="s">
        <v>127</v>
      </c>
      <c r="CX2" s="230"/>
      <c r="CY2" s="141" t="s">
        <v>529</v>
      </c>
      <c r="CZ2" s="230"/>
      <c r="DA2" s="60" t="s">
        <v>194</v>
      </c>
      <c r="DB2" s="60" t="s">
        <v>119</v>
      </c>
      <c r="DC2" s="60" t="s">
        <v>195</v>
      </c>
      <c r="DD2" s="60" t="s">
        <v>616</v>
      </c>
      <c r="DE2" s="60" t="s">
        <v>622</v>
      </c>
      <c r="DF2" s="60" t="s">
        <v>650</v>
      </c>
      <c r="DG2" s="60" t="s">
        <v>651</v>
      </c>
      <c r="DH2" s="141" t="s">
        <v>196</v>
      </c>
      <c r="DI2" s="230"/>
      <c r="DJ2" s="231" t="s">
        <v>644</v>
      </c>
      <c r="DK2" s="230"/>
    </row>
    <row r="3" spans="1:115" x14ac:dyDescent="0.25">
      <c r="A3" s="107" t="s">
        <v>128</v>
      </c>
      <c r="B3" s="242" t="str">
        <f>'Assign To West Contracts'!D3</f>
        <v>FT1</v>
      </c>
      <c r="C3" s="242" t="str">
        <f>'Assign To West Contracts'!E3</f>
        <v>FT1</v>
      </c>
      <c r="D3" s="242" t="str">
        <f>'Assign To West Contracts'!F3</f>
        <v>FT2</v>
      </c>
      <c r="E3" s="242" t="str">
        <f>'Assign To West Contracts'!G3</f>
        <v>FT1</v>
      </c>
      <c r="F3" s="242" t="str">
        <f>'Assign To West Contracts'!H3</f>
        <v>FT1</v>
      </c>
      <c r="G3" s="242" t="str">
        <f>'Assign To West Contracts'!I3</f>
        <v>FT1</v>
      </c>
      <c r="H3" s="242" t="str">
        <f>'Assign To West Contracts'!J3</f>
        <v>FT1</v>
      </c>
      <c r="I3" s="242" t="str">
        <f>'Assign To West Contracts'!K3</f>
        <v>FT1</v>
      </c>
      <c r="J3" s="242" t="str">
        <f>'Assign To West Contracts'!L3</f>
        <v>FT2</v>
      </c>
      <c r="K3" s="242" t="str">
        <f>'Assign To West Contracts'!M3</f>
        <v>FT1</v>
      </c>
      <c r="L3" s="242" t="str">
        <f>'Assign To West Contracts'!N3</f>
        <v>FT1</v>
      </c>
      <c r="M3" s="242" t="str">
        <f>'Assign To West Contracts'!O3</f>
        <v>FT1</v>
      </c>
      <c r="N3" s="242" t="str">
        <f>'Assign To West Contracts'!P3</f>
        <v>FT1</v>
      </c>
      <c r="O3" s="242" t="str">
        <f>'Assign To West Contracts'!Q3</f>
        <v>FT1</v>
      </c>
      <c r="P3" s="242" t="str">
        <f>'Assign To West Contracts'!R3</f>
        <v>FT2</v>
      </c>
      <c r="Q3" s="242" t="str">
        <f>'Assign To West Contracts'!S3</f>
        <v>FT2</v>
      </c>
      <c r="R3" s="242" t="str">
        <f>'Assign To West Contracts'!T3</f>
        <v>FT2</v>
      </c>
      <c r="S3" s="242" t="str">
        <f>'Assign To West Contracts'!U3</f>
        <v>FT2</v>
      </c>
      <c r="T3" s="242" t="str">
        <f>'Assign To West Contracts'!V3</f>
        <v>FT2</v>
      </c>
      <c r="U3" s="242" t="str">
        <f>'Assign To West Contracts'!W3</f>
        <v>FT1</v>
      </c>
      <c r="V3" s="242" t="str">
        <f>'Assign To West Contracts'!X3</f>
        <v>FT1</v>
      </c>
      <c r="W3" s="242" t="str">
        <f>'Assign To West Contracts'!Y3</f>
        <v>FT1</v>
      </c>
      <c r="X3" s="242" t="str">
        <f>'Assign To West Contracts'!Z3</f>
        <v>FT1</v>
      </c>
      <c r="Y3" s="242" t="str">
        <f>'Assign To West Contracts'!AA3</f>
        <v>FT2</v>
      </c>
      <c r="Z3" s="242" t="str">
        <f>'Assign To West Contracts'!AB3</f>
        <v>FT2</v>
      </c>
      <c r="AA3" s="242" t="str">
        <f>'Assign To West Contracts'!AC3</f>
        <v>FT2</v>
      </c>
      <c r="AB3" s="242" t="str">
        <f>'Assign To West Contracts'!AD3</f>
        <v>FT2</v>
      </c>
      <c r="AC3" s="242" t="str">
        <f>'Assign To West Contracts'!AE3</f>
        <v>FT2</v>
      </c>
      <c r="AD3" s="242" t="str">
        <f>'Assign To West Contracts'!AF3</f>
        <v>FT2</v>
      </c>
      <c r="AE3" s="242" t="str">
        <f>'Assign To West Contracts'!AG3</f>
        <v>FT2</v>
      </c>
      <c r="AF3" s="242" t="str">
        <f>'Assign To West Contracts'!AH3</f>
        <v>FT2</v>
      </c>
      <c r="AG3" s="242" t="str">
        <f>'Assign To West Contracts'!AI3</f>
        <v>FT1</v>
      </c>
      <c r="AH3" s="242" t="str">
        <f>'Assign To West Contracts'!AJ3</f>
        <v>FT2</v>
      </c>
      <c r="AI3" s="242" t="str">
        <f>'Assign To West Contracts'!AK3</f>
        <v>FT2</v>
      </c>
      <c r="AJ3" s="242" t="str">
        <f>'Assign To West Contracts'!AL3</f>
        <v>FT1</v>
      </c>
      <c r="AK3" s="242" t="str">
        <f>'Assign To West Contracts'!AM3</f>
        <v>FT2</v>
      </c>
      <c r="AL3" s="242" t="str">
        <f>'Assign To West Contracts'!AN3</f>
        <v>FT2</v>
      </c>
      <c r="AM3" s="242" t="str">
        <f>'Assign To West Contracts'!AO3</f>
        <v>FT1</v>
      </c>
      <c r="AN3" s="242" t="str">
        <f>'Assign To West Contracts'!AP3</f>
        <v>FT1</v>
      </c>
      <c r="AO3" s="242" t="str">
        <f>'Assign To West Contracts'!AQ3</f>
        <v>FT2</v>
      </c>
      <c r="AP3" s="242" t="str">
        <f>'Assign To West Contracts'!AR3</f>
        <v>FT1</v>
      </c>
      <c r="AQ3" s="242" t="str">
        <f>'Assign To West Contracts'!AS3</f>
        <v>FT1</v>
      </c>
      <c r="AR3" s="242" t="str">
        <f>'Assign To West Contracts'!AT3</f>
        <v>FT1</v>
      </c>
      <c r="AS3" s="242" t="str">
        <f>'Assign To West Contracts'!AU3</f>
        <v>FT2</v>
      </c>
      <c r="AT3" s="242" t="str">
        <f>'Assign To West Contracts'!AV3</f>
        <v>FT1</v>
      </c>
      <c r="AU3" s="242" t="str">
        <f>'Assign To West Contracts'!AW3</f>
        <v>FT1</v>
      </c>
      <c r="AV3" s="242" t="str">
        <f>'Assign To West Contracts'!AX3</f>
        <v>FT2</v>
      </c>
      <c r="AW3" s="242" t="str">
        <f>'Assign To West Contracts'!AY3</f>
        <v>FT1</v>
      </c>
      <c r="AX3" s="242" t="str">
        <f>'Assign To West Contracts'!AZ3</f>
        <v>FT1</v>
      </c>
      <c r="AY3" s="242" t="str">
        <f>'Assign To West Contracts'!BA3</f>
        <v>FT1</v>
      </c>
      <c r="AZ3" s="242" t="str">
        <f>'Assign To West Contracts'!BB3</f>
        <v>FT1</v>
      </c>
      <c r="BA3" s="242" t="str">
        <f>'Assign To West Contracts'!BC3</f>
        <v>FT1</v>
      </c>
      <c r="BB3" s="242" t="str">
        <f>'Assign To West Contracts'!BD3</f>
        <v>FT1</v>
      </c>
      <c r="BC3" s="242" t="str">
        <f>'Assign To West Contracts'!BE3</f>
        <v>FT2</v>
      </c>
      <c r="BD3" s="242" t="str">
        <f>'Assign To West Contracts'!BF3</f>
        <v>FT1</v>
      </c>
      <c r="BE3" s="242" t="str">
        <f>'Assign To West Contracts'!BG3</f>
        <v>FT1</v>
      </c>
      <c r="BF3" s="242" t="str">
        <f>'Assign To West Contracts'!BH3</f>
        <v>FT1</v>
      </c>
      <c r="BG3" s="242" t="str">
        <f>'Assign To West Contracts'!BI3</f>
        <v>FT1</v>
      </c>
      <c r="BH3" s="242" t="str">
        <f>'Assign To West Contracts'!BJ3</f>
        <v>FT1</v>
      </c>
      <c r="BI3" s="242" t="str">
        <f>'Assign To West Contracts'!BK3</f>
        <v>FT1</v>
      </c>
      <c r="BJ3" s="242" t="str">
        <f>'Assign To West Contracts'!BL3</f>
        <v>FT1</v>
      </c>
      <c r="BK3" s="242" t="str">
        <f>'Assign To West Contracts'!BM3</f>
        <v>FT1</v>
      </c>
      <c r="BL3" s="242" t="str">
        <f>'Assign To West Contracts'!BN3</f>
        <v>FT1</v>
      </c>
      <c r="BM3" s="242" t="str">
        <f>'Assign To West Contracts'!BO3</f>
        <v>FT1</v>
      </c>
      <c r="BN3" s="242" t="str">
        <f>'Assign To West Contracts'!BP3</f>
        <v>FT1</v>
      </c>
      <c r="BO3" s="242" t="str">
        <f>'Assign To West Contracts'!BQ3</f>
        <v>FT1</v>
      </c>
      <c r="BP3" s="242" t="str">
        <f>'Assign To West Contracts'!BR3</f>
        <v>FT1</v>
      </c>
      <c r="BQ3" s="242" t="str">
        <f>'Assign To West Contracts'!BS3</f>
        <v>FT2</v>
      </c>
      <c r="BR3" s="242" t="str">
        <f>'Assign To West Contracts'!BT3</f>
        <v>FT1</v>
      </c>
      <c r="BS3" s="242" t="str">
        <f>'Assign To West Contracts'!BU3</f>
        <v>FT2</v>
      </c>
      <c r="BT3" s="242" t="str">
        <f>'Assign To West Contracts'!BV3</f>
        <v>FT2</v>
      </c>
      <c r="BU3" s="242" t="str">
        <f>'Assign To West Contracts'!BW3</f>
        <v>FT1</v>
      </c>
      <c r="BV3" s="242" t="str">
        <f>'Assign To West Contracts'!BX3</f>
        <v>FT1</v>
      </c>
      <c r="BW3" s="242" t="str">
        <f>'Assign To West Contracts'!BY3</f>
        <v>FT2</v>
      </c>
      <c r="BX3" s="144"/>
      <c r="BY3" s="243"/>
      <c r="BZ3" s="242" t="str">
        <f>'Assign To West Contracts'!CB3</f>
        <v>FT1</v>
      </c>
      <c r="CA3" s="242" t="str">
        <f>'Assign To West Contracts'!CC3</f>
        <v>FT1</v>
      </c>
      <c r="CB3" s="242" t="str">
        <f>'Assign To West Contracts'!CD3</f>
        <v>FT1</v>
      </c>
      <c r="CC3" s="242" t="str">
        <f>'Assign To West Contracts'!CE3</f>
        <v>FT1</v>
      </c>
      <c r="CD3" s="242" t="str">
        <f>'Assign To West Contracts'!CF3</f>
        <v>FT1</v>
      </c>
      <c r="CE3" s="242" t="str">
        <f>'Assign To West Contracts'!CG3</f>
        <v>FT1</v>
      </c>
      <c r="CF3" s="242" t="str">
        <f>'Assign To West Contracts'!CH3</f>
        <v>FT1</v>
      </c>
      <c r="CG3" s="242" t="str">
        <f>'Assign To West Contracts'!CI3</f>
        <v>FT1</v>
      </c>
      <c r="CH3" s="242" t="str">
        <f>'Assign To West Contracts'!CJ3</f>
        <v>FT1</v>
      </c>
      <c r="CI3" s="242" t="str">
        <f>'Assign To West Contracts'!CK3</f>
        <v>FT1</v>
      </c>
      <c r="CJ3" s="242" t="str">
        <f>'Assign To West Contracts'!CL3</f>
        <v>FT1</v>
      </c>
      <c r="CK3" s="242" t="str">
        <f>'Assign To West Contracts'!CM3</f>
        <v>FT1</v>
      </c>
      <c r="CL3" s="242" t="str">
        <f>'Assign To West Contracts'!CN3</f>
        <v>FT1</v>
      </c>
      <c r="CM3" s="242" t="str">
        <f>'Assign To West Contracts'!CO3</f>
        <v>FT1</v>
      </c>
      <c r="CN3" s="242" t="str">
        <f>'Assign To West Contracts'!CP3</f>
        <v>FT1</v>
      </c>
      <c r="CO3" s="242" t="str">
        <f>'Assign To West Contracts'!CQ3</f>
        <v>FT1</v>
      </c>
      <c r="CP3" s="242" t="str">
        <f>'Assign To West Contracts'!CR3</f>
        <v>FT1</v>
      </c>
      <c r="CQ3" s="242" t="str">
        <f>'Assign To West Contracts'!CS3</f>
        <v>FT1</v>
      </c>
      <c r="CR3" s="242" t="str">
        <f>'Assign To West Contracts'!CT3</f>
        <v>FT1</v>
      </c>
      <c r="CS3" s="242" t="str">
        <f>'Assign To West Contracts'!CU3</f>
        <v>FT1</v>
      </c>
      <c r="CT3" s="242" t="str">
        <f>'Assign To West Contracts'!CV3</f>
        <v>FT1</v>
      </c>
      <c r="CU3" s="242" t="str">
        <f>'Assign To West Contracts'!CW3</f>
        <v>FT1</v>
      </c>
      <c r="CV3" s="242" t="str">
        <f>'Assign To West Contracts'!CX3</f>
        <v>FT1</v>
      </c>
      <c r="CW3" s="144"/>
      <c r="CX3" s="76"/>
      <c r="CY3" s="145"/>
      <c r="CZ3" s="76"/>
      <c r="DA3" s="62" t="s">
        <v>129</v>
      </c>
      <c r="DB3" s="62" t="s">
        <v>129</v>
      </c>
      <c r="DC3" s="62" t="s">
        <v>129</v>
      </c>
      <c r="DD3" s="62" t="s">
        <v>129</v>
      </c>
      <c r="DE3" s="62" t="s">
        <v>129</v>
      </c>
      <c r="DF3" s="62" t="s">
        <v>129</v>
      </c>
      <c r="DG3" s="62" t="s">
        <v>129</v>
      </c>
      <c r="DH3" s="144"/>
      <c r="DI3" s="76"/>
      <c r="DJ3" s="1" t="s">
        <v>645</v>
      </c>
      <c r="DK3" s="76"/>
    </row>
    <row r="4" spans="1:115" s="239" customFormat="1" x14ac:dyDescent="0.25">
      <c r="A4" s="233" t="s">
        <v>131</v>
      </c>
      <c r="B4" s="236">
        <f>'Assign To West Contracts'!D4</f>
        <v>33695</v>
      </c>
      <c r="C4" s="236">
        <f>'Assign To West Contracts'!E4</f>
        <v>36708</v>
      </c>
      <c r="D4" s="236">
        <f>'Assign To West Contracts'!F4</f>
        <v>33482</v>
      </c>
      <c r="E4" s="236">
        <f>'Assign To West Contracts'!G4</f>
        <v>33512</v>
      </c>
      <c r="F4" s="236">
        <f>'Assign To West Contracts'!H4</f>
        <v>33512</v>
      </c>
      <c r="G4" s="236">
        <f>'Assign To West Contracts'!I4</f>
        <v>33512</v>
      </c>
      <c r="H4" s="236">
        <f>'Assign To West Contracts'!J4</f>
        <v>33512</v>
      </c>
      <c r="I4" s="236">
        <f>'Assign To West Contracts'!K4</f>
        <v>33512</v>
      </c>
      <c r="J4" s="236">
        <f>'Assign To West Contracts'!L4</f>
        <v>33543</v>
      </c>
      <c r="K4" s="236">
        <f>'Assign To West Contracts'!M4</f>
        <v>33664</v>
      </c>
      <c r="L4" s="236">
        <f>'Assign To West Contracts'!N4</f>
        <v>33695</v>
      </c>
      <c r="M4" s="236">
        <f>'Assign To West Contracts'!O4</f>
        <v>33512</v>
      </c>
      <c r="N4" s="236">
        <f>'Assign To West Contracts'!P4</f>
        <v>33482</v>
      </c>
      <c r="O4" s="236">
        <f>'Assign To West Contracts'!Q4</f>
        <v>33482</v>
      </c>
      <c r="P4" s="236">
        <f>'Assign To West Contracts'!R4</f>
        <v>33512</v>
      </c>
      <c r="Q4" s="236">
        <f>'Assign To West Contracts'!S4</f>
        <v>33512</v>
      </c>
      <c r="R4" s="236">
        <f>'Assign To West Contracts'!T4</f>
        <v>33512</v>
      </c>
      <c r="S4" s="236">
        <f>'Assign To West Contracts'!U4</f>
        <v>33482</v>
      </c>
      <c r="T4" s="236">
        <f>'Assign To West Contracts'!V4</f>
        <v>33482</v>
      </c>
      <c r="U4" s="236">
        <f>'Assign To West Contracts'!W4</f>
        <v>33543</v>
      </c>
      <c r="V4" s="236">
        <f>'Assign To West Contracts'!X4</f>
        <v>33573</v>
      </c>
      <c r="W4" s="236">
        <f>'Assign To West Contracts'!Y4</f>
        <v>33695</v>
      </c>
      <c r="X4" s="236">
        <f>'Assign To West Contracts'!Z4</f>
        <v>33543</v>
      </c>
      <c r="Y4" s="236">
        <f>'Assign To West Contracts'!AA4</f>
        <v>33482</v>
      </c>
      <c r="Z4" s="236">
        <f>'Assign To West Contracts'!AB4</f>
        <v>33512</v>
      </c>
      <c r="AA4" s="236">
        <f>'Assign To West Contracts'!AC4</f>
        <v>33573</v>
      </c>
      <c r="AB4" s="236">
        <f>'Assign To West Contracts'!AD4</f>
        <v>33512</v>
      </c>
      <c r="AC4" s="236">
        <f>'Assign To West Contracts'!AE4</f>
        <v>33543</v>
      </c>
      <c r="AD4" s="236">
        <f>'Assign To West Contracts'!AF4</f>
        <v>33482</v>
      </c>
      <c r="AE4" s="236">
        <f>'Assign To West Contracts'!AG4</f>
        <v>33512</v>
      </c>
      <c r="AF4" s="236">
        <f>'Assign To West Contracts'!AH4</f>
        <v>33482</v>
      </c>
      <c r="AG4" s="236">
        <f>'Assign To West Contracts'!AI4</f>
        <v>33543</v>
      </c>
      <c r="AH4" s="236">
        <f>'Assign To West Contracts'!AJ4</f>
        <v>33482</v>
      </c>
      <c r="AI4" s="236">
        <f>'Assign To West Contracts'!AK4</f>
        <v>33543</v>
      </c>
      <c r="AJ4" s="236">
        <f>'Assign To West Contracts'!AL4</f>
        <v>33482</v>
      </c>
      <c r="AK4" s="236">
        <f>'Assign To West Contracts'!AM4</f>
        <v>33543</v>
      </c>
      <c r="AL4" s="236">
        <f>'Assign To West Contracts'!AN4</f>
        <v>33482</v>
      </c>
      <c r="AM4" s="236">
        <f>'Assign To West Contracts'!AO4</f>
        <v>33604</v>
      </c>
      <c r="AN4" s="236">
        <f>'Assign To West Contracts'!AP4</f>
        <v>33604</v>
      </c>
      <c r="AO4" s="236">
        <f>'Assign To West Contracts'!AQ4</f>
        <v>33482</v>
      </c>
      <c r="AP4" s="236">
        <f>'Assign To West Contracts'!AR4</f>
        <v>33604</v>
      </c>
      <c r="AQ4" s="236">
        <f>'Assign To West Contracts'!AS4</f>
        <v>33664</v>
      </c>
      <c r="AR4" s="236">
        <f>'Assign To West Contracts'!AT4</f>
        <v>33695</v>
      </c>
      <c r="AS4" s="236">
        <f>'Assign To West Contracts'!AU4</f>
        <v>33512</v>
      </c>
      <c r="AT4" s="236">
        <f>'Assign To West Contracts'!AV4</f>
        <v>33543</v>
      </c>
      <c r="AU4" s="236">
        <f>'Assign To West Contracts'!AW4</f>
        <v>33543</v>
      </c>
      <c r="AV4" s="236">
        <f>'Assign To West Contracts'!AX4</f>
        <v>33482</v>
      </c>
      <c r="AW4" s="236">
        <f>'Assign To West Contracts'!AY4</f>
        <v>33482</v>
      </c>
      <c r="AX4" s="236">
        <f>'Assign To West Contracts'!AZ4</f>
        <v>33482</v>
      </c>
      <c r="AY4" s="236">
        <f>'Assign To West Contracts'!BA4</f>
        <v>33482</v>
      </c>
      <c r="AZ4" s="236">
        <f>'Assign To West Contracts'!BB4</f>
        <v>33512</v>
      </c>
      <c r="BA4" s="236">
        <f>'Assign To West Contracts'!BC4</f>
        <v>33512</v>
      </c>
      <c r="BB4" s="236">
        <f>'Assign To West Contracts'!BD4</f>
        <v>33512</v>
      </c>
      <c r="BC4" s="236">
        <f>'Assign To West Contracts'!BE4</f>
        <v>33543</v>
      </c>
      <c r="BD4" s="236">
        <f>'Assign To West Contracts'!BF4</f>
        <v>33695</v>
      </c>
      <c r="BE4" s="236">
        <f>'Assign To West Contracts'!BG4</f>
        <v>33604</v>
      </c>
      <c r="BF4" s="236">
        <f>'Assign To West Contracts'!BH4</f>
        <v>33664</v>
      </c>
      <c r="BG4" s="236">
        <f>'Assign To West Contracts'!BI4</f>
        <v>33573</v>
      </c>
      <c r="BH4" s="236">
        <f>'Assign To West Contracts'!BJ4</f>
        <v>33664</v>
      </c>
      <c r="BI4" s="236">
        <f>'Assign To West Contracts'!BK4</f>
        <v>33482</v>
      </c>
      <c r="BJ4" s="236">
        <f>'Assign To West Contracts'!BL4</f>
        <v>33482</v>
      </c>
      <c r="BK4" s="236">
        <f>'Assign To West Contracts'!BM4</f>
        <v>33482</v>
      </c>
      <c r="BL4" s="236">
        <f>'Assign To West Contracts'!BN4</f>
        <v>33482</v>
      </c>
      <c r="BM4" s="236">
        <f>'Assign To West Contracts'!BO4</f>
        <v>33482</v>
      </c>
      <c r="BN4" s="236">
        <f>'Assign To West Contracts'!BP4</f>
        <v>33482</v>
      </c>
      <c r="BO4" s="236">
        <f>'Assign To West Contracts'!BQ4</f>
        <v>33482</v>
      </c>
      <c r="BP4" s="236">
        <f>'Assign To West Contracts'!BR4</f>
        <v>33482</v>
      </c>
      <c r="BQ4" s="236">
        <f>'Assign To West Contracts'!BS4</f>
        <v>33512</v>
      </c>
      <c r="BR4" s="236">
        <f>'Assign To West Contracts'!BT4</f>
        <v>33695</v>
      </c>
      <c r="BS4" s="236">
        <f>'Assign To West Contracts'!BU4</f>
        <v>33482</v>
      </c>
      <c r="BT4" s="236">
        <f>'Assign To West Contracts'!BV4</f>
        <v>33543</v>
      </c>
      <c r="BU4" s="236">
        <f>'Assign To West Contracts'!BW4</f>
        <v>33695</v>
      </c>
      <c r="BV4" s="236">
        <f>'Assign To West Contracts'!BX4</f>
        <v>33604</v>
      </c>
      <c r="BW4" s="236">
        <f>'Assign To West Contracts'!BY4</f>
        <v>33604</v>
      </c>
      <c r="BX4" s="234"/>
      <c r="BY4" s="237"/>
      <c r="BZ4" s="236">
        <f>'Assign To West Contracts'!CB4</f>
        <v>0</v>
      </c>
      <c r="CA4" s="236">
        <f>'Assign To West Contracts'!CC4</f>
        <v>0</v>
      </c>
      <c r="CB4" s="236">
        <f>'Assign To West Contracts'!CD4</f>
        <v>0</v>
      </c>
      <c r="CC4" s="236">
        <f>'Assign To West Contracts'!CE4</f>
        <v>0</v>
      </c>
      <c r="CD4" s="236">
        <f>'Assign To West Contracts'!CF4</f>
        <v>0</v>
      </c>
      <c r="CE4" s="236">
        <f>'Assign To West Contracts'!CG4</f>
        <v>0</v>
      </c>
      <c r="CF4" s="236">
        <f>'Assign To West Contracts'!CH4</f>
        <v>0</v>
      </c>
      <c r="CG4" s="236">
        <f>'Assign To West Contracts'!CI4</f>
        <v>0</v>
      </c>
      <c r="CH4" s="236">
        <f>'Assign To West Contracts'!CJ4</f>
        <v>0</v>
      </c>
      <c r="CI4" s="236">
        <f>'Assign To West Contracts'!CK4</f>
        <v>0</v>
      </c>
      <c r="CJ4" s="236">
        <f>'Assign To West Contracts'!CL4</f>
        <v>0</v>
      </c>
      <c r="CK4" s="236">
        <f>'Assign To West Contracts'!CM4</f>
        <v>0</v>
      </c>
      <c r="CL4" s="236">
        <f>'Assign To West Contracts'!CN4</f>
        <v>0</v>
      </c>
      <c r="CM4" s="236">
        <f>'Assign To West Contracts'!CO4</f>
        <v>0</v>
      </c>
      <c r="CN4" s="236">
        <f>'Assign To West Contracts'!CP4</f>
        <v>36586</v>
      </c>
      <c r="CO4" s="236">
        <f>'Assign To West Contracts'!CQ4</f>
        <v>0</v>
      </c>
      <c r="CP4" s="236">
        <f>'Assign To West Contracts'!CR4</f>
        <v>36586</v>
      </c>
      <c r="CQ4" s="236">
        <f>'Assign To West Contracts'!CS4</f>
        <v>0</v>
      </c>
      <c r="CR4" s="236">
        <f>'Assign To West Contracts'!CT4</f>
        <v>0</v>
      </c>
      <c r="CS4" s="236">
        <f>'Assign To West Contracts'!CU4</f>
        <v>0</v>
      </c>
      <c r="CT4" s="236">
        <f>'Assign To West Contracts'!CV4</f>
        <v>36586</v>
      </c>
      <c r="CU4" s="236">
        <f>'Assign To West Contracts'!CW4</f>
        <v>36586</v>
      </c>
      <c r="CV4" s="236">
        <f>'Assign To West Contracts'!CX4</f>
        <v>0</v>
      </c>
      <c r="CW4" s="234"/>
      <c r="CX4" s="237"/>
      <c r="CY4" s="152"/>
      <c r="CZ4" s="237"/>
      <c r="DA4" s="235">
        <v>36281</v>
      </c>
      <c r="DB4" s="235">
        <v>36526</v>
      </c>
      <c r="DC4" s="235">
        <v>36039</v>
      </c>
      <c r="DD4" s="235">
        <v>36647</v>
      </c>
      <c r="DE4" s="235">
        <v>36617</v>
      </c>
      <c r="DF4" s="235">
        <v>36617</v>
      </c>
      <c r="DG4" s="235">
        <v>36617</v>
      </c>
      <c r="DH4" s="234"/>
      <c r="DI4" s="237"/>
      <c r="DJ4" s="238"/>
      <c r="DK4" s="237"/>
    </row>
    <row r="5" spans="1:115" s="239" customFormat="1" x14ac:dyDescent="0.25">
      <c r="A5" s="233" t="s">
        <v>132</v>
      </c>
      <c r="B5" s="236">
        <f>'Assign To West Contracts'!D5</f>
        <v>39172</v>
      </c>
      <c r="C5" s="236" t="str">
        <f>'Assign To West Contracts'!E5</f>
        <v>??</v>
      </c>
      <c r="D5" s="236">
        <f>'Assign To West Contracts'!F5</f>
        <v>41517</v>
      </c>
      <c r="E5" s="236">
        <f>'Assign To West Contracts'!G5</f>
        <v>42643</v>
      </c>
      <c r="F5" s="236">
        <f>'Assign To West Contracts'!H5</f>
        <v>41547</v>
      </c>
      <c r="G5" s="236">
        <f>'Assign To West Contracts'!I5</f>
        <v>37256</v>
      </c>
      <c r="H5" s="236">
        <f>'Assign To West Contracts'!J5</f>
        <v>37256</v>
      </c>
      <c r="I5" s="236">
        <f>'Assign To West Contracts'!K5</f>
        <v>41547</v>
      </c>
      <c r="J5" s="236">
        <f>'Assign To West Contracts'!L5</f>
        <v>40847</v>
      </c>
      <c r="K5" s="236">
        <f>'Assign To West Contracts'!M5</f>
        <v>39141</v>
      </c>
      <c r="L5" s="236">
        <f>'Assign To West Contracts'!N5</f>
        <v>39172</v>
      </c>
      <c r="M5" s="236">
        <f>'Assign To West Contracts'!O5</f>
        <v>40816</v>
      </c>
      <c r="N5" s="236">
        <f>'Assign To West Contracts'!P5</f>
        <v>40786</v>
      </c>
      <c r="O5" s="236">
        <f>'Assign To West Contracts'!Q5</f>
        <v>40786</v>
      </c>
      <c r="P5" s="236">
        <f>'Assign To West Contracts'!R5</f>
        <v>40816</v>
      </c>
      <c r="Q5" s="236">
        <f>'Assign To West Contracts'!S5</f>
        <v>37164</v>
      </c>
      <c r="R5" s="236">
        <f>'Assign To West Contracts'!T5</f>
        <v>40816</v>
      </c>
      <c r="S5" s="236">
        <f>'Assign To West Contracts'!U5</f>
        <v>40786</v>
      </c>
      <c r="T5" s="236">
        <f>'Assign To West Contracts'!V5</f>
        <v>40786</v>
      </c>
      <c r="U5" s="236">
        <f>'Assign To West Contracts'!W5</f>
        <v>40847</v>
      </c>
      <c r="V5" s="236">
        <f>'Assign To West Contracts'!X5</f>
        <v>40877</v>
      </c>
      <c r="W5" s="236">
        <f>'Assign To West Contracts'!Y5</f>
        <v>39172</v>
      </c>
      <c r="X5" s="236">
        <f>'Assign To West Contracts'!Z5</f>
        <v>40847</v>
      </c>
      <c r="Y5" s="236">
        <f>'Assign To West Contracts'!AA5</f>
        <v>40786</v>
      </c>
      <c r="Z5" s="236">
        <f>'Assign To West Contracts'!AB5</f>
        <v>40816</v>
      </c>
      <c r="AA5" s="236">
        <f>'Assign To West Contracts'!AC5</f>
        <v>40877</v>
      </c>
      <c r="AB5" s="236">
        <f>'Assign To West Contracts'!AD5</f>
        <v>40816</v>
      </c>
      <c r="AC5" s="236">
        <f>'Assign To West Contracts'!AE5</f>
        <v>40847</v>
      </c>
      <c r="AD5" s="236">
        <f>'Assign To West Contracts'!AF5</f>
        <v>40786</v>
      </c>
      <c r="AE5" s="236">
        <f>'Assign To West Contracts'!AG5</f>
        <v>40816</v>
      </c>
      <c r="AF5" s="236">
        <f>'Assign To West Contracts'!AH5</f>
        <v>40786</v>
      </c>
      <c r="AG5" s="236">
        <f>'Assign To West Contracts'!AI5</f>
        <v>41578</v>
      </c>
      <c r="AH5" s="236">
        <f>'Assign To West Contracts'!AJ5</f>
        <v>40786</v>
      </c>
      <c r="AI5" s="236">
        <f>'Assign To West Contracts'!AK5</f>
        <v>40847</v>
      </c>
      <c r="AJ5" s="236">
        <f>'Assign To West Contracts'!AL5</f>
        <v>37256</v>
      </c>
      <c r="AK5" s="236">
        <f>'Assign To West Contracts'!AM5</f>
        <v>40847</v>
      </c>
      <c r="AL5" s="236">
        <f>'Assign To West Contracts'!AN5</f>
        <v>40786</v>
      </c>
      <c r="AM5" s="236">
        <f>'Assign To West Contracts'!AO5</f>
        <v>65380</v>
      </c>
      <c r="AN5" s="236">
        <f>'Assign To West Contracts'!AP5</f>
        <v>65380</v>
      </c>
      <c r="AO5" s="236">
        <f>'Assign To West Contracts'!AQ5</f>
        <v>40786</v>
      </c>
      <c r="AP5" s="236">
        <f>'Assign To West Contracts'!AR5</f>
        <v>37621</v>
      </c>
      <c r="AQ5" s="236">
        <f>'Assign To West Contracts'!AS5</f>
        <v>39141</v>
      </c>
      <c r="AR5" s="236">
        <f>'Assign To West Contracts'!AT5</f>
        <v>39172</v>
      </c>
      <c r="AS5" s="236">
        <f>'Assign To West Contracts'!AU5</f>
        <v>40816</v>
      </c>
      <c r="AT5" s="236">
        <f>'Assign To West Contracts'!AV5</f>
        <v>40847</v>
      </c>
      <c r="AU5" s="236">
        <f>'Assign To West Contracts'!AW5</f>
        <v>40847</v>
      </c>
      <c r="AV5" s="236">
        <f>'Assign To West Contracts'!AX5</f>
        <v>40786</v>
      </c>
      <c r="AW5" s="236">
        <f>'Assign To West Contracts'!AY5</f>
        <v>41517</v>
      </c>
      <c r="AX5" s="236">
        <f>'Assign To West Contracts'!AZ5</f>
        <v>41517</v>
      </c>
      <c r="AY5" s="236">
        <f>'Assign To West Contracts'!BA5</f>
        <v>41517</v>
      </c>
      <c r="AZ5" s="236">
        <f>'Assign To West Contracts'!BB5</f>
        <v>40816</v>
      </c>
      <c r="BA5" s="236">
        <f>'Assign To West Contracts'!BC5</f>
        <v>40816</v>
      </c>
      <c r="BB5" s="236">
        <f>'Assign To West Contracts'!BD5</f>
        <v>40816</v>
      </c>
      <c r="BC5" s="236">
        <f>'Assign To West Contracts'!BE5</f>
        <v>40847</v>
      </c>
      <c r="BD5" s="236">
        <f>'Assign To West Contracts'!BF5</f>
        <v>39172</v>
      </c>
      <c r="BE5" s="236">
        <f>'Assign To West Contracts'!BG5</f>
        <v>41639</v>
      </c>
      <c r="BF5" s="236">
        <f>'Assign To West Contracts'!BH5</f>
        <v>39141</v>
      </c>
      <c r="BG5" s="236">
        <f>'Assign To West Contracts'!BI5</f>
        <v>40877</v>
      </c>
      <c r="BH5" s="236">
        <f>'Assign To West Contracts'!BJ5</f>
        <v>39142</v>
      </c>
      <c r="BI5" s="236">
        <f>'Assign To West Contracts'!BK5</f>
        <v>38960</v>
      </c>
      <c r="BJ5" s="236">
        <f>'Assign To West Contracts'!BL5</f>
        <v>38960</v>
      </c>
      <c r="BK5" s="236">
        <f>'Assign To West Contracts'!BM5</f>
        <v>40786</v>
      </c>
      <c r="BL5" s="236">
        <f>'Assign To West Contracts'!BN5</f>
        <v>40786</v>
      </c>
      <c r="BM5" s="236">
        <f>'Assign To West Contracts'!BO5</f>
        <v>40786</v>
      </c>
      <c r="BN5" s="236">
        <f>'Assign To West Contracts'!BP5</f>
        <v>40786</v>
      </c>
      <c r="BO5" s="236">
        <f>'Assign To West Contracts'!BQ5</f>
        <v>40786</v>
      </c>
      <c r="BP5" s="236">
        <f>'Assign To West Contracts'!BR5</f>
        <v>40786</v>
      </c>
      <c r="BQ5" s="236">
        <f>'Assign To West Contracts'!BS5</f>
        <v>40816</v>
      </c>
      <c r="BR5" s="236">
        <f>'Assign To West Contracts'!BT5</f>
        <v>39172</v>
      </c>
      <c r="BS5" s="236">
        <f>'Assign To West Contracts'!BU5</f>
        <v>40786</v>
      </c>
      <c r="BT5" s="236">
        <f>'Assign To West Contracts'!BV5</f>
        <v>40847</v>
      </c>
      <c r="BU5" s="236">
        <f>'Assign To West Contracts'!BW5</f>
        <v>39172</v>
      </c>
      <c r="BV5" s="236">
        <f>'Assign To West Contracts'!BX5</f>
        <v>37256</v>
      </c>
      <c r="BW5" s="236">
        <f>'Assign To West Contracts'!BY5</f>
        <v>40908</v>
      </c>
      <c r="BX5" s="234"/>
      <c r="BY5" s="237"/>
      <c r="BZ5" s="236">
        <f>'Assign To West Contracts'!CB5</f>
        <v>0</v>
      </c>
      <c r="CA5" s="236">
        <f>'Assign To West Contracts'!CC5</f>
        <v>0</v>
      </c>
      <c r="CB5" s="236">
        <f>'Assign To West Contracts'!CD5</f>
        <v>0</v>
      </c>
      <c r="CC5" s="236">
        <f>'Assign To West Contracts'!CE5</f>
        <v>0</v>
      </c>
      <c r="CD5" s="236">
        <f>'Assign To West Contracts'!CF5</f>
        <v>0</v>
      </c>
      <c r="CE5" s="236">
        <f>'Assign To West Contracts'!CG5</f>
        <v>0</v>
      </c>
      <c r="CF5" s="236">
        <f>'Assign To West Contracts'!CH5</f>
        <v>0</v>
      </c>
      <c r="CG5" s="236">
        <f>'Assign To West Contracts'!CI5</f>
        <v>0</v>
      </c>
      <c r="CH5" s="236">
        <f>'Assign To West Contracts'!CJ5</f>
        <v>0</v>
      </c>
      <c r="CI5" s="236">
        <f>'Assign To West Contracts'!CK5</f>
        <v>0</v>
      </c>
      <c r="CJ5" s="236">
        <f>'Assign To West Contracts'!CL5</f>
        <v>0</v>
      </c>
      <c r="CK5" s="236">
        <f>'Assign To West Contracts'!CM5</f>
        <v>0</v>
      </c>
      <c r="CL5" s="236">
        <f>'Assign To West Contracts'!CN5</f>
        <v>0</v>
      </c>
      <c r="CM5" s="236">
        <f>'Assign To West Contracts'!CO5</f>
        <v>0</v>
      </c>
      <c r="CN5" s="236">
        <f>'Assign To West Contracts'!CP5</f>
        <v>37042</v>
      </c>
      <c r="CO5" s="236">
        <f>'Assign To West Contracts'!CQ5</f>
        <v>0</v>
      </c>
      <c r="CP5" s="236">
        <f>'Assign To West Contracts'!CR5</f>
        <v>37042</v>
      </c>
      <c r="CQ5" s="236">
        <f>'Assign To West Contracts'!CS5</f>
        <v>0</v>
      </c>
      <c r="CR5" s="236">
        <f>'Assign To West Contracts'!CT5</f>
        <v>0</v>
      </c>
      <c r="CS5" s="236">
        <f>'Assign To West Contracts'!CU5</f>
        <v>0</v>
      </c>
      <c r="CT5" s="236">
        <f>'Assign To West Contracts'!CV5</f>
        <v>37042</v>
      </c>
      <c r="CU5" s="236">
        <f>'Assign To West Contracts'!CW5</f>
        <v>37042</v>
      </c>
      <c r="CV5" s="236">
        <f>'Assign To West Contracts'!CX5</f>
        <v>0</v>
      </c>
      <c r="CW5" s="234"/>
      <c r="CX5" s="237"/>
      <c r="CY5" s="152"/>
      <c r="CZ5" s="237"/>
      <c r="DA5" s="235">
        <v>37376</v>
      </c>
      <c r="DB5" s="235">
        <v>37256</v>
      </c>
      <c r="DC5" s="235">
        <v>37864</v>
      </c>
      <c r="DD5" s="235">
        <v>36769</v>
      </c>
      <c r="DE5" s="235">
        <v>36981</v>
      </c>
      <c r="DF5" s="235">
        <v>36738</v>
      </c>
      <c r="DG5" s="235">
        <v>36738</v>
      </c>
      <c r="DH5" s="234"/>
      <c r="DI5" s="237"/>
      <c r="DJ5" s="238"/>
      <c r="DK5" s="237"/>
    </row>
    <row r="6" spans="1:115" x14ac:dyDescent="0.25">
      <c r="A6" s="107" t="s">
        <v>133</v>
      </c>
      <c r="B6" s="242" t="str">
        <f>'Assign To West Contracts'!D6</f>
        <v>System</v>
      </c>
      <c r="C6" s="242" t="str">
        <f>'Assign To West Contracts'!E6</f>
        <v>System</v>
      </c>
      <c r="D6" s="242" t="str">
        <f>'Assign To West Contracts'!F6</f>
        <v>System</v>
      </c>
      <c r="E6" s="242" t="str">
        <f>'Assign To West Contracts'!G6</f>
        <v>System</v>
      </c>
      <c r="F6" s="242" t="str">
        <f>'Assign To West Contracts'!H6</f>
        <v>System</v>
      </c>
      <c r="G6" s="242" t="str">
        <f>'Assign To West Contracts'!I6</f>
        <v>System</v>
      </c>
      <c r="H6" s="242" t="str">
        <f>'Assign To West Contracts'!J6</f>
        <v>System</v>
      </c>
      <c r="I6" s="242" t="str">
        <f>'Assign To West Contracts'!K6</f>
        <v>System</v>
      </c>
      <c r="J6" s="242" t="str">
        <f>'Assign To West Contracts'!L6</f>
        <v>System</v>
      </c>
      <c r="K6" s="242" t="str">
        <f>'Assign To West Contracts'!M6</f>
        <v>System</v>
      </c>
      <c r="L6" s="242" t="str">
        <f>'Assign To West Contracts'!N6</f>
        <v>System</v>
      </c>
      <c r="M6" s="242" t="str">
        <f>'Assign To West Contracts'!O6</f>
        <v>System</v>
      </c>
      <c r="N6" s="242" t="str">
        <f>'Assign To West Contracts'!P6</f>
        <v>System</v>
      </c>
      <c r="O6" s="242" t="str">
        <f>'Assign To West Contracts'!Q6</f>
        <v>System</v>
      </c>
      <c r="P6" s="242" t="str">
        <f>'Assign To West Contracts'!R6</f>
        <v>System</v>
      </c>
      <c r="Q6" s="242" t="str">
        <f>'Assign To West Contracts'!S6</f>
        <v>System</v>
      </c>
      <c r="R6" s="242" t="str">
        <f>'Assign To West Contracts'!T6</f>
        <v>System</v>
      </c>
      <c r="S6" s="242" t="str">
        <f>'Assign To West Contracts'!U6</f>
        <v>System</v>
      </c>
      <c r="T6" s="242" t="str">
        <f>'Assign To West Contracts'!V6</f>
        <v>System</v>
      </c>
      <c r="U6" s="242" t="str">
        <f>'Assign To West Contracts'!W6</f>
        <v>System</v>
      </c>
      <c r="V6" s="242" t="str">
        <f>'Assign To West Contracts'!X6</f>
        <v>System</v>
      </c>
      <c r="W6" s="242" t="str">
        <f>'Assign To West Contracts'!Y6</f>
        <v>System</v>
      </c>
      <c r="X6" s="242" t="str">
        <f>'Assign To West Contracts'!Z6</f>
        <v>System</v>
      </c>
      <c r="Y6" s="242" t="str">
        <f>'Assign To West Contracts'!AA6</f>
        <v>System</v>
      </c>
      <c r="Z6" s="242" t="str">
        <f>'Assign To West Contracts'!AB6</f>
        <v>System</v>
      </c>
      <c r="AA6" s="242" t="str">
        <f>'Assign To West Contracts'!AC6</f>
        <v>System</v>
      </c>
      <c r="AB6" s="242" t="str">
        <f>'Assign To West Contracts'!AD6</f>
        <v>System</v>
      </c>
      <c r="AC6" s="242" t="str">
        <f>'Assign To West Contracts'!AE6</f>
        <v>System</v>
      </c>
      <c r="AD6" s="242" t="str">
        <f>'Assign To West Contracts'!AF6</f>
        <v>System</v>
      </c>
      <c r="AE6" s="242" t="str">
        <f>'Assign To West Contracts'!AG6</f>
        <v>System</v>
      </c>
      <c r="AF6" s="242" t="str">
        <f>'Assign To West Contracts'!AH6</f>
        <v>System</v>
      </c>
      <c r="AG6" s="242" t="str">
        <f>'Assign To West Contracts'!AI6</f>
        <v>System</v>
      </c>
      <c r="AH6" s="242" t="str">
        <f>'Assign To West Contracts'!AJ6</f>
        <v>System</v>
      </c>
      <c r="AI6" s="242" t="str">
        <f>'Assign To West Contracts'!AK6</f>
        <v>System</v>
      </c>
      <c r="AJ6" s="242" t="str">
        <f>'Assign To West Contracts'!AL6</f>
        <v>System</v>
      </c>
      <c r="AK6" s="242" t="str">
        <f>'Assign To West Contracts'!AM6</f>
        <v>System</v>
      </c>
      <c r="AL6" s="242" t="str">
        <f>'Assign To West Contracts'!AN6</f>
        <v>System</v>
      </c>
      <c r="AM6" s="242" t="str">
        <f>'Assign To West Contracts'!AO6</f>
        <v>System</v>
      </c>
      <c r="AN6" s="242" t="str">
        <f>'Assign To West Contracts'!AP6</f>
        <v>System</v>
      </c>
      <c r="AO6" s="242" t="str">
        <f>'Assign To West Contracts'!AQ6</f>
        <v>System</v>
      </c>
      <c r="AP6" s="242" t="str">
        <f>'Assign To West Contracts'!AR6</f>
        <v>System</v>
      </c>
      <c r="AQ6" s="242" t="str">
        <f>'Assign To West Contracts'!AS6</f>
        <v>System</v>
      </c>
      <c r="AR6" s="242" t="str">
        <f>'Assign To West Contracts'!AT6</f>
        <v>SJ</v>
      </c>
      <c r="AS6" s="242" t="str">
        <f>'Assign To West Contracts'!AU6</f>
        <v>System</v>
      </c>
      <c r="AT6" s="242" t="str">
        <f>'Assign To West Contracts'!AV6</f>
        <v>System</v>
      </c>
      <c r="AU6" s="242" t="str">
        <f>'Assign To West Contracts'!AW6</f>
        <v>System</v>
      </c>
      <c r="AV6" s="242" t="str">
        <f>'Assign To West Contracts'!AX6</f>
        <v>System</v>
      </c>
      <c r="AW6" s="242" t="str">
        <f>'Assign To West Contracts'!AY6</f>
        <v>System</v>
      </c>
      <c r="AX6" s="242" t="str">
        <f>'Assign To West Contracts'!AZ6</f>
        <v>System</v>
      </c>
      <c r="AY6" s="242" t="str">
        <f>'Assign To West Contracts'!BA6</f>
        <v>System</v>
      </c>
      <c r="AZ6" s="242" t="str">
        <f>'Assign To West Contracts'!BB6</f>
        <v>System</v>
      </c>
      <c r="BA6" s="242" t="str">
        <f>'Assign To West Contracts'!BC6</f>
        <v>System</v>
      </c>
      <c r="BB6" s="242" t="str">
        <f>'Assign To West Contracts'!BD6</f>
        <v>System</v>
      </c>
      <c r="BC6" s="242" t="str">
        <f>'Assign To West Contracts'!BE6</f>
        <v>System</v>
      </c>
      <c r="BD6" s="242" t="str">
        <f>'Assign To West Contracts'!BF6</f>
        <v>System</v>
      </c>
      <c r="BE6" s="242" t="str">
        <f>'Assign To West Contracts'!BG6</f>
        <v>System</v>
      </c>
      <c r="BF6" s="242" t="str">
        <f>'Assign To West Contracts'!BH6</f>
        <v>System</v>
      </c>
      <c r="BG6" s="242" t="str">
        <f>'Assign To West Contracts'!BI6</f>
        <v>System</v>
      </c>
      <c r="BH6" s="242" t="str">
        <f>'Assign To West Contracts'!BJ6</f>
        <v>System</v>
      </c>
      <c r="BI6" s="242" t="str">
        <f>'Assign To West Contracts'!BK6</f>
        <v>System</v>
      </c>
      <c r="BJ6" s="242" t="str">
        <f>'Assign To West Contracts'!BL6</f>
        <v>System</v>
      </c>
      <c r="BK6" s="242" t="str">
        <f>'Assign To West Contracts'!BM6</f>
        <v>System</v>
      </c>
      <c r="BL6" s="242" t="str">
        <f>'Assign To West Contracts'!BN6</f>
        <v>System</v>
      </c>
      <c r="BM6" s="242" t="str">
        <f>'Assign To West Contracts'!BO6</f>
        <v>System</v>
      </c>
      <c r="BN6" s="242" t="str">
        <f>'Assign To West Contracts'!BP6</f>
        <v>System</v>
      </c>
      <c r="BO6" s="242" t="str">
        <f>'Assign To West Contracts'!BQ6</f>
        <v>System</v>
      </c>
      <c r="BP6" s="242" t="str">
        <f>'Assign To West Contracts'!BR6</f>
        <v>System</v>
      </c>
      <c r="BQ6" s="242" t="str">
        <f>'Assign To West Contracts'!BS6</f>
        <v>System</v>
      </c>
      <c r="BR6" s="242" t="str">
        <f>'Assign To West Contracts'!BT6</f>
        <v>System</v>
      </c>
      <c r="BS6" s="242" t="str">
        <f>'Assign To West Contracts'!BU6</f>
        <v>System</v>
      </c>
      <c r="BT6" s="242" t="str">
        <f>'Assign To West Contracts'!BV6</f>
        <v>System</v>
      </c>
      <c r="BU6" s="242" t="str">
        <f>'Assign To West Contracts'!BW6</f>
        <v>System</v>
      </c>
      <c r="BV6" s="242" t="str">
        <f>'Assign To West Contracts'!BX6</f>
        <v>System</v>
      </c>
      <c r="BW6" s="242" t="str">
        <f>'Assign To West Contracts'!BY6</f>
        <v>System</v>
      </c>
      <c r="BX6" s="144"/>
      <c r="BY6" s="243"/>
      <c r="BZ6" s="242" t="str">
        <f>'Assign To West Contracts'!CB6</f>
        <v>SJ</v>
      </c>
      <c r="CA6" s="242" t="str">
        <f>'Assign To West Contracts'!CC6</f>
        <v>SJ</v>
      </c>
      <c r="CB6" s="242" t="str">
        <f>'Assign To West Contracts'!CD6</f>
        <v>SJ</v>
      </c>
      <c r="CC6" s="242" t="str">
        <f>'Assign To West Contracts'!CE6</f>
        <v>SJ</v>
      </c>
      <c r="CD6" s="242" t="str">
        <f>'Assign To West Contracts'!CF6</f>
        <v>SJ</v>
      </c>
      <c r="CE6" s="242" t="str">
        <f>'Assign To West Contracts'!CG6</f>
        <v>SJ</v>
      </c>
      <c r="CF6" s="242" t="str">
        <f>'Assign To West Contracts'!CH6</f>
        <v>System</v>
      </c>
      <c r="CG6" s="242" t="str">
        <f>'Assign To West Contracts'!CI6</f>
        <v>System</v>
      </c>
      <c r="CH6" s="242" t="str">
        <f>'Assign To West Contracts'!CJ6</f>
        <v>System</v>
      </c>
      <c r="CI6" s="242" t="str">
        <f>'Assign To West Contracts'!CK6</f>
        <v>System</v>
      </c>
      <c r="CJ6" s="242" t="str">
        <f>'Assign To West Contracts'!CL6</f>
        <v>System</v>
      </c>
      <c r="CK6" s="242" t="str">
        <f>'Assign To West Contracts'!CM6</f>
        <v>System</v>
      </c>
      <c r="CL6" s="242" t="str">
        <f>'Assign To West Contracts'!CN6</f>
        <v>System</v>
      </c>
      <c r="CM6" s="242" t="str">
        <f>'Assign To West Contracts'!CO6</f>
        <v>System</v>
      </c>
      <c r="CN6" s="242" t="str">
        <f>'Assign To West Contracts'!CP6</f>
        <v>System</v>
      </c>
      <c r="CO6" s="242" t="str">
        <f>'Assign To West Contracts'!CQ6</f>
        <v>System</v>
      </c>
      <c r="CP6" s="242" t="str">
        <f>'Assign To West Contracts'!CR6</f>
        <v>System</v>
      </c>
      <c r="CQ6" s="242" t="str">
        <f>'Assign To West Contracts'!CS6</f>
        <v>System</v>
      </c>
      <c r="CR6" s="242" t="str">
        <f>'Assign To West Contracts'!CT6</f>
        <v>A&amp;P</v>
      </c>
      <c r="CS6" s="242" t="str">
        <f>'Assign To West Contracts'!CU6</f>
        <v>A&amp;P</v>
      </c>
      <c r="CT6" s="242" t="str">
        <f>'Assign To West Contracts'!CV6</f>
        <v>A&amp;P</v>
      </c>
      <c r="CU6" s="242" t="str">
        <f>'Assign To West Contracts'!CW6</f>
        <v>A&amp;P</v>
      </c>
      <c r="CV6" s="242" t="str">
        <f>'Assign To West Contracts'!CX6</f>
        <v>A&amp;P</v>
      </c>
      <c r="CW6" s="144"/>
      <c r="CX6" s="76"/>
      <c r="CY6" s="154"/>
      <c r="CZ6" s="76"/>
      <c r="DA6" s="62" t="s">
        <v>23</v>
      </c>
      <c r="DB6" s="62" t="s">
        <v>24</v>
      </c>
      <c r="DC6" s="62" t="s">
        <v>24</v>
      </c>
      <c r="DD6" s="62" t="s">
        <v>24</v>
      </c>
      <c r="DE6" s="62" t="s">
        <v>24</v>
      </c>
      <c r="DF6" s="62" t="s">
        <v>24</v>
      </c>
      <c r="DG6" s="62" t="s">
        <v>24</v>
      </c>
      <c r="DH6" s="144"/>
      <c r="DI6" s="76"/>
      <c r="DJ6" s="1"/>
      <c r="DK6" s="76"/>
    </row>
    <row r="7" spans="1:115" s="232" customFormat="1" ht="52.8" x14ac:dyDescent="0.25">
      <c r="A7" s="139" t="s">
        <v>136</v>
      </c>
      <c r="B7" s="240" t="str">
        <f>'Assign To West Contracts'!D7</f>
        <v>DPG&amp;ETOP, DSCALTOP,DSWG TOP, DMOJAVE</v>
      </c>
      <c r="C7" s="240" t="str">
        <f>'Assign To West Contracts'!E7</f>
        <v>Various</v>
      </c>
      <c r="D7" s="240" t="str">
        <f>'Assign To West Contracts'!F7</f>
        <v>DAPOWWIL</v>
      </c>
      <c r="E7" s="240" t="str">
        <f>'Assign To West Contracts'!G7</f>
        <v>DAEPCWIL</v>
      </c>
      <c r="F7" s="240" t="str">
        <f>'Assign To West Contracts'!H7</f>
        <v>DAPSPHX, DAPSYUM</v>
      </c>
      <c r="G7" s="240" t="str">
        <f>'Assign To West Contracts'!I7</f>
        <v>DASARELP</v>
      </c>
      <c r="H7" s="240" t="str">
        <f>'Assign To West Contracts'!J7</f>
        <v>DASARS-H, DKENNS-H</v>
      </c>
      <c r="I7" s="240" t="str">
        <f>'Assign To West Contracts'!K7</f>
        <v>DMAGMS-H</v>
      </c>
      <c r="J7" s="240" t="str">
        <f>'Assign To West Contracts'!L7</f>
        <v>DBMTNPHX</v>
      </c>
      <c r="K7" s="240" t="str">
        <f>'Assign To West Contracts'!M7</f>
        <v>DSCALEHR</v>
      </c>
      <c r="L7" s="240" t="str">
        <f>'Assign To West Contracts'!N7</f>
        <v>DPG&amp;ETOP, DSCALTOP,DSWGTOP, DMOJAVE</v>
      </c>
      <c r="M7" s="240" t="str">
        <f>'Assign To West Contracts'!O7</f>
        <v>DPAULWL</v>
      </c>
      <c r="N7" s="240" t="str">
        <f>'Assign To West Contracts'!P7</f>
        <v>Various</v>
      </c>
      <c r="O7" s="240" t="str">
        <f>'Assign To West Contracts'!Q7</f>
        <v>Various</v>
      </c>
      <c r="P7" s="240" t="str">
        <f>'Assign To West Contracts'!R7</f>
        <v>DBENSTUS</v>
      </c>
      <c r="Q7" s="240" t="str">
        <f>'Assign To West Contracts'!S7</f>
        <v>DBIGLSUT</v>
      </c>
      <c r="R7" s="240" t="str">
        <f>'Assign To West Contracts'!T7</f>
        <v>DDEM AFT</v>
      </c>
      <c r="S7" s="240" t="str">
        <f>'Assign To West Contracts'!U7</f>
        <v>DDENVJAL</v>
      </c>
      <c r="T7" s="240" t="str">
        <f>'Assign To West Contracts'!V7</f>
        <v>DGOLDSNY</v>
      </c>
      <c r="U7" s="240" t="str">
        <f>'Assign To West Contracts'!W7</f>
        <v>DLASCLAS</v>
      </c>
      <c r="V7" s="240" t="str">
        <f>'Assign To West Contracts'!X7</f>
        <v>DLORDAFT</v>
      </c>
      <c r="W7" s="240" t="str">
        <f>'Assign To West Contracts'!Y7</f>
        <v>DPG&amp;ETOP, DSCALTOP, DSWG TOP, DMOJAVE</v>
      </c>
      <c r="X7" s="240" t="str">
        <f>'Assign To West Contracts'!Z7</f>
        <v>DMESAPHX, DMESAS-H</v>
      </c>
      <c r="Y7" s="240" t="str">
        <f>'Assign To West Contracts'!AA7</f>
        <v>DMORTDIS</v>
      </c>
      <c r="Z7" s="240" t="str">
        <f>'Assign To West Contracts'!AB7</f>
        <v>DPLNSDIS</v>
      </c>
      <c r="AA7" s="240" t="str">
        <f>'Assign To West Contracts'!AC7</f>
        <v>DSAFFG-M</v>
      </c>
      <c r="AB7" s="240" t="str">
        <f>'Assign To West Contracts'!AD7</f>
        <v>DSOCRSCG</v>
      </c>
      <c r="AC7" s="240" t="str">
        <f>'Assign To West Contracts'!AE7</f>
        <v>DSPURSNY</v>
      </c>
      <c r="AD7" s="240" t="str">
        <f>'Assign To West Contracts'!AF7</f>
        <v>DWHITDIS</v>
      </c>
      <c r="AE7" s="240" t="str">
        <f>'Assign To West Contracts'!AG7</f>
        <v>DWLCXWIL</v>
      </c>
      <c r="AF7" s="240" t="str">
        <f>'Assign To West Contracts'!AH7</f>
        <v>DCOROSJX</v>
      </c>
      <c r="AG7" s="240" t="str">
        <f>'Assign To West Contracts'!AI7</f>
        <v>DINSPG-M</v>
      </c>
      <c r="AH7" s="240" t="str">
        <f>'Assign To West Contracts'!AJ7</f>
        <v>DDUMSDIN</v>
      </c>
      <c r="AI7" s="240" t="str">
        <f>'Assign To West Contracts'!AK7</f>
        <v>DDUN G-M</v>
      </c>
      <c r="AJ7" s="240" t="str">
        <f>'Assign To West Contracts'!AL7</f>
        <v>DEPECAFT, DEPECELP</v>
      </c>
      <c r="AK7" s="240" t="str">
        <f>'Assign To West Contracts'!AM7</f>
        <v>DEMW EMW</v>
      </c>
      <c r="AL7" s="240" t="str">
        <f>'Assign To West Contracts'!AN7</f>
        <v>DGRHMG-M, DGRHMWIL</v>
      </c>
      <c r="AM7" s="240" t="str">
        <f>'Assign To West Contracts'!AO7</f>
        <v>Various</v>
      </c>
      <c r="AN7" s="240" t="str">
        <f>'Assign To West Contracts'!AP7</f>
        <v>Various</v>
      </c>
      <c r="AO7" s="240" t="str">
        <f>'Assign To West Contracts'!AQ7</f>
        <v>DMCLNPAN</v>
      </c>
      <c r="AP7" s="240" t="str">
        <f>'Assign To West Contracts'!AR7</f>
        <v>DPMEXWIL</v>
      </c>
      <c r="AQ7" s="240" t="str">
        <f>'Assign To West Contracts'!AS7</f>
        <v>DSCALEHR</v>
      </c>
      <c r="AR7" s="240" t="str">
        <f>'Assign To West Contracts'!AT7</f>
        <v>DCCNGCPT, INGPLLUK, IW40-043, INN30PLA</v>
      </c>
      <c r="AS7" s="240" t="str">
        <f>'Assign To West Contracts'!AU7</f>
        <v>DCCNGCPT</v>
      </c>
      <c r="AT7" s="240" t="str">
        <f>'Assign To West Contracts'!AV7</f>
        <v>DNTUAJST</v>
      </c>
      <c r="AU7" s="240" t="str">
        <f>'Assign To West Contracts'!AW7</f>
        <v>DNTUASJE</v>
      </c>
      <c r="AV7" s="240" t="str">
        <f>'Assign To West Contracts'!AX7</f>
        <v>DCOOPFAR - North Bailey</v>
      </c>
      <c r="AW7" s="240" t="str">
        <f>'Assign To West Contracts'!AY7</f>
        <v>DPD HUR, DPD SIL, DPD AFT</v>
      </c>
      <c r="AX7" s="240" t="str">
        <f>'Assign To West Contracts'!AZ7</f>
        <v>DPD TUS, DPD WIL, DPD G-M</v>
      </c>
      <c r="AY7" s="240" t="str">
        <f>'Assign To West Contracts'!BA7</f>
        <v>DPD TUS, DPD WIL, DPD G-M</v>
      </c>
      <c r="AZ7" s="240" t="str">
        <f>'Assign To West Contracts'!BB7</f>
        <v>DWGI ELP,  DGCNMSJT,  DGULFSJT</v>
      </c>
      <c r="BA7" s="240" t="str">
        <f>'Assign To West Contracts'!BC7</f>
        <v>Various</v>
      </c>
      <c r="BB7" s="240" t="str">
        <f>'Assign To West Contracts'!BD7</f>
        <v>Various</v>
      </c>
      <c r="BC7" s="240" t="str">
        <f>'Assign To West Contracts'!BE7</f>
        <v>DRIOGLAS</v>
      </c>
      <c r="BD7" s="240" t="str">
        <f>'Assign To West Contracts'!BF7</f>
        <v>DPG&amp;ETOP, DSCALTOP, DSWG TOP, DMOJAVE</v>
      </c>
      <c r="BE7" s="240" t="str">
        <f>'Assign To West Contracts'!BG7</f>
        <v>DSRP PHX</v>
      </c>
      <c r="BF7" s="240" t="str">
        <f>'Assign To West Contracts'!BH7</f>
        <v>DSCALEHR</v>
      </c>
      <c r="BG7" s="240" t="str">
        <f>'Assign To West Contracts'!BI7</f>
        <v>DSWPCELP, Southwest Portland</v>
      </c>
      <c r="BH7" s="240" t="str">
        <f>'Assign To West Contracts'!BJ7</f>
        <v>DSCALEHR</v>
      </c>
      <c r="BI7" s="240" t="str">
        <f>'Assign To West Contracts'!BK7</f>
        <v>DPG&amp;ETOP, DSCALTOP, DMOJAVE</v>
      </c>
      <c r="BJ7" s="240" t="str">
        <f>'Assign To West Contracts'!BL7</f>
        <v>DSCALEHR</v>
      </c>
      <c r="BK7" s="240" t="str">
        <f>'Assign To West Contracts'!BM7</f>
        <v>DSUG UPT, DSUG KWX, DSUG PAN</v>
      </c>
      <c r="BL7" s="240" t="str">
        <f>'Assign To West Contracts'!BN7</f>
        <v>DSUG UPT, DSUG KWX, DSUG PAN</v>
      </c>
      <c r="BM7" s="240" t="str">
        <f>'Assign To West Contracts'!BO7</f>
        <v>DSUG 311, DSUG ELP, DWGI ELP, DSUG EPE</v>
      </c>
      <c r="BN7" s="240" t="str">
        <f>'Assign To West Contracts'!BP7</f>
        <v>DSWG TOP</v>
      </c>
      <c r="BO7" s="240" t="str">
        <f>'Assign To West Contracts'!BQ7</f>
        <v>Various</v>
      </c>
      <c r="BP7" s="240" t="str">
        <f>'Assign To West Contracts'!BR7</f>
        <v>Various</v>
      </c>
      <c r="BQ7" s="240" t="str">
        <f>'Assign To West Contracts'!BS7</f>
        <v>DRAM MID</v>
      </c>
      <c r="BR7" s="240" t="str">
        <f>'Assign To West Contracts'!BT7</f>
        <v>DPG&amp;ETOP, DSCALTOP, DSWG TOP, DMOJAVE</v>
      </c>
      <c r="BS7" s="240" t="str">
        <f>'Assign To West Contracts'!BU7</f>
        <v>DTXOLPAN</v>
      </c>
      <c r="BT7" s="240" t="str">
        <f>'Assign To West Contracts'!BV7</f>
        <v>DMTNSJX</v>
      </c>
      <c r="BU7" s="240" t="str">
        <f>'Assign To West Contracts'!BW7</f>
        <v>DPG&amp;ETOP, DSCALTOP, DSWG TOP, DMOJAVE</v>
      </c>
      <c r="BV7" s="240" t="str">
        <f>'Assign To West Contracts'!BX7</f>
        <v>Various</v>
      </c>
      <c r="BW7" s="240" t="str">
        <f>'Assign To West Contracts'!BY7</f>
        <v xml:space="preserve">DJAL JAL, Jal </v>
      </c>
      <c r="BX7" s="141"/>
      <c r="BY7" s="94"/>
      <c r="BZ7" s="240" t="str">
        <f>'Assign To West Contracts'!CB7</f>
        <v>Waha</v>
      </c>
      <c r="CA7" s="240" t="str">
        <f>'Assign To West Contracts'!CC7</f>
        <v>Waha &amp; Sprayberry</v>
      </c>
      <c r="CB7" s="240" t="str">
        <f>'Assign To West Contracts'!CD7</f>
        <v>Westar Waha</v>
      </c>
      <c r="CC7" s="240" t="str">
        <f>'Assign To West Contracts'!CE7</f>
        <v>Valero Waha</v>
      </c>
      <c r="CD7" s="240" t="str">
        <f>'Assign To West Contracts'!CF7</f>
        <v>Havasu Contract Phillips Hutchinson</v>
      </c>
      <c r="CE7" s="240" t="str">
        <f>'Assign To West Contracts'!CG7</f>
        <v>Waha</v>
      </c>
      <c r="CF7" s="240" t="str">
        <f>'Assign To West Contracts'!CH7</f>
        <v>Topock</v>
      </c>
      <c r="CG7" s="240" t="str">
        <f>'Assign To West Contracts'!CI7</f>
        <v>DSCALEHR</v>
      </c>
      <c r="CH7" s="240" t="str">
        <f>'Assign To West Contracts'!CJ7</f>
        <v>Topock</v>
      </c>
      <c r="CI7" s="240" t="str">
        <f>'Assign To West Contracts'!CK7</f>
        <v>DSCALEHR</v>
      </c>
      <c r="CJ7" s="240" t="str">
        <f>'Assign To West Contracts'!CL7</f>
        <v>Maricopa AZ</v>
      </c>
      <c r="CK7" s="240" t="str">
        <f>'Assign To West Contracts'!CM7</f>
        <v>Topock</v>
      </c>
      <c r="CL7" s="240" t="str">
        <f>'Assign To West Contracts'!CN7</f>
        <v>Topock</v>
      </c>
      <c r="CM7" s="240" t="str">
        <f>'Assign To West Contracts'!CO7</f>
        <v>Wingate</v>
      </c>
      <c r="CN7" s="240" t="str">
        <f>'Assign To West Contracts'!CP7</f>
        <v>Topock</v>
      </c>
      <c r="CO7" s="240" t="str">
        <f>'Assign To West Contracts'!CQ7</f>
        <v>DSCALEHR</v>
      </c>
      <c r="CP7" s="240" t="str">
        <f>'Assign To West Contracts'!CR7</f>
        <v>PG&amp;E Topock</v>
      </c>
      <c r="CQ7" s="240" t="str">
        <f>'Assign To West Contracts'!CS7</f>
        <v>PG&amp;E Topock</v>
      </c>
      <c r="CR7" s="240" t="str">
        <f>'Assign To West Contracts'!CT7</f>
        <v>Cibola New Mexico</v>
      </c>
      <c r="CS7" s="240" t="str">
        <f>'Assign To West Contracts'!CU7</f>
        <v>Hueco</v>
      </c>
      <c r="CT7" s="240" t="str">
        <f>'Assign To West Contracts'!CV7</f>
        <v>Topock</v>
      </c>
      <c r="CU7" s="240" t="str">
        <f>'Assign To West Contracts'!CW7</f>
        <v>DSCALEHR</v>
      </c>
      <c r="CV7" s="240" t="str">
        <f>'Assign To West Contracts'!CX7</f>
        <v>DSCALEHR</v>
      </c>
      <c r="CW7" s="158"/>
      <c r="CX7" s="230"/>
      <c r="CY7" s="245" t="s">
        <v>18</v>
      </c>
      <c r="CZ7" s="230"/>
      <c r="DA7" s="60" t="s">
        <v>197</v>
      </c>
      <c r="DB7" s="60" t="s">
        <v>50</v>
      </c>
      <c r="DC7" s="60" t="s">
        <v>198</v>
      </c>
      <c r="DD7" s="60" t="s">
        <v>617</v>
      </c>
      <c r="DE7" s="60" t="s">
        <v>623</v>
      </c>
      <c r="DF7" s="60" t="s">
        <v>621</v>
      </c>
      <c r="DG7" s="60" t="s">
        <v>54</v>
      </c>
      <c r="DH7" s="141"/>
      <c r="DI7" s="230"/>
      <c r="DJ7" s="231"/>
      <c r="DK7" s="230"/>
    </row>
    <row r="8" spans="1:115" x14ac:dyDescent="0.25">
      <c r="A8" s="71" t="s">
        <v>697</v>
      </c>
      <c r="B8" s="242">
        <f>'Assign To West Contracts'!D11</f>
        <v>20000</v>
      </c>
      <c r="C8" s="242">
        <f>'Assign To West Contracts'!E11</f>
        <v>40000</v>
      </c>
      <c r="D8" s="242">
        <f>'Assign To West Contracts'!F11</f>
        <v>2081.1339198435976</v>
      </c>
      <c r="E8" s="242">
        <f>'Assign To West Contracts'!G11</f>
        <v>17478.005865102641</v>
      </c>
      <c r="F8" s="242">
        <f>'Assign To West Contracts'!H11</f>
        <v>64557.18475073314</v>
      </c>
      <c r="G8" s="242">
        <f>'Assign To West Contracts'!I11</f>
        <v>5827.9569892473128</v>
      </c>
      <c r="H8" s="242">
        <f>'Assign To West Contracts'!J11</f>
        <v>2925.7086999022486</v>
      </c>
      <c r="I8" s="242">
        <f>'Assign To West Contracts'!K11</f>
        <v>12910.06842619746</v>
      </c>
      <c r="J8" s="242">
        <f>'Assign To West Contracts'!L11</f>
        <v>880.74291300097764</v>
      </c>
      <c r="K8" s="242">
        <f>'Assign To West Contracts'!M11</f>
        <v>83000.000000000015</v>
      </c>
      <c r="L8" s="242">
        <f>'Assign To West Contracts'!N11</f>
        <v>100000.00000000001</v>
      </c>
      <c r="M8" s="242">
        <f>'Assign To West Contracts'!O11</f>
        <v>2060.606060606061</v>
      </c>
      <c r="N8" s="242">
        <f>'Assign To West Contracts'!P11</f>
        <v>35435.97262952102</v>
      </c>
      <c r="O8" s="242">
        <f>'Assign To West Contracts'!Q11</f>
        <v>1329.4232649071359</v>
      </c>
      <c r="P8" s="242">
        <f>'Assign To West Contracts'!R11</f>
        <v>556.2072336265885</v>
      </c>
      <c r="Q8" s="242">
        <f>'Assign To West Contracts'!S11</f>
        <v>467.25317693059634</v>
      </c>
      <c r="R8" s="242">
        <f>'Assign To West Contracts'!T11</f>
        <v>1671.5542521994137</v>
      </c>
      <c r="S8" s="242">
        <f>'Assign To West Contracts'!U11</f>
        <v>895.40566959921807</v>
      </c>
      <c r="T8" s="242">
        <f>'Assign To West Contracts'!V11</f>
        <v>62.561094819159344</v>
      </c>
      <c r="U8" s="242">
        <f>'Assign To West Contracts'!W11</f>
        <v>12394.916911045944</v>
      </c>
      <c r="V8" s="242">
        <f>'Assign To West Contracts'!X11</f>
        <v>777.12609970674498</v>
      </c>
      <c r="W8" s="242">
        <f>'Assign To West Contracts'!Y11</f>
        <v>36000</v>
      </c>
      <c r="X8" s="242">
        <f>'Assign To West Contracts'!Z11</f>
        <v>13926.686217008799</v>
      </c>
      <c r="Y8" s="242">
        <f>'Assign To West Contracts'!AA11</f>
        <v>466.27565982404695</v>
      </c>
      <c r="Z8" s="242">
        <f>'Assign To West Contracts'!AB11</f>
        <v>274.68230694037146</v>
      </c>
      <c r="AA8" s="242">
        <f>'Assign To West Contracts'!AC11</f>
        <v>1271.7497556207234</v>
      </c>
      <c r="AB8" s="242">
        <f>'Assign To West Contracts'!AD11</f>
        <v>1036.1681329423266</v>
      </c>
      <c r="AC8" s="242">
        <f>'Assign To West Contracts'!AE11</f>
        <v>190.61583577712611</v>
      </c>
      <c r="AD8" s="242">
        <f>'Assign To West Contracts'!AF11</f>
        <v>98.729227761485831</v>
      </c>
      <c r="AE8" s="242">
        <f>'Assign To West Contracts'!AG11</f>
        <v>602.15053763440869</v>
      </c>
      <c r="AF8" s="242">
        <f>'Assign To West Contracts'!AH11</f>
        <v>34.213098729227767</v>
      </c>
      <c r="AG8" s="242">
        <f>'Assign To West Contracts'!AI11</f>
        <v>4106.5493646138812</v>
      </c>
      <c r="AH8" s="242">
        <f>'Assign To West Contracts'!AJ11</f>
        <v>2921.798631476051</v>
      </c>
      <c r="AI8" s="242">
        <f>'Assign To West Contracts'!AK11</f>
        <v>226.78396871945262</v>
      </c>
      <c r="AJ8" s="242">
        <f>'Assign To West Contracts'!AL11</f>
        <v>34871.945259042033</v>
      </c>
      <c r="AK8" s="242">
        <f>'Assign To West Contracts'!AM11</f>
        <v>1864.1251221896384</v>
      </c>
      <c r="AL8" s="242">
        <f>'Assign To West Contracts'!AN11</f>
        <v>1280.5474095796678</v>
      </c>
      <c r="AM8" s="242">
        <f>'Assign To West Contracts'!AO11</f>
        <v>25512.21896383187</v>
      </c>
      <c r="AN8" s="242">
        <f>'Assign To West Contracts'!AP11</f>
        <v>4487.7810361681331</v>
      </c>
      <c r="AO8" s="242">
        <f>'Assign To West Contracts'!AQ11</f>
        <v>313.78299120234607</v>
      </c>
      <c r="AP8" s="242">
        <f>'Assign To West Contracts'!AR11</f>
        <v>22482.893450635387</v>
      </c>
      <c r="AQ8" s="242">
        <f>'Assign To West Contracts'!AS11</f>
        <v>7000.0000000000009</v>
      </c>
      <c r="AR8" s="242">
        <f>'Assign To West Contracts'!AT11</f>
        <v>5000</v>
      </c>
      <c r="AS8" s="242">
        <f>'Assign To West Contracts'!AU11</f>
        <v>717.49755620723374</v>
      </c>
      <c r="AT8" s="242">
        <f>'Assign To West Contracts'!AV11</f>
        <v>5206.2561094819166</v>
      </c>
      <c r="AU8" s="242">
        <f>'Assign To West Contracts'!AW11</f>
        <v>6933.5288367546436</v>
      </c>
      <c r="AV8" s="242">
        <f>'Assign To West Contracts'!AX11</f>
        <v>144.67253176930598</v>
      </c>
      <c r="AW8" s="242">
        <f>'Assign To West Contracts'!AY11</f>
        <v>13059.628543499512</v>
      </c>
      <c r="AX8" s="242">
        <f>'Assign To West Contracts'!AZ11</f>
        <v>4385.1417399804504</v>
      </c>
      <c r="AY8" s="242">
        <f>'Assign To West Contracts'!BA11</f>
        <v>2355.8162267839689</v>
      </c>
      <c r="AZ8" s="242">
        <f>'Assign To West Contracts'!BB11</f>
        <v>3111.4369501466276</v>
      </c>
      <c r="BA8" s="242">
        <f>'Assign To West Contracts'!BC11</f>
        <v>18930.596285434996</v>
      </c>
      <c r="BB8" s="242">
        <f>'Assign To West Contracts'!BD11</f>
        <v>10426.197458455525</v>
      </c>
      <c r="BC8" s="242">
        <f>'Assign To West Contracts'!BE11</f>
        <v>4630.4985337243406</v>
      </c>
      <c r="BD8" s="242">
        <f>'Assign To West Contracts'!BF11</f>
        <v>20000</v>
      </c>
      <c r="BE8" s="242">
        <f>'Assign To West Contracts'!BG11</f>
        <v>47254.154447702836</v>
      </c>
      <c r="BF8" s="242">
        <f>'Assign To West Contracts'!BH11</f>
        <v>10000</v>
      </c>
      <c r="BG8" s="242">
        <f>'Assign To West Contracts'!BI11</f>
        <v>1.9550342130987295</v>
      </c>
      <c r="BH8" s="242">
        <f>'Assign To West Contracts'!BJ11</f>
        <v>130000.00000000001</v>
      </c>
      <c r="BI8" s="242">
        <f>'Assign To West Contracts'!BK11</f>
        <v>540000</v>
      </c>
      <c r="BJ8" s="242">
        <f>'Assign To West Contracts'!BL11</f>
        <v>610000</v>
      </c>
      <c r="BK8" s="242">
        <f>'Assign To West Contracts'!BM11</f>
        <v>4695.9921798631476</v>
      </c>
      <c r="BL8" s="242">
        <f>'Assign To West Contracts'!BN11</f>
        <v>3501.4662756598245</v>
      </c>
      <c r="BM8" s="242">
        <f>'Assign To West Contracts'!BO11</f>
        <v>68721.407624633444</v>
      </c>
      <c r="BN8" s="242">
        <f>'Assign To West Contracts'!BP11</f>
        <v>150000</v>
      </c>
      <c r="BO8" s="242">
        <f>'Assign To West Contracts'!BQ11</f>
        <v>4593.3528836754649</v>
      </c>
      <c r="BP8" s="242">
        <f>'Assign To West Contracts'!BR11</f>
        <v>325160.3128054741</v>
      </c>
      <c r="BQ8" s="242">
        <f>'Assign To West Contracts'!BS11</f>
        <v>96.774193548387103</v>
      </c>
      <c r="BR8" s="242">
        <f>'Assign To West Contracts'!BT11</f>
        <v>175000.00000000003</v>
      </c>
      <c r="BS8" s="242">
        <f>'Assign To West Contracts'!BU11</f>
        <v>10.752688172043012</v>
      </c>
      <c r="BT8" s="242">
        <f>'Assign To West Contracts'!BV11</f>
        <v>213.09872922776151</v>
      </c>
      <c r="BU8" s="242">
        <f>'Assign To West Contracts'!BW11</f>
        <v>19000</v>
      </c>
      <c r="BV8" s="242">
        <f>'Assign To West Contracts'!BX11</f>
        <v>1456.5004887585535</v>
      </c>
      <c r="BW8" s="242">
        <f>'Assign To West Contracts'!BY11</f>
        <v>399.80449657869013</v>
      </c>
      <c r="BX8" s="244">
        <f>SUM(B8:BW8)</f>
        <v>2749288.3675464331</v>
      </c>
      <c r="BY8" s="243"/>
      <c r="BZ8" s="242">
        <f>'Assign To West Contracts'!CB11</f>
        <v>45000.000000000007</v>
      </c>
      <c r="CA8" s="242">
        <f>'Assign To West Contracts'!CC11</f>
        <v>16124.144672531771</v>
      </c>
      <c r="CB8" s="242">
        <f>'Assign To West Contracts'!CD11</f>
        <v>48875.855327468234</v>
      </c>
      <c r="CC8" s="242">
        <f>'Assign To West Contracts'!CE11</f>
        <v>25000.000000000004</v>
      </c>
      <c r="CD8" s="242">
        <f>'Assign To West Contracts'!CF11</f>
        <v>20000</v>
      </c>
      <c r="CE8" s="242">
        <f>'Assign To West Contracts'!CG11</f>
        <v>25000.000000000004</v>
      </c>
      <c r="CF8" s="242">
        <f>'Assign To West Contracts'!CH11</f>
        <v>12499.511241446726</v>
      </c>
      <c r="CG8" s="242">
        <f>'Assign To West Contracts'!CI11</f>
        <v>12500.488758553276</v>
      </c>
      <c r="CH8" s="242">
        <f>'Assign To West Contracts'!CJ11</f>
        <v>10000</v>
      </c>
      <c r="CI8" s="242">
        <f>'Assign To West Contracts'!CK11</f>
        <v>10000</v>
      </c>
      <c r="CJ8" s="242">
        <f>'Assign To West Contracts'!CL11</f>
        <v>399.80449657869013</v>
      </c>
      <c r="CK8" s="242">
        <f>'Assign To West Contracts'!CM11</f>
        <v>14662.75659824047</v>
      </c>
      <c r="CL8" s="242">
        <f>'Assign To West Contracts'!CN11</f>
        <v>99301.075268817207</v>
      </c>
      <c r="CM8" s="242">
        <f>'Assign To West Contracts'!CO11</f>
        <v>4500.4887585532751</v>
      </c>
      <c r="CN8" s="242">
        <f>'Assign To West Contracts'!CP11</f>
        <v>189104.59433040081</v>
      </c>
      <c r="CO8" s="242">
        <f>'Assign To West Contracts'!CQ11</f>
        <v>9530.7917888563061</v>
      </c>
      <c r="CP8" s="242">
        <f>'Assign To West Contracts'!CR11</f>
        <v>579786.90127077233</v>
      </c>
      <c r="CQ8" s="242">
        <f>'Assign To West Contracts'!CS11</f>
        <v>34213.098729227764</v>
      </c>
      <c r="CR8" s="242">
        <f>'Assign To West Contracts'!CT11</f>
        <v>1694.0371456500491</v>
      </c>
      <c r="CS8" s="242">
        <f>'Assign To West Contracts'!CU11</f>
        <v>39100.684261974588</v>
      </c>
      <c r="CT8" s="242">
        <f>'Assign To West Contracts'!CV11</f>
        <v>198156.4027370479</v>
      </c>
      <c r="CU8" s="242">
        <f>'Assign To West Contracts'!CW11</f>
        <v>253845.55229716521</v>
      </c>
      <c r="CV8" s="242">
        <f>'Assign To West Contracts'!CX11</f>
        <v>4703.8123167155427</v>
      </c>
      <c r="CW8" s="73">
        <f>SUM(BZ8:CV8)</f>
        <v>1654000</v>
      </c>
      <c r="CX8" s="76"/>
      <c r="CY8" s="73">
        <f>BX8+CW8</f>
        <v>4403288.3675464336</v>
      </c>
      <c r="CZ8" s="76"/>
      <c r="DA8" s="65">
        <f>'Assign to East Contracts'!C9</f>
        <v>10263.929618768329</v>
      </c>
      <c r="DB8" s="65">
        <f>'Assign to East Contracts'!D9</f>
        <v>5213.0987292277623</v>
      </c>
      <c r="DC8" s="65">
        <f>'Assign to East Contracts'!E9</f>
        <v>4887.5855327468234</v>
      </c>
      <c r="DD8" s="65">
        <f>'Assign to East Contracts'!F9</f>
        <v>12473.118279569893</v>
      </c>
      <c r="DE8" s="65">
        <f>'Assign to East Contracts'!G9</f>
        <v>9164.2228739002949</v>
      </c>
      <c r="DF8" s="65">
        <f>'Assign to East Contracts'!H9</f>
        <v>9775.1710654936469</v>
      </c>
      <c r="DG8" s="65">
        <f>'Assign to East Contracts'!I9</f>
        <v>19550.342130987294</v>
      </c>
      <c r="DH8" s="72">
        <f>SUM(DA8:DG8)</f>
        <v>71327.468230694038</v>
      </c>
      <c r="DI8" s="76"/>
      <c r="DJ8" s="213">
        <f>DH8+CY8</f>
        <v>4474615.8357771272</v>
      </c>
      <c r="DK8" s="76"/>
    </row>
    <row r="9" spans="1:115" x14ac:dyDescent="0.25">
      <c r="BY9" s="76"/>
      <c r="CX9" s="76"/>
      <c r="CZ9" s="76"/>
      <c r="DI9" s="76"/>
      <c r="DJ9" s="1"/>
      <c r="DK9" s="76"/>
    </row>
    <row r="10" spans="1:115" x14ac:dyDescent="0.25">
      <c r="A10" s="53" t="s">
        <v>701</v>
      </c>
      <c r="BY10" s="76"/>
      <c r="CX10" s="76"/>
      <c r="CZ10" s="76"/>
      <c r="DI10" s="76"/>
      <c r="DJ10" s="1"/>
      <c r="DK10" s="76"/>
    </row>
    <row r="11" spans="1:115" x14ac:dyDescent="0.25">
      <c r="BY11" s="76"/>
      <c r="CX11" s="76"/>
      <c r="CZ11" s="76"/>
      <c r="DI11" s="76"/>
      <c r="DJ11" s="1"/>
      <c r="DK11" s="76"/>
    </row>
    <row r="12" spans="1:115" x14ac:dyDescent="0.25">
      <c r="A12" s="54" t="s">
        <v>641</v>
      </c>
      <c r="BY12" s="76"/>
      <c r="CX12" s="76"/>
      <c r="CZ12" s="76"/>
      <c r="DA12" s="68">
        <f>'Assign to East Contracts'!C27</f>
        <v>10263.929618768329</v>
      </c>
      <c r="DB12" s="68">
        <f>'Assign to East Contracts'!D27</f>
        <v>0</v>
      </c>
      <c r="DC12" s="68">
        <f>'Assign to East Contracts'!E27</f>
        <v>0</v>
      </c>
      <c r="DD12" s="68">
        <f>'Assign to East Contracts'!F27</f>
        <v>0</v>
      </c>
      <c r="DE12" s="68">
        <f>'Assign to East Contracts'!G27</f>
        <v>0</v>
      </c>
      <c r="DF12" s="68">
        <f>'Assign to East Contracts'!H27</f>
        <v>0</v>
      </c>
      <c r="DG12" s="68">
        <f>'Assign to East Contracts'!I27</f>
        <v>0</v>
      </c>
      <c r="DH12" s="72">
        <f>SUM(DA12:DG12)</f>
        <v>10263.929618768329</v>
      </c>
      <c r="DI12" s="76"/>
      <c r="DJ12" s="213">
        <f t="shared" ref="DJ12:DJ18" si="0">DH12+CY12</f>
        <v>10263.929618768329</v>
      </c>
      <c r="DK12" s="76"/>
    </row>
    <row r="13" spans="1:115" x14ac:dyDescent="0.25">
      <c r="A13" s="70" t="s">
        <v>326</v>
      </c>
      <c r="B13" s="117">
        <f>'Assign To West Contracts'!D115</f>
        <v>2032.815054693395</v>
      </c>
      <c r="C13" s="117">
        <f>'Assign To West Contracts'!E115</f>
        <v>4065.6301093867901</v>
      </c>
      <c r="D13" s="117">
        <f>'Assign To West Contracts'!F115</f>
        <v>0</v>
      </c>
      <c r="E13" s="117">
        <f>'Assign To West Contracts'!G115</f>
        <v>2381.4232416937616</v>
      </c>
      <c r="F13" s="117">
        <f>'Assign To West Contracts'!H115</f>
        <v>8796.0824232628293</v>
      </c>
      <c r="G13" s="117">
        <f>'Assign To West Contracts'!I115</f>
        <v>794.07412566992195</v>
      </c>
      <c r="H13" s="117">
        <f>'Assign To West Contracts'!J115</f>
        <v>398.63533346697017</v>
      </c>
      <c r="I13" s="117">
        <f>'Assign To West Contracts'!K115</f>
        <v>1759.0300197454976</v>
      </c>
      <c r="J13" s="117">
        <f>'Assign To West Contracts'!L115</f>
        <v>0</v>
      </c>
      <c r="K13" s="117">
        <f>'Assign To West Contracts'!M115</f>
        <v>8436.1824769775903</v>
      </c>
      <c r="L13" s="117">
        <f>'Assign To West Contracts'!N115</f>
        <v>10164.075273466977</v>
      </c>
      <c r="M13" s="117">
        <f>'Assign To West Contracts'!O115</f>
        <v>280.7628743562891</v>
      </c>
      <c r="N13" s="117">
        <f>'Assign To West Contracts'!P115</f>
        <v>4828.242390080567</v>
      </c>
      <c r="O13" s="117">
        <f>'Assign To West Contracts'!Q115</f>
        <v>181.13733829438004</v>
      </c>
      <c r="P13" s="117">
        <f>'Assign To West Contracts'!R115</f>
        <v>0</v>
      </c>
      <c r="Q13" s="117">
        <f>'Assign To West Contracts'!S115</f>
        <v>0</v>
      </c>
      <c r="R13" s="117">
        <f>'Assign To West Contracts'!T115</f>
        <v>0</v>
      </c>
      <c r="S13" s="117">
        <f>'Assign To West Contracts'!U115</f>
        <v>0</v>
      </c>
      <c r="T13" s="117">
        <f>'Assign To West Contracts'!V115</f>
        <v>0</v>
      </c>
      <c r="U13" s="117">
        <f>'Assign To West Contracts'!W115</f>
        <v>1688.8393011564256</v>
      </c>
      <c r="V13" s="117">
        <f>'Assign To West Contracts'!X115</f>
        <v>105.88542937061187</v>
      </c>
      <c r="W13" s="117">
        <f>'Assign To West Contracts'!Y115</f>
        <v>3659.0670984481117</v>
      </c>
      <c r="X13" s="117">
        <f>'Assign To West Contracts'!Z115</f>
        <v>1897.5468078529652</v>
      </c>
      <c r="Y13" s="117">
        <f>'Assign To West Contracts'!AA115</f>
        <v>0</v>
      </c>
      <c r="Z13" s="117">
        <f>'Assign To West Contracts'!AB115</f>
        <v>0</v>
      </c>
      <c r="AA13" s="117">
        <f>'Assign To West Contracts'!AC115</f>
        <v>0</v>
      </c>
      <c r="AB13" s="117">
        <f>'Assign To West Contracts'!AD115</f>
        <v>0</v>
      </c>
      <c r="AC13" s="117">
        <f>'Assign To West Contracts'!AE115</f>
        <v>0</v>
      </c>
      <c r="AD13" s="117">
        <f>'Assign To West Contracts'!AF115</f>
        <v>0</v>
      </c>
      <c r="AE13" s="117">
        <f>'Assign To West Contracts'!AG115</f>
        <v>0</v>
      </c>
      <c r="AF13" s="117">
        <f>'Assign To West Contracts'!AH115</f>
        <v>0</v>
      </c>
      <c r="AG13" s="117">
        <f>'Assign To West Contracts'!AI115</f>
        <v>559.52791042256661</v>
      </c>
      <c r="AH13" s="117">
        <f>'Assign To West Contracts'!AJ115</f>
        <v>0</v>
      </c>
      <c r="AI13" s="117">
        <f>'Assign To West Contracts'!AK115</f>
        <v>0</v>
      </c>
      <c r="AJ13" s="117">
        <f>'Assign To West Contracts'!AL115</f>
        <v>4751.3922105247884</v>
      </c>
      <c r="AK13" s="117">
        <f>'Assign To West Contracts'!AM115</f>
        <v>0</v>
      </c>
      <c r="AL13" s="117">
        <f>'Assign To West Contracts'!AN115</f>
        <v>0</v>
      </c>
      <c r="AM13" s="117">
        <f>'Assign To West Contracts'!AO115</f>
        <v>2593.0811394155876</v>
      </c>
      <c r="AN13" s="117">
        <f>'Assign To West Contracts'!AP115</f>
        <v>456.14144262450526</v>
      </c>
      <c r="AO13" s="117">
        <f>'Assign To West Contracts'!AQ115</f>
        <v>0</v>
      </c>
      <c r="AP13" s="117">
        <f>'Assign To West Contracts'!AR115</f>
        <v>3063.3520446843686</v>
      </c>
      <c r="AQ13" s="117">
        <f>'Assign To West Contracts'!AS115</f>
        <v>711.48526914268837</v>
      </c>
      <c r="AR13" s="117">
        <f>'Assign To West Contracts'!AT115</f>
        <v>724.59139052020839</v>
      </c>
      <c r="AS13" s="117">
        <f>'Assign To West Contracts'!AU115</f>
        <v>0</v>
      </c>
      <c r="AT13" s="117">
        <f>'Assign To West Contracts'!AV115</f>
        <v>709.36578217343242</v>
      </c>
      <c r="AU13" s="117">
        <f>'Assign To West Contracts'!AW115</f>
        <v>944.71113273679236</v>
      </c>
      <c r="AV13" s="117">
        <f>'Assign To West Contracts'!AX115</f>
        <v>0</v>
      </c>
      <c r="AW13" s="117">
        <f>'Assign To West Contracts'!AY115</f>
        <v>1779.4079703036155</v>
      </c>
      <c r="AX13" s="117">
        <f>'Assign To West Contracts'!AZ115</f>
        <v>597.48683793278599</v>
      </c>
      <c r="AY13" s="117">
        <f>'Assign To West Contracts'!BA115</f>
        <v>320.98601859518817</v>
      </c>
      <c r="AZ13" s="117">
        <f>'Assign To West Contracts'!BB115</f>
        <v>423.94128514044974</v>
      </c>
      <c r="BA13" s="117">
        <f>'Assign To West Contracts'!BC115</f>
        <v>2579.3424216242383</v>
      </c>
      <c r="BB13" s="117">
        <f>'Assign To West Contracts'!BD115</f>
        <v>1420.5962134175425</v>
      </c>
      <c r="BC13" s="117">
        <f>'Assign To West Contracts'!BE115</f>
        <v>0</v>
      </c>
      <c r="BD13" s="117">
        <f>'Assign To West Contracts'!BF115</f>
        <v>2032.815054693395</v>
      </c>
      <c r="BE13" s="117">
        <f>'Assign To West Contracts'!BG115</f>
        <v>6438.5000518298702</v>
      </c>
      <c r="BF13" s="117">
        <f>'Assign To West Contracts'!BH115</f>
        <v>1016.4075273466975</v>
      </c>
      <c r="BG13" s="117">
        <f>'Assign To West Contracts'!BI115</f>
        <v>0.26637843866820593</v>
      </c>
      <c r="BH13" s="117">
        <f>'Assign To West Contracts'!BJ115</f>
        <v>13213.297855507066</v>
      </c>
      <c r="BI13" s="117">
        <f>'Assign To West Contracts'!BK115</f>
        <v>54886.006476721668</v>
      </c>
      <c r="BJ13" s="117">
        <f>'Assign To West Contracts'!BL115</f>
        <v>62000.859168148549</v>
      </c>
      <c r="BK13" s="117">
        <f>'Assign To West Contracts'!BM115</f>
        <v>639.84100968103064</v>
      </c>
      <c r="BL13" s="117">
        <f>'Assign To West Contracts'!BN115</f>
        <v>477.08378365475687</v>
      </c>
      <c r="BM13" s="117">
        <f>'Assign To West Contracts'!BO115</f>
        <v>9363.4684976261087</v>
      </c>
      <c r="BN13" s="117">
        <f>'Assign To West Contracts'!BP115</f>
        <v>15246.112910200462</v>
      </c>
      <c r="BO13" s="117">
        <f>'Assign To West Contracts'!BQ115</f>
        <v>625.85614165095001</v>
      </c>
      <c r="BP13" s="117">
        <f>'Assign To West Contracts'!BR115</f>
        <v>44303.928730076681</v>
      </c>
      <c r="BQ13" s="117">
        <f>'Assign To West Contracts'!BS115</f>
        <v>0</v>
      </c>
      <c r="BR13" s="117">
        <f>'Assign To West Contracts'!BT115</f>
        <v>17787.131728567212</v>
      </c>
      <c r="BS13" s="117">
        <f>'Assign To West Contracts'!BU115</f>
        <v>0</v>
      </c>
      <c r="BT13" s="117">
        <f>'Assign To West Contracts'!BV115</f>
        <v>0</v>
      </c>
      <c r="BU13" s="117">
        <f>'Assign To West Contracts'!BW115</f>
        <v>1931.1743019587252</v>
      </c>
      <c r="BV13" s="117">
        <f>'Assign To West Contracts'!BX115</f>
        <v>148.03980603583378</v>
      </c>
      <c r="BW13" s="117">
        <f>'Assign To West Contracts'!BY115</f>
        <v>0</v>
      </c>
      <c r="BX13" s="72">
        <f t="shared" ref="BX13:BX18" si="1">SUM(B13:BW13)</f>
        <v>303215.62778931943</v>
      </c>
      <c r="BY13" s="76"/>
      <c r="BZ13" s="117">
        <f>'Assign To West Contracts'!CB115</f>
        <v>6521.3225146818759</v>
      </c>
      <c r="CA13" s="117">
        <f>'Assign To West Contracts'!CC115</f>
        <v>2336.6832818437611</v>
      </c>
      <c r="CB13" s="117">
        <f>'Assign To West Contracts'!CD115</f>
        <v>7083.0047949189484</v>
      </c>
      <c r="CC13" s="117">
        <f>'Assign To West Contracts'!CE115</f>
        <v>3622.9569526010418</v>
      </c>
      <c r="CD13" s="117">
        <f>'Assign To West Contracts'!CF115</f>
        <v>2898.3655620808336</v>
      </c>
      <c r="CE13" s="117">
        <f>'Assign To West Contracts'!CG115</f>
        <v>3622.9569526010418</v>
      </c>
      <c r="CF13" s="117">
        <f>'Assign To West Contracts'!CH115</f>
        <v>1270.4597313961117</v>
      </c>
      <c r="CG13" s="117">
        <f>'Assign To West Contracts'!CI115</f>
        <v>1270.5590869706323</v>
      </c>
      <c r="CH13" s="117">
        <f>'Assign To West Contracts'!CJ115</f>
        <v>1016.4075273466975</v>
      </c>
      <c r="CI13" s="117">
        <f>'Assign To West Contracts'!CK115</f>
        <v>1016.4075273466975</v>
      </c>
      <c r="CJ13" s="117">
        <f>'Assign To West Contracts'!CL115</f>
        <v>40.636429978963768</v>
      </c>
      <c r="CK13" s="117">
        <f>'Assign To West Contracts'!CM115</f>
        <v>1490.3336178104073</v>
      </c>
      <c r="CL13" s="117">
        <f>'Assign To West Contracts'!CN115</f>
        <v>10093.03603768468</v>
      </c>
      <c r="CM13" s="117">
        <f>'Assign To West Contracts'!CO115</f>
        <v>457.43306509327431</v>
      </c>
      <c r="CN13" s="117">
        <f>'Assign To West Contracts'!CP115</f>
        <v>19220.733313326302</v>
      </c>
      <c r="CO13" s="117">
        <f>'Assign To West Contracts'!CQ115</f>
        <v>968.71685157676472</v>
      </c>
      <c r="CP13" s="117">
        <f>'Assign To West Contracts'!CR115</f>
        <v>58929.977070862951</v>
      </c>
      <c r="CQ13" s="117">
        <f>'Assign To West Contracts'!CS115</f>
        <v>3477.4451082242836</v>
      </c>
      <c r="CR13" s="117">
        <f>'Assign To West Contracts'!CT115</f>
        <v>0</v>
      </c>
      <c r="CS13" s="117">
        <f>'Assign To West Contracts'!CU115</f>
        <v>0</v>
      </c>
      <c r="CT13" s="117">
        <f>'Assign To West Contracts'!CV115</f>
        <v>0</v>
      </c>
      <c r="CU13" s="117">
        <f>'Assign To West Contracts'!CW115</f>
        <v>0</v>
      </c>
      <c r="CV13" s="117">
        <f>'Assign To West Contracts'!CX115</f>
        <v>0</v>
      </c>
      <c r="CW13" s="73">
        <f t="shared" ref="CW13:CW18" si="2">SUM(BZ13:CV13)</f>
        <v>125337.43542634527</v>
      </c>
      <c r="CX13" s="76"/>
      <c r="CY13" s="73">
        <f t="shared" ref="CY13:CY18" si="3">BX13+CW13</f>
        <v>428553.0632156647</v>
      </c>
      <c r="CZ13" s="76"/>
      <c r="DA13" s="68"/>
      <c r="DB13" s="68"/>
      <c r="DC13" s="68"/>
      <c r="DD13" s="68"/>
      <c r="DE13" s="68"/>
      <c r="DF13" s="68"/>
      <c r="DG13" s="68"/>
      <c r="DI13" s="76"/>
      <c r="DJ13" s="213">
        <f t="shared" si="0"/>
        <v>428553.0632156647</v>
      </c>
      <c r="DK13" s="76"/>
    </row>
    <row r="14" spans="1:115" x14ac:dyDescent="0.25">
      <c r="A14" s="70" t="s">
        <v>327</v>
      </c>
      <c r="B14" s="117">
        <f>'Assign To West Contracts'!D116</f>
        <v>789.8395306697347</v>
      </c>
      <c r="C14" s="117">
        <f>'Assign To West Contracts'!E116</f>
        <v>1579.6790613394694</v>
      </c>
      <c r="D14" s="117">
        <f>'Assign To West Contracts'!F116</f>
        <v>0</v>
      </c>
      <c r="E14" s="117">
        <f>'Assign To West Contracts'!G116</f>
        <v>925.28939669285205</v>
      </c>
      <c r="F14" s="117">
        <f>'Assign To West Contracts'!H116</f>
        <v>3417.6712716101415</v>
      </c>
      <c r="G14" s="117">
        <f>'Assign To West Contracts'!I116</f>
        <v>308.53329883013333</v>
      </c>
      <c r="H14" s="117">
        <f>'Assign To West Contracts'!J116</f>
        <v>154.88764901016253</v>
      </c>
      <c r="I14" s="117">
        <f>'Assign To West Contracts'!K116</f>
        <v>683.46180436926716</v>
      </c>
      <c r="J14" s="117">
        <f>'Assign To West Contracts'!L116</f>
        <v>0</v>
      </c>
      <c r="K14" s="117">
        <f>'Assign To West Contracts'!M116</f>
        <v>3277.8340522793997</v>
      </c>
      <c r="L14" s="117">
        <f>'Assign To West Contracts'!N116</f>
        <v>3949.1976533486745</v>
      </c>
      <c r="M14" s="117">
        <f>'Assign To West Contracts'!O116</f>
        <v>109.08892887184183</v>
      </c>
      <c r="N14" s="117">
        <f>'Assign To West Contracts'!P116</f>
        <v>1875.988026818377</v>
      </c>
      <c r="O14" s="117">
        <f>'Assign To West Contracts'!Q116</f>
        <v>70.379954110865697</v>
      </c>
      <c r="P14" s="117">
        <f>'Assign To West Contracts'!R116</f>
        <v>0</v>
      </c>
      <c r="Q14" s="117">
        <f>'Assign To West Contracts'!S116</f>
        <v>0</v>
      </c>
      <c r="R14" s="117">
        <f>'Assign To West Contracts'!T116</f>
        <v>0</v>
      </c>
      <c r="S14" s="117">
        <f>'Assign To West Contracts'!U116</f>
        <v>0</v>
      </c>
      <c r="T14" s="117">
        <f>'Assign To West Contracts'!V116</f>
        <v>0</v>
      </c>
      <c r="U14" s="117">
        <f>'Assign To West Contracts'!W116</f>
        <v>656.18957215130672</v>
      </c>
      <c r="V14" s="117">
        <f>'Assign To West Contracts'!X116</f>
        <v>41.141223175101651</v>
      </c>
      <c r="W14" s="117">
        <f>'Assign To West Contracts'!Y116</f>
        <v>1421.7111552055226</v>
      </c>
      <c r="X14" s="117">
        <f>'Assign To West Contracts'!Z116</f>
        <v>737.28176927757636</v>
      </c>
      <c r="Y14" s="117">
        <f>'Assign To West Contracts'!AA116</f>
        <v>0</v>
      </c>
      <c r="Z14" s="117">
        <f>'Assign To West Contracts'!AB116</f>
        <v>0</v>
      </c>
      <c r="AA14" s="117">
        <f>'Assign To West Contracts'!AC116</f>
        <v>0</v>
      </c>
      <c r="AB14" s="117">
        <f>'Assign To West Contracts'!AD116</f>
        <v>0</v>
      </c>
      <c r="AC14" s="117">
        <f>'Assign To West Contracts'!AE116</f>
        <v>0</v>
      </c>
      <c r="AD14" s="117">
        <f>'Assign To West Contracts'!AF116</f>
        <v>0</v>
      </c>
      <c r="AE14" s="117">
        <f>'Assign To West Contracts'!AG116</f>
        <v>0</v>
      </c>
      <c r="AF14" s="117">
        <f>'Assign To West Contracts'!AH116</f>
        <v>0</v>
      </c>
      <c r="AG14" s="117">
        <f>'Assign To West Contracts'!AI116</f>
        <v>217.40160824981382</v>
      </c>
      <c r="AH14" s="117">
        <f>'Assign To West Contracts'!AJ116</f>
        <v>0</v>
      </c>
      <c r="AI14" s="117">
        <f>'Assign To West Contracts'!AK116</f>
        <v>0</v>
      </c>
      <c r="AJ14" s="117">
        <f>'Assign To West Contracts'!AL116</f>
        <v>1846.1282962875168</v>
      </c>
      <c r="AK14" s="117">
        <f>'Assign To West Contracts'!AM116</f>
        <v>0</v>
      </c>
      <c r="AL14" s="117">
        <f>'Assign To West Contracts'!AN116</f>
        <v>0</v>
      </c>
      <c r="AM14" s="117">
        <f>'Assign To West Contracts'!AO116</f>
        <v>1007.5279526368234</v>
      </c>
      <c r="AN14" s="117">
        <f>'Assign To West Contracts'!AP116</f>
        <v>177.23134336777872</v>
      </c>
      <c r="AO14" s="117">
        <f>'Assign To West Contracts'!AQ116</f>
        <v>0</v>
      </c>
      <c r="AP14" s="117">
        <f>'Assign To West Contracts'!AR116</f>
        <v>1190.2492239337582</v>
      </c>
      <c r="AQ14" s="117">
        <f>'Assign To West Contracts'!AS116</f>
        <v>276.44383573440717</v>
      </c>
      <c r="AR14" s="117">
        <f>'Assign To West Contracts'!AT116</f>
        <v>281.53614983047839</v>
      </c>
      <c r="AS14" s="117">
        <f>'Assign To West Contracts'!AU116</f>
        <v>0</v>
      </c>
      <c r="AT14" s="117">
        <f>'Assign To West Contracts'!AV116</f>
        <v>275.62032029005201</v>
      </c>
      <c r="AU14" s="117">
        <f>'Assign To West Contracts'!AW116</f>
        <v>367.06251066791941</v>
      </c>
      <c r="AV14" s="117">
        <f>'Assign To West Contracts'!AX116</f>
        <v>0</v>
      </c>
      <c r="AW14" s="117">
        <f>'Assign To West Contracts'!AY116</f>
        <v>691.37954920673963</v>
      </c>
      <c r="AX14" s="117">
        <f>'Assign To West Contracts'!AZ116</f>
        <v>232.15034863334091</v>
      </c>
      <c r="AY14" s="117">
        <f>'Assign To West Contracts'!BA116</f>
        <v>124.71741868175465</v>
      </c>
      <c r="AZ14" s="117">
        <f>'Assign To West Contracts'!BB116</f>
        <v>164.72014259918052</v>
      </c>
      <c r="BA14" s="117">
        <f>'Assign To West Contracts'!BC116</f>
        <v>1002.1898465522244</v>
      </c>
      <c r="BB14" s="117">
        <f>'Assign To West Contracts'!BD116</f>
        <v>551.96514010771591</v>
      </c>
      <c r="BC14" s="117">
        <f>'Assign To West Contracts'!BE116</f>
        <v>0</v>
      </c>
      <c r="BD14" s="117">
        <f>'Assign To West Contracts'!BF116</f>
        <v>789.8395306697347</v>
      </c>
      <c r="BE14" s="117">
        <f>'Assign To West Contracts'!BG116</f>
        <v>2501.6451188774695</v>
      </c>
      <c r="BF14" s="117">
        <f>'Assign To West Contracts'!BH116</f>
        <v>394.91976533486735</v>
      </c>
      <c r="BG14" s="117">
        <f>'Assign To West Contracts'!BI116</f>
        <v>0.10349993251597898</v>
      </c>
      <c r="BH14" s="117">
        <f>'Assign To West Contracts'!BJ116</f>
        <v>5133.9569493532763</v>
      </c>
      <c r="BI14" s="117">
        <f>'Assign To West Contracts'!BK116</f>
        <v>21325.66732808284</v>
      </c>
      <c r="BJ14" s="117">
        <f>'Assign To West Contracts'!BL116</f>
        <v>24090.105685426905</v>
      </c>
      <c r="BK14" s="117">
        <f>'Assign To West Contracts'!BM116</f>
        <v>248.60683790338149</v>
      </c>
      <c r="BL14" s="117">
        <f>'Assign To West Contracts'!BN116</f>
        <v>185.36837913611831</v>
      </c>
      <c r="BM14" s="117">
        <f>'Assign To West Contracts'!BO116</f>
        <v>3638.1261278691773</v>
      </c>
      <c r="BN14" s="117">
        <f>'Assign To West Contracts'!BP116</f>
        <v>5923.7964800230111</v>
      </c>
      <c r="BO14" s="117">
        <f>'Assign To West Contracts'!BQ116</f>
        <v>243.17309144629263</v>
      </c>
      <c r="BP14" s="117">
        <f>'Assign To West Contracts'!BR116</f>
        <v>17214.057026091363</v>
      </c>
      <c r="BQ14" s="117">
        <f>'Assign To West Contracts'!BS116</f>
        <v>0</v>
      </c>
      <c r="BR14" s="117">
        <f>'Assign To West Contracts'!BT116</f>
        <v>6911.0958933601796</v>
      </c>
      <c r="BS14" s="117">
        <f>'Assign To West Contracts'!BU116</f>
        <v>0</v>
      </c>
      <c r="BT14" s="117">
        <f>'Assign To West Contracts'!BV116</f>
        <v>0</v>
      </c>
      <c r="BU14" s="117">
        <f>'Assign To West Contracts'!BW116</f>
        <v>750.34755413624782</v>
      </c>
      <c r="BV14" s="117">
        <f>'Assign To West Contracts'!BX116</f>
        <v>57.520083123064751</v>
      </c>
      <c r="BW14" s="117">
        <f>'Assign To West Contracts'!BY116</f>
        <v>0</v>
      </c>
      <c r="BX14" s="72">
        <f t="shared" si="1"/>
        <v>117812.82738530637</v>
      </c>
      <c r="BY14" s="76"/>
      <c r="BZ14" s="117">
        <f>'Assign To West Contracts'!CB116</f>
        <v>2533.8253484743059</v>
      </c>
      <c r="CA14" s="117">
        <f>'Assign To West Contracts'!CC116</f>
        <v>907.90592208284306</v>
      </c>
      <c r="CB14" s="117">
        <f>'Assign To West Contracts'!CD116</f>
        <v>2752.0640257133769</v>
      </c>
      <c r="CC14" s="117">
        <f>'Assign To West Contracts'!CE116</f>
        <v>1407.6807491523923</v>
      </c>
      <c r="CD14" s="117">
        <f>'Assign To West Contracts'!CF116</f>
        <v>1126.1445993219136</v>
      </c>
      <c r="CE14" s="117">
        <f>'Assign To West Contracts'!CG116</f>
        <v>1407.6807491523923</v>
      </c>
      <c r="CF14" s="117">
        <f>'Assign To West Contracts'!CH116</f>
        <v>493.63040462726781</v>
      </c>
      <c r="CG14" s="117">
        <f>'Assign To West Contracts'!CI116</f>
        <v>493.66900870990071</v>
      </c>
      <c r="CH14" s="117">
        <f>'Assign To West Contracts'!CJ116</f>
        <v>394.91976533486735</v>
      </c>
      <c r="CI14" s="117">
        <f>'Assign To West Contracts'!CK116</f>
        <v>394.91976533486735</v>
      </c>
      <c r="CJ14" s="117">
        <f>'Assign To West Contracts'!CL116</f>
        <v>15.789069796868109</v>
      </c>
      <c r="CK14" s="117">
        <f>'Assign To West Contracts'!CM116</f>
        <v>579.06123949394043</v>
      </c>
      <c r="CL14" s="117">
        <f>'Assign To West Contracts'!CN116</f>
        <v>3921.59573426613</v>
      </c>
      <c r="CM14" s="117">
        <f>'Assign To West Contracts'!CO116</f>
        <v>177.7331964420068</v>
      </c>
      <c r="CN14" s="117">
        <f>'Assign To West Contracts'!CP116</f>
        <v>7468.1142016707172</v>
      </c>
      <c r="CO14" s="117">
        <f>'Assign To West Contracts'!CQ116</f>
        <v>376.38980567106137</v>
      </c>
      <c r="CP14" s="117">
        <f>'Assign To West Contracts'!CR116</f>
        <v>22896.930699408331</v>
      </c>
      <c r="CQ14" s="117">
        <f>'Assign To West Contracts'!CS116</f>
        <v>1351.142892152528</v>
      </c>
      <c r="CR14" s="117">
        <f>'Assign To West Contracts'!CT116</f>
        <v>0</v>
      </c>
      <c r="CS14" s="117">
        <f>'Assign To West Contracts'!CU116</f>
        <v>0</v>
      </c>
      <c r="CT14" s="117">
        <f>'Assign To West Contracts'!CV116</f>
        <v>0</v>
      </c>
      <c r="CU14" s="117">
        <f>'Assign To West Contracts'!CW116</f>
        <v>0</v>
      </c>
      <c r="CV14" s="117">
        <f>'Assign To West Contracts'!CX116</f>
        <v>0</v>
      </c>
      <c r="CW14" s="73">
        <f t="shared" si="2"/>
        <v>48699.197176805712</v>
      </c>
      <c r="CX14" s="76"/>
      <c r="CY14" s="73">
        <f t="shared" si="3"/>
        <v>166512.02456211208</v>
      </c>
      <c r="CZ14" s="76"/>
      <c r="DA14" s="68"/>
      <c r="DB14" s="68"/>
      <c r="DC14" s="68"/>
      <c r="DD14" s="68"/>
      <c r="DE14" s="68"/>
      <c r="DF14" s="68"/>
      <c r="DG14" s="68"/>
      <c r="DI14" s="76"/>
      <c r="DJ14" s="213">
        <f t="shared" si="0"/>
        <v>166512.02456211208</v>
      </c>
      <c r="DK14" s="76"/>
    </row>
    <row r="15" spans="1:115" x14ac:dyDescent="0.25">
      <c r="A15" s="70" t="s">
        <v>328</v>
      </c>
      <c r="B15" s="117">
        <f>'Assign To West Contracts'!D117</f>
        <v>9362.8825922201886</v>
      </c>
      <c r="C15" s="117">
        <f>'Assign To West Contracts'!E117</f>
        <v>18725.765184440377</v>
      </c>
      <c r="D15" s="117">
        <f>'Assign To West Contracts'!F117</f>
        <v>0</v>
      </c>
      <c r="E15" s="117">
        <f>'Assign To West Contracts'!G117</f>
        <v>10968.526705311171</v>
      </c>
      <c r="F15" s="117">
        <f>'Assign To West Contracts'!H117</f>
        <v>40513.61525012082</v>
      </c>
      <c r="G15" s="117">
        <f>'Assign To West Contracts'!I117</f>
        <v>3657.4024729902239</v>
      </c>
      <c r="H15" s="117">
        <f>'Assign To West Contracts'!J117</f>
        <v>1836.0626638141125</v>
      </c>
      <c r="I15" s="117">
        <f>'Assign To West Contracts'!K117</f>
        <v>8101.864216836947</v>
      </c>
      <c r="J15" s="117">
        <f>'Assign To West Contracts'!L117</f>
        <v>0</v>
      </c>
      <c r="K15" s="117">
        <f>'Assign To West Contracts'!M117</f>
        <v>38855.962757713794</v>
      </c>
      <c r="L15" s="117">
        <f>'Assign To West Contracts'!N117</f>
        <v>46814.412961100956</v>
      </c>
      <c r="M15" s="117">
        <f>'Assign To West Contracts'!O117</f>
        <v>1293.1573990378045</v>
      </c>
      <c r="N15" s="117">
        <f>'Assign To West Contracts'!P117</f>
        <v>22238.258478424792</v>
      </c>
      <c r="O15" s="117">
        <f>'Assign To West Contracts'!Q117</f>
        <v>834.29509615342204</v>
      </c>
      <c r="P15" s="117">
        <f>'Assign To West Contracts'!R117</f>
        <v>0</v>
      </c>
      <c r="Q15" s="117">
        <f>'Assign To West Contracts'!S117</f>
        <v>0</v>
      </c>
      <c r="R15" s="117">
        <f>'Assign To West Contracts'!T117</f>
        <v>0</v>
      </c>
      <c r="S15" s="117">
        <f>'Assign To West Contracts'!U117</f>
        <v>0</v>
      </c>
      <c r="T15" s="117">
        <f>'Assign To West Contracts'!V117</f>
        <v>0</v>
      </c>
      <c r="U15" s="117">
        <f>'Assign To West Contracts'!W117</f>
        <v>7778.5748670774956</v>
      </c>
      <c r="V15" s="117">
        <f>'Assign To West Contracts'!X117</f>
        <v>487.69455988380196</v>
      </c>
      <c r="W15" s="117">
        <f>'Assign To West Contracts'!Y117</f>
        <v>16853.188665996342</v>
      </c>
      <c r="X15" s="117">
        <f>'Assign To West Contracts'!Z117</f>
        <v>8739.8545844836826</v>
      </c>
      <c r="Y15" s="117">
        <f>'Assign To West Contracts'!AA117</f>
        <v>0</v>
      </c>
      <c r="Z15" s="117">
        <f>'Assign To West Contracts'!AB117</f>
        <v>0</v>
      </c>
      <c r="AA15" s="117">
        <f>'Assign To West Contracts'!AC117</f>
        <v>0</v>
      </c>
      <c r="AB15" s="117">
        <f>'Assign To West Contracts'!AD117</f>
        <v>0</v>
      </c>
      <c r="AC15" s="117">
        <f>'Assign To West Contracts'!AE117</f>
        <v>0</v>
      </c>
      <c r="AD15" s="117">
        <f>'Assign To West Contracts'!AF117</f>
        <v>0</v>
      </c>
      <c r="AE15" s="117">
        <f>'Assign To West Contracts'!AG117</f>
        <v>0</v>
      </c>
      <c r="AF15" s="117">
        <f>'Assign To West Contracts'!AH117</f>
        <v>0</v>
      </c>
      <c r="AG15" s="117">
        <f>'Assign To West Contracts'!AI117</f>
        <v>2577.1130139268585</v>
      </c>
      <c r="AH15" s="117">
        <f>'Assign To West Contracts'!AJ117</f>
        <v>0</v>
      </c>
      <c r="AI15" s="117">
        <f>'Assign To West Contracts'!AK117</f>
        <v>0</v>
      </c>
      <c r="AJ15" s="117">
        <f>'Assign To West Contracts'!AL117</f>
        <v>21884.296514836162</v>
      </c>
      <c r="AK15" s="117">
        <f>'Assign To West Contracts'!AM117</f>
        <v>0</v>
      </c>
      <c r="AL15" s="117">
        <f>'Assign To West Contracts'!AN117</f>
        <v>0</v>
      </c>
      <c r="AM15" s="117">
        <f>'Assign To West Contracts'!AO117</f>
        <v>11943.395541268561</v>
      </c>
      <c r="AN15" s="117">
        <f>'Assign To West Contracts'!AP117</f>
        <v>2100.9283470617247</v>
      </c>
      <c r="AO15" s="117">
        <f>'Assign To West Contracts'!AQ117</f>
        <v>0</v>
      </c>
      <c r="AP15" s="117">
        <f>'Assign To West Contracts'!AR117</f>
        <v>14109.40236141817</v>
      </c>
      <c r="AQ15" s="117">
        <f>'Assign To West Contracts'!AS117</f>
        <v>3277.008907277067</v>
      </c>
      <c r="AR15" s="117">
        <f>'Assign To West Contracts'!AT117</f>
        <v>3993.8724596493134</v>
      </c>
      <c r="AS15" s="117">
        <f>'Assign To West Contracts'!AU117</f>
        <v>0</v>
      </c>
      <c r="AT15" s="117">
        <f>'Assign To West Contracts'!AV117</f>
        <v>3267.2468250831816</v>
      </c>
      <c r="AU15" s="117">
        <f>'Assign To West Contracts'!AW117</f>
        <v>4351.2169978060483</v>
      </c>
      <c r="AV15" s="117">
        <f>'Assign To West Contracts'!AX117</f>
        <v>0</v>
      </c>
      <c r="AW15" s="117">
        <f>'Assign To West Contracts'!AY117</f>
        <v>8195.7224151542068</v>
      </c>
      <c r="AX15" s="117">
        <f>'Assign To West Contracts'!AZ117</f>
        <v>2751.946912753127</v>
      </c>
      <c r="AY15" s="117">
        <f>'Assign To West Contracts'!BA117</f>
        <v>1478.4199865659909</v>
      </c>
      <c r="AZ15" s="117">
        <f>'Assign To West Contracts'!BB117</f>
        <v>1952.618596364958</v>
      </c>
      <c r="BA15" s="117">
        <f>'Assign To West Contracts'!BC117</f>
        <v>11880.116788314101</v>
      </c>
      <c r="BB15" s="117">
        <f>'Assign To West Contracts'!BD117</f>
        <v>6543.0819820385323</v>
      </c>
      <c r="BC15" s="117">
        <f>'Assign To West Contracts'!BE117</f>
        <v>0</v>
      </c>
      <c r="BD15" s="117">
        <f>'Assign To West Contracts'!BF117</f>
        <v>9362.8825922201886</v>
      </c>
      <c r="BE15" s="117">
        <f>'Assign To West Contracts'!BG117</f>
        <v>29654.896502318075</v>
      </c>
      <c r="BF15" s="117">
        <f>'Assign To West Contracts'!BH117</f>
        <v>4681.4412961100943</v>
      </c>
      <c r="BG15" s="117">
        <f>'Assign To West Contracts'!BI117</f>
        <v>1.2269045531667975</v>
      </c>
      <c r="BH15" s="117">
        <f>'Assign To West Contracts'!BJ117</f>
        <v>60858.73684943124</v>
      </c>
      <c r="BI15" s="117">
        <f>'Assign To West Contracts'!BK117</f>
        <v>252797.82998994514</v>
      </c>
      <c r="BJ15" s="117">
        <f>'Assign To West Contracts'!BL117</f>
        <v>285567.91906271584</v>
      </c>
      <c r="BK15" s="117">
        <f>'Assign To West Contracts'!BM117</f>
        <v>2947.0247367066472</v>
      </c>
      <c r="BL15" s="117">
        <f>'Assign To West Contracts'!BN117</f>
        <v>2197.3860547217341</v>
      </c>
      <c r="BM15" s="117">
        <f>'Assign To West Contracts'!BO117</f>
        <v>43126.9219483661</v>
      </c>
      <c r="BN15" s="117">
        <f>'Assign To West Contracts'!BP117</f>
        <v>70221.619441651419</v>
      </c>
      <c r="BO15" s="117">
        <f>'Assign To West Contracts'!BQ117</f>
        <v>2882.6122476653909</v>
      </c>
      <c r="BP15" s="117">
        <f>'Assign To West Contracts'!BR117</f>
        <v>204058.15183042519</v>
      </c>
      <c r="BQ15" s="117">
        <f>'Assign To West Contracts'!BS117</f>
        <v>0</v>
      </c>
      <c r="BR15" s="117">
        <f>'Assign To West Contracts'!BT117</f>
        <v>81925.222681926665</v>
      </c>
      <c r="BS15" s="117">
        <f>'Assign To West Contracts'!BU117</f>
        <v>0</v>
      </c>
      <c r="BT15" s="117">
        <f>'Assign To West Contracts'!BV117</f>
        <v>0</v>
      </c>
      <c r="BU15" s="117">
        <f>'Assign To West Contracts'!BW117</f>
        <v>8894.7384626091807</v>
      </c>
      <c r="BV15" s="117">
        <f>'Assign To West Contracts'!BX117</f>
        <v>681.85215358788298</v>
      </c>
      <c r="BW15" s="117">
        <f>'Assign To West Contracts'!BY117</f>
        <v>0</v>
      </c>
      <c r="BX15" s="72">
        <f t="shared" si="1"/>
        <v>1397228.368860078</v>
      </c>
      <c r="BY15" s="76"/>
      <c r="BZ15" s="117">
        <f>'Assign To West Contracts'!CB117</f>
        <v>35944.852136843831</v>
      </c>
      <c r="CA15" s="117">
        <f>'Assign To West Contracts'!CC117</f>
        <v>12879.555468605166</v>
      </c>
      <c r="CB15" s="117">
        <f>'Assign To West Contracts'!CD117</f>
        <v>39040.78650683591</v>
      </c>
      <c r="CC15" s="117">
        <f>'Assign To West Contracts'!CE117</f>
        <v>19969.362298246571</v>
      </c>
      <c r="CD15" s="117">
        <f>'Assign To West Contracts'!CF117</f>
        <v>15975.489838597254</v>
      </c>
      <c r="CE15" s="117">
        <f>'Assign To West Contracts'!CG117</f>
        <v>19969.362298246571</v>
      </c>
      <c r="CF15" s="117">
        <f>'Assign To West Contracts'!CH117</f>
        <v>5851.5728106901061</v>
      </c>
      <c r="CG15" s="117">
        <f>'Assign To West Contracts'!CI117</f>
        <v>5852.030429585132</v>
      </c>
      <c r="CH15" s="117">
        <f>'Assign To West Contracts'!CJ117</f>
        <v>4681.4412961100943</v>
      </c>
      <c r="CI15" s="117">
        <f>'Assign To West Contracts'!CK117</f>
        <v>4681.4412961100943</v>
      </c>
      <c r="CJ15" s="117">
        <f>'Assign To West Contracts'!CL117</f>
        <v>187.16612806539871</v>
      </c>
      <c r="CK15" s="117">
        <f>'Assign To West Contracts'!CM117</f>
        <v>6864.2834253813717</v>
      </c>
      <c r="CL15" s="117">
        <f>'Assign To West Contracts'!CN117</f>
        <v>46487.215451157776</v>
      </c>
      <c r="CM15" s="117">
        <f>'Assign To West Contracts'!CO117</f>
        <v>2106.8773926970557</v>
      </c>
      <c r="CN15" s="117">
        <f>'Assign To West Contracts'!CP117</f>
        <v>88528.205718248515</v>
      </c>
      <c r="CO15" s="117">
        <f>'Assign To West Contracts'!CQ117</f>
        <v>4461.7842264978917</v>
      </c>
      <c r="CP15" s="117">
        <f>'Assign To West Contracts'!CR117</f>
        <v>271423.83425526996</v>
      </c>
      <c r="CQ15" s="117">
        <f>'Assign To West Contracts'!CS117</f>
        <v>16016.661325889869</v>
      </c>
      <c r="CR15" s="117">
        <f>'Assign To West Contracts'!CT117</f>
        <v>0</v>
      </c>
      <c r="CS15" s="117">
        <f>'Assign To West Contracts'!CU117</f>
        <v>0</v>
      </c>
      <c r="CT15" s="117">
        <f>'Assign To West Contracts'!CV117</f>
        <v>0</v>
      </c>
      <c r="CU15" s="117">
        <f>'Assign To West Contracts'!CW117</f>
        <v>0</v>
      </c>
      <c r="CV15" s="117">
        <f>'Assign To West Contracts'!CX117</f>
        <v>0</v>
      </c>
      <c r="CW15" s="73">
        <f t="shared" si="2"/>
        <v>600921.92230307858</v>
      </c>
      <c r="CX15" s="76"/>
      <c r="CY15" s="73">
        <f t="shared" si="3"/>
        <v>1998150.2911631567</v>
      </c>
      <c r="CZ15" s="76"/>
      <c r="DA15" s="68"/>
      <c r="DB15" s="68"/>
      <c r="DC15" s="68"/>
      <c r="DD15" s="68"/>
      <c r="DE15" s="68"/>
      <c r="DF15" s="68"/>
      <c r="DG15" s="68"/>
      <c r="DI15" s="76"/>
      <c r="DJ15" s="213">
        <f t="shared" si="0"/>
        <v>1998150.2911631567</v>
      </c>
      <c r="DK15" s="76"/>
    </row>
    <row r="16" spans="1:115" x14ac:dyDescent="0.25">
      <c r="A16" s="70" t="s">
        <v>329</v>
      </c>
      <c r="B16" s="117">
        <f>'Assign To West Contracts'!D118</f>
        <v>698.79729655600909</v>
      </c>
      <c r="C16" s="117">
        <f>'Assign To West Contracts'!E118</f>
        <v>1397.5945931120182</v>
      </c>
      <c r="D16" s="117">
        <f>'Assign To West Contracts'!F118</f>
        <v>0</v>
      </c>
      <c r="E16" s="117">
        <f>'Assign To West Contracts'!G118</f>
        <v>286.40287087138046</v>
      </c>
      <c r="F16" s="117">
        <f>'Assign To West Contracts'!H118</f>
        <v>1057.8645636514379</v>
      </c>
      <c r="G16" s="117">
        <f>'Assign To West Contracts'!I118</f>
        <v>95.499659739103464</v>
      </c>
      <c r="H16" s="117">
        <f>'Assign To West Contracts'!J118</f>
        <v>47.942046561411736</v>
      </c>
      <c r="I16" s="117">
        <f>'Assign To West Contracts'!K118</f>
        <v>211.55048744957068</v>
      </c>
      <c r="J16" s="117">
        <f>'Assign To West Contracts'!L118</f>
        <v>0</v>
      </c>
      <c r="K16" s="117">
        <f>'Assign To West Contracts'!M118</f>
        <v>2900.0087807074378</v>
      </c>
      <c r="L16" s="117">
        <f>'Assign To West Contracts'!N118</f>
        <v>3493.9864827800457</v>
      </c>
      <c r="M16" s="117">
        <f>'Assign To West Contracts'!O118</f>
        <v>33.766065536737713</v>
      </c>
      <c r="N16" s="117">
        <f>'Assign To West Contracts'!P118</f>
        <v>580.67060805136521</v>
      </c>
      <c r="O16" s="117">
        <f>'Assign To West Contracts'!Q118</f>
        <v>21.784558410798528</v>
      </c>
      <c r="P16" s="117">
        <f>'Assign To West Contracts'!R118</f>
        <v>0</v>
      </c>
      <c r="Q16" s="117">
        <f>'Assign To West Contracts'!S118</f>
        <v>0</v>
      </c>
      <c r="R16" s="117">
        <f>'Assign To West Contracts'!T118</f>
        <v>0</v>
      </c>
      <c r="S16" s="117">
        <f>'Assign To West Contracts'!U118</f>
        <v>0</v>
      </c>
      <c r="T16" s="117">
        <f>'Assign To West Contracts'!V118</f>
        <v>0</v>
      </c>
      <c r="U16" s="117">
        <f>'Assign To West Contracts'!W118</f>
        <v>203.10897106538621</v>
      </c>
      <c r="V16" s="117">
        <f>'Assign To West Contracts'!X118</f>
        <v>12.734355835724138</v>
      </c>
      <c r="W16" s="117">
        <f>'Assign To West Contracts'!Y118</f>
        <v>1257.8351338008165</v>
      </c>
      <c r="X16" s="117">
        <f>'Assign To West Contracts'!Z118</f>
        <v>228.20926741076937</v>
      </c>
      <c r="Y16" s="117">
        <f>'Assign To West Contracts'!AA118</f>
        <v>0</v>
      </c>
      <c r="Z16" s="117">
        <f>'Assign To West Contracts'!AB118</f>
        <v>0</v>
      </c>
      <c r="AA16" s="117">
        <f>'Assign To West Contracts'!AC118</f>
        <v>0</v>
      </c>
      <c r="AB16" s="117">
        <f>'Assign To West Contracts'!AD118</f>
        <v>0</v>
      </c>
      <c r="AC16" s="117">
        <f>'Assign To West Contracts'!AE118</f>
        <v>0</v>
      </c>
      <c r="AD16" s="117">
        <f>'Assign To West Contracts'!AF118</f>
        <v>0</v>
      </c>
      <c r="AE16" s="117">
        <f>'Assign To West Contracts'!AG118</f>
        <v>0</v>
      </c>
      <c r="AF16" s="117">
        <f>'Assign To West Contracts'!AH118</f>
        <v>0</v>
      </c>
      <c r="AG16" s="117">
        <f>'Assign To West Contracts'!AI118</f>
        <v>67.291860208650377</v>
      </c>
      <c r="AH16" s="117">
        <f>'Assign To West Contracts'!AJ118</f>
        <v>0</v>
      </c>
      <c r="AI16" s="117">
        <f>'Assign To West Contracts'!AK118</f>
        <v>0</v>
      </c>
      <c r="AJ16" s="117">
        <f>'Assign To West Contracts'!AL118</f>
        <v>571.42818878443154</v>
      </c>
      <c r="AK16" s="117">
        <f>'Assign To West Contracts'!AM118</f>
        <v>0</v>
      </c>
      <c r="AL16" s="117">
        <f>'Assign To West Contracts'!AN118</f>
        <v>0</v>
      </c>
      <c r="AM16" s="117">
        <f>'Assign To West Contracts'!AO118</f>
        <v>891.39348205353292</v>
      </c>
      <c r="AN16" s="117">
        <f>'Assign To West Contracts'!AP118</f>
        <v>156.80246278048088</v>
      </c>
      <c r="AO16" s="117">
        <f>'Assign To West Contracts'!AQ118</f>
        <v>0</v>
      </c>
      <c r="AP16" s="117">
        <f>'Assign To West Contracts'!AR118</f>
        <v>368.41532606497503</v>
      </c>
      <c r="AQ16" s="117">
        <f>'Assign To West Contracts'!AS118</f>
        <v>244.5790537946032</v>
      </c>
      <c r="AR16" s="117">
        <f>'Assign To West Contracts'!AT118</f>
        <v>0</v>
      </c>
      <c r="AS16" s="117">
        <f>'Assign To West Contracts'!AU118</f>
        <v>0</v>
      </c>
      <c r="AT16" s="117">
        <f>'Assign To West Contracts'!AV118</f>
        <v>85.312175070524191</v>
      </c>
      <c r="AU16" s="117">
        <f>'Assign To West Contracts'!AW118</f>
        <v>113.61608294690716</v>
      </c>
      <c r="AV16" s="117">
        <f>'Assign To West Contracts'!AX118</f>
        <v>0</v>
      </c>
      <c r="AW16" s="117">
        <f>'Assign To West Contracts'!AY118</f>
        <v>214.00125027078542</v>
      </c>
      <c r="AX16" s="117">
        <f>'Assign To West Contracts'!AZ118</f>
        <v>71.857006640325096</v>
      </c>
      <c r="AY16" s="117">
        <f>'Assign To West Contracts'!BA118</f>
        <v>38.603518948547368</v>
      </c>
      <c r="AZ16" s="117">
        <f>'Assign To West Contracts'!BB118</f>
        <v>50.985477515861561</v>
      </c>
      <c r="BA16" s="117">
        <f>'Assign To West Contracts'!BC118</f>
        <v>310.20570454670877</v>
      </c>
      <c r="BB16" s="117">
        <f>'Assign To West Contracts'!BD118</f>
        <v>170.84860294821829</v>
      </c>
      <c r="BC16" s="117">
        <f>'Assign To West Contracts'!BE118</f>
        <v>0</v>
      </c>
      <c r="BD16" s="117">
        <f>'Assign To West Contracts'!BF118</f>
        <v>698.79729655600909</v>
      </c>
      <c r="BE16" s="117">
        <f>'Assign To West Contracts'!BG118</f>
        <v>774.32892510030263</v>
      </c>
      <c r="BF16" s="117">
        <f>'Assign To West Contracts'!BH118</f>
        <v>349.39864827800454</v>
      </c>
      <c r="BG16" s="117">
        <f>'Assign To West Contracts'!BI118</f>
        <v>3.2036115309997837E-2</v>
      </c>
      <c r="BH16" s="117">
        <f>'Assign To West Contracts'!BJ118</f>
        <v>4542.1824276140605</v>
      </c>
      <c r="BI16" s="117">
        <f>'Assign To West Contracts'!BK118</f>
        <v>18867.527007012246</v>
      </c>
      <c r="BJ16" s="117">
        <f>'Assign To West Contracts'!BL118</f>
        <v>21313.317544958274</v>
      </c>
      <c r="BK16" s="117">
        <f>'Assign To West Contracts'!BM118</f>
        <v>76.950748974614768</v>
      </c>
      <c r="BL16" s="117">
        <f>'Assign To West Contracts'!BN118</f>
        <v>57.376682520206124</v>
      </c>
      <c r="BM16" s="117">
        <f>'Assign To West Contracts'!BO118</f>
        <v>1126.1014892617336</v>
      </c>
      <c r="BN16" s="117">
        <f>'Assign To West Contracts'!BP118</f>
        <v>5240.979724170068</v>
      </c>
      <c r="BO16" s="117">
        <f>'Assign To West Contracts'!BQ118</f>
        <v>75.268852920839876</v>
      </c>
      <c r="BP16" s="117">
        <f>'Assign To West Contracts'!BR118</f>
        <v>5328.2306803011797</v>
      </c>
      <c r="BQ16" s="117">
        <f>'Assign To West Contracts'!BS118</f>
        <v>0</v>
      </c>
      <c r="BR16" s="117">
        <f>'Assign To West Contracts'!BT118</f>
        <v>6114.476344865081</v>
      </c>
      <c r="BS16" s="117">
        <f>'Assign To West Contracts'!BU118</f>
        <v>0</v>
      </c>
      <c r="BT16" s="117">
        <f>'Assign To West Contracts'!BV118</f>
        <v>0</v>
      </c>
      <c r="BU16" s="117">
        <f>'Assign To West Contracts'!BW118</f>
        <v>663.85743172820867</v>
      </c>
      <c r="BV16" s="117">
        <f>'Assign To West Contracts'!BX118</f>
        <v>50.889930198849157</v>
      </c>
      <c r="BW16" s="117">
        <f>'Assign To West Contracts'!BY118</f>
        <v>0</v>
      </c>
      <c r="BX16" s="72">
        <f t="shared" si="1"/>
        <v>81162.81170468952</v>
      </c>
      <c r="BY16" s="76"/>
      <c r="BZ16" s="117">
        <f>'Assign To West Contracts'!CB118</f>
        <v>-6.506422291833354E-13</v>
      </c>
      <c r="CA16" s="117">
        <f>'Assign To West Contracts'!CC118</f>
        <v>1.6266055729583385E-13</v>
      </c>
      <c r="CB16" s="117">
        <f>'Assign To West Contracts'!CD118</f>
        <v>0</v>
      </c>
      <c r="CC16" s="117">
        <f>'Assign To West Contracts'!CE118</f>
        <v>-3.253211145916677E-13</v>
      </c>
      <c r="CD16" s="117">
        <f>'Assign To West Contracts'!CF118</f>
        <v>0</v>
      </c>
      <c r="CE16" s="117">
        <f>'Assign To West Contracts'!CG118</f>
        <v>-3.253211145916677E-13</v>
      </c>
      <c r="CF16" s="117">
        <f>'Assign To West Contracts'!CH118</f>
        <v>436.73123318972085</v>
      </c>
      <c r="CG16" s="117">
        <f>'Assign To West Contracts'!CI118</f>
        <v>436.76538750529062</v>
      </c>
      <c r="CH16" s="117">
        <f>'Assign To West Contracts'!CJ118</f>
        <v>349.39864827800454</v>
      </c>
      <c r="CI16" s="117">
        <f>'Assign To West Contracts'!CK118</f>
        <v>349.39864827800454</v>
      </c>
      <c r="CJ16" s="117">
        <f>'Assign To West Contracts'!CL118</f>
        <v>13.969115068006241</v>
      </c>
      <c r="CK16" s="117">
        <f>'Assign To West Contracts'!CM118</f>
        <v>512.31473354546119</v>
      </c>
      <c r="CL16" s="117">
        <f>'Assign To West Contracts'!CN118</f>
        <v>3469.5661471477115</v>
      </c>
      <c r="CM16" s="117">
        <f>'Assign To West Contracts'!CO118</f>
        <v>157.24646888288689</v>
      </c>
      <c r="CN16" s="117">
        <f>'Assign To West Contracts'!CP118</f>
        <v>6607.2889642202454</v>
      </c>
      <c r="CO16" s="117">
        <f>'Assign To West Contracts'!CQ118</f>
        <v>333.00457680454974</v>
      </c>
      <c r="CP16" s="117">
        <f>'Assign To West Contracts'!CR118</f>
        <v>20257.675959330074</v>
      </c>
      <c r="CQ16" s="117">
        <f>'Assign To West Contracts'!CS118</f>
        <v>1195.4010449394093</v>
      </c>
      <c r="CR16" s="117">
        <f>'Assign To West Contracts'!CT118</f>
        <v>151.48687818308886</v>
      </c>
      <c r="CS16" s="117">
        <f>'Assign To West Contracts'!CU118</f>
        <v>3496.5234433488486</v>
      </c>
      <c r="CT16" s="117">
        <f>'Assign To West Contracts'!CV118</f>
        <v>17719.856332375461</v>
      </c>
      <c r="CU16" s="117">
        <f>'Assign To West Contracts'!CW118</f>
        <v>22699.779846565059</v>
      </c>
      <c r="CV16" s="117">
        <f>'Assign To West Contracts'!CX118</f>
        <v>420.63177023486645</v>
      </c>
      <c r="CW16" s="73">
        <f t="shared" si="2"/>
        <v>78607.03919789668</v>
      </c>
      <c r="CX16" s="76"/>
      <c r="CY16" s="73">
        <f t="shared" si="3"/>
        <v>159769.85090258619</v>
      </c>
      <c r="CZ16" s="76"/>
      <c r="DA16" s="68">
        <f>'Assign to East Contracts'!C23</f>
        <v>0</v>
      </c>
      <c r="DB16" s="68">
        <f>'Assign to East Contracts'!D23</f>
        <v>725.22725921173196</v>
      </c>
      <c r="DC16" s="68">
        <f>'Assign to East Contracts'!E23</f>
        <v>679.9430519517457</v>
      </c>
      <c r="DD16" s="68">
        <f>'Assign to East Contracts'!F23</f>
        <v>1735.214668580855</v>
      </c>
      <c r="DE16" s="68">
        <f>'Assign to East Contracts'!G23</f>
        <v>1274.8932224095233</v>
      </c>
      <c r="DF16" s="68">
        <f>'Assign to East Contracts'!H23</f>
        <v>1359.8861039034914</v>
      </c>
      <c r="DG16" s="68">
        <f>'Assign to East Contracts'!I23</f>
        <v>2719.7722078069828</v>
      </c>
      <c r="DH16" s="72">
        <f>SUM(DA16:DG16)</f>
        <v>8494.9365138643298</v>
      </c>
      <c r="DI16" s="76"/>
      <c r="DJ16" s="213">
        <f t="shared" si="0"/>
        <v>168264.7874164505</v>
      </c>
      <c r="DK16" s="76"/>
    </row>
    <row r="17" spans="1:115" x14ac:dyDescent="0.25">
      <c r="A17" s="70" t="s">
        <v>330</v>
      </c>
      <c r="B17" s="117">
        <f>'Assign To West Contracts'!D119</f>
        <v>3520.8035883975017</v>
      </c>
      <c r="C17" s="117">
        <f>'Assign To West Contracts'!E119</f>
        <v>7041.6071767950034</v>
      </c>
      <c r="D17" s="117">
        <f>'Assign To West Contracts'!F119</f>
        <v>0</v>
      </c>
      <c r="E17" s="117">
        <f>'Assign To West Contracts'!G119</f>
        <v>1443.0053757520243</v>
      </c>
      <c r="F17" s="117">
        <f>'Assign To West Contracts'!H119</f>
        <v>5329.9195204370917</v>
      </c>
      <c r="G17" s="117">
        <f>'Assign To West Contracts'!I119</f>
        <v>481.16320191462904</v>
      </c>
      <c r="H17" s="117">
        <f>'Assign To West Contracts'!J119</f>
        <v>241.55006094104078</v>
      </c>
      <c r="I17" s="117">
        <f>'Assign To West Contracts'!K119</f>
        <v>1065.8709170893173</v>
      </c>
      <c r="J17" s="117">
        <f>'Assign To West Contracts'!L119</f>
        <v>0</v>
      </c>
      <c r="K17" s="117">
        <f>'Assign To West Contracts'!M119</f>
        <v>14611.334891849632</v>
      </c>
      <c r="L17" s="117">
        <f>'Assign To West Contracts'!N119</f>
        <v>17604.017941987509</v>
      </c>
      <c r="M17" s="117">
        <f>'Assign To West Contracts'!O119</f>
        <v>170.12613714123427</v>
      </c>
      <c r="N17" s="117">
        <f>'Assign To West Contracts'!P119</f>
        <v>2925.6369058381779</v>
      </c>
      <c r="O17" s="117">
        <f>'Assign To West Contracts'!Q119</f>
        <v>109.75879815563503</v>
      </c>
      <c r="P17" s="117">
        <f>'Assign To West Contracts'!R119</f>
        <v>0</v>
      </c>
      <c r="Q17" s="117">
        <f>'Assign To West Contracts'!S119</f>
        <v>0</v>
      </c>
      <c r="R17" s="117">
        <f>'Assign To West Contracts'!T119</f>
        <v>0</v>
      </c>
      <c r="S17" s="117">
        <f>'Assign To West Contracts'!U119</f>
        <v>0</v>
      </c>
      <c r="T17" s="117">
        <f>'Assign To West Contracts'!V119</f>
        <v>0</v>
      </c>
      <c r="U17" s="117">
        <f>'Assign To West Contracts'!W119</f>
        <v>1023.3393828040087</v>
      </c>
      <c r="V17" s="117">
        <f>'Assign To West Contracts'!X119</f>
        <v>64.160473921860174</v>
      </c>
      <c r="W17" s="117">
        <f>'Assign To West Contracts'!Y119</f>
        <v>6337.4464591155029</v>
      </c>
      <c r="X17" s="117">
        <f>'Assign To West Contracts'!Z119</f>
        <v>1149.8041156789197</v>
      </c>
      <c r="Y17" s="117">
        <f>'Assign To West Contracts'!AA119</f>
        <v>0</v>
      </c>
      <c r="Z17" s="117">
        <f>'Assign To West Contracts'!AB119</f>
        <v>0</v>
      </c>
      <c r="AA17" s="117">
        <f>'Assign To West Contracts'!AC119</f>
        <v>0</v>
      </c>
      <c r="AB17" s="117">
        <f>'Assign To West Contracts'!AD119</f>
        <v>0</v>
      </c>
      <c r="AC17" s="117">
        <f>'Assign To West Contracts'!AE119</f>
        <v>0</v>
      </c>
      <c r="AD17" s="117">
        <f>'Assign To West Contracts'!AF119</f>
        <v>0</v>
      </c>
      <c r="AE17" s="117">
        <f>'Assign To West Contracts'!AG119</f>
        <v>0</v>
      </c>
      <c r="AF17" s="117">
        <f>'Assign To West Contracts'!AH119</f>
        <v>0</v>
      </c>
      <c r="AG17" s="117">
        <f>'Assign To West Contracts'!AI119</f>
        <v>339.0416993028104</v>
      </c>
      <c r="AH17" s="117">
        <f>'Assign To West Contracts'!AJ119</f>
        <v>0</v>
      </c>
      <c r="AI17" s="117">
        <f>'Assign To West Contracts'!AK119</f>
        <v>0</v>
      </c>
      <c r="AJ17" s="117">
        <f>'Assign To West Contracts'!AL119</f>
        <v>2879.0701216206803</v>
      </c>
      <c r="AK17" s="117">
        <f>'Assign To West Contracts'!AM119</f>
        <v>0</v>
      </c>
      <c r="AL17" s="117">
        <f>'Assign To West Contracts'!AN119</f>
        <v>0</v>
      </c>
      <c r="AM17" s="117">
        <f>'Assign To West Contracts'!AO119</f>
        <v>4491.1756037921023</v>
      </c>
      <c r="AN17" s="117">
        <f>'Assign To West Contracts'!AP119</f>
        <v>790.02977880415131</v>
      </c>
      <c r="AO17" s="117">
        <f>'Assign To West Contracts'!AQ119</f>
        <v>0</v>
      </c>
      <c r="AP17" s="117">
        <f>'Assign To West Contracts'!AR119</f>
        <v>1856.2149688085333</v>
      </c>
      <c r="AQ17" s="117">
        <f>'Assign To West Contracts'!AS119</f>
        <v>1232.2812559391257</v>
      </c>
      <c r="AR17" s="117">
        <f>'Assign To West Contracts'!AT119</f>
        <v>0</v>
      </c>
      <c r="AS17" s="117">
        <f>'Assign To West Contracts'!AU119</f>
        <v>0</v>
      </c>
      <c r="AT17" s="117">
        <f>'Assign To West Contracts'!AV119</f>
        <v>429.83482277714108</v>
      </c>
      <c r="AU17" s="117">
        <f>'Assign To West Contracts'!AW119</f>
        <v>572.44055538082216</v>
      </c>
      <c r="AV17" s="117">
        <f>'Assign To West Contracts'!AX119</f>
        <v>0</v>
      </c>
      <c r="AW17" s="117">
        <f>'Assign To West Contracts'!AY119</f>
        <v>1078.2187818818259</v>
      </c>
      <c r="AX17" s="117">
        <f>'Assign To West Contracts'!AZ119</f>
        <v>362.0426239163076</v>
      </c>
      <c r="AY17" s="117">
        <f>'Assign To West Contracts'!BA119</f>
        <v>194.49904673167669</v>
      </c>
      <c r="AZ17" s="117">
        <f>'Assign To West Contracts'!BB119</f>
        <v>256.88401068337231</v>
      </c>
      <c r="BA17" s="117">
        <f>'Assign To West Contracts'!BC119</f>
        <v>1562.933003736784</v>
      </c>
      <c r="BB17" s="117">
        <f>'Assign To West Contracts'!BD119</f>
        <v>860.79951553529554</v>
      </c>
      <c r="BC17" s="117">
        <f>'Assign To West Contracts'!BE119</f>
        <v>0</v>
      </c>
      <c r="BD17" s="117">
        <f>'Assign To West Contracts'!BF119</f>
        <v>3520.8035883975017</v>
      </c>
      <c r="BE17" s="117">
        <f>'Assign To West Contracts'!BG119</f>
        <v>3901.360339442318</v>
      </c>
      <c r="BF17" s="117">
        <f>'Assign To West Contracts'!BH119</f>
        <v>1760.4017941987508</v>
      </c>
      <c r="BG17" s="117">
        <f>'Assign To West Contracts'!BI119</f>
        <v>0.16140999728769856</v>
      </c>
      <c r="BH17" s="117">
        <f>'Assign To West Contracts'!BJ119</f>
        <v>22885.223324583767</v>
      </c>
      <c r="BI17" s="117">
        <f>'Assign To West Contracts'!BK119</f>
        <v>95061.696886732549</v>
      </c>
      <c r="BJ17" s="117">
        <f>'Assign To West Contracts'!BL119</f>
        <v>107384.50944612377</v>
      </c>
      <c r="BK17" s="117">
        <f>'Assign To West Contracts'!BM119</f>
        <v>387.70681348505178</v>
      </c>
      <c r="BL17" s="117">
        <f>'Assign To West Contracts'!BN119</f>
        <v>289.08530514226811</v>
      </c>
      <c r="BM17" s="117">
        <f>'Assign To West Contracts'!BO119</f>
        <v>5673.7228146598909</v>
      </c>
      <c r="BN17" s="117">
        <f>'Assign To West Contracts'!BP119</f>
        <v>26406.026912981262</v>
      </c>
      <c r="BO17" s="117">
        <f>'Assign To West Contracts'!BQ119</f>
        <v>379.23278862744758</v>
      </c>
      <c r="BP17" s="117">
        <f>'Assign To West Contracts'!BR119</f>
        <v>26845.630043891357</v>
      </c>
      <c r="BQ17" s="117">
        <f>'Assign To West Contracts'!BS119</f>
        <v>0</v>
      </c>
      <c r="BR17" s="117">
        <f>'Assign To West Contracts'!BT119</f>
        <v>30807.031398478146</v>
      </c>
      <c r="BS17" s="117">
        <f>'Assign To West Contracts'!BU119</f>
        <v>0</v>
      </c>
      <c r="BT17" s="117">
        <f>'Assign To West Contracts'!BV119</f>
        <v>0</v>
      </c>
      <c r="BU17" s="117">
        <f>'Assign To West Contracts'!BW119</f>
        <v>3344.7634089776266</v>
      </c>
      <c r="BV17" s="117">
        <f>'Assign To West Contracts'!BX119</f>
        <v>256.40260736619149</v>
      </c>
      <c r="BW17" s="117">
        <f>'Assign To West Contracts'!BY119</f>
        <v>0</v>
      </c>
      <c r="BX17" s="72">
        <f t="shared" si="1"/>
        <v>408928.76961981494</v>
      </c>
      <c r="BY17" s="76"/>
      <c r="BZ17" s="117">
        <f>'Assign To West Contracts'!CB119</f>
        <v>-3.2781802484950356E-12</v>
      </c>
      <c r="CA17" s="117">
        <f>'Assign To West Contracts'!CC119</f>
        <v>8.1954506212375889E-13</v>
      </c>
      <c r="CB17" s="117">
        <f>'Assign To West Contracts'!CD119</f>
        <v>0</v>
      </c>
      <c r="CC17" s="117">
        <f>'Assign To West Contracts'!CE119</f>
        <v>-1.6390901242475178E-12</v>
      </c>
      <c r="CD17" s="117">
        <f>'Assign To West Contracts'!CF119</f>
        <v>0</v>
      </c>
      <c r="CE17" s="117">
        <f>'Assign To West Contracts'!CG119</f>
        <v>-1.6390901242475178E-12</v>
      </c>
      <c r="CF17" s="117">
        <f>'Assign To West Contracts'!CH119</f>
        <v>2200.4162016050273</v>
      </c>
      <c r="CG17" s="117">
        <f>'Assign To West Contracts'!CI119</f>
        <v>2200.5882838918506</v>
      </c>
      <c r="CH17" s="117">
        <f>'Assign To West Contracts'!CJ119</f>
        <v>1760.4017941987508</v>
      </c>
      <c r="CI17" s="117">
        <f>'Assign To West Contracts'!CK119</f>
        <v>1760.4017941987508</v>
      </c>
      <c r="CJ17" s="117">
        <f>'Assign To West Contracts'!CL119</f>
        <v>70.38165531058543</v>
      </c>
      <c r="CK17" s="117">
        <f>'Assign To West Contracts'!CM119</f>
        <v>2581.234302344209</v>
      </c>
      <c r="CL17" s="117">
        <f>'Assign To West Contracts'!CN119</f>
        <v>17480.979106909101</v>
      </c>
      <c r="CM17" s="117">
        <f>'Assign To West Contracts'!CO119</f>
        <v>792.26684853284939</v>
      </c>
      <c r="CN17" s="117">
        <f>'Assign To West Contracts'!CP119</f>
        <v>33290.006715046453</v>
      </c>
      <c r="CO17" s="117">
        <f>'Assign To West Contracts'!CQ119</f>
        <v>1677.8022965237358</v>
      </c>
      <c r="CP17" s="117">
        <f>'Assign To West Contracts'!CR119</f>
        <v>102065.79012500017</v>
      </c>
      <c r="CQ17" s="117">
        <f>'Assign To West Contracts'!CS119</f>
        <v>6022.880038803155</v>
      </c>
      <c r="CR17" s="117">
        <f>'Assign To West Contracts'!CT119</f>
        <v>763.24786448197949</v>
      </c>
      <c r="CS17" s="117">
        <f>'Assign To West Contracts'!CU119</f>
        <v>17616.80010345019</v>
      </c>
      <c r="CT17" s="117">
        <f>'Assign To West Contracts'!CV119</f>
        <v>89279.300404270049</v>
      </c>
      <c r="CU17" s="117">
        <f>'Assign To West Contracts'!CW119</f>
        <v>114370.02795160898</v>
      </c>
      <c r="CV17" s="117">
        <f>'Assign To West Contracts'!CX119</f>
        <v>2119.3010524450578</v>
      </c>
      <c r="CW17" s="73">
        <f t="shared" si="2"/>
        <v>396051.82653862092</v>
      </c>
      <c r="CX17" s="76"/>
      <c r="CY17" s="73">
        <f t="shared" si="3"/>
        <v>804980.5961584358</v>
      </c>
      <c r="CZ17" s="76"/>
      <c r="DA17" s="68">
        <f>'Assign to East Contracts'!C24</f>
        <v>0</v>
      </c>
      <c r="DB17" s="68">
        <f>'Assign to East Contracts'!D24</f>
        <v>4487.8714700160299</v>
      </c>
      <c r="DC17" s="68">
        <f>'Assign to East Contracts'!E24</f>
        <v>4207.642480795078</v>
      </c>
      <c r="DD17" s="68">
        <f>'Assign to East Contracts'!F24</f>
        <v>10737.903610989038</v>
      </c>
      <c r="DE17" s="68">
        <f>'Assign to East Contracts'!G24</f>
        <v>7889.3296514907715</v>
      </c>
      <c r="DF17" s="68">
        <f>'Assign to East Contracts'!H24</f>
        <v>8415.2849615901559</v>
      </c>
      <c r="DG17" s="68">
        <f>'Assign to East Contracts'!I24</f>
        <v>16830.569923180312</v>
      </c>
      <c r="DH17" s="72">
        <f>SUM(DA17:DG17)</f>
        <v>52568.602098061383</v>
      </c>
      <c r="DI17" s="76"/>
      <c r="DJ17" s="213">
        <f t="shared" si="0"/>
        <v>857549.19825649715</v>
      </c>
      <c r="DK17" s="76"/>
    </row>
    <row r="18" spans="1:115" x14ac:dyDescent="0.25">
      <c r="A18" s="70" t="s">
        <v>331</v>
      </c>
      <c r="B18" s="117">
        <f>'Assign To West Contracts'!D120</f>
        <v>3594.8619374631699</v>
      </c>
      <c r="C18" s="117">
        <f>'Assign To West Contracts'!E120</f>
        <v>7189.7238749263397</v>
      </c>
      <c r="D18" s="117">
        <f>'Assign To West Contracts'!F120</f>
        <v>0</v>
      </c>
      <c r="E18" s="117">
        <f>'Assign To West Contracts'!G120</f>
        <v>1473.3582747814528</v>
      </c>
      <c r="F18" s="117">
        <f>'Assign To West Contracts'!H120</f>
        <v>5442.0317216508229</v>
      </c>
      <c r="G18" s="117">
        <f>'Assign To West Contracts'!I120</f>
        <v>491.2842301033009</v>
      </c>
      <c r="H18" s="117">
        <f>'Assign To West Contracts'!J120</f>
        <v>246.63094610855083</v>
      </c>
      <c r="I18" s="117">
        <f>'Assign To West Contracts'!K120</f>
        <v>1088.29098070686</v>
      </c>
      <c r="J18" s="117">
        <f>'Assign To West Contracts'!L120</f>
        <v>0</v>
      </c>
      <c r="K18" s="117">
        <f>'Assign To West Contracts'!M120</f>
        <v>14918.677040472156</v>
      </c>
      <c r="L18" s="117">
        <f>'Assign To West Contracts'!N120</f>
        <v>17974.30968731585</v>
      </c>
      <c r="M18" s="117">
        <f>'Assign To West Contracts'!O120</f>
        <v>173.70465566215347</v>
      </c>
      <c r="N18" s="117">
        <f>'Assign To West Contracts'!P120</f>
        <v>2987.1762203077424</v>
      </c>
      <c r="O18" s="117">
        <f>'Assign To West Contracts'!Q120</f>
        <v>112.06751978203452</v>
      </c>
      <c r="P18" s="117">
        <f>'Assign To West Contracts'!R120</f>
        <v>0</v>
      </c>
      <c r="Q18" s="117">
        <f>'Assign To West Contracts'!S120</f>
        <v>0</v>
      </c>
      <c r="R18" s="117">
        <f>'Assign To West Contracts'!T120</f>
        <v>0</v>
      </c>
      <c r="S18" s="117">
        <f>'Assign To West Contracts'!U120</f>
        <v>0</v>
      </c>
      <c r="T18" s="117">
        <f>'Assign To West Contracts'!V120</f>
        <v>0</v>
      </c>
      <c r="U18" s="117">
        <f>'Assign To West Contracts'!W120</f>
        <v>1044.8648167913216</v>
      </c>
      <c r="V18" s="117">
        <f>'Assign To West Contracts'!X120</f>
        <v>65.510057519645173</v>
      </c>
      <c r="W18" s="117">
        <f>'Assign To West Contracts'!Y120</f>
        <v>6470.7514874337057</v>
      </c>
      <c r="X18" s="117">
        <f>'Assign To West Contracts'!Z120</f>
        <v>1173.9896723048855</v>
      </c>
      <c r="Y18" s="117">
        <f>'Assign To West Contracts'!AA120</f>
        <v>0</v>
      </c>
      <c r="Z18" s="117">
        <f>'Assign To West Contracts'!AB120</f>
        <v>0</v>
      </c>
      <c r="AA18" s="117">
        <f>'Assign To West Contracts'!AC120</f>
        <v>0</v>
      </c>
      <c r="AB18" s="117">
        <f>'Assign To West Contracts'!AD120</f>
        <v>0</v>
      </c>
      <c r="AC18" s="117">
        <f>'Assign To West Contracts'!AE120</f>
        <v>0</v>
      </c>
      <c r="AD18" s="117">
        <f>'Assign To West Contracts'!AF120</f>
        <v>0</v>
      </c>
      <c r="AE18" s="117">
        <f>'Assign To West Contracts'!AG120</f>
        <v>0</v>
      </c>
      <c r="AF18" s="117">
        <f>'Assign To West Contracts'!AH120</f>
        <v>0</v>
      </c>
      <c r="AG18" s="117">
        <f>'Assign To West Contracts'!AI120</f>
        <v>346.17327250318118</v>
      </c>
      <c r="AH18" s="117">
        <f>'Assign To West Contracts'!AJ120</f>
        <v>0</v>
      </c>
      <c r="AI18" s="117">
        <f>'Assign To West Contracts'!AK120</f>
        <v>0</v>
      </c>
      <c r="AJ18" s="117">
        <f>'Assign To West Contracts'!AL120</f>
        <v>2939.6299269884566</v>
      </c>
      <c r="AK18" s="117">
        <f>'Assign To West Contracts'!AM120</f>
        <v>0</v>
      </c>
      <c r="AL18" s="117">
        <f>'Assign To West Contracts'!AN120</f>
        <v>0</v>
      </c>
      <c r="AM18" s="117">
        <f>'Assign To West Contracts'!AO120</f>
        <v>4585.6452446652629</v>
      </c>
      <c r="AN18" s="117">
        <f>'Assign To West Contracts'!AP120</f>
        <v>806.64766152949255</v>
      </c>
      <c r="AO18" s="117">
        <f>'Assign To West Contracts'!AQ120</f>
        <v>0</v>
      </c>
      <c r="AP18" s="117">
        <f>'Assign To West Contracts'!AR120</f>
        <v>1895.2595257255834</v>
      </c>
      <c r="AQ18" s="117">
        <f>'Assign To West Contracts'!AS120</f>
        <v>1258.2016781121094</v>
      </c>
      <c r="AR18" s="117">
        <f>'Assign To West Contracts'!AT120</f>
        <v>0</v>
      </c>
      <c r="AS18" s="117">
        <f>'Assign To West Contracts'!AU120</f>
        <v>0</v>
      </c>
      <c r="AT18" s="117">
        <f>'Assign To West Contracts'!AV120</f>
        <v>438.87618408758499</v>
      </c>
      <c r="AU18" s="117">
        <f>'Assign To West Contracts'!AW120</f>
        <v>584.4815572161541</v>
      </c>
      <c r="AV18" s="117">
        <f>'Assign To West Contracts'!AX120</f>
        <v>0</v>
      </c>
      <c r="AW18" s="117">
        <f>'Assign To West Contracts'!AY120</f>
        <v>1100.8985766823384</v>
      </c>
      <c r="AX18" s="117">
        <f>'Assign To West Contracts'!AZ120</f>
        <v>369.65801010456357</v>
      </c>
      <c r="AY18" s="117">
        <f>'Assign To West Contracts'!BA120</f>
        <v>198.59023726081105</v>
      </c>
      <c r="AZ18" s="117">
        <f>'Assign To West Contracts'!BB120</f>
        <v>262.28743784280584</v>
      </c>
      <c r="BA18" s="117">
        <f>'Assign To West Contracts'!BC120</f>
        <v>1595.8085206609403</v>
      </c>
      <c r="BB18" s="117">
        <f>'Assign To West Contracts'!BD120</f>
        <v>878.90600440821981</v>
      </c>
      <c r="BC18" s="117">
        <f>'Assign To West Contracts'!BE120</f>
        <v>0</v>
      </c>
      <c r="BD18" s="117">
        <f>'Assign To West Contracts'!BF120</f>
        <v>3594.8619374631699</v>
      </c>
      <c r="BE18" s="117">
        <f>'Assign To West Contracts'!BG120</f>
        <v>3983.4235101348013</v>
      </c>
      <c r="BF18" s="117">
        <f>'Assign To West Contracts'!BH120</f>
        <v>1797.4309687315849</v>
      </c>
      <c r="BG18" s="117">
        <f>'Assign To West Contracts'!BI120</f>
        <v>0.16480517615005075</v>
      </c>
      <c r="BH18" s="117">
        <f>'Assign To West Contracts'!BJ120</f>
        <v>23366.602593510612</v>
      </c>
      <c r="BI18" s="117">
        <f>'Assign To West Contracts'!BK120</f>
        <v>97061.272311505585</v>
      </c>
      <c r="BJ18" s="117">
        <f>'Assign To West Contracts'!BL120</f>
        <v>109643.28909262666</v>
      </c>
      <c r="BK18" s="117">
        <f>'Assign To West Contracts'!BM120</f>
        <v>395.86203311242173</v>
      </c>
      <c r="BL18" s="117">
        <f>'Assign To West Contracts'!BN120</f>
        <v>295.16607048474089</v>
      </c>
      <c r="BM18" s="117">
        <f>'Assign To West Contracts'!BO120</f>
        <v>5793.0667468504325</v>
      </c>
      <c r="BN18" s="117">
        <f>'Assign To West Contracts'!BP120</f>
        <v>26961.464530973775</v>
      </c>
      <c r="BO18" s="117">
        <f>'Assign To West Contracts'!BQ120</f>
        <v>387.20976136454408</v>
      </c>
      <c r="BP18" s="117">
        <f>'Assign To West Contracts'!BR120</f>
        <v>27410.31449468834</v>
      </c>
      <c r="BQ18" s="117">
        <f>'Assign To West Contracts'!BS120</f>
        <v>0</v>
      </c>
      <c r="BR18" s="117">
        <f>'Assign To West Contracts'!BT120</f>
        <v>31455.041952802745</v>
      </c>
      <c r="BS18" s="117">
        <f>'Assign To West Contracts'!BU120</f>
        <v>0</v>
      </c>
      <c r="BT18" s="117">
        <f>'Assign To West Contracts'!BV120</f>
        <v>0</v>
      </c>
      <c r="BU18" s="117">
        <f>'Assign To West Contracts'!BW120</f>
        <v>3415.1188405900116</v>
      </c>
      <c r="BV18" s="117">
        <f>'Assign To West Contracts'!BX120</f>
        <v>261.79590844673135</v>
      </c>
      <c r="BW18" s="117">
        <f>'Assign To West Contracts'!BY120</f>
        <v>0</v>
      </c>
      <c r="BX18" s="72">
        <f t="shared" si="1"/>
        <v>417530.38251957978</v>
      </c>
      <c r="BY18" s="76"/>
      <c r="BZ18" s="117">
        <f>'Assign To West Contracts'!CB120</f>
        <v>-3.347135136505055E-12</v>
      </c>
      <c r="CA18" s="117">
        <f>'Assign To West Contracts'!CC120</f>
        <v>8.3678378412626376E-13</v>
      </c>
      <c r="CB18" s="117">
        <f>'Assign To West Contracts'!CD120</f>
        <v>0</v>
      </c>
      <c r="CC18" s="117">
        <f>'Assign To West Contracts'!CE120</f>
        <v>-1.6735675682525275E-12</v>
      </c>
      <c r="CD18" s="117">
        <f>'Assign To West Contracts'!CF120</f>
        <v>0</v>
      </c>
      <c r="CE18" s="117">
        <f>'Assign To West Contracts'!CG120</f>
        <v>-1.6735675682525275E-12</v>
      </c>
      <c r="CF18" s="117">
        <f>'Assign To West Contracts'!CH120</f>
        <v>2246.7008599384926</v>
      </c>
      <c r="CG18" s="117">
        <f>'Assign To West Contracts'!CI120</f>
        <v>2246.8765618904704</v>
      </c>
      <c r="CH18" s="117">
        <f>'Assign To West Contracts'!CJ120</f>
        <v>1797.4309687315849</v>
      </c>
      <c r="CI18" s="117">
        <f>'Assign To West Contracts'!CK120</f>
        <v>1797.4309687315849</v>
      </c>
      <c r="CJ18" s="117">
        <f>'Assign To West Contracts'!CL120</f>
        <v>71.862098358867854</v>
      </c>
      <c r="CK18" s="117">
        <f>'Assign To West Contracts'!CM120</f>
        <v>2635.5292796650801</v>
      </c>
      <c r="CL18" s="117">
        <f>'Assign To West Contracts'!CN120</f>
        <v>17848.682791651812</v>
      </c>
      <c r="CM18" s="117">
        <f>'Assign To West Contracts'!CO120</f>
        <v>808.9317869052021</v>
      </c>
      <c r="CN18" s="117">
        <f>'Assign To West Contracts'!CP120</f>
        <v>33990.245417888575</v>
      </c>
      <c r="CO18" s="117">
        <f>'Assign To West Contracts'!CQ120</f>
        <v>1713.0940317823022</v>
      </c>
      <c r="CP18" s="117">
        <f>'Assign To West Contracts'!CR120</f>
        <v>104212.69316090083</v>
      </c>
      <c r="CQ18" s="117">
        <f>'Assign To West Contracts'!CS120</f>
        <v>6149.5683192185206</v>
      </c>
      <c r="CR18" s="117">
        <f>'Assign To West Contracts'!CT120</f>
        <v>779.30240298498063</v>
      </c>
      <c r="CS18" s="117">
        <f>'Assign To West Contracts'!CU120</f>
        <v>17987.36071517555</v>
      </c>
      <c r="CT18" s="117">
        <f>'Assign To West Contracts'!CV120</f>
        <v>91157.246000402403</v>
      </c>
      <c r="CU18" s="117">
        <f>'Assign To West Contracts'!CW120</f>
        <v>116775.74449899117</v>
      </c>
      <c r="CV18" s="117">
        <f>'Assign To West Contracts'!CX120</f>
        <v>2163.8794940356183</v>
      </c>
      <c r="CW18" s="73">
        <f t="shared" si="2"/>
        <v>404382.57935725304</v>
      </c>
      <c r="CX18" s="76"/>
      <c r="CY18" s="73">
        <f t="shared" si="3"/>
        <v>821912.96187683288</v>
      </c>
      <c r="CZ18" s="76"/>
      <c r="DA18" s="68">
        <f>'Assign to East Contracts'!C25</f>
        <v>0</v>
      </c>
      <c r="DB18" s="68">
        <f>'Assign to East Contracts'!D25</f>
        <v>0</v>
      </c>
      <c r="DC18" s="68">
        <f>'Assign to East Contracts'!E25</f>
        <v>0</v>
      </c>
      <c r="DD18" s="68">
        <f>'Assign to East Contracts'!F25</f>
        <v>0</v>
      </c>
      <c r="DE18" s="68">
        <f>'Assign to East Contracts'!G25</f>
        <v>0</v>
      </c>
      <c r="DF18" s="68">
        <f>'Assign to East Contracts'!H25</f>
        <v>0</v>
      </c>
      <c r="DG18" s="68">
        <f>'Assign to East Contracts'!I25</f>
        <v>0</v>
      </c>
      <c r="DH18" s="72">
        <f>SUM(DA18:DG18)</f>
        <v>0</v>
      </c>
      <c r="DI18" s="76"/>
      <c r="DJ18" s="213">
        <f t="shared" si="0"/>
        <v>821912.96187683288</v>
      </c>
      <c r="DK18" s="76"/>
    </row>
    <row r="19" spans="1:115" x14ac:dyDescent="0.25">
      <c r="A19" s="69"/>
      <c r="B19" s="69"/>
      <c r="C19" s="69"/>
      <c r="D19" s="69"/>
      <c r="E19" s="69"/>
      <c r="F19" s="69"/>
      <c r="G19" s="69"/>
      <c r="H19" s="69"/>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c r="BU19" s="69"/>
      <c r="BV19" s="69"/>
      <c r="BW19" s="69"/>
      <c r="BY19" s="76"/>
      <c r="BZ19" s="69"/>
      <c r="CA19" s="69"/>
      <c r="CB19" s="69"/>
      <c r="CC19" s="69"/>
      <c r="CD19" s="69"/>
      <c r="CE19" s="69"/>
      <c r="CF19" s="69"/>
      <c r="CG19" s="69"/>
      <c r="CH19" s="69"/>
      <c r="CI19" s="69"/>
      <c r="CJ19" s="69"/>
      <c r="CK19" s="69"/>
      <c r="CL19" s="69"/>
      <c r="CM19" s="69"/>
      <c r="CN19" s="69"/>
      <c r="CO19" s="69"/>
      <c r="CP19" s="69"/>
      <c r="CQ19" s="69"/>
      <c r="CR19" s="69"/>
      <c r="CS19" s="69"/>
      <c r="CT19" s="69"/>
      <c r="CU19" s="69"/>
      <c r="CV19" s="69"/>
      <c r="CX19" s="76"/>
      <c r="CZ19" s="76"/>
      <c r="DA19" s="68"/>
      <c r="DB19" s="68"/>
      <c r="DC19" s="68"/>
      <c r="DD19" s="68"/>
      <c r="DE19" s="68"/>
      <c r="DF19" s="68"/>
      <c r="DG19" s="68"/>
      <c r="DI19" s="76"/>
      <c r="DJ19" s="1"/>
      <c r="DK19" s="76"/>
    </row>
    <row r="20" spans="1:115" x14ac:dyDescent="0.25">
      <c r="A20" s="70" t="s">
        <v>639</v>
      </c>
      <c r="B20" s="117">
        <f>'Assign To West Contracts'!D122</f>
        <v>20000</v>
      </c>
      <c r="C20" s="117">
        <f>'Assign To West Contracts'!E122</f>
        <v>40000</v>
      </c>
      <c r="D20" s="117">
        <f>'Assign To West Contracts'!F122</f>
        <v>0</v>
      </c>
      <c r="E20" s="117">
        <f>'Assign To West Contracts'!G122</f>
        <v>17478.005865102641</v>
      </c>
      <c r="F20" s="117">
        <f>'Assign To West Contracts'!H122</f>
        <v>64557.18475073314</v>
      </c>
      <c r="G20" s="117">
        <f>'Assign To West Contracts'!I122</f>
        <v>5827.9569892473128</v>
      </c>
      <c r="H20" s="117">
        <f>'Assign To West Contracts'!J122</f>
        <v>2925.7086999022481</v>
      </c>
      <c r="I20" s="117">
        <f>'Assign To West Contracts'!K122</f>
        <v>12910.06842619746</v>
      </c>
      <c r="J20" s="117">
        <f>'Assign To West Contracts'!L122</f>
        <v>0</v>
      </c>
      <c r="K20" s="117">
        <f>'Assign To West Contracts'!M122</f>
        <v>83000.000000000015</v>
      </c>
      <c r="L20" s="117">
        <f>'Assign To West Contracts'!N122</f>
        <v>100000.00000000001</v>
      </c>
      <c r="M20" s="117">
        <f>'Assign To West Contracts'!O122</f>
        <v>2060.606060606061</v>
      </c>
      <c r="N20" s="117">
        <f>'Assign To West Contracts'!P122</f>
        <v>35435.97262952102</v>
      </c>
      <c r="O20" s="117">
        <f>'Assign To West Contracts'!Q122</f>
        <v>1329.4232649071359</v>
      </c>
      <c r="P20" s="117">
        <f>'Assign To West Contracts'!R122</f>
        <v>0</v>
      </c>
      <c r="Q20" s="117">
        <f>'Assign To West Contracts'!S122</f>
        <v>0</v>
      </c>
      <c r="R20" s="117">
        <f>'Assign To West Contracts'!T122</f>
        <v>0</v>
      </c>
      <c r="S20" s="117">
        <f>'Assign To West Contracts'!U122</f>
        <v>0</v>
      </c>
      <c r="T20" s="117">
        <f>'Assign To West Contracts'!V122</f>
        <v>0</v>
      </c>
      <c r="U20" s="117">
        <f>'Assign To West Contracts'!W122</f>
        <v>12394.916911045944</v>
      </c>
      <c r="V20" s="117">
        <f>'Assign To West Contracts'!X122</f>
        <v>777.12609970674509</v>
      </c>
      <c r="W20" s="117">
        <f>'Assign To West Contracts'!Y122</f>
        <v>36000</v>
      </c>
      <c r="X20" s="117">
        <f>'Assign To West Contracts'!Z122</f>
        <v>13926.686217008801</v>
      </c>
      <c r="Y20" s="117">
        <f>'Assign To West Contracts'!AA122</f>
        <v>0</v>
      </c>
      <c r="Z20" s="117">
        <f>'Assign To West Contracts'!AB122</f>
        <v>0</v>
      </c>
      <c r="AA20" s="117">
        <f>'Assign To West Contracts'!AC122</f>
        <v>0</v>
      </c>
      <c r="AB20" s="117">
        <f>'Assign To West Contracts'!AD122</f>
        <v>0</v>
      </c>
      <c r="AC20" s="117">
        <f>'Assign To West Contracts'!AE122</f>
        <v>0</v>
      </c>
      <c r="AD20" s="117">
        <f>'Assign To West Contracts'!AF122</f>
        <v>0</v>
      </c>
      <c r="AE20" s="117">
        <f>'Assign To West Contracts'!AG122</f>
        <v>0</v>
      </c>
      <c r="AF20" s="117">
        <f>'Assign To West Contracts'!AH122</f>
        <v>0</v>
      </c>
      <c r="AG20" s="117">
        <f>'Assign To West Contracts'!AI122</f>
        <v>4106.5493646138812</v>
      </c>
      <c r="AH20" s="117">
        <f>'Assign To West Contracts'!AJ122</f>
        <v>0</v>
      </c>
      <c r="AI20" s="117">
        <f>'Assign To West Contracts'!AK122</f>
        <v>0</v>
      </c>
      <c r="AJ20" s="117">
        <f>'Assign To West Contracts'!AL122</f>
        <v>34871.945259042033</v>
      </c>
      <c r="AK20" s="117">
        <f>'Assign To West Contracts'!AM122</f>
        <v>0</v>
      </c>
      <c r="AL20" s="117">
        <f>'Assign To West Contracts'!AN122</f>
        <v>0</v>
      </c>
      <c r="AM20" s="117">
        <f>'Assign To West Contracts'!AO122</f>
        <v>25512.218963831867</v>
      </c>
      <c r="AN20" s="117">
        <f>'Assign To West Contracts'!AP122</f>
        <v>4487.7810361681331</v>
      </c>
      <c r="AO20" s="117">
        <f>'Assign To West Contracts'!AQ122</f>
        <v>0</v>
      </c>
      <c r="AP20" s="117">
        <f>'Assign To West Contracts'!AR122</f>
        <v>22482.893450635391</v>
      </c>
      <c r="AQ20" s="117">
        <f>'Assign To West Contracts'!AS122</f>
        <v>7000.0000000000009</v>
      </c>
      <c r="AR20" s="117">
        <f>'Assign To West Contracts'!AT122</f>
        <v>5000</v>
      </c>
      <c r="AS20" s="117">
        <f>'Assign To West Contracts'!AU122</f>
        <v>0</v>
      </c>
      <c r="AT20" s="117">
        <f>'Assign To West Contracts'!AV122</f>
        <v>5206.2561094819166</v>
      </c>
      <c r="AU20" s="117">
        <f>'Assign To West Contracts'!AW122</f>
        <v>6933.5288367546436</v>
      </c>
      <c r="AV20" s="117">
        <f>'Assign To West Contracts'!AX122</f>
        <v>0</v>
      </c>
      <c r="AW20" s="117">
        <f>'Assign To West Contracts'!AY122</f>
        <v>13059.628543499512</v>
      </c>
      <c r="AX20" s="117">
        <f>'Assign To West Contracts'!AZ122</f>
        <v>4385.1417399804504</v>
      </c>
      <c r="AY20" s="117">
        <f>'Assign To West Contracts'!BA122</f>
        <v>2355.8162267839689</v>
      </c>
      <c r="AZ20" s="117">
        <f>'Assign To West Contracts'!BB122</f>
        <v>3111.4369501466276</v>
      </c>
      <c r="BA20" s="117">
        <f>'Assign To West Contracts'!BC122</f>
        <v>18930.596285434996</v>
      </c>
      <c r="BB20" s="117">
        <f>'Assign To West Contracts'!BD122</f>
        <v>10426.197458455523</v>
      </c>
      <c r="BC20" s="117">
        <f>'Assign To West Contracts'!BE122</f>
        <v>0</v>
      </c>
      <c r="BD20" s="117">
        <f>'Assign To West Contracts'!BF122</f>
        <v>20000</v>
      </c>
      <c r="BE20" s="117">
        <f>'Assign To West Contracts'!BG122</f>
        <v>47254.154447702836</v>
      </c>
      <c r="BF20" s="117">
        <f>'Assign To West Contracts'!BH122</f>
        <v>10000</v>
      </c>
      <c r="BG20" s="117">
        <f>'Assign To West Contracts'!BI122</f>
        <v>1.9550342130987297</v>
      </c>
      <c r="BH20" s="117">
        <f>'Assign To West Contracts'!BJ122</f>
        <v>130000.00000000001</v>
      </c>
      <c r="BI20" s="117">
        <f>'Assign To West Contracts'!BK122</f>
        <v>540000</v>
      </c>
      <c r="BJ20" s="117">
        <f>'Assign To West Contracts'!BL122</f>
        <v>610000</v>
      </c>
      <c r="BK20" s="117">
        <f>'Assign To West Contracts'!BM122</f>
        <v>4695.9921798631476</v>
      </c>
      <c r="BL20" s="117">
        <f>'Assign To West Contracts'!BN122</f>
        <v>3501.4662756598245</v>
      </c>
      <c r="BM20" s="117">
        <f>'Assign To West Contracts'!BO122</f>
        <v>68721.407624633444</v>
      </c>
      <c r="BN20" s="117">
        <f>'Assign To West Contracts'!BP122</f>
        <v>150000</v>
      </c>
      <c r="BO20" s="117">
        <f>'Assign To West Contracts'!BQ122</f>
        <v>4593.3528836754649</v>
      </c>
      <c r="BP20" s="117">
        <f>'Assign To West Contracts'!BR122</f>
        <v>325160.31280547415</v>
      </c>
      <c r="BQ20" s="117">
        <f>'Assign To West Contracts'!BS122</f>
        <v>0</v>
      </c>
      <c r="BR20" s="117">
        <f>'Assign To West Contracts'!BT122</f>
        <v>175000.00000000003</v>
      </c>
      <c r="BS20" s="117">
        <f>'Assign To West Contracts'!BU122</f>
        <v>0</v>
      </c>
      <c r="BT20" s="117">
        <f>'Assign To West Contracts'!BV122</f>
        <v>0</v>
      </c>
      <c r="BU20" s="117">
        <f>'Assign To West Contracts'!BW122</f>
        <v>19000</v>
      </c>
      <c r="BV20" s="117">
        <f>'Assign To West Contracts'!BX122</f>
        <v>1456.5004887585535</v>
      </c>
      <c r="BW20" s="117">
        <f>'Assign To West Contracts'!BY122</f>
        <v>0</v>
      </c>
      <c r="BX20" s="72">
        <f>SUM(B20:BW20)</f>
        <v>2725878.7878787885</v>
      </c>
      <c r="BY20" s="76"/>
      <c r="BZ20" s="117">
        <f>'Assign To West Contracts'!CB122</f>
        <v>45000.000000000015</v>
      </c>
      <c r="CA20" s="117">
        <f>'Assign To West Contracts'!CC122</f>
        <v>16124.144672531769</v>
      </c>
      <c r="CB20" s="117">
        <f>'Assign To West Contracts'!CD122</f>
        <v>48875.855327468234</v>
      </c>
      <c r="CC20" s="117">
        <f>'Assign To West Contracts'!CE122</f>
        <v>25000.000000000007</v>
      </c>
      <c r="CD20" s="117">
        <f>'Assign To West Contracts'!CF122</f>
        <v>20000</v>
      </c>
      <c r="CE20" s="117">
        <f>'Assign To West Contracts'!CG122</f>
        <v>25000.000000000007</v>
      </c>
      <c r="CF20" s="117">
        <f>'Assign To West Contracts'!CH122</f>
        <v>12499.511241446726</v>
      </c>
      <c r="CG20" s="117">
        <f>'Assign To West Contracts'!CI122</f>
        <v>12500.488758553276</v>
      </c>
      <c r="CH20" s="117">
        <f>'Assign To West Contracts'!CJ122</f>
        <v>10000</v>
      </c>
      <c r="CI20" s="117">
        <f>'Assign To West Contracts'!CK122</f>
        <v>10000</v>
      </c>
      <c r="CJ20" s="117">
        <f>'Assign To West Contracts'!CL122</f>
        <v>399.80449657869013</v>
      </c>
      <c r="CK20" s="117">
        <f>'Assign To West Contracts'!CM122</f>
        <v>14662.75659824047</v>
      </c>
      <c r="CL20" s="117">
        <f>'Assign To West Contracts'!CN122</f>
        <v>99301.075268817207</v>
      </c>
      <c r="CM20" s="117">
        <f>'Assign To West Contracts'!CO122</f>
        <v>4500.4887585532751</v>
      </c>
      <c r="CN20" s="117">
        <f>'Assign To West Contracts'!CP122</f>
        <v>189104.59433040081</v>
      </c>
      <c r="CO20" s="117">
        <f>'Assign To West Contracts'!CQ122</f>
        <v>9530.7917888563061</v>
      </c>
      <c r="CP20" s="117">
        <f>'Assign To West Contracts'!CR122</f>
        <v>579786.90127077233</v>
      </c>
      <c r="CQ20" s="117">
        <f>'Assign To West Contracts'!CS122</f>
        <v>34213.098729227764</v>
      </c>
      <c r="CR20" s="117">
        <f>'Assign To West Contracts'!CT122</f>
        <v>1694.0371456500488</v>
      </c>
      <c r="CS20" s="117">
        <f>'Assign To West Contracts'!CU122</f>
        <v>39100.684261974588</v>
      </c>
      <c r="CT20" s="117">
        <f>'Assign To West Contracts'!CV122</f>
        <v>198156.40273704793</v>
      </c>
      <c r="CU20" s="117">
        <f>'Assign To West Contracts'!CW122</f>
        <v>253845.55229716521</v>
      </c>
      <c r="CV20" s="117">
        <f>'Assign To West Contracts'!CX122</f>
        <v>4703.8123167155427</v>
      </c>
      <c r="CW20" s="73">
        <f>SUM(BZ20:CV20)</f>
        <v>1654000</v>
      </c>
      <c r="CX20" s="76"/>
      <c r="CY20" s="73">
        <f>BX20+CW20</f>
        <v>4379878.787878789</v>
      </c>
      <c r="CZ20" s="76"/>
      <c r="DA20" s="68">
        <f>SUM(DA12:DA18)</f>
        <v>10263.929618768329</v>
      </c>
      <c r="DB20" s="68">
        <f t="shared" ref="DB20:DG20" si="4">SUM(DB12:DB18)</f>
        <v>5213.0987292277623</v>
      </c>
      <c r="DC20" s="68">
        <f t="shared" si="4"/>
        <v>4887.5855327468234</v>
      </c>
      <c r="DD20" s="68">
        <f t="shared" si="4"/>
        <v>12473.118279569893</v>
      </c>
      <c r="DE20" s="68">
        <f t="shared" si="4"/>
        <v>9164.2228739002949</v>
      </c>
      <c r="DF20" s="68">
        <f t="shared" si="4"/>
        <v>9775.1710654936469</v>
      </c>
      <c r="DG20" s="68">
        <f t="shared" si="4"/>
        <v>19550.342130987294</v>
      </c>
      <c r="DH20" s="72">
        <f>SUM(DA20:DG20)</f>
        <v>71327.468230694038</v>
      </c>
      <c r="DI20" s="76"/>
      <c r="DJ20" s="213">
        <f>DH20+CY20</f>
        <v>4451206.2561094826</v>
      </c>
      <c r="DK20" s="76"/>
    </row>
    <row r="21" spans="1:115" x14ac:dyDescent="0.25">
      <c r="A21" s="70" t="s">
        <v>640</v>
      </c>
      <c r="B21" s="117">
        <f>'Assign To West Contracts'!D123</f>
        <v>0</v>
      </c>
      <c r="C21" s="117">
        <f>'Assign To West Contracts'!E123</f>
        <v>0</v>
      </c>
      <c r="D21" s="117">
        <f>'Assign To West Contracts'!F123</f>
        <v>2081.1339198435976</v>
      </c>
      <c r="E21" s="117">
        <f>'Assign To West Contracts'!G123</f>
        <v>0</v>
      </c>
      <c r="F21" s="117">
        <f>'Assign To West Contracts'!H123</f>
        <v>0</v>
      </c>
      <c r="G21" s="117">
        <f>'Assign To West Contracts'!I123</f>
        <v>0</v>
      </c>
      <c r="H21" s="117">
        <f>'Assign To West Contracts'!J123</f>
        <v>0</v>
      </c>
      <c r="I21" s="117">
        <f>'Assign To West Contracts'!K123</f>
        <v>0</v>
      </c>
      <c r="J21" s="117">
        <f>'Assign To West Contracts'!L123</f>
        <v>880.74291300097764</v>
      </c>
      <c r="K21" s="117">
        <f>'Assign To West Contracts'!M123</f>
        <v>0</v>
      </c>
      <c r="L21" s="117">
        <f>'Assign To West Contracts'!N123</f>
        <v>0</v>
      </c>
      <c r="M21" s="117">
        <f>'Assign To West Contracts'!O123</f>
        <v>0</v>
      </c>
      <c r="N21" s="117">
        <f>'Assign To West Contracts'!P123</f>
        <v>0</v>
      </c>
      <c r="O21" s="117">
        <f>'Assign To West Contracts'!Q123</f>
        <v>0</v>
      </c>
      <c r="P21" s="117">
        <f>'Assign To West Contracts'!R123</f>
        <v>556.2072336265885</v>
      </c>
      <c r="Q21" s="117">
        <f>'Assign To West Contracts'!S123</f>
        <v>467.25317693059634</v>
      </c>
      <c r="R21" s="117">
        <f>'Assign To West Contracts'!T123</f>
        <v>1671.5542521994137</v>
      </c>
      <c r="S21" s="117">
        <f>'Assign To West Contracts'!U123</f>
        <v>895.40566959921807</v>
      </c>
      <c r="T21" s="117">
        <f>'Assign To West Contracts'!V123</f>
        <v>62.561094819159344</v>
      </c>
      <c r="U21" s="117">
        <f>'Assign To West Contracts'!W123</f>
        <v>0</v>
      </c>
      <c r="V21" s="117">
        <f>'Assign To West Contracts'!X123</f>
        <v>0</v>
      </c>
      <c r="W21" s="117">
        <f>'Assign To West Contracts'!Y123</f>
        <v>0</v>
      </c>
      <c r="X21" s="117">
        <f>'Assign To West Contracts'!Z123</f>
        <v>0</v>
      </c>
      <c r="Y21" s="117">
        <f>'Assign To West Contracts'!AA123</f>
        <v>466.27565982404695</v>
      </c>
      <c r="Z21" s="117">
        <f>'Assign To West Contracts'!AB123</f>
        <v>274.68230694037146</v>
      </c>
      <c r="AA21" s="117">
        <f>'Assign To West Contracts'!AC123</f>
        <v>1271.7497556207234</v>
      </c>
      <c r="AB21" s="117">
        <f>'Assign To West Contracts'!AD123</f>
        <v>1036.1681329423266</v>
      </c>
      <c r="AC21" s="117">
        <f>'Assign To West Contracts'!AE123</f>
        <v>190.61583577712611</v>
      </c>
      <c r="AD21" s="117">
        <f>'Assign To West Contracts'!AF123</f>
        <v>98.729227761485831</v>
      </c>
      <c r="AE21" s="117">
        <f>'Assign To West Contracts'!AG123</f>
        <v>602.15053763440869</v>
      </c>
      <c r="AF21" s="117">
        <f>'Assign To West Contracts'!AH123</f>
        <v>34.213098729227767</v>
      </c>
      <c r="AG21" s="117">
        <f>'Assign To West Contracts'!AI123</f>
        <v>0</v>
      </c>
      <c r="AH21" s="117">
        <f>'Assign To West Contracts'!AJ123</f>
        <v>2921.798631476051</v>
      </c>
      <c r="AI21" s="117">
        <f>'Assign To West Contracts'!AK123</f>
        <v>226.78396871945262</v>
      </c>
      <c r="AJ21" s="117">
        <f>'Assign To West Contracts'!AL123</f>
        <v>0</v>
      </c>
      <c r="AK21" s="117">
        <f>'Assign To West Contracts'!AM123</f>
        <v>1864.1251221896384</v>
      </c>
      <c r="AL21" s="117">
        <f>'Assign To West Contracts'!AN123</f>
        <v>1280.5474095796678</v>
      </c>
      <c r="AM21" s="117">
        <f>'Assign To West Contracts'!AO123</f>
        <v>0</v>
      </c>
      <c r="AN21" s="117">
        <f>'Assign To West Contracts'!AP123</f>
        <v>0</v>
      </c>
      <c r="AO21" s="117">
        <f>'Assign To West Contracts'!AQ123</f>
        <v>313.78299120234607</v>
      </c>
      <c r="AP21" s="117">
        <f>'Assign To West Contracts'!AR123</f>
        <v>0</v>
      </c>
      <c r="AQ21" s="117">
        <f>'Assign To West Contracts'!AS123</f>
        <v>0</v>
      </c>
      <c r="AR21" s="117">
        <f>'Assign To West Contracts'!AT123</f>
        <v>0</v>
      </c>
      <c r="AS21" s="117">
        <f>'Assign To West Contracts'!AU123</f>
        <v>717.49755620723374</v>
      </c>
      <c r="AT21" s="117">
        <f>'Assign To West Contracts'!AV123</f>
        <v>0</v>
      </c>
      <c r="AU21" s="117">
        <f>'Assign To West Contracts'!AW123</f>
        <v>0</v>
      </c>
      <c r="AV21" s="117">
        <f>'Assign To West Contracts'!AX123</f>
        <v>144.67253176930598</v>
      </c>
      <c r="AW21" s="117">
        <f>'Assign To West Contracts'!AY123</f>
        <v>0</v>
      </c>
      <c r="AX21" s="117">
        <f>'Assign To West Contracts'!AZ123</f>
        <v>0</v>
      </c>
      <c r="AY21" s="117">
        <f>'Assign To West Contracts'!BA123</f>
        <v>0</v>
      </c>
      <c r="AZ21" s="117">
        <f>'Assign To West Contracts'!BB123</f>
        <v>0</v>
      </c>
      <c r="BA21" s="117">
        <f>'Assign To West Contracts'!BC123</f>
        <v>0</v>
      </c>
      <c r="BB21" s="117">
        <f>'Assign To West Contracts'!BD123</f>
        <v>0</v>
      </c>
      <c r="BC21" s="117">
        <f>'Assign To West Contracts'!BE123</f>
        <v>4630.4985337243406</v>
      </c>
      <c r="BD21" s="117">
        <f>'Assign To West Contracts'!BF123</f>
        <v>0</v>
      </c>
      <c r="BE21" s="117">
        <f>'Assign To West Contracts'!BG123</f>
        <v>0</v>
      </c>
      <c r="BF21" s="117">
        <f>'Assign To West Contracts'!BH123</f>
        <v>0</v>
      </c>
      <c r="BG21" s="117">
        <f>'Assign To West Contracts'!BI123</f>
        <v>0</v>
      </c>
      <c r="BH21" s="117">
        <f>'Assign To West Contracts'!BJ123</f>
        <v>0</v>
      </c>
      <c r="BI21" s="117">
        <f>'Assign To West Contracts'!BK123</f>
        <v>0</v>
      </c>
      <c r="BJ21" s="117">
        <f>'Assign To West Contracts'!BL123</f>
        <v>0</v>
      </c>
      <c r="BK21" s="117">
        <f>'Assign To West Contracts'!BM123</f>
        <v>0</v>
      </c>
      <c r="BL21" s="117">
        <f>'Assign To West Contracts'!BN123</f>
        <v>0</v>
      </c>
      <c r="BM21" s="117">
        <f>'Assign To West Contracts'!BO123</f>
        <v>0</v>
      </c>
      <c r="BN21" s="117">
        <f>'Assign To West Contracts'!BP123</f>
        <v>0</v>
      </c>
      <c r="BO21" s="117">
        <f>'Assign To West Contracts'!BQ123</f>
        <v>0</v>
      </c>
      <c r="BP21" s="117">
        <f>'Assign To West Contracts'!BR123</f>
        <v>0</v>
      </c>
      <c r="BQ21" s="117">
        <f>'Assign To West Contracts'!BS123</f>
        <v>96.774193548387103</v>
      </c>
      <c r="BR21" s="117">
        <f>'Assign To West Contracts'!BT123</f>
        <v>0</v>
      </c>
      <c r="BS21" s="117">
        <f>'Assign To West Contracts'!BU123</f>
        <v>10.752688172043012</v>
      </c>
      <c r="BT21" s="117">
        <f>'Assign To West Contracts'!BV123</f>
        <v>213.09872922776151</v>
      </c>
      <c r="BU21" s="117">
        <f>'Assign To West Contracts'!BW123</f>
        <v>0</v>
      </c>
      <c r="BV21" s="117">
        <f>'Assign To West Contracts'!BX123</f>
        <v>0</v>
      </c>
      <c r="BW21" s="117">
        <f>'Assign To West Contracts'!BY123</f>
        <v>399.80449657869013</v>
      </c>
      <c r="BX21" s="72">
        <f>SUM(B21:BW21)</f>
        <v>23409.579667644182</v>
      </c>
      <c r="BY21" s="76"/>
      <c r="BZ21" s="117">
        <f>'Assign To West Contracts'!CB123</f>
        <v>0</v>
      </c>
      <c r="CA21" s="117">
        <f>'Assign To West Contracts'!CC123</f>
        <v>0</v>
      </c>
      <c r="CB21" s="117">
        <f>'Assign To West Contracts'!CD123</f>
        <v>0</v>
      </c>
      <c r="CC21" s="117">
        <f>'Assign To West Contracts'!CE123</f>
        <v>0</v>
      </c>
      <c r="CD21" s="117">
        <f>'Assign To West Contracts'!CF123</f>
        <v>0</v>
      </c>
      <c r="CE21" s="117">
        <f>'Assign To West Contracts'!CG123</f>
        <v>0</v>
      </c>
      <c r="CF21" s="117">
        <f>'Assign To West Contracts'!CH123</f>
        <v>0</v>
      </c>
      <c r="CG21" s="117">
        <f>'Assign To West Contracts'!CI123</f>
        <v>0</v>
      </c>
      <c r="CH21" s="117">
        <f>'Assign To West Contracts'!CJ123</f>
        <v>0</v>
      </c>
      <c r="CI21" s="117">
        <f>'Assign To West Contracts'!CK123</f>
        <v>0</v>
      </c>
      <c r="CJ21" s="117">
        <f>'Assign To West Contracts'!CL123</f>
        <v>0</v>
      </c>
      <c r="CK21" s="117">
        <f>'Assign To West Contracts'!CM123</f>
        <v>0</v>
      </c>
      <c r="CL21" s="117">
        <f>'Assign To West Contracts'!CN123</f>
        <v>0</v>
      </c>
      <c r="CM21" s="117">
        <f>'Assign To West Contracts'!CO123</f>
        <v>0</v>
      </c>
      <c r="CN21" s="117">
        <f>'Assign To West Contracts'!CP123</f>
        <v>0</v>
      </c>
      <c r="CO21" s="117">
        <f>'Assign To West Contracts'!CQ123</f>
        <v>0</v>
      </c>
      <c r="CP21" s="117">
        <f>'Assign To West Contracts'!CR123</f>
        <v>0</v>
      </c>
      <c r="CQ21" s="117">
        <f>'Assign To West Contracts'!CS123</f>
        <v>0</v>
      </c>
      <c r="CR21" s="117">
        <f>'Assign To West Contracts'!CT123</f>
        <v>0</v>
      </c>
      <c r="CS21" s="117">
        <f>'Assign To West Contracts'!CU123</f>
        <v>0</v>
      </c>
      <c r="CT21" s="117">
        <f>'Assign To West Contracts'!CV123</f>
        <v>0</v>
      </c>
      <c r="CU21" s="117">
        <f>'Assign To West Contracts'!CW123</f>
        <v>0</v>
      </c>
      <c r="CV21" s="117">
        <f>'Assign To West Contracts'!CX123</f>
        <v>0</v>
      </c>
      <c r="CW21" s="73">
        <f>SUM(BZ21:CV21)</f>
        <v>0</v>
      </c>
      <c r="CX21" s="76"/>
      <c r="CY21" s="73">
        <f>BX21+CW21</f>
        <v>23409.579667644182</v>
      </c>
      <c r="CZ21" s="76"/>
      <c r="DA21" s="68">
        <f>DA8-DA20</f>
        <v>0</v>
      </c>
      <c r="DB21" s="68">
        <f t="shared" ref="DB21:DG21" si="5">DB8-DB20</f>
        <v>0</v>
      </c>
      <c r="DC21" s="68">
        <f t="shared" si="5"/>
        <v>0</v>
      </c>
      <c r="DD21" s="68">
        <f t="shared" si="5"/>
        <v>0</v>
      </c>
      <c r="DE21" s="68">
        <f t="shared" si="5"/>
        <v>0</v>
      </c>
      <c r="DF21" s="68">
        <f t="shared" si="5"/>
        <v>0</v>
      </c>
      <c r="DG21" s="68">
        <f t="shared" si="5"/>
        <v>0</v>
      </c>
      <c r="DH21" s="72">
        <f>SUM(DA21:DG21)</f>
        <v>0</v>
      </c>
      <c r="DI21" s="76"/>
      <c r="DJ21" s="213">
        <f>DH21+CY21</f>
        <v>23409.579667644182</v>
      </c>
      <c r="DK21" s="76"/>
    </row>
    <row r="22" spans="1:115" x14ac:dyDescent="0.25">
      <c r="A22" s="69"/>
      <c r="B22" s="69"/>
      <c r="C22" s="69"/>
      <c r="D22" s="69"/>
      <c r="E22" s="69"/>
      <c r="F22" s="69"/>
      <c r="G22" s="69"/>
      <c r="H22" s="69"/>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c r="BU22" s="69"/>
      <c r="BV22" s="69"/>
      <c r="BW22" s="69"/>
      <c r="BY22" s="76"/>
      <c r="BZ22" s="69"/>
      <c r="CA22" s="69"/>
      <c r="CB22" s="69"/>
      <c r="CC22" s="69"/>
      <c r="CD22" s="69"/>
      <c r="CE22" s="69"/>
      <c r="CF22" s="69"/>
      <c r="CG22" s="69"/>
      <c r="CH22" s="69"/>
      <c r="CI22" s="69"/>
      <c r="CJ22" s="69"/>
      <c r="CK22" s="69"/>
      <c r="CL22" s="69"/>
      <c r="CM22" s="69"/>
      <c r="CN22" s="69"/>
      <c r="CO22" s="69"/>
      <c r="CP22" s="69"/>
      <c r="CQ22" s="69"/>
      <c r="CR22" s="69"/>
      <c r="CS22" s="69"/>
      <c r="CT22" s="69"/>
      <c r="CU22" s="69"/>
      <c r="CV22" s="69"/>
      <c r="CX22" s="76"/>
      <c r="CZ22" s="76"/>
      <c r="DI22" s="76"/>
      <c r="DJ22" s="1"/>
      <c r="DK22" s="76"/>
    </row>
    <row r="23" spans="1:115" x14ac:dyDescent="0.25">
      <c r="A23" s="70" t="s">
        <v>614</v>
      </c>
      <c r="B23" s="69"/>
      <c r="C23" s="69"/>
      <c r="D23" s="69"/>
      <c r="E23" s="69"/>
      <c r="F23" s="69"/>
      <c r="G23" s="69"/>
      <c r="H23" s="69"/>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c r="BU23" s="69"/>
      <c r="BV23" s="69"/>
      <c r="BW23" s="69"/>
      <c r="BY23" s="76"/>
      <c r="BZ23" s="69"/>
      <c r="CA23" s="69"/>
      <c r="CB23" s="69"/>
      <c r="CC23" s="69"/>
      <c r="CD23" s="69"/>
      <c r="CE23" s="69"/>
      <c r="CF23" s="69"/>
      <c r="CG23" s="69"/>
      <c r="CH23" s="69"/>
      <c r="CI23" s="69"/>
      <c r="CJ23" s="69"/>
      <c r="CK23" s="69"/>
      <c r="CL23" s="69"/>
      <c r="CM23" s="69"/>
      <c r="CN23" s="69"/>
      <c r="CO23" s="69"/>
      <c r="CP23" s="69"/>
      <c r="CQ23" s="69"/>
      <c r="CR23" s="69"/>
      <c r="CS23" s="69"/>
      <c r="CT23" s="69"/>
      <c r="CU23" s="69"/>
      <c r="CV23" s="69"/>
      <c r="CX23" s="76"/>
      <c r="CZ23" s="76"/>
      <c r="DI23" s="76"/>
      <c r="DJ23" s="1"/>
      <c r="DK23" s="76"/>
    </row>
    <row r="24" spans="1:115" x14ac:dyDescent="0.25">
      <c r="A24" s="70" t="s">
        <v>23</v>
      </c>
      <c r="B24" s="69"/>
      <c r="C24" s="69"/>
      <c r="D24" s="69"/>
      <c r="E24" s="69"/>
      <c r="F24" s="69"/>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Y24" s="76"/>
      <c r="BZ24" s="69"/>
      <c r="CA24" s="69"/>
      <c r="CB24" s="69"/>
      <c r="CC24" s="69"/>
      <c r="CD24" s="69"/>
      <c r="CE24" s="69"/>
      <c r="CF24" s="69"/>
      <c r="CG24" s="69"/>
      <c r="CH24" s="69"/>
      <c r="CI24" s="69"/>
      <c r="CJ24" s="69"/>
      <c r="CK24" s="69"/>
      <c r="CL24" s="69"/>
      <c r="CM24" s="69"/>
      <c r="CN24" s="69"/>
      <c r="CO24" s="69"/>
      <c r="CP24" s="69"/>
      <c r="CQ24" s="69"/>
      <c r="CR24" s="69"/>
      <c r="CS24" s="69"/>
      <c r="CT24" s="69"/>
      <c r="CU24" s="69"/>
      <c r="CV24" s="69"/>
      <c r="CX24" s="76"/>
      <c r="CZ24" s="76"/>
      <c r="DA24" s="90">
        <f>DA12/DA20</f>
        <v>1</v>
      </c>
      <c r="DB24" s="90">
        <f t="shared" ref="DB24:DG24" si="6">DB12/DB20</f>
        <v>0</v>
      </c>
      <c r="DC24" s="90">
        <f t="shared" si="6"/>
        <v>0</v>
      </c>
      <c r="DD24" s="90">
        <f t="shared" si="6"/>
        <v>0</v>
      </c>
      <c r="DE24" s="90">
        <f t="shared" si="6"/>
        <v>0</v>
      </c>
      <c r="DF24" s="90">
        <f t="shared" si="6"/>
        <v>0</v>
      </c>
      <c r="DG24" s="90">
        <f t="shared" si="6"/>
        <v>0</v>
      </c>
      <c r="DI24" s="76"/>
      <c r="DJ24" s="1"/>
      <c r="DK24" s="76"/>
    </row>
    <row r="25" spans="1:115" x14ac:dyDescent="0.25">
      <c r="A25" s="70" t="s">
        <v>22</v>
      </c>
      <c r="B25" s="130">
        <f>'Assign To West Contracts'!D126</f>
        <v>0.60927685887916594</v>
      </c>
      <c r="C25" s="130">
        <f>'Assign To West Contracts'!E126</f>
        <v>0.60927685887916594</v>
      </c>
      <c r="D25" s="130">
        <f>'Assign To West Contracts'!F126</f>
        <v>1</v>
      </c>
      <c r="E25" s="130">
        <f>'Assign To West Contracts'!G126</f>
        <v>0.81675446580552746</v>
      </c>
      <c r="F25" s="130">
        <f>'Assign To West Contracts'!H126</f>
        <v>0.81675446580552746</v>
      </c>
      <c r="G25" s="130">
        <f>'Assign To West Contracts'!I126</f>
        <v>0.81675446580552746</v>
      </c>
      <c r="H25" s="130">
        <f>'Assign To West Contracts'!J126</f>
        <v>0.81675446580552757</v>
      </c>
      <c r="I25" s="130">
        <f>'Assign To West Contracts'!K126</f>
        <v>0.81675446580552735</v>
      </c>
      <c r="J25" s="130">
        <f>'Assign To West Contracts'!L126</f>
        <v>1</v>
      </c>
      <c r="K25" s="130">
        <f>'Assign To West Contracts'!M126</f>
        <v>0.60927685887916605</v>
      </c>
      <c r="L25" s="130">
        <f>'Assign To West Contracts'!N126</f>
        <v>0.60927685887916605</v>
      </c>
      <c r="M25" s="130">
        <f>'Assign To West Contracts'!O126</f>
        <v>0.81675446580552735</v>
      </c>
      <c r="N25" s="130">
        <f>'Assign To West Contracts'!P126</f>
        <v>0.81675446580552746</v>
      </c>
      <c r="O25" s="130">
        <f>'Assign To West Contracts'!Q126</f>
        <v>0.81675446580552735</v>
      </c>
      <c r="P25" s="130">
        <f>'Assign To West Contracts'!R126</f>
        <v>1</v>
      </c>
      <c r="Q25" s="130">
        <f>'Assign To West Contracts'!S126</f>
        <v>1</v>
      </c>
      <c r="R25" s="130">
        <f>'Assign To West Contracts'!T126</f>
        <v>1</v>
      </c>
      <c r="S25" s="130">
        <f>'Assign To West Contracts'!U126</f>
        <v>1</v>
      </c>
      <c r="T25" s="130">
        <f>'Assign To West Contracts'!V126</f>
        <v>1</v>
      </c>
      <c r="U25" s="130">
        <f>'Assign To West Contracts'!W126</f>
        <v>0.81675446580552735</v>
      </c>
      <c r="V25" s="130">
        <f>'Assign To West Contracts'!X126</f>
        <v>0.81675446580552724</v>
      </c>
      <c r="W25" s="130">
        <f>'Assign To West Contracts'!Y126</f>
        <v>0.60927685887916594</v>
      </c>
      <c r="X25" s="130">
        <f>'Assign To West Contracts'!Z126</f>
        <v>0.81675446580552746</v>
      </c>
      <c r="Y25" s="130">
        <f>'Assign To West Contracts'!AA126</f>
        <v>1</v>
      </c>
      <c r="Z25" s="130">
        <f>'Assign To West Contracts'!AB126</f>
        <v>1</v>
      </c>
      <c r="AA25" s="130">
        <f>'Assign To West Contracts'!AC126</f>
        <v>1</v>
      </c>
      <c r="AB25" s="130">
        <f>'Assign To West Contracts'!AD126</f>
        <v>1</v>
      </c>
      <c r="AC25" s="130">
        <f>'Assign To West Contracts'!AE126</f>
        <v>1</v>
      </c>
      <c r="AD25" s="130">
        <f>'Assign To West Contracts'!AF126</f>
        <v>1</v>
      </c>
      <c r="AE25" s="130">
        <f>'Assign To West Contracts'!AG126</f>
        <v>1</v>
      </c>
      <c r="AF25" s="130">
        <f>'Assign To West Contracts'!AH126</f>
        <v>1</v>
      </c>
      <c r="AG25" s="130">
        <f>'Assign To West Contracts'!AI126</f>
        <v>0.81675446580552757</v>
      </c>
      <c r="AH25" s="130">
        <f>'Assign To West Contracts'!AJ126</f>
        <v>1</v>
      </c>
      <c r="AI25" s="130">
        <f>'Assign To West Contracts'!AK126</f>
        <v>1</v>
      </c>
      <c r="AJ25" s="130">
        <f>'Assign To West Contracts'!AL126</f>
        <v>0.81675446580552724</v>
      </c>
      <c r="AK25" s="130">
        <f>'Assign To West Contracts'!AM126</f>
        <v>1</v>
      </c>
      <c r="AL25" s="130">
        <f>'Assign To West Contracts'!AN126</f>
        <v>1</v>
      </c>
      <c r="AM25" s="130">
        <f>'Assign To West Contracts'!AO126</f>
        <v>0.60927685887916605</v>
      </c>
      <c r="AN25" s="130">
        <f>'Assign To West Contracts'!AP126</f>
        <v>0.60927685887916583</v>
      </c>
      <c r="AO25" s="130">
        <f>'Assign To West Contracts'!AQ126</f>
        <v>1</v>
      </c>
      <c r="AP25" s="130">
        <f>'Assign To West Contracts'!AR126</f>
        <v>0.81675446580552724</v>
      </c>
      <c r="AQ25" s="130">
        <f>'Assign To West Contracts'!AS126</f>
        <v>0.60927685887916605</v>
      </c>
      <c r="AR25" s="130">
        <f>'Assign To West Contracts'!AT126</f>
        <v>1</v>
      </c>
      <c r="AS25" s="130">
        <f>'Assign To West Contracts'!AU126</f>
        <v>1</v>
      </c>
      <c r="AT25" s="130">
        <f>'Assign To West Contracts'!AV126</f>
        <v>0.81675446580552746</v>
      </c>
      <c r="AU25" s="130">
        <f>'Assign To West Contracts'!AW126</f>
        <v>0.81675446580552757</v>
      </c>
      <c r="AV25" s="130">
        <f>'Assign To West Contracts'!AX126</f>
        <v>1</v>
      </c>
      <c r="AW25" s="130">
        <f>'Assign To West Contracts'!AY126</f>
        <v>0.81675446580552746</v>
      </c>
      <c r="AX25" s="130">
        <f>'Assign To West Contracts'!AZ126</f>
        <v>0.81675446580552746</v>
      </c>
      <c r="AY25" s="130">
        <f>'Assign To West Contracts'!BA126</f>
        <v>0.81675446580552746</v>
      </c>
      <c r="AZ25" s="130">
        <f>'Assign To West Contracts'!BB126</f>
        <v>0.81675446580552735</v>
      </c>
      <c r="BA25" s="130">
        <f>'Assign To West Contracts'!BC126</f>
        <v>0.81675446580552746</v>
      </c>
      <c r="BB25" s="130">
        <f>'Assign To West Contracts'!BD126</f>
        <v>0.81675446580552769</v>
      </c>
      <c r="BC25" s="130">
        <f>'Assign To West Contracts'!BE126</f>
        <v>1</v>
      </c>
      <c r="BD25" s="130">
        <f>'Assign To West Contracts'!BF126</f>
        <v>0.60927685887916594</v>
      </c>
      <c r="BE25" s="130">
        <f>'Assign To West Contracts'!BG126</f>
        <v>0.81675446580552735</v>
      </c>
      <c r="BF25" s="130">
        <f>'Assign To West Contracts'!BH126</f>
        <v>0.60927685887916594</v>
      </c>
      <c r="BG25" s="130">
        <f>'Assign To West Contracts'!BI126</f>
        <v>0.81675446580552724</v>
      </c>
      <c r="BH25" s="130">
        <f>'Assign To West Contracts'!BJ126</f>
        <v>0.60927685887916594</v>
      </c>
      <c r="BI25" s="130">
        <f>'Assign To West Contracts'!BK126</f>
        <v>0.60927685887916594</v>
      </c>
      <c r="BJ25" s="130">
        <f>'Assign To West Contracts'!BL126</f>
        <v>0.60927685887916605</v>
      </c>
      <c r="BK25" s="130">
        <f>'Assign To West Contracts'!BM126</f>
        <v>0.81675446580552746</v>
      </c>
      <c r="BL25" s="130">
        <f>'Assign To West Contracts'!BN126</f>
        <v>0.81675446580552735</v>
      </c>
      <c r="BM25" s="130">
        <f>'Assign To West Contracts'!BO126</f>
        <v>0.81675446580552735</v>
      </c>
      <c r="BN25" s="130">
        <f>'Assign To West Contracts'!BP126</f>
        <v>0.60927685887916594</v>
      </c>
      <c r="BO25" s="130">
        <f>'Assign To West Contracts'!BQ126</f>
        <v>0.81675446580552746</v>
      </c>
      <c r="BP25" s="130">
        <f>'Assign To West Contracts'!BR126</f>
        <v>0.81675446580552735</v>
      </c>
      <c r="BQ25" s="130">
        <f>'Assign To West Contracts'!BS126</f>
        <v>1</v>
      </c>
      <c r="BR25" s="130">
        <f>'Assign To West Contracts'!BT126</f>
        <v>0.60927685887916594</v>
      </c>
      <c r="BS25" s="130">
        <f>'Assign To West Contracts'!BU126</f>
        <v>1</v>
      </c>
      <c r="BT25" s="130">
        <f>'Assign To West Contracts'!BV126</f>
        <v>1</v>
      </c>
      <c r="BU25" s="130">
        <f>'Assign To West Contracts'!BW126</f>
        <v>0.60927685887916594</v>
      </c>
      <c r="BV25" s="130">
        <f>'Assign To West Contracts'!BX126</f>
        <v>0.60927685887916594</v>
      </c>
      <c r="BW25" s="130">
        <f>'Assign To West Contracts'!BY126</f>
        <v>1</v>
      </c>
      <c r="BY25" s="76"/>
      <c r="BZ25" s="130">
        <f>'Assign To West Contracts'!CB126</f>
        <v>1</v>
      </c>
      <c r="CA25" s="130">
        <f>'Assign To West Contracts'!CC126</f>
        <v>1</v>
      </c>
      <c r="CB25" s="130">
        <f>'Assign To West Contracts'!CD126</f>
        <v>1</v>
      </c>
      <c r="CC25" s="130">
        <f>'Assign To West Contracts'!CE126</f>
        <v>1</v>
      </c>
      <c r="CD25" s="130">
        <f>'Assign To West Contracts'!CF126</f>
        <v>1</v>
      </c>
      <c r="CE25" s="130">
        <f>'Assign To West Contracts'!CG126</f>
        <v>1</v>
      </c>
      <c r="CF25" s="130">
        <f>'Assign To West Contracts'!CH126</f>
        <v>0.60927685887916594</v>
      </c>
      <c r="CG25" s="130">
        <f>'Assign To West Contracts'!CI126</f>
        <v>0.60927685887916594</v>
      </c>
      <c r="CH25" s="130">
        <f>'Assign To West Contracts'!CJ126</f>
        <v>0.60927685887916594</v>
      </c>
      <c r="CI25" s="130">
        <f>'Assign To West Contracts'!CK126</f>
        <v>0.60927685887916594</v>
      </c>
      <c r="CJ25" s="130">
        <f>'Assign To West Contracts'!CL126</f>
        <v>0.60927685887916605</v>
      </c>
      <c r="CK25" s="130">
        <f>'Assign To West Contracts'!CM126</f>
        <v>0.60927685887916605</v>
      </c>
      <c r="CL25" s="130">
        <f>'Assign To West Contracts'!CN126</f>
        <v>0.60927685887916605</v>
      </c>
      <c r="CM25" s="130">
        <f>'Assign To West Contracts'!CO126</f>
        <v>0.60927685887916605</v>
      </c>
      <c r="CN25" s="130">
        <f>'Assign To West Contracts'!CP126</f>
        <v>0.60927685887916594</v>
      </c>
      <c r="CO25" s="130">
        <f>'Assign To West Contracts'!CQ126</f>
        <v>0.60927685887916605</v>
      </c>
      <c r="CP25" s="130">
        <f>'Assign To West Contracts'!CR126</f>
        <v>0.60927685887916594</v>
      </c>
      <c r="CQ25" s="130">
        <f>'Assign To West Contracts'!CS126</f>
        <v>0.60927685887916605</v>
      </c>
      <c r="CR25" s="130">
        <f>'Assign To West Contracts'!CT126</f>
        <v>0</v>
      </c>
      <c r="CS25" s="130">
        <f>'Assign To West Contracts'!CU126</f>
        <v>0</v>
      </c>
      <c r="CT25" s="130">
        <f>'Assign To West Contracts'!CV126</f>
        <v>0</v>
      </c>
      <c r="CU25" s="130">
        <f>'Assign To West Contracts'!CW126</f>
        <v>0</v>
      </c>
      <c r="CV25" s="130">
        <f>'Assign To West Contracts'!CX126</f>
        <v>0</v>
      </c>
      <c r="CX25" s="76"/>
      <c r="CZ25" s="76"/>
      <c r="DA25" s="90">
        <f>SUM(DA13:DA15)/DA20</f>
        <v>0</v>
      </c>
      <c r="DB25" s="90">
        <f t="shared" ref="DB25:DG25" si="7">SUM(DB13:DB15)/DB20</f>
        <v>0</v>
      </c>
      <c r="DC25" s="90">
        <f t="shared" si="7"/>
        <v>0</v>
      </c>
      <c r="DD25" s="90">
        <f t="shared" si="7"/>
        <v>0</v>
      </c>
      <c r="DE25" s="90">
        <f t="shared" si="7"/>
        <v>0</v>
      </c>
      <c r="DF25" s="90">
        <f t="shared" si="7"/>
        <v>0</v>
      </c>
      <c r="DG25" s="90">
        <f t="shared" si="7"/>
        <v>0</v>
      </c>
      <c r="DI25" s="76"/>
      <c r="DJ25" s="1"/>
      <c r="DK25" s="76"/>
    </row>
    <row r="26" spans="1:115" x14ac:dyDescent="0.25">
      <c r="A26" s="70" t="s">
        <v>24</v>
      </c>
      <c r="B26" s="130">
        <f>'Assign To West Contracts'!D127</f>
        <v>0.39072314112083406</v>
      </c>
      <c r="C26" s="130">
        <f>'Assign To West Contracts'!E127</f>
        <v>0.39072314112083406</v>
      </c>
      <c r="D26" s="130">
        <f>'Assign To West Contracts'!F127</f>
        <v>1</v>
      </c>
      <c r="E26" s="130">
        <f>'Assign To West Contracts'!G127</f>
        <v>0.18324553419447254</v>
      </c>
      <c r="F26" s="130">
        <f>'Assign To West Contracts'!H127</f>
        <v>0.18324553419447256</v>
      </c>
      <c r="G26" s="130">
        <f>'Assign To West Contracts'!I127</f>
        <v>0.18324553419447248</v>
      </c>
      <c r="H26" s="130">
        <f>'Assign To West Contracts'!J127</f>
        <v>0.18324553419447259</v>
      </c>
      <c r="I26" s="130">
        <f>'Assign To West Contracts'!K127</f>
        <v>0.18324553419447262</v>
      </c>
      <c r="J26" s="130">
        <f>'Assign To West Contracts'!L127</f>
        <v>1</v>
      </c>
      <c r="K26" s="130">
        <f>'Assign To West Contracts'!M127</f>
        <v>0.39072314112083395</v>
      </c>
      <c r="L26" s="130">
        <f>'Assign To West Contracts'!N127</f>
        <v>0.39072314112083401</v>
      </c>
      <c r="M26" s="130">
        <f>'Assign To West Contracts'!O127</f>
        <v>0.18324553419447262</v>
      </c>
      <c r="N26" s="130">
        <f>'Assign To West Contracts'!P127</f>
        <v>0.18324553419447248</v>
      </c>
      <c r="O26" s="130">
        <f>'Assign To West Contracts'!Q127</f>
        <v>0.18324553419447268</v>
      </c>
      <c r="P26" s="130">
        <f>'Assign To West Contracts'!R127</f>
        <v>1</v>
      </c>
      <c r="Q26" s="130">
        <f>'Assign To West Contracts'!S127</f>
        <v>1</v>
      </c>
      <c r="R26" s="130">
        <f>'Assign To West Contracts'!T127</f>
        <v>1</v>
      </c>
      <c r="S26" s="130">
        <f>'Assign To West Contracts'!U127</f>
        <v>1</v>
      </c>
      <c r="T26" s="130">
        <f>'Assign To West Contracts'!V127</f>
        <v>1</v>
      </c>
      <c r="U26" s="130">
        <f>'Assign To West Contracts'!W127</f>
        <v>0.18324553419447262</v>
      </c>
      <c r="V26" s="130">
        <f>'Assign To West Contracts'!X127</f>
        <v>0.18324553419447259</v>
      </c>
      <c r="W26" s="130">
        <f>'Assign To West Contracts'!Y127</f>
        <v>0.39072314112083406</v>
      </c>
      <c r="X26" s="130">
        <f>'Assign To West Contracts'!Z127</f>
        <v>0.18324553419447245</v>
      </c>
      <c r="Y26" s="130">
        <f>'Assign To West Contracts'!AA127</f>
        <v>1</v>
      </c>
      <c r="Z26" s="130">
        <f>'Assign To West Contracts'!AB127</f>
        <v>1</v>
      </c>
      <c r="AA26" s="130">
        <f>'Assign To West Contracts'!AC127</f>
        <v>1</v>
      </c>
      <c r="AB26" s="130">
        <f>'Assign To West Contracts'!AD127</f>
        <v>1</v>
      </c>
      <c r="AC26" s="130">
        <f>'Assign To West Contracts'!AE127</f>
        <v>1</v>
      </c>
      <c r="AD26" s="130">
        <f>'Assign To West Contracts'!AF127</f>
        <v>1</v>
      </c>
      <c r="AE26" s="130">
        <f>'Assign To West Contracts'!AG127</f>
        <v>1</v>
      </c>
      <c r="AF26" s="130">
        <f>'Assign To West Contracts'!AH127</f>
        <v>1</v>
      </c>
      <c r="AG26" s="130">
        <f>'Assign To West Contracts'!AI127</f>
        <v>0.18324553419447243</v>
      </c>
      <c r="AH26" s="130">
        <f>'Assign To West Contracts'!AJ127</f>
        <v>1</v>
      </c>
      <c r="AI26" s="130">
        <f>'Assign To West Contracts'!AK127</f>
        <v>1</v>
      </c>
      <c r="AJ26" s="130">
        <f>'Assign To West Contracts'!AL127</f>
        <v>0.18324553419447273</v>
      </c>
      <c r="AK26" s="130">
        <f>'Assign To West Contracts'!AM127</f>
        <v>1</v>
      </c>
      <c r="AL26" s="130">
        <f>'Assign To West Contracts'!AN127</f>
        <v>1</v>
      </c>
      <c r="AM26" s="130">
        <f>'Assign To West Contracts'!AO127</f>
        <v>0.39072314112083412</v>
      </c>
      <c r="AN26" s="130">
        <f>'Assign To West Contracts'!AP127</f>
        <v>0.39072314112083412</v>
      </c>
      <c r="AO26" s="130">
        <f>'Assign To West Contracts'!AQ127</f>
        <v>1</v>
      </c>
      <c r="AP26" s="130">
        <f>'Assign To West Contracts'!AR127</f>
        <v>0.18324553419447262</v>
      </c>
      <c r="AQ26" s="130">
        <f>'Assign To West Contracts'!AS127</f>
        <v>0.39072314112083401</v>
      </c>
      <c r="AR26" s="130">
        <f>'Assign To West Contracts'!AT127</f>
        <v>0</v>
      </c>
      <c r="AS26" s="130">
        <f>'Assign To West Contracts'!AU127</f>
        <v>1</v>
      </c>
      <c r="AT26" s="130">
        <f>'Assign To West Contracts'!AV127</f>
        <v>0.18324553419447256</v>
      </c>
      <c r="AU26" s="130">
        <f>'Assign To West Contracts'!AW127</f>
        <v>0.18324553419447237</v>
      </c>
      <c r="AV26" s="130">
        <f>'Assign To West Contracts'!AX127</f>
        <v>1</v>
      </c>
      <c r="AW26" s="130">
        <f>'Assign To West Contracts'!AY127</f>
        <v>0.18324553419447256</v>
      </c>
      <c r="AX26" s="130">
        <f>'Assign To West Contracts'!AZ127</f>
        <v>0.18324553419447251</v>
      </c>
      <c r="AY26" s="130">
        <f>'Assign To West Contracts'!BA127</f>
        <v>0.18324553419447256</v>
      </c>
      <c r="AZ26" s="130">
        <f>'Assign To West Contracts'!BB127</f>
        <v>0.1832455341944727</v>
      </c>
      <c r="BA26" s="130">
        <f>'Assign To West Contracts'!BC127</f>
        <v>0.18324553419447251</v>
      </c>
      <c r="BB26" s="130">
        <f>'Assign To West Contracts'!BD127</f>
        <v>0.18324553419447248</v>
      </c>
      <c r="BC26" s="130">
        <f>'Assign To West Contracts'!BE127</f>
        <v>1</v>
      </c>
      <c r="BD26" s="130">
        <f>'Assign To West Contracts'!BF127</f>
        <v>0.39072314112083406</v>
      </c>
      <c r="BE26" s="130">
        <f>'Assign To West Contracts'!BG127</f>
        <v>0.18324553419447265</v>
      </c>
      <c r="BF26" s="130">
        <f>'Assign To West Contracts'!BH127</f>
        <v>0.39072314112083406</v>
      </c>
      <c r="BG26" s="130">
        <f>'Assign To West Contracts'!BI127</f>
        <v>0.18324553419447262</v>
      </c>
      <c r="BH26" s="130">
        <f>'Assign To West Contracts'!BJ127</f>
        <v>0.39072314112083412</v>
      </c>
      <c r="BI26" s="130">
        <f>'Assign To West Contracts'!BK127</f>
        <v>0.39072314112083406</v>
      </c>
      <c r="BJ26" s="130">
        <f>'Assign To West Contracts'!BL127</f>
        <v>0.39072314112083395</v>
      </c>
      <c r="BK26" s="130">
        <f>'Assign To West Contracts'!BM127</f>
        <v>0.18324553419447259</v>
      </c>
      <c r="BL26" s="130">
        <f>'Assign To West Contracts'!BN127</f>
        <v>0.18324553419447265</v>
      </c>
      <c r="BM26" s="130">
        <f>'Assign To West Contracts'!BO127</f>
        <v>0.18324553419447259</v>
      </c>
      <c r="BN26" s="130">
        <f>'Assign To West Contracts'!BP127</f>
        <v>0.39072314112083406</v>
      </c>
      <c r="BO26" s="130">
        <f>'Assign To West Contracts'!BQ127</f>
        <v>0.18324553419447256</v>
      </c>
      <c r="BP26" s="130">
        <f>'Assign To West Contracts'!BR127</f>
        <v>0.18324553419447245</v>
      </c>
      <c r="BQ26" s="130">
        <f>'Assign To West Contracts'!BS127</f>
        <v>1</v>
      </c>
      <c r="BR26" s="130">
        <f>'Assign To West Contracts'!BT127</f>
        <v>0.39072314112083406</v>
      </c>
      <c r="BS26" s="130">
        <f>'Assign To West Contracts'!BU127</f>
        <v>1</v>
      </c>
      <c r="BT26" s="130">
        <f>'Assign To West Contracts'!BV127</f>
        <v>1</v>
      </c>
      <c r="BU26" s="130">
        <f>'Assign To West Contracts'!BW127</f>
        <v>0.39072314112083406</v>
      </c>
      <c r="BV26" s="130">
        <f>'Assign To West Contracts'!BX127</f>
        <v>0.39072314112083401</v>
      </c>
      <c r="BW26" s="130">
        <f>'Assign To West Contracts'!BY127</f>
        <v>1</v>
      </c>
      <c r="BY26" s="76"/>
      <c r="BZ26" s="130">
        <f>'Assign To West Contracts'!CB127</f>
        <v>-1.6168794698185387E-16</v>
      </c>
      <c r="CA26" s="130">
        <f>'Assign To West Contracts'!CC127</f>
        <v>1.128115283314587E-16</v>
      </c>
      <c r="CB26" s="130">
        <f>'Assign To West Contracts'!CD127</f>
        <v>0</v>
      </c>
      <c r="CC26" s="130">
        <f>'Assign To West Contracts'!CE127</f>
        <v>-1.4551915228366848E-16</v>
      </c>
      <c r="CD26" s="130">
        <f>'Assign To West Contracts'!CF127</f>
        <v>0</v>
      </c>
      <c r="CE26" s="130">
        <f>'Assign To West Contracts'!CG127</f>
        <v>-1.4551915228366848E-16</v>
      </c>
      <c r="CF26" s="130">
        <f>'Assign To West Contracts'!CH127</f>
        <v>0.39072314112083412</v>
      </c>
      <c r="CG26" s="130">
        <f>'Assign To West Contracts'!CI127</f>
        <v>0.39072314112083406</v>
      </c>
      <c r="CH26" s="130">
        <f>'Assign To West Contracts'!CJ127</f>
        <v>0.39072314112083406</v>
      </c>
      <c r="CI26" s="130">
        <f>'Assign To West Contracts'!CK127</f>
        <v>0.39072314112083406</v>
      </c>
      <c r="CJ26" s="130">
        <f>'Assign To West Contracts'!CL127</f>
        <v>0.39072314112083395</v>
      </c>
      <c r="CK26" s="130">
        <f>'Assign To West Contracts'!CM127</f>
        <v>0.39072314112083395</v>
      </c>
      <c r="CL26" s="130">
        <f>'Assign To West Contracts'!CN127</f>
        <v>0.39072314112083401</v>
      </c>
      <c r="CM26" s="130">
        <f>'Assign To West Contracts'!CO127</f>
        <v>0.39072314112083401</v>
      </c>
      <c r="CN26" s="130">
        <f>'Assign To West Contracts'!CP127</f>
        <v>0.39072314112083406</v>
      </c>
      <c r="CO26" s="130">
        <f>'Assign To West Contracts'!CQ127</f>
        <v>0.39072314112083395</v>
      </c>
      <c r="CP26" s="130">
        <f>'Assign To West Contracts'!CR127</f>
        <v>0.39072314112083406</v>
      </c>
      <c r="CQ26" s="130">
        <f>'Assign To West Contracts'!CS127</f>
        <v>0.39072314112083395</v>
      </c>
      <c r="CR26" s="130">
        <f>'Assign To West Contracts'!CT127</f>
        <v>1</v>
      </c>
      <c r="CS26" s="130">
        <f>'Assign To West Contracts'!CU127</f>
        <v>1</v>
      </c>
      <c r="CT26" s="130">
        <f>'Assign To West Contracts'!CV127</f>
        <v>1</v>
      </c>
      <c r="CU26" s="130">
        <f>'Assign To West Contracts'!CW127</f>
        <v>1</v>
      </c>
      <c r="CV26" s="130">
        <f>'Assign To West Contracts'!CX127</f>
        <v>1</v>
      </c>
      <c r="CX26" s="76"/>
      <c r="CZ26" s="76"/>
      <c r="DA26" s="90">
        <f>SUM(DA16:DA18)/DA20</f>
        <v>0</v>
      </c>
      <c r="DB26" s="90">
        <f t="shared" ref="DB26:DG26" si="8">SUM(DB16:DB18)/DB20</f>
        <v>1</v>
      </c>
      <c r="DC26" s="90">
        <f t="shared" si="8"/>
        <v>1</v>
      </c>
      <c r="DD26" s="90">
        <f t="shared" si="8"/>
        <v>1</v>
      </c>
      <c r="DE26" s="90">
        <f t="shared" si="8"/>
        <v>1</v>
      </c>
      <c r="DF26" s="90">
        <f t="shared" si="8"/>
        <v>1</v>
      </c>
      <c r="DG26" s="90">
        <f t="shared" si="8"/>
        <v>1</v>
      </c>
      <c r="DI26" s="76"/>
      <c r="DJ26" s="1"/>
      <c r="DK26" s="76"/>
    </row>
    <row r="27" spans="1:115" x14ac:dyDescent="0.25">
      <c r="A27" s="70" t="s">
        <v>25</v>
      </c>
      <c r="B27" s="130">
        <f>'Assign To West Contracts'!D128</f>
        <v>1</v>
      </c>
      <c r="C27" s="130">
        <f>'Assign To West Contracts'!E128</f>
        <v>1</v>
      </c>
      <c r="D27" s="130">
        <f>'Assign To West Contracts'!F128</f>
        <v>1</v>
      </c>
      <c r="E27" s="130">
        <f>'Assign To West Contracts'!G128</f>
        <v>1</v>
      </c>
      <c r="F27" s="130">
        <f>'Assign To West Contracts'!H128</f>
        <v>1</v>
      </c>
      <c r="G27" s="130">
        <f>'Assign To West Contracts'!I128</f>
        <v>1</v>
      </c>
      <c r="H27" s="130">
        <f>'Assign To West Contracts'!J128</f>
        <v>1.0000000000000002</v>
      </c>
      <c r="I27" s="130">
        <f>'Assign To West Contracts'!K128</f>
        <v>1</v>
      </c>
      <c r="J27" s="130">
        <f>'Assign To West Contracts'!L128</f>
        <v>1</v>
      </c>
      <c r="K27" s="130">
        <f>'Assign To West Contracts'!M128</f>
        <v>1</v>
      </c>
      <c r="L27" s="130">
        <f>'Assign To West Contracts'!N128</f>
        <v>1</v>
      </c>
      <c r="M27" s="130">
        <f>'Assign To West Contracts'!O128</f>
        <v>1</v>
      </c>
      <c r="N27" s="130">
        <f>'Assign To West Contracts'!P128</f>
        <v>1</v>
      </c>
      <c r="O27" s="130">
        <f>'Assign To West Contracts'!Q128</f>
        <v>1</v>
      </c>
      <c r="P27" s="130">
        <f>'Assign To West Contracts'!R128</f>
        <v>1</v>
      </c>
      <c r="Q27" s="130">
        <f>'Assign To West Contracts'!S128</f>
        <v>1</v>
      </c>
      <c r="R27" s="130">
        <f>'Assign To West Contracts'!T128</f>
        <v>1</v>
      </c>
      <c r="S27" s="130">
        <f>'Assign To West Contracts'!U128</f>
        <v>1</v>
      </c>
      <c r="T27" s="130">
        <f>'Assign To West Contracts'!V128</f>
        <v>1</v>
      </c>
      <c r="U27" s="130">
        <f>'Assign To West Contracts'!W128</f>
        <v>1</v>
      </c>
      <c r="V27" s="130">
        <f>'Assign To West Contracts'!X128</f>
        <v>0.99999999999999978</v>
      </c>
      <c r="W27" s="130">
        <f>'Assign To West Contracts'!Y128</f>
        <v>1</v>
      </c>
      <c r="X27" s="130">
        <f>'Assign To West Contracts'!Z128</f>
        <v>0.99999999999999989</v>
      </c>
      <c r="Y27" s="130">
        <f>'Assign To West Contracts'!AA128</f>
        <v>1</v>
      </c>
      <c r="Z27" s="130">
        <f>'Assign To West Contracts'!AB128</f>
        <v>1</v>
      </c>
      <c r="AA27" s="130">
        <f>'Assign To West Contracts'!AC128</f>
        <v>1</v>
      </c>
      <c r="AB27" s="130">
        <f>'Assign To West Contracts'!AD128</f>
        <v>1</v>
      </c>
      <c r="AC27" s="130">
        <f>'Assign To West Contracts'!AE128</f>
        <v>1</v>
      </c>
      <c r="AD27" s="130">
        <f>'Assign To West Contracts'!AF128</f>
        <v>1</v>
      </c>
      <c r="AE27" s="130">
        <f>'Assign To West Contracts'!AG128</f>
        <v>1</v>
      </c>
      <c r="AF27" s="130">
        <f>'Assign To West Contracts'!AH128</f>
        <v>1</v>
      </c>
      <c r="AG27" s="130">
        <f>'Assign To West Contracts'!AI128</f>
        <v>1</v>
      </c>
      <c r="AH27" s="130">
        <f>'Assign To West Contracts'!AJ128</f>
        <v>1</v>
      </c>
      <c r="AI27" s="130">
        <f>'Assign To West Contracts'!AK128</f>
        <v>1</v>
      </c>
      <c r="AJ27" s="130">
        <f>'Assign To West Contracts'!AL128</f>
        <v>1</v>
      </c>
      <c r="AK27" s="130">
        <f>'Assign To West Contracts'!AM128</f>
        <v>1</v>
      </c>
      <c r="AL27" s="130">
        <f>'Assign To West Contracts'!AN128</f>
        <v>1</v>
      </c>
      <c r="AM27" s="130">
        <f>'Assign To West Contracts'!AO128</f>
        <v>1.0000000000000002</v>
      </c>
      <c r="AN27" s="130">
        <f>'Assign To West Contracts'!AP128</f>
        <v>1</v>
      </c>
      <c r="AO27" s="130">
        <f>'Assign To West Contracts'!AQ128</f>
        <v>1</v>
      </c>
      <c r="AP27" s="130">
        <f>'Assign To West Contracts'!AR128</f>
        <v>0.99999999999999989</v>
      </c>
      <c r="AQ27" s="130">
        <f>'Assign To West Contracts'!AS128</f>
        <v>1</v>
      </c>
      <c r="AR27" s="130">
        <f>'Assign To West Contracts'!AT128</f>
        <v>1</v>
      </c>
      <c r="AS27" s="130">
        <f>'Assign To West Contracts'!AU128</f>
        <v>1</v>
      </c>
      <c r="AT27" s="130">
        <f>'Assign To West Contracts'!AV128</f>
        <v>1</v>
      </c>
      <c r="AU27" s="130">
        <f>'Assign To West Contracts'!AW128</f>
        <v>1</v>
      </c>
      <c r="AV27" s="130">
        <f>'Assign To West Contracts'!AX128</f>
        <v>1</v>
      </c>
      <c r="AW27" s="130">
        <f>'Assign To West Contracts'!AY128</f>
        <v>1</v>
      </c>
      <c r="AX27" s="130">
        <f>'Assign To West Contracts'!AZ128</f>
        <v>1</v>
      </c>
      <c r="AY27" s="130">
        <f>'Assign To West Contracts'!BA128</f>
        <v>1</v>
      </c>
      <c r="AZ27" s="130">
        <f>'Assign To West Contracts'!BB128</f>
        <v>1</v>
      </c>
      <c r="BA27" s="130">
        <f>'Assign To West Contracts'!BC128</f>
        <v>1</v>
      </c>
      <c r="BB27" s="130">
        <f>'Assign To West Contracts'!BD128</f>
        <v>1.0000000000000002</v>
      </c>
      <c r="BC27" s="130">
        <f>'Assign To West Contracts'!BE128</f>
        <v>1</v>
      </c>
      <c r="BD27" s="130">
        <f>'Assign To West Contracts'!BF128</f>
        <v>1</v>
      </c>
      <c r="BE27" s="130">
        <f>'Assign To West Contracts'!BG128</f>
        <v>1</v>
      </c>
      <c r="BF27" s="130">
        <f>'Assign To West Contracts'!BH128</f>
        <v>1</v>
      </c>
      <c r="BG27" s="130">
        <f>'Assign To West Contracts'!BI128</f>
        <v>0.99999999999999989</v>
      </c>
      <c r="BH27" s="130">
        <f>'Assign To West Contracts'!BJ128</f>
        <v>1</v>
      </c>
      <c r="BI27" s="130">
        <f>'Assign To West Contracts'!BK128</f>
        <v>1</v>
      </c>
      <c r="BJ27" s="130">
        <f>'Assign To West Contracts'!BL128</f>
        <v>1</v>
      </c>
      <c r="BK27" s="130">
        <f>'Assign To West Contracts'!BM128</f>
        <v>1</v>
      </c>
      <c r="BL27" s="130">
        <f>'Assign To West Contracts'!BN128</f>
        <v>1</v>
      </c>
      <c r="BM27" s="130">
        <f>'Assign To West Contracts'!BO128</f>
        <v>1</v>
      </c>
      <c r="BN27" s="130">
        <f>'Assign To West Contracts'!BP128</f>
        <v>1</v>
      </c>
      <c r="BO27" s="130">
        <f>'Assign To West Contracts'!BQ128</f>
        <v>1</v>
      </c>
      <c r="BP27" s="130">
        <f>'Assign To West Contracts'!BR128</f>
        <v>0.99999999999999978</v>
      </c>
      <c r="BQ27" s="130">
        <f>'Assign To West Contracts'!BS128</f>
        <v>1</v>
      </c>
      <c r="BR27" s="130">
        <f>'Assign To West Contracts'!BT128</f>
        <v>1</v>
      </c>
      <c r="BS27" s="130">
        <f>'Assign To West Contracts'!BU128</f>
        <v>1</v>
      </c>
      <c r="BT27" s="130">
        <f>'Assign To West Contracts'!BV128</f>
        <v>1</v>
      </c>
      <c r="BU27" s="130">
        <f>'Assign To West Contracts'!BW128</f>
        <v>1</v>
      </c>
      <c r="BV27" s="130">
        <f>'Assign To West Contracts'!BX128</f>
        <v>1</v>
      </c>
      <c r="BW27" s="130">
        <f>'Assign To West Contracts'!BY128</f>
        <v>1</v>
      </c>
      <c r="BY27" s="76"/>
      <c r="BZ27" s="130">
        <f>'Assign To West Contracts'!CB128</f>
        <v>0.99999999999999989</v>
      </c>
      <c r="CA27" s="130">
        <f>'Assign To West Contracts'!CC128</f>
        <v>1.0000000000000002</v>
      </c>
      <c r="CB27" s="130">
        <f>'Assign To West Contracts'!CD128</f>
        <v>1</v>
      </c>
      <c r="CC27" s="130">
        <f>'Assign To West Contracts'!CE128</f>
        <v>0.99999999999999989</v>
      </c>
      <c r="CD27" s="130">
        <f>'Assign To West Contracts'!CF128</f>
        <v>1</v>
      </c>
      <c r="CE27" s="130">
        <f>'Assign To West Contracts'!CG128</f>
        <v>0.99999999999999989</v>
      </c>
      <c r="CF27" s="130">
        <f>'Assign To West Contracts'!CH128</f>
        <v>1</v>
      </c>
      <c r="CG27" s="130">
        <f>'Assign To West Contracts'!CI128</f>
        <v>1</v>
      </c>
      <c r="CH27" s="130">
        <f>'Assign To West Contracts'!CJ128</f>
        <v>1</v>
      </c>
      <c r="CI27" s="130">
        <f>'Assign To West Contracts'!CK128</f>
        <v>1</v>
      </c>
      <c r="CJ27" s="130">
        <f>'Assign To West Contracts'!CL128</f>
        <v>1</v>
      </c>
      <c r="CK27" s="130">
        <f>'Assign To West Contracts'!CM128</f>
        <v>1</v>
      </c>
      <c r="CL27" s="130">
        <f>'Assign To West Contracts'!CN128</f>
        <v>1</v>
      </c>
      <c r="CM27" s="130">
        <f>'Assign To West Contracts'!CO128</f>
        <v>1</v>
      </c>
      <c r="CN27" s="130">
        <f>'Assign To West Contracts'!CP128</f>
        <v>1</v>
      </c>
      <c r="CO27" s="130">
        <f>'Assign To West Contracts'!CQ128</f>
        <v>1</v>
      </c>
      <c r="CP27" s="130">
        <f>'Assign To West Contracts'!CR128</f>
        <v>1</v>
      </c>
      <c r="CQ27" s="130">
        <f>'Assign To West Contracts'!CS128</f>
        <v>1</v>
      </c>
      <c r="CR27" s="130">
        <f>'Assign To West Contracts'!CT128</f>
        <v>1</v>
      </c>
      <c r="CS27" s="130">
        <f>'Assign To West Contracts'!CU128</f>
        <v>1</v>
      </c>
      <c r="CT27" s="130">
        <f>'Assign To West Contracts'!CV128</f>
        <v>1</v>
      </c>
      <c r="CU27" s="130">
        <f>'Assign To West Contracts'!CW128</f>
        <v>1</v>
      </c>
      <c r="CV27" s="130">
        <f>'Assign To West Contracts'!CX128</f>
        <v>1</v>
      </c>
      <c r="CX27" s="76"/>
      <c r="CZ27" s="76"/>
      <c r="DA27" s="90">
        <f>SUM(DA24:DA26)</f>
        <v>1</v>
      </c>
      <c r="DB27" s="90">
        <f t="shared" ref="DB27:DG27" si="9">SUM(DB24:DB26)</f>
        <v>1</v>
      </c>
      <c r="DC27" s="90">
        <f t="shared" si="9"/>
        <v>1</v>
      </c>
      <c r="DD27" s="90">
        <f t="shared" si="9"/>
        <v>1</v>
      </c>
      <c r="DE27" s="90">
        <f t="shared" si="9"/>
        <v>1</v>
      </c>
      <c r="DF27" s="90">
        <f t="shared" si="9"/>
        <v>1</v>
      </c>
      <c r="DG27" s="90">
        <f t="shared" si="9"/>
        <v>1</v>
      </c>
      <c r="DI27" s="76"/>
      <c r="DJ27" s="1"/>
      <c r="DK27" s="76"/>
    </row>
    <row r="28" spans="1:115" x14ac:dyDescent="0.25">
      <c r="A28" s="70"/>
      <c r="B28" s="130"/>
      <c r="C28" s="130"/>
      <c r="D28" s="130"/>
      <c r="E28" s="130"/>
      <c r="F28" s="130"/>
      <c r="G28" s="130"/>
      <c r="H28" s="130"/>
      <c r="I28" s="130"/>
      <c r="J28" s="130"/>
      <c r="K28" s="130"/>
      <c r="L28" s="130"/>
      <c r="M28" s="130"/>
      <c r="N28" s="130"/>
      <c r="O28" s="130"/>
      <c r="P28" s="130"/>
      <c r="Q28" s="130"/>
      <c r="R28" s="130"/>
      <c r="S28" s="130"/>
      <c r="T28" s="130"/>
      <c r="U28" s="130"/>
      <c r="V28" s="130"/>
      <c r="W28" s="130"/>
      <c r="X28" s="130"/>
      <c r="Y28" s="130"/>
      <c r="Z28" s="130"/>
      <c r="AA28" s="130"/>
      <c r="AB28" s="130"/>
      <c r="AC28" s="130"/>
      <c r="AD28" s="130"/>
      <c r="AE28" s="130"/>
      <c r="AF28" s="130"/>
      <c r="AG28" s="130"/>
      <c r="AH28" s="130"/>
      <c r="AI28" s="130"/>
      <c r="AJ28" s="130"/>
      <c r="AK28" s="130"/>
      <c r="AL28" s="130"/>
      <c r="AM28" s="130"/>
      <c r="AN28" s="130"/>
      <c r="AO28" s="130"/>
      <c r="AP28" s="130"/>
      <c r="AQ28" s="130"/>
      <c r="AR28" s="130"/>
      <c r="AS28" s="130"/>
      <c r="AT28" s="130"/>
      <c r="AU28" s="130"/>
      <c r="AV28" s="130"/>
      <c r="AW28" s="130"/>
      <c r="AX28" s="130"/>
      <c r="AY28" s="130"/>
      <c r="AZ28" s="130"/>
      <c r="BA28" s="130"/>
      <c r="BB28" s="130"/>
      <c r="BC28" s="130"/>
      <c r="BD28" s="130"/>
      <c r="BE28" s="130"/>
      <c r="BF28" s="130"/>
      <c r="BG28" s="130"/>
      <c r="BH28" s="130"/>
      <c r="BI28" s="130"/>
      <c r="BJ28" s="130"/>
      <c r="BK28" s="130"/>
      <c r="BL28" s="130"/>
      <c r="BM28" s="130"/>
      <c r="BN28" s="130"/>
      <c r="BO28" s="130"/>
      <c r="BP28" s="130"/>
      <c r="BQ28" s="130"/>
      <c r="BR28" s="130"/>
      <c r="BS28" s="130"/>
      <c r="BT28" s="130"/>
      <c r="BU28" s="130"/>
      <c r="BV28" s="130"/>
      <c r="BW28" s="130"/>
      <c r="BY28" s="76"/>
      <c r="BZ28" s="130"/>
      <c r="CA28" s="130"/>
      <c r="CB28" s="130"/>
      <c r="CC28" s="130"/>
      <c r="CD28" s="130"/>
      <c r="CE28" s="130"/>
      <c r="CF28" s="130"/>
      <c r="CG28" s="130"/>
      <c r="CH28" s="130"/>
      <c r="CI28" s="130"/>
      <c r="CJ28" s="130"/>
      <c r="CK28" s="130"/>
      <c r="CL28" s="130"/>
      <c r="CM28" s="130"/>
      <c r="CN28" s="130"/>
      <c r="CO28" s="130"/>
      <c r="CP28" s="130"/>
      <c r="CQ28" s="130"/>
      <c r="CR28" s="130"/>
      <c r="CS28" s="130"/>
      <c r="CT28" s="130"/>
      <c r="CU28" s="130"/>
      <c r="CV28" s="130"/>
      <c r="CX28" s="76"/>
      <c r="CZ28" s="76"/>
      <c r="DA28" s="90"/>
      <c r="DB28" s="90"/>
      <c r="DC28" s="90"/>
      <c r="DD28" s="90"/>
      <c r="DE28" s="90"/>
      <c r="DF28" s="90"/>
      <c r="DG28" s="90"/>
      <c r="DI28" s="76"/>
      <c r="DJ28" s="1"/>
      <c r="DK28" s="76"/>
    </row>
    <row r="29" spans="1:115" x14ac:dyDescent="0.25">
      <c r="A29" s="70" t="s">
        <v>628</v>
      </c>
      <c r="B29" s="130"/>
      <c r="C29" s="130"/>
      <c r="D29" s="130"/>
      <c r="E29" s="130"/>
      <c r="F29" s="130"/>
      <c r="G29" s="130"/>
      <c r="H29" s="130"/>
      <c r="I29" s="130"/>
      <c r="J29" s="130"/>
      <c r="K29" s="130"/>
      <c r="L29" s="130"/>
      <c r="M29" s="130"/>
      <c r="N29" s="130"/>
      <c r="O29" s="130"/>
      <c r="P29" s="130"/>
      <c r="Q29" s="130"/>
      <c r="R29" s="130"/>
      <c r="S29" s="130"/>
      <c r="T29" s="130"/>
      <c r="U29" s="130"/>
      <c r="V29" s="130"/>
      <c r="W29" s="130"/>
      <c r="X29" s="130"/>
      <c r="Y29" s="130"/>
      <c r="Z29" s="130"/>
      <c r="AA29" s="130"/>
      <c r="AB29" s="130"/>
      <c r="AC29" s="130"/>
      <c r="AD29" s="130"/>
      <c r="AE29" s="130"/>
      <c r="AF29" s="130"/>
      <c r="AG29" s="130"/>
      <c r="AH29" s="130"/>
      <c r="AI29" s="130"/>
      <c r="AJ29" s="130"/>
      <c r="AK29" s="130"/>
      <c r="AL29" s="130"/>
      <c r="AM29" s="130"/>
      <c r="AN29" s="130"/>
      <c r="AO29" s="130"/>
      <c r="AP29" s="130"/>
      <c r="AQ29" s="130"/>
      <c r="AR29" s="130"/>
      <c r="AS29" s="130"/>
      <c r="AT29" s="130"/>
      <c r="AU29" s="130"/>
      <c r="AV29" s="130"/>
      <c r="AW29" s="130"/>
      <c r="AX29" s="130"/>
      <c r="AY29" s="130"/>
      <c r="AZ29" s="130"/>
      <c r="BA29" s="130"/>
      <c r="BB29" s="130"/>
      <c r="BC29" s="130"/>
      <c r="BD29" s="130"/>
      <c r="BE29" s="130"/>
      <c r="BF29" s="130"/>
      <c r="BG29" s="130"/>
      <c r="BH29" s="130"/>
      <c r="BI29" s="130"/>
      <c r="BJ29" s="130"/>
      <c r="BK29" s="130"/>
      <c r="BL29" s="130"/>
      <c r="BM29" s="130"/>
      <c r="BN29" s="130"/>
      <c r="BO29" s="130"/>
      <c r="BP29" s="130"/>
      <c r="BQ29" s="130"/>
      <c r="BR29" s="130"/>
      <c r="BS29" s="130"/>
      <c r="BT29" s="130"/>
      <c r="BU29" s="130"/>
      <c r="BV29" s="130"/>
      <c r="BW29" s="130"/>
      <c r="BY29" s="76"/>
      <c r="BZ29" s="130"/>
      <c r="CA29" s="130"/>
      <c r="CB29" s="130"/>
      <c r="CC29" s="130"/>
      <c r="CD29" s="130"/>
      <c r="CE29" s="130"/>
      <c r="CF29" s="130"/>
      <c r="CG29" s="130"/>
      <c r="CH29" s="130"/>
      <c r="CI29" s="130"/>
      <c r="CJ29" s="130"/>
      <c r="CK29" s="130"/>
      <c r="CL29" s="130"/>
      <c r="CM29" s="130"/>
      <c r="CN29" s="130"/>
      <c r="CO29" s="130"/>
      <c r="CP29" s="130"/>
      <c r="CQ29" s="130"/>
      <c r="CR29" s="130"/>
      <c r="CS29" s="130"/>
      <c r="CT29" s="130"/>
      <c r="CU29" s="130"/>
      <c r="CV29" s="130"/>
      <c r="CX29" s="76"/>
      <c r="CZ29" s="76"/>
      <c r="DA29" s="90"/>
      <c r="DB29" s="90"/>
      <c r="DC29" s="90"/>
      <c r="DD29" s="90"/>
      <c r="DE29" s="90"/>
      <c r="DF29" s="90"/>
      <c r="DG29" s="90"/>
      <c r="DI29" s="76"/>
      <c r="DJ29" s="1"/>
      <c r="DK29" s="76"/>
    </row>
    <row r="30" spans="1:115" x14ac:dyDescent="0.25">
      <c r="A30" s="70" t="s">
        <v>642</v>
      </c>
      <c r="B30" s="130"/>
      <c r="C30" s="130"/>
      <c r="D30" s="130"/>
      <c r="E30" s="130"/>
      <c r="F30" s="130"/>
      <c r="G30" s="130"/>
      <c r="H30" s="130"/>
      <c r="I30" s="130"/>
      <c r="J30" s="130"/>
      <c r="K30" s="130"/>
      <c r="L30" s="130"/>
      <c r="M30" s="130"/>
      <c r="N30" s="130"/>
      <c r="O30" s="130"/>
      <c r="P30" s="130"/>
      <c r="Q30" s="130"/>
      <c r="R30" s="130"/>
      <c r="S30" s="130"/>
      <c r="T30" s="130"/>
      <c r="U30" s="130"/>
      <c r="V30" s="130"/>
      <c r="W30" s="130"/>
      <c r="X30" s="130"/>
      <c r="Y30" s="130"/>
      <c r="Z30" s="130"/>
      <c r="AA30" s="130"/>
      <c r="AB30" s="130"/>
      <c r="AC30" s="130"/>
      <c r="AD30" s="130"/>
      <c r="AE30" s="130"/>
      <c r="AF30" s="130"/>
      <c r="AG30" s="130"/>
      <c r="AH30" s="130"/>
      <c r="AI30" s="130"/>
      <c r="AJ30" s="130"/>
      <c r="AK30" s="130"/>
      <c r="AL30" s="130"/>
      <c r="AM30" s="130"/>
      <c r="AN30" s="130"/>
      <c r="AO30" s="130"/>
      <c r="AP30" s="130"/>
      <c r="AQ30" s="130"/>
      <c r="AR30" s="130"/>
      <c r="AS30" s="130"/>
      <c r="AT30" s="130"/>
      <c r="AU30" s="130"/>
      <c r="AV30" s="130"/>
      <c r="AW30" s="130"/>
      <c r="AX30" s="130"/>
      <c r="AY30" s="130"/>
      <c r="AZ30" s="130"/>
      <c r="BA30" s="130"/>
      <c r="BB30" s="130"/>
      <c r="BC30" s="130"/>
      <c r="BD30" s="130"/>
      <c r="BE30" s="130"/>
      <c r="BF30" s="130"/>
      <c r="BG30" s="130"/>
      <c r="BH30" s="130"/>
      <c r="BI30" s="130"/>
      <c r="BJ30" s="130"/>
      <c r="BK30" s="130"/>
      <c r="BL30" s="130"/>
      <c r="BM30" s="130"/>
      <c r="BN30" s="130"/>
      <c r="BO30" s="130"/>
      <c r="BP30" s="130"/>
      <c r="BQ30" s="130"/>
      <c r="BR30" s="130"/>
      <c r="BS30" s="130"/>
      <c r="BT30" s="130"/>
      <c r="BU30" s="130"/>
      <c r="BV30" s="130"/>
      <c r="BW30" s="130"/>
      <c r="BY30" s="76"/>
      <c r="BZ30" s="130"/>
      <c r="CA30" s="130"/>
      <c r="CB30" s="130"/>
      <c r="CC30" s="130"/>
      <c r="CD30" s="130"/>
      <c r="CE30" s="130"/>
      <c r="CF30" s="130"/>
      <c r="CG30" s="130"/>
      <c r="CH30" s="130"/>
      <c r="CI30" s="130"/>
      <c r="CJ30" s="130"/>
      <c r="CK30" s="130"/>
      <c r="CL30" s="130"/>
      <c r="CM30" s="130"/>
      <c r="CN30" s="130"/>
      <c r="CO30" s="130"/>
      <c r="CP30" s="130"/>
      <c r="CQ30" s="130"/>
      <c r="CR30" s="130"/>
      <c r="CS30" s="130"/>
      <c r="CT30" s="130"/>
      <c r="CU30" s="130"/>
      <c r="CV30" s="130"/>
      <c r="CX30" s="76"/>
      <c r="CZ30" s="76"/>
      <c r="DA30" s="90">
        <f>DA12/DA20</f>
        <v>1</v>
      </c>
      <c r="DB30" s="90">
        <f t="shared" ref="DB30:DG30" si="10">DB12/DB20</f>
        <v>0</v>
      </c>
      <c r="DC30" s="90">
        <f t="shared" si="10"/>
        <v>0</v>
      </c>
      <c r="DD30" s="90">
        <f t="shared" si="10"/>
        <v>0</v>
      </c>
      <c r="DE30" s="90">
        <f t="shared" si="10"/>
        <v>0</v>
      </c>
      <c r="DF30" s="90">
        <f t="shared" si="10"/>
        <v>0</v>
      </c>
      <c r="DG30" s="90">
        <f t="shared" si="10"/>
        <v>0</v>
      </c>
      <c r="DI30" s="76"/>
      <c r="DJ30" s="1"/>
      <c r="DK30" s="76"/>
    </row>
    <row r="31" spans="1:115" x14ac:dyDescent="0.25">
      <c r="A31" s="70" t="s">
        <v>326</v>
      </c>
      <c r="B31" s="130">
        <f>'Assign To West Contracts'!D131</f>
        <v>0.10164075273466976</v>
      </c>
      <c r="C31" s="130">
        <f>'Assign To West Contracts'!E131</f>
        <v>0.10164075273466976</v>
      </c>
      <c r="D31" s="130">
        <f>'Assign To West Contracts'!F131</f>
        <v>1</v>
      </c>
      <c r="E31" s="130">
        <f>'Assign To West Contracts'!G131</f>
        <v>0.13625257137878735</v>
      </c>
      <c r="F31" s="130">
        <f>'Assign To West Contracts'!H131</f>
        <v>0.13625257137878735</v>
      </c>
      <c r="G31" s="130">
        <f>'Assign To West Contracts'!I131</f>
        <v>0.13625257137878732</v>
      </c>
      <c r="H31" s="130">
        <f>'Assign To West Contracts'!J131</f>
        <v>0.13625257137878735</v>
      </c>
      <c r="I31" s="130">
        <f>'Assign To West Contracts'!K131</f>
        <v>0.1362525713787873</v>
      </c>
      <c r="J31" s="130">
        <f>'Assign To West Contracts'!L131</f>
        <v>1</v>
      </c>
      <c r="K31" s="130">
        <f>'Assign To West Contracts'!M131</f>
        <v>0.10164075273466974</v>
      </c>
      <c r="L31" s="130">
        <f>'Assign To West Contracts'!N131</f>
        <v>0.10164075273466976</v>
      </c>
      <c r="M31" s="130">
        <f>'Assign To West Contracts'!O131</f>
        <v>0.13625257137878732</v>
      </c>
      <c r="N31" s="130">
        <f>'Assign To West Contracts'!P131</f>
        <v>0.13625257137878732</v>
      </c>
      <c r="O31" s="130">
        <f>'Assign To West Contracts'!Q131</f>
        <v>0.13625257137878732</v>
      </c>
      <c r="P31" s="130">
        <f>'Assign To West Contracts'!R131</f>
        <v>1</v>
      </c>
      <c r="Q31" s="130">
        <f>'Assign To West Contracts'!S131</f>
        <v>1</v>
      </c>
      <c r="R31" s="130">
        <f>'Assign To West Contracts'!T131</f>
        <v>1</v>
      </c>
      <c r="S31" s="130">
        <f>'Assign To West Contracts'!U131</f>
        <v>1</v>
      </c>
      <c r="T31" s="130">
        <f>'Assign To West Contracts'!V131</f>
        <v>1</v>
      </c>
      <c r="U31" s="130">
        <f>'Assign To West Contracts'!W131</f>
        <v>0.13625257137878732</v>
      </c>
      <c r="V31" s="130">
        <f>'Assign To West Contracts'!X131</f>
        <v>0.13625257137878732</v>
      </c>
      <c r="W31" s="130">
        <f>'Assign To West Contracts'!Y131</f>
        <v>0.10164075273466977</v>
      </c>
      <c r="X31" s="130">
        <f>'Assign To West Contracts'!Z131</f>
        <v>0.13625257137878732</v>
      </c>
      <c r="Y31" s="130">
        <f>'Assign To West Contracts'!AA131</f>
        <v>1</v>
      </c>
      <c r="Z31" s="130">
        <f>'Assign To West Contracts'!AB131</f>
        <v>1</v>
      </c>
      <c r="AA31" s="130">
        <f>'Assign To West Contracts'!AC131</f>
        <v>1</v>
      </c>
      <c r="AB31" s="130">
        <f>'Assign To West Contracts'!AD131</f>
        <v>1</v>
      </c>
      <c r="AC31" s="130">
        <f>'Assign To West Contracts'!AE131</f>
        <v>1</v>
      </c>
      <c r="AD31" s="130">
        <f>'Assign To West Contracts'!AF131</f>
        <v>1</v>
      </c>
      <c r="AE31" s="130">
        <f>'Assign To West Contracts'!AG131</f>
        <v>1</v>
      </c>
      <c r="AF31" s="130">
        <f>'Assign To West Contracts'!AH131</f>
        <v>1</v>
      </c>
      <c r="AG31" s="130">
        <f>'Assign To West Contracts'!AI131</f>
        <v>0.13625257137878732</v>
      </c>
      <c r="AH31" s="130">
        <f>'Assign To West Contracts'!AJ131</f>
        <v>1</v>
      </c>
      <c r="AI31" s="130">
        <f>'Assign To West Contracts'!AK131</f>
        <v>1</v>
      </c>
      <c r="AJ31" s="130">
        <f>'Assign To West Contracts'!AL131</f>
        <v>0.13625257137878732</v>
      </c>
      <c r="AK31" s="130">
        <f>'Assign To West Contracts'!AM131</f>
        <v>1</v>
      </c>
      <c r="AL31" s="130">
        <f>'Assign To West Contracts'!AN131</f>
        <v>1</v>
      </c>
      <c r="AM31" s="130">
        <f>'Assign To West Contracts'!AO131</f>
        <v>0.10164075273466976</v>
      </c>
      <c r="AN31" s="130">
        <f>'Assign To West Contracts'!AP131</f>
        <v>0.10164075273466976</v>
      </c>
      <c r="AO31" s="130">
        <f>'Assign To West Contracts'!AQ131</f>
        <v>1</v>
      </c>
      <c r="AP31" s="130">
        <f>'Assign To West Contracts'!AR131</f>
        <v>0.13625257137878732</v>
      </c>
      <c r="AQ31" s="130">
        <f>'Assign To West Contracts'!AS131</f>
        <v>0.10164075273466976</v>
      </c>
      <c r="AR31" s="130">
        <f>'Assign To West Contracts'!AT131</f>
        <v>0.14491827810404168</v>
      </c>
      <c r="AS31" s="130">
        <f>'Assign To West Contracts'!AU131</f>
        <v>1</v>
      </c>
      <c r="AT31" s="130">
        <f>'Assign To West Contracts'!AV131</f>
        <v>0.13625257137878732</v>
      </c>
      <c r="AU31" s="130">
        <f>'Assign To West Contracts'!AW131</f>
        <v>0.13625257137878732</v>
      </c>
      <c r="AV31" s="130">
        <f>'Assign To West Contracts'!AX131</f>
        <v>1</v>
      </c>
      <c r="AW31" s="130">
        <f>'Assign To West Contracts'!AY131</f>
        <v>0.13625257137878732</v>
      </c>
      <c r="AX31" s="130">
        <f>'Assign To West Contracts'!AZ131</f>
        <v>0.13625257137878732</v>
      </c>
      <c r="AY31" s="130">
        <f>'Assign To West Contracts'!BA131</f>
        <v>0.13625257137878732</v>
      </c>
      <c r="AZ31" s="130">
        <f>'Assign To West Contracts'!BB131</f>
        <v>0.13625257137878732</v>
      </c>
      <c r="BA31" s="130">
        <f>'Assign To West Contracts'!BC131</f>
        <v>0.13625257137878735</v>
      </c>
      <c r="BB31" s="130">
        <f>'Assign To West Contracts'!BD131</f>
        <v>0.13625257137878735</v>
      </c>
      <c r="BC31" s="130">
        <f>'Assign To West Contracts'!BE131</f>
        <v>1</v>
      </c>
      <c r="BD31" s="130">
        <f>'Assign To West Contracts'!BF131</f>
        <v>0.10164075273466976</v>
      </c>
      <c r="BE31" s="130">
        <f>'Assign To West Contracts'!BG131</f>
        <v>0.1362525713787873</v>
      </c>
      <c r="BF31" s="130">
        <f>'Assign To West Contracts'!BH131</f>
        <v>0.10164075273466976</v>
      </c>
      <c r="BG31" s="130">
        <f>'Assign To West Contracts'!BI131</f>
        <v>0.1362525713787873</v>
      </c>
      <c r="BH31" s="130">
        <f>'Assign To West Contracts'!BJ131</f>
        <v>0.10164075273466973</v>
      </c>
      <c r="BI31" s="130">
        <f>'Assign To West Contracts'!BK131</f>
        <v>0.10164075273466976</v>
      </c>
      <c r="BJ31" s="130">
        <f>'Assign To West Contracts'!BL131</f>
        <v>0.10164075273466976</v>
      </c>
      <c r="BK31" s="130">
        <f>'Assign To West Contracts'!BM131</f>
        <v>0.13625257137878732</v>
      </c>
      <c r="BL31" s="130">
        <f>'Assign To West Contracts'!BN131</f>
        <v>0.13625257137878732</v>
      </c>
      <c r="BM31" s="130">
        <f>'Assign To West Contracts'!BO131</f>
        <v>0.13625257137878732</v>
      </c>
      <c r="BN31" s="130">
        <f>'Assign To West Contracts'!BP131</f>
        <v>0.10164075273466974</v>
      </c>
      <c r="BO31" s="130">
        <f>'Assign To West Contracts'!BQ131</f>
        <v>0.13625257137878735</v>
      </c>
      <c r="BP31" s="130">
        <f>'Assign To West Contracts'!BR131</f>
        <v>0.13625257137878732</v>
      </c>
      <c r="BQ31" s="130">
        <f>'Assign To West Contracts'!BS131</f>
        <v>1</v>
      </c>
      <c r="BR31" s="130">
        <f>'Assign To West Contracts'!BT131</f>
        <v>0.10164075273466977</v>
      </c>
      <c r="BS31" s="130">
        <f>'Assign To West Contracts'!BU131</f>
        <v>1</v>
      </c>
      <c r="BT31" s="130">
        <f>'Assign To West Contracts'!BV131</f>
        <v>1</v>
      </c>
      <c r="BU31" s="130">
        <f>'Assign To West Contracts'!BW131</f>
        <v>0.10164075273466974</v>
      </c>
      <c r="BV31" s="130">
        <f>'Assign To West Contracts'!BX131</f>
        <v>0.10164075273466976</v>
      </c>
      <c r="BW31" s="130">
        <f>'Assign To West Contracts'!BY131</f>
        <v>1</v>
      </c>
      <c r="BY31" s="76"/>
      <c r="BZ31" s="130">
        <f>'Assign To West Contracts'!CB131</f>
        <v>0.14491827810404165</v>
      </c>
      <c r="CA31" s="130">
        <f>'Assign To West Contracts'!CC131</f>
        <v>0.14491827810404168</v>
      </c>
      <c r="CB31" s="130">
        <f>'Assign To West Contracts'!CD131</f>
        <v>0.14491827810404168</v>
      </c>
      <c r="CC31" s="130">
        <f>'Assign To West Contracts'!CE131</f>
        <v>0.14491827810404162</v>
      </c>
      <c r="CD31" s="130">
        <f>'Assign To West Contracts'!CF131</f>
        <v>0.14491827810404168</v>
      </c>
      <c r="CE31" s="130">
        <f>'Assign To West Contracts'!CG131</f>
        <v>0.14491827810404162</v>
      </c>
      <c r="CF31" s="130">
        <f>'Assign To West Contracts'!CH131</f>
        <v>0.10164075273466976</v>
      </c>
      <c r="CG31" s="130">
        <f>'Assign To West Contracts'!CI131</f>
        <v>0.10164075273466974</v>
      </c>
      <c r="CH31" s="130">
        <f>'Assign To West Contracts'!CJ131</f>
        <v>0.10164075273466976</v>
      </c>
      <c r="CI31" s="130">
        <f>'Assign To West Contracts'!CK131</f>
        <v>0.10164075273466976</v>
      </c>
      <c r="CJ31" s="130">
        <f>'Assign To West Contracts'!CL131</f>
        <v>0.10164075273466977</v>
      </c>
      <c r="CK31" s="130">
        <f>'Assign To West Contracts'!CM131</f>
        <v>0.10164075273466977</v>
      </c>
      <c r="CL31" s="130">
        <f>'Assign To West Contracts'!CN131</f>
        <v>0.10164075273466976</v>
      </c>
      <c r="CM31" s="130">
        <f>'Assign To West Contracts'!CO131</f>
        <v>0.10164075273466976</v>
      </c>
      <c r="CN31" s="130">
        <f>'Assign To West Contracts'!CP131</f>
        <v>0.10164075273466976</v>
      </c>
      <c r="CO31" s="130">
        <f>'Assign To West Contracts'!CQ131</f>
        <v>0.10164075273466977</v>
      </c>
      <c r="CP31" s="130">
        <f>'Assign To West Contracts'!CR131</f>
        <v>0.10164075273466974</v>
      </c>
      <c r="CQ31" s="130">
        <f>'Assign To West Contracts'!CS131</f>
        <v>0.10164075273466977</v>
      </c>
      <c r="CR31" s="130">
        <f>'Assign To West Contracts'!CT131</f>
        <v>0</v>
      </c>
      <c r="CS31" s="130">
        <f>'Assign To West Contracts'!CU131</f>
        <v>0</v>
      </c>
      <c r="CT31" s="130">
        <f>'Assign To West Contracts'!CV131</f>
        <v>0</v>
      </c>
      <c r="CU31" s="130">
        <f>'Assign To West Contracts'!CW131</f>
        <v>0</v>
      </c>
      <c r="CV31" s="130">
        <f>'Assign To West Contracts'!CX131</f>
        <v>0</v>
      </c>
      <c r="CX31" s="76"/>
      <c r="CZ31" s="76"/>
      <c r="DA31" s="90"/>
      <c r="DB31" s="90"/>
      <c r="DC31" s="90"/>
      <c r="DD31" s="90"/>
      <c r="DE31" s="90"/>
      <c r="DF31" s="90"/>
      <c r="DG31" s="90"/>
      <c r="DI31" s="76"/>
      <c r="DJ31" s="1"/>
      <c r="DK31" s="76"/>
    </row>
    <row r="32" spans="1:115" x14ac:dyDescent="0.25">
      <c r="A32" s="70" t="s">
        <v>327</v>
      </c>
      <c r="B32" s="130">
        <f>'Assign To West Contracts'!D132</f>
        <v>3.9491976533486732E-2</v>
      </c>
      <c r="C32" s="130">
        <f>'Assign To West Contracts'!E132</f>
        <v>3.9491976533486732E-2</v>
      </c>
      <c r="D32" s="130">
        <f>'Assign To West Contracts'!F132</f>
        <v>1</v>
      </c>
      <c r="E32" s="130">
        <f>'Assign To West Contracts'!G132</f>
        <v>5.2940215481923243E-2</v>
      </c>
      <c r="F32" s="130">
        <f>'Assign To West Contracts'!H132</f>
        <v>5.2940215481923243E-2</v>
      </c>
      <c r="G32" s="130">
        <f>'Assign To West Contracts'!I132</f>
        <v>5.2940215481923236E-2</v>
      </c>
      <c r="H32" s="130">
        <f>'Assign To West Contracts'!J132</f>
        <v>5.294021548192325E-2</v>
      </c>
      <c r="I32" s="130">
        <f>'Assign To West Contracts'!K132</f>
        <v>5.2940215481923236E-2</v>
      </c>
      <c r="J32" s="130">
        <f>'Assign To West Contracts'!L132</f>
        <v>1</v>
      </c>
      <c r="K32" s="130">
        <f>'Assign To West Contracts'!M132</f>
        <v>3.9491976533486739E-2</v>
      </c>
      <c r="L32" s="130">
        <f>'Assign To West Contracts'!N132</f>
        <v>3.9491976533486739E-2</v>
      </c>
      <c r="M32" s="130">
        <f>'Assign To West Contracts'!O132</f>
        <v>5.2940215481923229E-2</v>
      </c>
      <c r="N32" s="130">
        <f>'Assign To West Contracts'!P132</f>
        <v>5.2940215481923243E-2</v>
      </c>
      <c r="O32" s="130">
        <f>'Assign To West Contracts'!Q132</f>
        <v>5.2940215481923236E-2</v>
      </c>
      <c r="P32" s="130">
        <f>'Assign To West Contracts'!R132</f>
        <v>1</v>
      </c>
      <c r="Q32" s="130">
        <f>'Assign To West Contracts'!S132</f>
        <v>1</v>
      </c>
      <c r="R32" s="130">
        <f>'Assign To West Contracts'!T132</f>
        <v>1</v>
      </c>
      <c r="S32" s="130">
        <f>'Assign To West Contracts'!U132</f>
        <v>1</v>
      </c>
      <c r="T32" s="130">
        <f>'Assign To West Contracts'!V132</f>
        <v>1</v>
      </c>
      <c r="U32" s="130">
        <f>'Assign To West Contracts'!W132</f>
        <v>5.2940215481923243E-2</v>
      </c>
      <c r="V32" s="130">
        <f>'Assign To West Contracts'!X132</f>
        <v>5.2940215481923243E-2</v>
      </c>
      <c r="W32" s="130">
        <f>'Assign To West Contracts'!Y132</f>
        <v>3.9491976533486739E-2</v>
      </c>
      <c r="X32" s="130">
        <f>'Assign To West Contracts'!Z132</f>
        <v>5.2940215481923243E-2</v>
      </c>
      <c r="Y32" s="130">
        <f>'Assign To West Contracts'!AA132</f>
        <v>1</v>
      </c>
      <c r="Z32" s="130">
        <f>'Assign To West Contracts'!AB132</f>
        <v>1</v>
      </c>
      <c r="AA32" s="130">
        <f>'Assign To West Contracts'!AC132</f>
        <v>1</v>
      </c>
      <c r="AB32" s="130">
        <f>'Assign To West Contracts'!AD132</f>
        <v>1</v>
      </c>
      <c r="AC32" s="130">
        <f>'Assign To West Contracts'!AE132</f>
        <v>1</v>
      </c>
      <c r="AD32" s="130">
        <f>'Assign To West Contracts'!AF132</f>
        <v>1</v>
      </c>
      <c r="AE32" s="130">
        <f>'Assign To West Contracts'!AG132</f>
        <v>1</v>
      </c>
      <c r="AF32" s="130">
        <f>'Assign To West Contracts'!AH132</f>
        <v>1</v>
      </c>
      <c r="AG32" s="130">
        <f>'Assign To West Contracts'!AI132</f>
        <v>5.2940215481923236E-2</v>
      </c>
      <c r="AH32" s="130">
        <f>'Assign To West Contracts'!AJ132</f>
        <v>1</v>
      </c>
      <c r="AI32" s="130">
        <f>'Assign To West Contracts'!AK132</f>
        <v>1</v>
      </c>
      <c r="AJ32" s="130">
        <f>'Assign To West Contracts'!AL132</f>
        <v>5.2940215481923243E-2</v>
      </c>
      <c r="AK32" s="130">
        <f>'Assign To West Contracts'!AM132</f>
        <v>1</v>
      </c>
      <c r="AL32" s="130">
        <f>'Assign To West Contracts'!AN132</f>
        <v>1</v>
      </c>
      <c r="AM32" s="130">
        <f>'Assign To West Contracts'!AO132</f>
        <v>3.9491976533486739E-2</v>
      </c>
      <c r="AN32" s="130">
        <f>'Assign To West Contracts'!AP132</f>
        <v>3.9491976533486739E-2</v>
      </c>
      <c r="AO32" s="130">
        <f>'Assign To West Contracts'!AQ132</f>
        <v>1</v>
      </c>
      <c r="AP32" s="130">
        <f>'Assign To West Contracts'!AR132</f>
        <v>5.2940215481923236E-2</v>
      </c>
      <c r="AQ32" s="130">
        <f>'Assign To West Contracts'!AS132</f>
        <v>3.9491976533486732E-2</v>
      </c>
      <c r="AR32" s="130">
        <f>'Assign To West Contracts'!AT132</f>
        <v>5.6307229966095676E-2</v>
      </c>
      <c r="AS32" s="130">
        <f>'Assign To West Contracts'!AU132</f>
        <v>1</v>
      </c>
      <c r="AT32" s="130">
        <f>'Assign To West Contracts'!AV132</f>
        <v>5.2940215481923236E-2</v>
      </c>
      <c r="AU32" s="130">
        <f>'Assign To West Contracts'!AW132</f>
        <v>5.2940215481923236E-2</v>
      </c>
      <c r="AV32" s="130">
        <f>'Assign To West Contracts'!AX132</f>
        <v>1</v>
      </c>
      <c r="AW32" s="130">
        <f>'Assign To West Contracts'!AY132</f>
        <v>5.294021548192325E-2</v>
      </c>
      <c r="AX32" s="130">
        <f>'Assign To West Contracts'!AZ132</f>
        <v>5.294021548192325E-2</v>
      </c>
      <c r="AY32" s="130">
        <f>'Assign To West Contracts'!BA132</f>
        <v>5.2940215481923236E-2</v>
      </c>
      <c r="AZ32" s="130">
        <f>'Assign To West Contracts'!BB132</f>
        <v>5.2940215481923236E-2</v>
      </c>
      <c r="BA32" s="130">
        <f>'Assign To West Contracts'!BC132</f>
        <v>5.2940215481923236E-2</v>
      </c>
      <c r="BB32" s="130">
        <f>'Assign To West Contracts'!BD132</f>
        <v>5.294021548192325E-2</v>
      </c>
      <c r="BC32" s="130">
        <f>'Assign To West Contracts'!BE132</f>
        <v>1</v>
      </c>
      <c r="BD32" s="130">
        <f>'Assign To West Contracts'!BF132</f>
        <v>3.9491976533486732E-2</v>
      </c>
      <c r="BE32" s="130">
        <f>'Assign To West Contracts'!BG132</f>
        <v>5.2940215481923236E-2</v>
      </c>
      <c r="BF32" s="130">
        <f>'Assign To West Contracts'!BH132</f>
        <v>3.9491976533486732E-2</v>
      </c>
      <c r="BG32" s="130">
        <f>'Assign To West Contracts'!BI132</f>
        <v>5.2940215481923236E-2</v>
      </c>
      <c r="BH32" s="130">
        <f>'Assign To West Contracts'!BJ132</f>
        <v>3.9491976533486739E-2</v>
      </c>
      <c r="BI32" s="130">
        <f>'Assign To West Contracts'!BK132</f>
        <v>3.9491976533486739E-2</v>
      </c>
      <c r="BJ32" s="130">
        <f>'Assign To West Contracts'!BL132</f>
        <v>3.9491976533486732E-2</v>
      </c>
      <c r="BK32" s="130">
        <f>'Assign To West Contracts'!BM132</f>
        <v>5.2940215481923243E-2</v>
      </c>
      <c r="BL32" s="130">
        <f>'Assign To West Contracts'!BN132</f>
        <v>5.2940215481923229E-2</v>
      </c>
      <c r="BM32" s="130">
        <f>'Assign To West Contracts'!BO132</f>
        <v>5.2940215481923243E-2</v>
      </c>
      <c r="BN32" s="130">
        <f>'Assign To West Contracts'!BP132</f>
        <v>3.9491976533486739E-2</v>
      </c>
      <c r="BO32" s="130">
        <f>'Assign To West Contracts'!BQ132</f>
        <v>5.2940215481923243E-2</v>
      </c>
      <c r="BP32" s="130">
        <f>'Assign To West Contracts'!BR132</f>
        <v>5.2940215481923229E-2</v>
      </c>
      <c r="BQ32" s="130">
        <f>'Assign To West Contracts'!BS132</f>
        <v>1</v>
      </c>
      <c r="BR32" s="130">
        <f>'Assign To West Contracts'!BT132</f>
        <v>3.9491976533486732E-2</v>
      </c>
      <c r="BS32" s="130">
        <f>'Assign To West Contracts'!BU132</f>
        <v>1</v>
      </c>
      <c r="BT32" s="130">
        <f>'Assign To West Contracts'!BV132</f>
        <v>1</v>
      </c>
      <c r="BU32" s="130">
        <f>'Assign To West Contracts'!BW132</f>
        <v>3.9491976533486725E-2</v>
      </c>
      <c r="BV32" s="130">
        <f>'Assign To West Contracts'!BX132</f>
        <v>3.9491976533486732E-2</v>
      </c>
      <c r="BW32" s="130">
        <f>'Assign To West Contracts'!BY132</f>
        <v>1</v>
      </c>
      <c r="BY32" s="76"/>
      <c r="BZ32" s="130">
        <f>'Assign To West Contracts'!CB132</f>
        <v>5.6307229966095669E-2</v>
      </c>
      <c r="CA32" s="130">
        <f>'Assign To West Contracts'!CC132</f>
        <v>5.630722996609569E-2</v>
      </c>
      <c r="CB32" s="130">
        <f>'Assign To West Contracts'!CD132</f>
        <v>5.6307229966095683E-2</v>
      </c>
      <c r="CC32" s="130">
        <f>'Assign To West Contracts'!CE132</f>
        <v>5.6307229966095676E-2</v>
      </c>
      <c r="CD32" s="130">
        <f>'Assign To West Contracts'!CF132</f>
        <v>5.6307229966095676E-2</v>
      </c>
      <c r="CE32" s="130">
        <f>'Assign To West Contracts'!CG132</f>
        <v>5.6307229966095676E-2</v>
      </c>
      <c r="CF32" s="130">
        <f>'Assign To West Contracts'!CH132</f>
        <v>3.9491976533486739E-2</v>
      </c>
      <c r="CG32" s="130">
        <f>'Assign To West Contracts'!CI132</f>
        <v>3.9491976533486732E-2</v>
      </c>
      <c r="CH32" s="130">
        <f>'Assign To West Contracts'!CJ132</f>
        <v>3.9491976533486732E-2</v>
      </c>
      <c r="CI32" s="130">
        <f>'Assign To West Contracts'!CK132</f>
        <v>3.9491976533486732E-2</v>
      </c>
      <c r="CJ32" s="130">
        <f>'Assign To West Contracts'!CL132</f>
        <v>3.9491976533486739E-2</v>
      </c>
      <c r="CK32" s="130">
        <f>'Assign To West Contracts'!CM132</f>
        <v>3.9491976533486732E-2</v>
      </c>
      <c r="CL32" s="130">
        <f>'Assign To West Contracts'!CN132</f>
        <v>3.9491976533486746E-2</v>
      </c>
      <c r="CM32" s="130">
        <f>'Assign To West Contracts'!CO132</f>
        <v>3.9491976533486739E-2</v>
      </c>
      <c r="CN32" s="130">
        <f>'Assign To West Contracts'!CP132</f>
        <v>3.9491976533486732E-2</v>
      </c>
      <c r="CO32" s="130">
        <f>'Assign To West Contracts'!CQ132</f>
        <v>3.9491976533486739E-2</v>
      </c>
      <c r="CP32" s="130">
        <f>'Assign To West Contracts'!CR132</f>
        <v>3.9491976533486732E-2</v>
      </c>
      <c r="CQ32" s="130">
        <f>'Assign To West Contracts'!CS132</f>
        <v>3.9491976533486746E-2</v>
      </c>
      <c r="CR32" s="130">
        <f>'Assign To West Contracts'!CT132</f>
        <v>0</v>
      </c>
      <c r="CS32" s="130">
        <f>'Assign To West Contracts'!CU132</f>
        <v>0</v>
      </c>
      <c r="CT32" s="130">
        <f>'Assign To West Contracts'!CV132</f>
        <v>0</v>
      </c>
      <c r="CU32" s="130">
        <f>'Assign To West Contracts'!CW132</f>
        <v>0</v>
      </c>
      <c r="CV32" s="130">
        <f>'Assign To West Contracts'!CX132</f>
        <v>0</v>
      </c>
      <c r="CX32" s="76"/>
      <c r="CZ32" s="76"/>
      <c r="DA32" s="90"/>
      <c r="DB32" s="90"/>
      <c r="DC32" s="90"/>
      <c r="DD32" s="90"/>
      <c r="DE32" s="90"/>
      <c r="DF32" s="90"/>
      <c r="DG32" s="90"/>
      <c r="DI32" s="76"/>
      <c r="DJ32" s="1"/>
      <c r="DK32" s="76"/>
    </row>
    <row r="33" spans="1:115" x14ac:dyDescent="0.25">
      <c r="A33" s="70" t="s">
        <v>328</v>
      </c>
      <c r="B33" s="130">
        <f>'Assign To West Contracts'!D133</f>
        <v>0.46814412961100943</v>
      </c>
      <c r="C33" s="130">
        <f>'Assign To West Contracts'!E133</f>
        <v>0.46814412961100943</v>
      </c>
      <c r="D33" s="130">
        <f>'Assign To West Contracts'!F133</f>
        <v>1</v>
      </c>
      <c r="E33" s="130">
        <f>'Assign To West Contracts'!G133</f>
        <v>0.62756167894481696</v>
      </c>
      <c r="F33" s="130">
        <f>'Assign To West Contracts'!H133</f>
        <v>0.62756167894481685</v>
      </c>
      <c r="G33" s="130">
        <f>'Assign To West Contracts'!I133</f>
        <v>0.62756167894481696</v>
      </c>
      <c r="H33" s="130">
        <f>'Assign To West Contracts'!J133</f>
        <v>0.62756167894481696</v>
      </c>
      <c r="I33" s="130">
        <f>'Assign To West Contracts'!K133</f>
        <v>0.62756167894481685</v>
      </c>
      <c r="J33" s="130">
        <f>'Assign To West Contracts'!L133</f>
        <v>1</v>
      </c>
      <c r="K33" s="130">
        <f>'Assign To West Contracts'!M133</f>
        <v>0.46814412961100949</v>
      </c>
      <c r="L33" s="130">
        <f>'Assign To West Contracts'!N133</f>
        <v>0.46814412961100949</v>
      </c>
      <c r="M33" s="130">
        <f>'Assign To West Contracts'!O133</f>
        <v>0.62756167894481674</v>
      </c>
      <c r="N33" s="130">
        <f>'Assign To West Contracts'!P133</f>
        <v>0.62756167894481696</v>
      </c>
      <c r="O33" s="130">
        <f>'Assign To West Contracts'!Q133</f>
        <v>0.62756167894481674</v>
      </c>
      <c r="P33" s="130">
        <f>'Assign To West Contracts'!R133</f>
        <v>1</v>
      </c>
      <c r="Q33" s="130">
        <f>'Assign To West Contracts'!S133</f>
        <v>1</v>
      </c>
      <c r="R33" s="130">
        <f>'Assign To West Contracts'!T133</f>
        <v>1</v>
      </c>
      <c r="S33" s="130">
        <f>'Assign To West Contracts'!U133</f>
        <v>1</v>
      </c>
      <c r="T33" s="130">
        <f>'Assign To West Contracts'!V133</f>
        <v>1</v>
      </c>
      <c r="U33" s="130">
        <f>'Assign To West Contracts'!W133</f>
        <v>0.62756167894481685</v>
      </c>
      <c r="V33" s="130">
        <f>'Assign To West Contracts'!X133</f>
        <v>0.62756167894481663</v>
      </c>
      <c r="W33" s="130">
        <f>'Assign To West Contracts'!Y133</f>
        <v>0.46814412961100949</v>
      </c>
      <c r="X33" s="130">
        <f>'Assign To West Contracts'!Z133</f>
        <v>0.62756167894481685</v>
      </c>
      <c r="Y33" s="130">
        <f>'Assign To West Contracts'!AA133</f>
        <v>1</v>
      </c>
      <c r="Z33" s="130">
        <f>'Assign To West Contracts'!AB133</f>
        <v>1</v>
      </c>
      <c r="AA33" s="130">
        <f>'Assign To West Contracts'!AC133</f>
        <v>1</v>
      </c>
      <c r="AB33" s="130">
        <f>'Assign To West Contracts'!AD133</f>
        <v>1</v>
      </c>
      <c r="AC33" s="130">
        <f>'Assign To West Contracts'!AE133</f>
        <v>1</v>
      </c>
      <c r="AD33" s="130">
        <f>'Assign To West Contracts'!AF133</f>
        <v>1</v>
      </c>
      <c r="AE33" s="130">
        <f>'Assign To West Contracts'!AG133</f>
        <v>1</v>
      </c>
      <c r="AF33" s="130">
        <f>'Assign To West Contracts'!AH133</f>
        <v>1</v>
      </c>
      <c r="AG33" s="130">
        <f>'Assign To West Contracts'!AI133</f>
        <v>0.62756167894481696</v>
      </c>
      <c r="AH33" s="130">
        <f>'Assign To West Contracts'!AJ133</f>
        <v>1</v>
      </c>
      <c r="AI33" s="130">
        <f>'Assign To West Contracts'!AK133</f>
        <v>1</v>
      </c>
      <c r="AJ33" s="130">
        <f>'Assign To West Contracts'!AL133</f>
        <v>0.62756167894481674</v>
      </c>
      <c r="AK33" s="130">
        <f>'Assign To West Contracts'!AM133</f>
        <v>1</v>
      </c>
      <c r="AL33" s="130">
        <f>'Assign To West Contracts'!AN133</f>
        <v>1</v>
      </c>
      <c r="AM33" s="130">
        <f>'Assign To West Contracts'!AO133</f>
        <v>0.46814412961100954</v>
      </c>
      <c r="AN33" s="130">
        <f>'Assign To West Contracts'!AP133</f>
        <v>0.46814412961100943</v>
      </c>
      <c r="AO33" s="130">
        <f>'Assign To West Contracts'!AQ133</f>
        <v>1</v>
      </c>
      <c r="AP33" s="130">
        <f>'Assign To West Contracts'!AR133</f>
        <v>0.62756167894481674</v>
      </c>
      <c r="AQ33" s="130">
        <f>'Assign To West Contracts'!AS133</f>
        <v>0.46814412961100949</v>
      </c>
      <c r="AR33" s="130">
        <f>'Assign To West Contracts'!AT133</f>
        <v>0.79877449192986272</v>
      </c>
      <c r="AS33" s="130">
        <f>'Assign To West Contracts'!AU133</f>
        <v>1</v>
      </c>
      <c r="AT33" s="130">
        <f>'Assign To West Contracts'!AV133</f>
        <v>0.62756167894481685</v>
      </c>
      <c r="AU33" s="130">
        <f>'Assign To West Contracts'!AW133</f>
        <v>0.62756167894481707</v>
      </c>
      <c r="AV33" s="130">
        <f>'Assign To West Contracts'!AX133</f>
        <v>1</v>
      </c>
      <c r="AW33" s="130">
        <f>'Assign To West Contracts'!AY133</f>
        <v>0.62756167894481685</v>
      </c>
      <c r="AX33" s="130">
        <f>'Assign To West Contracts'!AZ133</f>
        <v>0.62756167894481685</v>
      </c>
      <c r="AY33" s="130">
        <f>'Assign To West Contracts'!BA133</f>
        <v>0.62756167894481685</v>
      </c>
      <c r="AZ33" s="130">
        <f>'Assign To West Contracts'!BB133</f>
        <v>0.62756167894481685</v>
      </c>
      <c r="BA33" s="130">
        <f>'Assign To West Contracts'!BC133</f>
        <v>0.62756167894481685</v>
      </c>
      <c r="BB33" s="130">
        <f>'Assign To West Contracts'!BD133</f>
        <v>0.62756167894481707</v>
      </c>
      <c r="BC33" s="130">
        <f>'Assign To West Contracts'!BE133</f>
        <v>1</v>
      </c>
      <c r="BD33" s="130">
        <f>'Assign To West Contracts'!BF133</f>
        <v>0.46814412961100943</v>
      </c>
      <c r="BE33" s="130">
        <f>'Assign To West Contracts'!BG133</f>
        <v>0.62756167894481685</v>
      </c>
      <c r="BF33" s="130">
        <f>'Assign To West Contracts'!BH133</f>
        <v>0.46814412961100943</v>
      </c>
      <c r="BG33" s="130">
        <f>'Assign To West Contracts'!BI133</f>
        <v>0.62756167894481674</v>
      </c>
      <c r="BH33" s="130">
        <f>'Assign To West Contracts'!BJ133</f>
        <v>0.46814412961100949</v>
      </c>
      <c r="BI33" s="130">
        <f>'Assign To West Contracts'!BK133</f>
        <v>0.46814412961100954</v>
      </c>
      <c r="BJ33" s="130">
        <f>'Assign To West Contracts'!BL133</f>
        <v>0.4681441296110096</v>
      </c>
      <c r="BK33" s="130">
        <f>'Assign To West Contracts'!BM133</f>
        <v>0.62756167894481685</v>
      </c>
      <c r="BL33" s="130">
        <f>'Assign To West Contracts'!BN133</f>
        <v>0.62756167894481674</v>
      </c>
      <c r="BM33" s="130">
        <f>'Assign To West Contracts'!BO133</f>
        <v>0.62756167894481685</v>
      </c>
      <c r="BN33" s="130">
        <f>'Assign To West Contracts'!BP133</f>
        <v>0.46814412961100949</v>
      </c>
      <c r="BO33" s="130">
        <f>'Assign To West Contracts'!BQ133</f>
        <v>0.62756167894481685</v>
      </c>
      <c r="BP33" s="130">
        <f>'Assign To West Contracts'!BR133</f>
        <v>0.62756167894481685</v>
      </c>
      <c r="BQ33" s="130">
        <f>'Assign To West Contracts'!BS133</f>
        <v>1</v>
      </c>
      <c r="BR33" s="130">
        <f>'Assign To West Contracts'!BT133</f>
        <v>0.46814412961100943</v>
      </c>
      <c r="BS33" s="130">
        <f>'Assign To West Contracts'!BU133</f>
        <v>1</v>
      </c>
      <c r="BT33" s="130">
        <f>'Assign To West Contracts'!BV133</f>
        <v>1</v>
      </c>
      <c r="BU33" s="130">
        <f>'Assign To West Contracts'!BW133</f>
        <v>0.46814412961100949</v>
      </c>
      <c r="BV33" s="130">
        <f>'Assign To West Contracts'!BX133</f>
        <v>0.46814412961100954</v>
      </c>
      <c r="BW33" s="130">
        <f>'Assign To West Contracts'!BY133</f>
        <v>1</v>
      </c>
      <c r="BY33" s="76"/>
      <c r="BZ33" s="130">
        <f>'Assign To West Contracts'!CB133</f>
        <v>0.79877449192986261</v>
      </c>
      <c r="CA33" s="130">
        <f>'Assign To West Contracts'!CC133</f>
        <v>0.79877449192986261</v>
      </c>
      <c r="CB33" s="130">
        <f>'Assign To West Contracts'!CD133</f>
        <v>0.79877449192986261</v>
      </c>
      <c r="CC33" s="130">
        <f>'Assign To West Contracts'!CE133</f>
        <v>0.79877449192986261</v>
      </c>
      <c r="CD33" s="130">
        <f>'Assign To West Contracts'!CF133</f>
        <v>0.79877449192986272</v>
      </c>
      <c r="CE33" s="130">
        <f>'Assign To West Contracts'!CG133</f>
        <v>0.79877449192986261</v>
      </c>
      <c r="CF33" s="130">
        <f>'Assign To West Contracts'!CH133</f>
        <v>0.46814412961100949</v>
      </c>
      <c r="CG33" s="130">
        <f>'Assign To West Contracts'!CI133</f>
        <v>0.46814412961100949</v>
      </c>
      <c r="CH33" s="130">
        <f>'Assign To West Contracts'!CJ133</f>
        <v>0.46814412961100943</v>
      </c>
      <c r="CI33" s="130">
        <f>'Assign To West Contracts'!CK133</f>
        <v>0.46814412961100943</v>
      </c>
      <c r="CJ33" s="130">
        <f>'Assign To West Contracts'!CL133</f>
        <v>0.46814412961100949</v>
      </c>
      <c r="CK33" s="130">
        <f>'Assign To West Contracts'!CM133</f>
        <v>0.46814412961100949</v>
      </c>
      <c r="CL33" s="130">
        <f>'Assign To West Contracts'!CN133</f>
        <v>0.46814412961100954</v>
      </c>
      <c r="CM33" s="130">
        <f>'Assign To West Contracts'!CO133</f>
        <v>0.46814412961100949</v>
      </c>
      <c r="CN33" s="130">
        <f>'Assign To West Contracts'!CP133</f>
        <v>0.46814412961100943</v>
      </c>
      <c r="CO33" s="130">
        <f>'Assign To West Contracts'!CQ133</f>
        <v>0.46814412961100949</v>
      </c>
      <c r="CP33" s="130">
        <f>'Assign To West Contracts'!CR133</f>
        <v>0.46814412961100943</v>
      </c>
      <c r="CQ33" s="130">
        <f>'Assign To West Contracts'!CS133</f>
        <v>0.46814412961100954</v>
      </c>
      <c r="CR33" s="130">
        <f>'Assign To West Contracts'!CT133</f>
        <v>0</v>
      </c>
      <c r="CS33" s="130">
        <f>'Assign To West Contracts'!CU133</f>
        <v>0</v>
      </c>
      <c r="CT33" s="130">
        <f>'Assign To West Contracts'!CV133</f>
        <v>0</v>
      </c>
      <c r="CU33" s="130">
        <f>'Assign To West Contracts'!CW133</f>
        <v>0</v>
      </c>
      <c r="CV33" s="130">
        <f>'Assign To West Contracts'!CX133</f>
        <v>0</v>
      </c>
      <c r="CX33" s="76"/>
      <c r="CZ33" s="76"/>
      <c r="DA33" s="90"/>
      <c r="DB33" s="90"/>
      <c r="DC33" s="90"/>
      <c r="DD33" s="90"/>
      <c r="DE33" s="90"/>
      <c r="DF33" s="90"/>
      <c r="DG33" s="90"/>
      <c r="DI33" s="76"/>
      <c r="DJ33" s="1"/>
      <c r="DK33" s="76"/>
    </row>
    <row r="34" spans="1:115" x14ac:dyDescent="0.25">
      <c r="A34" s="70" t="s">
        <v>329</v>
      </c>
      <c r="B34" s="130">
        <f>'Assign To West Contracts'!D134</f>
        <v>3.4939864827800454E-2</v>
      </c>
      <c r="C34" s="130">
        <f>'Assign To West Contracts'!E134</f>
        <v>3.4939864827800454E-2</v>
      </c>
      <c r="D34" s="130">
        <f>'Assign To West Contracts'!F134</f>
        <v>1</v>
      </c>
      <c r="E34" s="130">
        <f>'Assign To West Contracts'!G134</f>
        <v>1.6386472981063879E-2</v>
      </c>
      <c r="F34" s="130">
        <f>'Assign To West Contracts'!H134</f>
        <v>1.6386472981063882E-2</v>
      </c>
      <c r="G34" s="130">
        <f>'Assign To West Contracts'!I134</f>
        <v>1.6386472981063875E-2</v>
      </c>
      <c r="H34" s="130">
        <f>'Assign To West Contracts'!J134</f>
        <v>1.6386472981063886E-2</v>
      </c>
      <c r="I34" s="130">
        <f>'Assign To West Contracts'!K134</f>
        <v>1.6386472981063889E-2</v>
      </c>
      <c r="J34" s="130">
        <f>'Assign To West Contracts'!L134</f>
        <v>1</v>
      </c>
      <c r="K34" s="130">
        <f>'Assign To West Contracts'!M134</f>
        <v>3.4939864827800447E-2</v>
      </c>
      <c r="L34" s="130">
        <f>'Assign To West Contracts'!N134</f>
        <v>3.4939864827800454E-2</v>
      </c>
      <c r="M34" s="130">
        <f>'Assign To West Contracts'!O134</f>
        <v>1.6386472981063889E-2</v>
      </c>
      <c r="N34" s="130">
        <f>'Assign To West Contracts'!P134</f>
        <v>1.6386472981063875E-2</v>
      </c>
      <c r="O34" s="130">
        <f>'Assign To West Contracts'!Q134</f>
        <v>1.6386472981063892E-2</v>
      </c>
      <c r="P34" s="130">
        <f>'Assign To West Contracts'!R134</f>
        <v>1</v>
      </c>
      <c r="Q34" s="130">
        <f>'Assign To West Contracts'!S134</f>
        <v>1</v>
      </c>
      <c r="R34" s="130">
        <f>'Assign To West Contracts'!T134</f>
        <v>1</v>
      </c>
      <c r="S34" s="130">
        <f>'Assign To West Contracts'!U134</f>
        <v>1</v>
      </c>
      <c r="T34" s="130">
        <f>'Assign To West Contracts'!V134</f>
        <v>1</v>
      </c>
      <c r="U34" s="130">
        <f>'Assign To West Contracts'!W134</f>
        <v>1.6386472981063886E-2</v>
      </c>
      <c r="V34" s="130">
        <f>'Assign To West Contracts'!X134</f>
        <v>1.6386472981063886E-2</v>
      </c>
      <c r="W34" s="130">
        <f>'Assign To West Contracts'!Y134</f>
        <v>3.4939864827800461E-2</v>
      </c>
      <c r="X34" s="130">
        <f>'Assign To West Contracts'!Z134</f>
        <v>1.6386472981063875E-2</v>
      </c>
      <c r="Y34" s="130">
        <f>'Assign To West Contracts'!AA134</f>
        <v>1</v>
      </c>
      <c r="Z34" s="130">
        <f>'Assign To West Contracts'!AB134</f>
        <v>1</v>
      </c>
      <c r="AA34" s="130">
        <f>'Assign To West Contracts'!AC134</f>
        <v>1</v>
      </c>
      <c r="AB34" s="130">
        <f>'Assign To West Contracts'!AD134</f>
        <v>1</v>
      </c>
      <c r="AC34" s="130">
        <f>'Assign To West Contracts'!AE134</f>
        <v>1</v>
      </c>
      <c r="AD34" s="130">
        <f>'Assign To West Contracts'!AF134</f>
        <v>1</v>
      </c>
      <c r="AE34" s="130">
        <f>'Assign To West Contracts'!AG134</f>
        <v>1</v>
      </c>
      <c r="AF34" s="130">
        <f>'Assign To West Contracts'!AH134</f>
        <v>1</v>
      </c>
      <c r="AG34" s="130">
        <f>'Assign To West Contracts'!AI134</f>
        <v>1.6386472981063872E-2</v>
      </c>
      <c r="AH34" s="130">
        <f>'Assign To West Contracts'!AJ134</f>
        <v>1</v>
      </c>
      <c r="AI34" s="130">
        <f>'Assign To West Contracts'!AK134</f>
        <v>1</v>
      </c>
      <c r="AJ34" s="130">
        <f>'Assign To West Contracts'!AL134</f>
        <v>1.6386472981063896E-2</v>
      </c>
      <c r="AK34" s="130">
        <f>'Assign To West Contracts'!AM134</f>
        <v>1</v>
      </c>
      <c r="AL34" s="130">
        <f>'Assign To West Contracts'!AN134</f>
        <v>1</v>
      </c>
      <c r="AM34" s="130">
        <f>'Assign To West Contracts'!AO134</f>
        <v>3.4939864827800461E-2</v>
      </c>
      <c r="AN34" s="130">
        <f>'Assign To West Contracts'!AP134</f>
        <v>3.4939864827800468E-2</v>
      </c>
      <c r="AO34" s="130">
        <f>'Assign To West Contracts'!AQ134</f>
        <v>1</v>
      </c>
      <c r="AP34" s="130">
        <f>'Assign To West Contracts'!AR134</f>
        <v>1.6386472981063886E-2</v>
      </c>
      <c r="AQ34" s="130">
        <f>'Assign To West Contracts'!AS134</f>
        <v>3.4939864827800454E-2</v>
      </c>
      <c r="AR34" s="130">
        <f>'Assign To West Contracts'!AT134</f>
        <v>0</v>
      </c>
      <c r="AS34" s="130">
        <f>'Assign To West Contracts'!AU134</f>
        <v>1</v>
      </c>
      <c r="AT34" s="130">
        <f>'Assign To West Contracts'!AV134</f>
        <v>1.6386472981063882E-2</v>
      </c>
      <c r="AU34" s="130">
        <f>'Assign To West Contracts'!AW134</f>
        <v>1.6386472981063868E-2</v>
      </c>
      <c r="AV34" s="130">
        <f>'Assign To West Contracts'!AX134</f>
        <v>1</v>
      </c>
      <c r="AW34" s="130">
        <f>'Assign To West Contracts'!AY134</f>
        <v>1.6386472981063882E-2</v>
      </c>
      <c r="AX34" s="130">
        <f>'Assign To West Contracts'!AZ134</f>
        <v>1.6386472981063879E-2</v>
      </c>
      <c r="AY34" s="130">
        <f>'Assign To West Contracts'!BA134</f>
        <v>1.6386472981063882E-2</v>
      </c>
      <c r="AZ34" s="130">
        <f>'Assign To West Contracts'!BB134</f>
        <v>1.6386472981063896E-2</v>
      </c>
      <c r="BA34" s="130">
        <f>'Assign To West Contracts'!BC134</f>
        <v>1.6386472981063879E-2</v>
      </c>
      <c r="BB34" s="130">
        <f>'Assign To West Contracts'!BD134</f>
        <v>1.6386472981063875E-2</v>
      </c>
      <c r="BC34" s="130">
        <f>'Assign To West Contracts'!BE134</f>
        <v>1</v>
      </c>
      <c r="BD34" s="130">
        <f>'Assign To West Contracts'!BF134</f>
        <v>3.4939864827800454E-2</v>
      </c>
      <c r="BE34" s="130">
        <f>'Assign To West Contracts'!BG134</f>
        <v>1.6386472981063892E-2</v>
      </c>
      <c r="BF34" s="130">
        <f>'Assign To West Contracts'!BH134</f>
        <v>3.4939864827800454E-2</v>
      </c>
      <c r="BG34" s="130">
        <f>'Assign To West Contracts'!BI134</f>
        <v>1.6386472981063889E-2</v>
      </c>
      <c r="BH34" s="130">
        <f>'Assign To West Contracts'!BJ134</f>
        <v>3.4939864827800461E-2</v>
      </c>
      <c r="BI34" s="130">
        <f>'Assign To West Contracts'!BK134</f>
        <v>3.4939864827800454E-2</v>
      </c>
      <c r="BJ34" s="130">
        <f>'Assign To West Contracts'!BL134</f>
        <v>3.4939864827800447E-2</v>
      </c>
      <c r="BK34" s="130">
        <f>'Assign To West Contracts'!BM134</f>
        <v>1.6386472981063886E-2</v>
      </c>
      <c r="BL34" s="130">
        <f>'Assign To West Contracts'!BN134</f>
        <v>1.6386472981063892E-2</v>
      </c>
      <c r="BM34" s="130">
        <f>'Assign To West Contracts'!BO134</f>
        <v>1.6386472981063886E-2</v>
      </c>
      <c r="BN34" s="130">
        <f>'Assign To West Contracts'!BP134</f>
        <v>3.4939864827800454E-2</v>
      </c>
      <c r="BO34" s="130">
        <f>'Assign To West Contracts'!BQ134</f>
        <v>1.6386472981063882E-2</v>
      </c>
      <c r="BP34" s="130">
        <f>'Assign To West Contracts'!BR134</f>
        <v>1.6386472981063875E-2</v>
      </c>
      <c r="BQ34" s="130">
        <f>'Assign To West Contracts'!BS134</f>
        <v>1</v>
      </c>
      <c r="BR34" s="130">
        <f>'Assign To West Contracts'!BT134</f>
        <v>3.4939864827800454E-2</v>
      </c>
      <c r="BS34" s="130">
        <f>'Assign To West Contracts'!BU134</f>
        <v>1</v>
      </c>
      <c r="BT34" s="130">
        <f>'Assign To West Contracts'!BV134</f>
        <v>1</v>
      </c>
      <c r="BU34" s="130">
        <f>'Assign To West Contracts'!BW134</f>
        <v>3.4939864827800454E-2</v>
      </c>
      <c r="BV34" s="130">
        <f>'Assign To West Contracts'!BX134</f>
        <v>3.4939864827800454E-2</v>
      </c>
      <c r="BW34" s="130">
        <f>'Assign To West Contracts'!BY134</f>
        <v>1</v>
      </c>
      <c r="BY34" s="76"/>
      <c r="BZ34" s="130">
        <f>'Assign To West Contracts'!CB134</f>
        <v>-1.4458716204074116E-17</v>
      </c>
      <c r="CA34" s="130">
        <f>'Assign To West Contracts'!CC134</f>
        <v>1.0088011525531254E-17</v>
      </c>
      <c r="CB34" s="130">
        <f>'Assign To West Contracts'!CD134</f>
        <v>0</v>
      </c>
      <c r="CC34" s="130">
        <f>'Assign To West Contracts'!CE134</f>
        <v>-1.3012844583666704E-17</v>
      </c>
      <c r="CD34" s="130">
        <f>'Assign To West Contracts'!CF134</f>
        <v>0</v>
      </c>
      <c r="CE34" s="130">
        <f>'Assign To West Contracts'!CG134</f>
        <v>-1.3012844583666704E-17</v>
      </c>
      <c r="CF34" s="130">
        <f>'Assign To West Contracts'!CH134</f>
        <v>3.4939864827800454E-2</v>
      </c>
      <c r="CG34" s="130">
        <f>'Assign To West Contracts'!CI134</f>
        <v>3.4939864827800461E-2</v>
      </c>
      <c r="CH34" s="130">
        <f>'Assign To West Contracts'!CJ134</f>
        <v>3.4939864827800454E-2</v>
      </c>
      <c r="CI34" s="130">
        <f>'Assign To West Contracts'!CK134</f>
        <v>3.4939864827800454E-2</v>
      </c>
      <c r="CJ34" s="130">
        <f>'Assign To West Contracts'!CL134</f>
        <v>3.4939864827800447E-2</v>
      </c>
      <c r="CK34" s="130">
        <f>'Assign To West Contracts'!CM134</f>
        <v>3.4939864827800454E-2</v>
      </c>
      <c r="CL34" s="130">
        <f>'Assign To West Contracts'!CN134</f>
        <v>3.4939864827800447E-2</v>
      </c>
      <c r="CM34" s="130">
        <f>'Assign To West Contracts'!CO134</f>
        <v>3.4939864827800447E-2</v>
      </c>
      <c r="CN34" s="130">
        <f>'Assign To West Contracts'!CP134</f>
        <v>3.4939864827800461E-2</v>
      </c>
      <c r="CO34" s="130">
        <f>'Assign To West Contracts'!CQ134</f>
        <v>3.4939864827800447E-2</v>
      </c>
      <c r="CP34" s="130">
        <f>'Assign To West Contracts'!CR134</f>
        <v>3.4939864827800454E-2</v>
      </c>
      <c r="CQ34" s="130">
        <f>'Assign To West Contracts'!CS134</f>
        <v>3.4939864827800447E-2</v>
      </c>
      <c r="CR34" s="130">
        <f>'Assign To West Contracts'!CT134</f>
        <v>8.9423587063646809E-2</v>
      </c>
      <c r="CS34" s="130">
        <f>'Assign To West Contracts'!CU134</f>
        <v>8.9423587063646795E-2</v>
      </c>
      <c r="CT34" s="130">
        <f>'Assign To West Contracts'!CV134</f>
        <v>8.9423587063646781E-2</v>
      </c>
      <c r="CU34" s="130">
        <f>'Assign To West Contracts'!CW134</f>
        <v>8.9423587063646795E-2</v>
      </c>
      <c r="CV34" s="130">
        <f>'Assign To West Contracts'!CX134</f>
        <v>8.9423587063646795E-2</v>
      </c>
      <c r="CX34" s="76"/>
      <c r="CZ34" s="76"/>
      <c r="DA34" s="90">
        <f>DA16/DA20</f>
        <v>0</v>
      </c>
      <c r="DB34" s="90">
        <f t="shared" ref="DB34:DG34" si="11">DB16/DB20</f>
        <v>0.13911634842932716</v>
      </c>
      <c r="DC34" s="90">
        <f t="shared" si="11"/>
        <v>0.13911634842932716</v>
      </c>
      <c r="DD34" s="90">
        <f t="shared" si="11"/>
        <v>0.13911634842932716</v>
      </c>
      <c r="DE34" s="90">
        <f t="shared" si="11"/>
        <v>0.13911634842932716</v>
      </c>
      <c r="DF34" s="90">
        <f t="shared" si="11"/>
        <v>0.13911634842932716</v>
      </c>
      <c r="DG34" s="90">
        <f t="shared" si="11"/>
        <v>0.13911634842932716</v>
      </c>
      <c r="DI34" s="76"/>
      <c r="DJ34" s="1"/>
      <c r="DK34" s="76"/>
    </row>
    <row r="35" spans="1:115" x14ac:dyDescent="0.25">
      <c r="A35" s="70" t="s">
        <v>330</v>
      </c>
      <c r="B35" s="130">
        <f>'Assign To West Contracts'!D135</f>
        <v>0.1760401794198751</v>
      </c>
      <c r="C35" s="130">
        <f>'Assign To West Contracts'!E135</f>
        <v>0.1760401794198751</v>
      </c>
      <c r="D35" s="130">
        <f>'Assign To West Contracts'!F135</f>
        <v>1</v>
      </c>
      <c r="E35" s="130">
        <f>'Assign To West Contracts'!G135</f>
        <v>8.2561213612657752E-2</v>
      </c>
      <c r="F35" s="130">
        <f>'Assign To West Contracts'!H135</f>
        <v>8.2561213612657766E-2</v>
      </c>
      <c r="G35" s="130">
        <f>'Assign To West Contracts'!I135</f>
        <v>8.2561213612657738E-2</v>
      </c>
      <c r="H35" s="130">
        <f>'Assign To West Contracts'!J135</f>
        <v>8.256121361265778E-2</v>
      </c>
      <c r="I35" s="130">
        <f>'Assign To West Contracts'!K135</f>
        <v>8.2561213612657794E-2</v>
      </c>
      <c r="J35" s="130">
        <f>'Assign To West Contracts'!L135</f>
        <v>1</v>
      </c>
      <c r="K35" s="130">
        <f>'Assign To West Contracts'!M135</f>
        <v>0.17604017941987504</v>
      </c>
      <c r="L35" s="130">
        <f>'Assign To West Contracts'!N135</f>
        <v>0.17604017941987507</v>
      </c>
      <c r="M35" s="130">
        <f>'Assign To West Contracts'!O135</f>
        <v>8.2561213612657794E-2</v>
      </c>
      <c r="N35" s="130">
        <f>'Assign To West Contracts'!P135</f>
        <v>8.2561213612657738E-2</v>
      </c>
      <c r="O35" s="130">
        <f>'Assign To West Contracts'!Q135</f>
        <v>8.2561213612657822E-2</v>
      </c>
      <c r="P35" s="130">
        <f>'Assign To West Contracts'!R135</f>
        <v>1</v>
      </c>
      <c r="Q35" s="130">
        <f>'Assign To West Contracts'!S135</f>
        <v>1</v>
      </c>
      <c r="R35" s="130">
        <f>'Assign To West Contracts'!T135</f>
        <v>1</v>
      </c>
      <c r="S35" s="130">
        <f>'Assign To West Contracts'!U135</f>
        <v>1</v>
      </c>
      <c r="T35" s="130">
        <f>'Assign To West Contracts'!V135</f>
        <v>1</v>
      </c>
      <c r="U35" s="130">
        <f>'Assign To West Contracts'!W135</f>
        <v>8.2561213612657794E-2</v>
      </c>
      <c r="V35" s="130">
        <f>'Assign To West Contracts'!X135</f>
        <v>8.256121361265778E-2</v>
      </c>
      <c r="W35" s="130">
        <f>'Assign To West Contracts'!Y135</f>
        <v>0.17604017941987507</v>
      </c>
      <c r="X35" s="130">
        <f>'Assign To West Contracts'!Z135</f>
        <v>8.2561213612657725E-2</v>
      </c>
      <c r="Y35" s="130">
        <f>'Assign To West Contracts'!AA135</f>
        <v>1</v>
      </c>
      <c r="Z35" s="130">
        <f>'Assign To West Contracts'!AB135</f>
        <v>1</v>
      </c>
      <c r="AA35" s="130">
        <f>'Assign To West Contracts'!AC135</f>
        <v>1</v>
      </c>
      <c r="AB35" s="130">
        <f>'Assign To West Contracts'!AD135</f>
        <v>1</v>
      </c>
      <c r="AC35" s="130">
        <f>'Assign To West Contracts'!AE135</f>
        <v>1</v>
      </c>
      <c r="AD35" s="130">
        <f>'Assign To West Contracts'!AF135</f>
        <v>1</v>
      </c>
      <c r="AE35" s="130">
        <f>'Assign To West Contracts'!AG135</f>
        <v>1</v>
      </c>
      <c r="AF35" s="130">
        <f>'Assign To West Contracts'!AH135</f>
        <v>1</v>
      </c>
      <c r="AG35" s="130">
        <f>'Assign To West Contracts'!AI135</f>
        <v>8.2561213612657697E-2</v>
      </c>
      <c r="AH35" s="130">
        <f>'Assign To West Contracts'!AJ135</f>
        <v>1</v>
      </c>
      <c r="AI35" s="130">
        <f>'Assign To West Contracts'!AK135</f>
        <v>1</v>
      </c>
      <c r="AJ35" s="130">
        <f>'Assign To West Contracts'!AL135</f>
        <v>8.2561213612657849E-2</v>
      </c>
      <c r="AK35" s="130">
        <f>'Assign To West Contracts'!AM135</f>
        <v>1</v>
      </c>
      <c r="AL35" s="130">
        <f>'Assign To West Contracts'!AN135</f>
        <v>1</v>
      </c>
      <c r="AM35" s="130">
        <f>'Assign To West Contracts'!AO135</f>
        <v>0.17604017941987513</v>
      </c>
      <c r="AN35" s="130">
        <f>'Assign To West Contracts'!AP135</f>
        <v>0.17604017941987513</v>
      </c>
      <c r="AO35" s="130">
        <f>'Assign To West Contracts'!AQ135</f>
        <v>1</v>
      </c>
      <c r="AP35" s="130">
        <f>'Assign To West Contracts'!AR135</f>
        <v>8.2561213612657794E-2</v>
      </c>
      <c r="AQ35" s="130">
        <f>'Assign To West Contracts'!AS135</f>
        <v>0.17604017941987507</v>
      </c>
      <c r="AR35" s="130">
        <f>'Assign To West Contracts'!AT135</f>
        <v>0</v>
      </c>
      <c r="AS35" s="130">
        <f>'Assign To West Contracts'!AU135</f>
        <v>1</v>
      </c>
      <c r="AT35" s="130">
        <f>'Assign To West Contracts'!AV135</f>
        <v>8.2561213612657766E-2</v>
      </c>
      <c r="AU35" s="130">
        <f>'Assign To West Contracts'!AW135</f>
        <v>8.2561213612657697E-2</v>
      </c>
      <c r="AV35" s="130">
        <f>'Assign To West Contracts'!AX135</f>
        <v>1</v>
      </c>
      <c r="AW35" s="130">
        <f>'Assign To West Contracts'!AY135</f>
        <v>8.2561213612657766E-2</v>
      </c>
      <c r="AX35" s="130">
        <f>'Assign To West Contracts'!AZ135</f>
        <v>8.2561213612657738E-2</v>
      </c>
      <c r="AY35" s="130">
        <f>'Assign To West Contracts'!BA135</f>
        <v>8.256121361265778E-2</v>
      </c>
      <c r="AZ35" s="130">
        <f>'Assign To West Contracts'!BB135</f>
        <v>8.2561213612657822E-2</v>
      </c>
      <c r="BA35" s="130">
        <f>'Assign To West Contracts'!BC135</f>
        <v>8.2561213612657752E-2</v>
      </c>
      <c r="BB35" s="130">
        <f>'Assign To West Contracts'!BD135</f>
        <v>8.2561213612657725E-2</v>
      </c>
      <c r="BC35" s="130">
        <f>'Assign To West Contracts'!BE135</f>
        <v>1</v>
      </c>
      <c r="BD35" s="130">
        <f>'Assign To West Contracts'!BF135</f>
        <v>0.1760401794198751</v>
      </c>
      <c r="BE35" s="130">
        <f>'Assign To West Contracts'!BG135</f>
        <v>8.2561213612657808E-2</v>
      </c>
      <c r="BF35" s="130">
        <f>'Assign To West Contracts'!BH135</f>
        <v>0.1760401794198751</v>
      </c>
      <c r="BG35" s="130">
        <f>'Assign To West Contracts'!BI135</f>
        <v>8.2561213612657794E-2</v>
      </c>
      <c r="BH35" s="130">
        <f>'Assign To West Contracts'!BJ135</f>
        <v>0.1760401794198751</v>
      </c>
      <c r="BI35" s="130">
        <f>'Assign To West Contracts'!BK135</f>
        <v>0.1760401794198751</v>
      </c>
      <c r="BJ35" s="130">
        <f>'Assign To West Contracts'!BL135</f>
        <v>0.17604017941987504</v>
      </c>
      <c r="BK35" s="130">
        <f>'Assign To West Contracts'!BM135</f>
        <v>8.256121361265778E-2</v>
      </c>
      <c r="BL35" s="130">
        <f>'Assign To West Contracts'!BN135</f>
        <v>8.2561213612657794E-2</v>
      </c>
      <c r="BM35" s="130">
        <f>'Assign To West Contracts'!BO135</f>
        <v>8.256121361265778E-2</v>
      </c>
      <c r="BN35" s="130">
        <f>'Assign To West Contracts'!BP135</f>
        <v>0.17604017941987507</v>
      </c>
      <c r="BO35" s="130">
        <f>'Assign To West Contracts'!BQ135</f>
        <v>8.2561213612657766E-2</v>
      </c>
      <c r="BP35" s="130">
        <f>'Assign To West Contracts'!BR135</f>
        <v>8.2561213612657725E-2</v>
      </c>
      <c r="BQ35" s="130">
        <f>'Assign To West Contracts'!BS135</f>
        <v>1</v>
      </c>
      <c r="BR35" s="130">
        <f>'Assign To West Contracts'!BT135</f>
        <v>0.1760401794198751</v>
      </c>
      <c r="BS35" s="130">
        <f>'Assign To West Contracts'!BU135</f>
        <v>1</v>
      </c>
      <c r="BT35" s="130">
        <f>'Assign To West Contracts'!BV135</f>
        <v>1</v>
      </c>
      <c r="BU35" s="130">
        <f>'Assign To West Contracts'!BW135</f>
        <v>0.17604017941987507</v>
      </c>
      <c r="BV35" s="130">
        <f>'Assign To West Contracts'!BX135</f>
        <v>0.17604017941987507</v>
      </c>
      <c r="BW35" s="130">
        <f>'Assign To West Contracts'!BY135</f>
        <v>1</v>
      </c>
      <c r="BY35" s="76"/>
      <c r="BZ35" s="130">
        <f>'Assign To West Contracts'!CB135</f>
        <v>-7.2848449966556327E-17</v>
      </c>
      <c r="CA35" s="130">
        <f>'Assign To West Contracts'!CC135</f>
        <v>5.0827196032288896E-17</v>
      </c>
      <c r="CB35" s="130">
        <f>'Assign To West Contracts'!CD135</f>
        <v>0</v>
      </c>
      <c r="CC35" s="130">
        <f>'Assign To West Contracts'!CE135</f>
        <v>-6.5563604969900695E-17</v>
      </c>
      <c r="CD35" s="130">
        <f>'Assign To West Contracts'!CF135</f>
        <v>0</v>
      </c>
      <c r="CE35" s="130">
        <f>'Assign To West Contracts'!CG135</f>
        <v>-6.5563604969900695E-17</v>
      </c>
      <c r="CF35" s="130">
        <f>'Assign To West Contracts'!CH135</f>
        <v>0.1760401794198751</v>
      </c>
      <c r="CG35" s="130">
        <f>'Assign To West Contracts'!CI135</f>
        <v>0.1760401794198751</v>
      </c>
      <c r="CH35" s="130">
        <f>'Assign To West Contracts'!CJ135</f>
        <v>0.1760401794198751</v>
      </c>
      <c r="CI35" s="130">
        <f>'Assign To West Contracts'!CK135</f>
        <v>0.1760401794198751</v>
      </c>
      <c r="CJ35" s="130">
        <f>'Assign To West Contracts'!CL135</f>
        <v>0.17604017941987504</v>
      </c>
      <c r="CK35" s="130">
        <f>'Assign To West Contracts'!CM135</f>
        <v>0.17604017941987504</v>
      </c>
      <c r="CL35" s="130">
        <f>'Assign To West Contracts'!CN135</f>
        <v>0.17604017941987507</v>
      </c>
      <c r="CM35" s="130">
        <f>'Assign To West Contracts'!CO135</f>
        <v>0.17604017941987507</v>
      </c>
      <c r="CN35" s="130">
        <f>'Assign To West Contracts'!CP135</f>
        <v>0.1760401794198751</v>
      </c>
      <c r="CO35" s="130">
        <f>'Assign To West Contracts'!CQ135</f>
        <v>0.17604017941987501</v>
      </c>
      <c r="CP35" s="130">
        <f>'Assign To West Contracts'!CR135</f>
        <v>0.1760401794198751</v>
      </c>
      <c r="CQ35" s="130">
        <f>'Assign To West Contracts'!CS135</f>
        <v>0.17604017941987507</v>
      </c>
      <c r="CR35" s="130">
        <f>'Assign To West Contracts'!CT135</f>
        <v>0.45054966264573865</v>
      </c>
      <c r="CS35" s="130">
        <f>'Assign To West Contracts'!CU135</f>
        <v>0.45054966264573859</v>
      </c>
      <c r="CT35" s="130">
        <f>'Assign To West Contracts'!CV135</f>
        <v>0.45054966264573854</v>
      </c>
      <c r="CU35" s="130">
        <f>'Assign To West Contracts'!CW135</f>
        <v>0.45054966264573859</v>
      </c>
      <c r="CV35" s="130">
        <f>'Assign To West Contracts'!CX135</f>
        <v>0.45054966264573859</v>
      </c>
      <c r="CX35" s="76"/>
      <c r="CZ35" s="76"/>
      <c r="DA35" s="90">
        <f>DA17/DA20</f>
        <v>0</v>
      </c>
      <c r="DB35" s="90">
        <f t="shared" ref="DB35:DG35" si="12">DB17/DB20</f>
        <v>0.86088365157067281</v>
      </c>
      <c r="DC35" s="90">
        <f t="shared" si="12"/>
        <v>0.86088365157067293</v>
      </c>
      <c r="DD35" s="90">
        <f t="shared" si="12"/>
        <v>0.86088365157067281</v>
      </c>
      <c r="DE35" s="90">
        <f t="shared" si="12"/>
        <v>0.86088365157067281</v>
      </c>
      <c r="DF35" s="90">
        <f t="shared" si="12"/>
        <v>0.86088365157067293</v>
      </c>
      <c r="DG35" s="90">
        <f t="shared" si="12"/>
        <v>0.86088365157067293</v>
      </c>
      <c r="DI35" s="76"/>
      <c r="DJ35" s="1"/>
      <c r="DK35" s="76"/>
    </row>
    <row r="36" spans="1:115" x14ac:dyDescent="0.25">
      <c r="A36" s="70" t="s">
        <v>331</v>
      </c>
      <c r="B36" s="130">
        <f>'Assign To West Contracts'!D136</f>
        <v>0.17974309687315848</v>
      </c>
      <c r="C36" s="130">
        <f>'Assign To West Contracts'!E136</f>
        <v>0.17974309687315848</v>
      </c>
      <c r="D36" s="130">
        <f>'Assign To West Contracts'!F136</f>
        <v>1</v>
      </c>
      <c r="E36" s="130">
        <f>'Assign To West Contracts'!G136</f>
        <v>8.4297847600750903E-2</v>
      </c>
      <c r="F36" s="130">
        <f>'Assign To West Contracts'!H136</f>
        <v>8.4297847600750916E-2</v>
      </c>
      <c r="G36" s="130">
        <f>'Assign To West Contracts'!I136</f>
        <v>8.4297847600750875E-2</v>
      </c>
      <c r="H36" s="130">
        <f>'Assign To West Contracts'!J136</f>
        <v>8.429784760075093E-2</v>
      </c>
      <c r="I36" s="130">
        <f>'Assign To West Contracts'!K136</f>
        <v>8.429784760075093E-2</v>
      </c>
      <c r="J36" s="130">
        <f>'Assign To West Contracts'!L136</f>
        <v>1</v>
      </c>
      <c r="K36" s="130">
        <f>'Assign To West Contracts'!M136</f>
        <v>0.17974309687315848</v>
      </c>
      <c r="L36" s="130">
        <f>'Assign To West Contracts'!N136</f>
        <v>0.17974309687315848</v>
      </c>
      <c r="M36" s="130">
        <f>'Assign To West Contracts'!O136</f>
        <v>8.429784760075093E-2</v>
      </c>
      <c r="N36" s="130">
        <f>'Assign To West Contracts'!P136</f>
        <v>8.4297847600750875E-2</v>
      </c>
      <c r="O36" s="130">
        <f>'Assign To West Contracts'!Q136</f>
        <v>8.4297847600750958E-2</v>
      </c>
      <c r="P36" s="130">
        <f>'Assign To West Contracts'!R136</f>
        <v>1</v>
      </c>
      <c r="Q36" s="130">
        <f>'Assign To West Contracts'!S136</f>
        <v>1</v>
      </c>
      <c r="R36" s="130">
        <f>'Assign To West Contracts'!T136</f>
        <v>1</v>
      </c>
      <c r="S36" s="130">
        <f>'Assign To West Contracts'!U136</f>
        <v>1</v>
      </c>
      <c r="T36" s="130">
        <f>'Assign To West Contracts'!V136</f>
        <v>1</v>
      </c>
      <c r="U36" s="130">
        <f>'Assign To West Contracts'!W136</f>
        <v>8.429784760075093E-2</v>
      </c>
      <c r="V36" s="130">
        <f>'Assign To West Contracts'!X136</f>
        <v>8.429784760075093E-2</v>
      </c>
      <c r="W36" s="130">
        <f>'Assign To West Contracts'!Y136</f>
        <v>0.17974309687315848</v>
      </c>
      <c r="X36" s="130">
        <f>'Assign To West Contracts'!Z136</f>
        <v>8.4297847600750875E-2</v>
      </c>
      <c r="Y36" s="130">
        <f>'Assign To West Contracts'!AA136</f>
        <v>1</v>
      </c>
      <c r="Z36" s="130">
        <f>'Assign To West Contracts'!AB136</f>
        <v>1</v>
      </c>
      <c r="AA36" s="130">
        <f>'Assign To West Contracts'!AC136</f>
        <v>1</v>
      </c>
      <c r="AB36" s="130">
        <f>'Assign To West Contracts'!AD136</f>
        <v>1</v>
      </c>
      <c r="AC36" s="130">
        <f>'Assign To West Contracts'!AE136</f>
        <v>1</v>
      </c>
      <c r="AD36" s="130">
        <f>'Assign To West Contracts'!AF136</f>
        <v>1</v>
      </c>
      <c r="AE36" s="130">
        <f>'Assign To West Contracts'!AG136</f>
        <v>1</v>
      </c>
      <c r="AF36" s="130">
        <f>'Assign To West Contracts'!AH136</f>
        <v>1</v>
      </c>
      <c r="AG36" s="130">
        <f>'Assign To West Contracts'!AI136</f>
        <v>8.4297847600750847E-2</v>
      </c>
      <c r="AH36" s="130">
        <f>'Assign To West Contracts'!AJ136</f>
        <v>1</v>
      </c>
      <c r="AI36" s="130">
        <f>'Assign To West Contracts'!AK136</f>
        <v>1</v>
      </c>
      <c r="AJ36" s="130">
        <f>'Assign To West Contracts'!AL136</f>
        <v>8.4297847600751E-2</v>
      </c>
      <c r="AK36" s="130">
        <f>'Assign To West Contracts'!AM136</f>
        <v>1</v>
      </c>
      <c r="AL36" s="130">
        <f>'Assign To West Contracts'!AN136</f>
        <v>1</v>
      </c>
      <c r="AM36" s="130">
        <f>'Assign To West Contracts'!AO136</f>
        <v>0.17974309687315851</v>
      </c>
      <c r="AN36" s="130">
        <f>'Assign To West Contracts'!AP136</f>
        <v>0.17974309687315854</v>
      </c>
      <c r="AO36" s="130">
        <f>'Assign To West Contracts'!AQ136</f>
        <v>1</v>
      </c>
      <c r="AP36" s="130">
        <f>'Assign To West Contracts'!AR136</f>
        <v>8.429784760075093E-2</v>
      </c>
      <c r="AQ36" s="130">
        <f>'Assign To West Contracts'!AS136</f>
        <v>0.17974309687315848</v>
      </c>
      <c r="AR36" s="130">
        <f>'Assign To West Contracts'!AT136</f>
        <v>0</v>
      </c>
      <c r="AS36" s="130">
        <f>'Assign To West Contracts'!AU136</f>
        <v>1</v>
      </c>
      <c r="AT36" s="130">
        <f>'Assign To West Contracts'!AV136</f>
        <v>8.4297847600750916E-2</v>
      </c>
      <c r="AU36" s="130">
        <f>'Assign To West Contracts'!AW136</f>
        <v>8.4297847600750819E-2</v>
      </c>
      <c r="AV36" s="130">
        <f>'Assign To West Contracts'!AX136</f>
        <v>1</v>
      </c>
      <c r="AW36" s="130">
        <f>'Assign To West Contracts'!AY136</f>
        <v>8.4297847600750916E-2</v>
      </c>
      <c r="AX36" s="130">
        <f>'Assign To West Contracts'!AZ136</f>
        <v>8.4297847600750889E-2</v>
      </c>
      <c r="AY36" s="130">
        <f>'Assign To West Contracts'!BA136</f>
        <v>8.4297847600750903E-2</v>
      </c>
      <c r="AZ36" s="130">
        <f>'Assign To West Contracts'!BB136</f>
        <v>8.4297847600750986E-2</v>
      </c>
      <c r="BA36" s="130">
        <f>'Assign To West Contracts'!BC136</f>
        <v>8.4297847600750889E-2</v>
      </c>
      <c r="BB36" s="130">
        <f>'Assign To West Contracts'!BD136</f>
        <v>8.4297847600750875E-2</v>
      </c>
      <c r="BC36" s="130">
        <f>'Assign To West Contracts'!BE136</f>
        <v>1</v>
      </c>
      <c r="BD36" s="130">
        <f>'Assign To West Contracts'!BF136</f>
        <v>0.17974309687315848</v>
      </c>
      <c r="BE36" s="130">
        <f>'Assign To West Contracts'!BG136</f>
        <v>8.4297847600750944E-2</v>
      </c>
      <c r="BF36" s="130">
        <f>'Assign To West Contracts'!BH136</f>
        <v>0.17974309687315848</v>
      </c>
      <c r="BG36" s="130">
        <f>'Assign To West Contracts'!BI136</f>
        <v>8.429784760075093E-2</v>
      </c>
      <c r="BH36" s="130">
        <f>'Assign To West Contracts'!BJ136</f>
        <v>0.17974309687315854</v>
      </c>
      <c r="BI36" s="130">
        <f>'Assign To West Contracts'!BK136</f>
        <v>0.17974309687315848</v>
      </c>
      <c r="BJ36" s="130">
        <f>'Assign To West Contracts'!BL136</f>
        <v>0.17974309687315845</v>
      </c>
      <c r="BK36" s="130">
        <f>'Assign To West Contracts'!BM136</f>
        <v>8.4297847600750916E-2</v>
      </c>
      <c r="BL36" s="130">
        <f>'Assign To West Contracts'!BN136</f>
        <v>8.4297847600750944E-2</v>
      </c>
      <c r="BM36" s="130">
        <f>'Assign To West Contracts'!BO136</f>
        <v>8.4297847600750916E-2</v>
      </c>
      <c r="BN36" s="130">
        <f>'Assign To West Contracts'!BP136</f>
        <v>0.17974309687315851</v>
      </c>
      <c r="BO36" s="130">
        <f>'Assign To West Contracts'!BQ136</f>
        <v>8.4297847600750916E-2</v>
      </c>
      <c r="BP36" s="130">
        <f>'Assign To West Contracts'!BR136</f>
        <v>8.4297847600750861E-2</v>
      </c>
      <c r="BQ36" s="130">
        <f>'Assign To West Contracts'!BS136</f>
        <v>1</v>
      </c>
      <c r="BR36" s="130">
        <f>'Assign To West Contracts'!BT136</f>
        <v>0.17974309687315851</v>
      </c>
      <c r="BS36" s="130">
        <f>'Assign To West Contracts'!BU136</f>
        <v>1</v>
      </c>
      <c r="BT36" s="130">
        <f>'Assign To West Contracts'!BV136</f>
        <v>1</v>
      </c>
      <c r="BU36" s="130">
        <f>'Assign To West Contracts'!BW136</f>
        <v>0.17974309687315851</v>
      </c>
      <c r="BV36" s="130">
        <f>'Assign To West Contracts'!BX136</f>
        <v>0.17974309687315848</v>
      </c>
      <c r="BW36" s="130">
        <f>'Assign To West Contracts'!BY136</f>
        <v>1</v>
      </c>
      <c r="BY36" s="76"/>
      <c r="BZ36" s="130">
        <f>'Assign To West Contracts'!CB136</f>
        <v>-7.4380780811223419E-17</v>
      </c>
      <c r="CA36" s="130">
        <f>'Assign To West Contracts'!CC136</f>
        <v>5.1896320773638546E-17</v>
      </c>
      <c r="CB36" s="130">
        <f>'Assign To West Contracts'!CD136</f>
        <v>0</v>
      </c>
      <c r="CC36" s="130">
        <f>'Assign To West Contracts'!CE136</f>
        <v>-6.6942702730101078E-17</v>
      </c>
      <c r="CD36" s="130">
        <f>'Assign To West Contracts'!CF136</f>
        <v>0</v>
      </c>
      <c r="CE36" s="130">
        <f>'Assign To West Contracts'!CG136</f>
        <v>-6.6942702730101078E-17</v>
      </c>
      <c r="CF36" s="130">
        <f>'Assign To West Contracts'!CH136</f>
        <v>0.17974309687315851</v>
      </c>
      <c r="CG36" s="130">
        <f>'Assign To West Contracts'!CI136</f>
        <v>0.17974309687315851</v>
      </c>
      <c r="CH36" s="130">
        <f>'Assign To West Contracts'!CJ136</f>
        <v>0.17974309687315848</v>
      </c>
      <c r="CI36" s="130">
        <f>'Assign To West Contracts'!CK136</f>
        <v>0.17974309687315848</v>
      </c>
      <c r="CJ36" s="130">
        <f>'Assign To West Contracts'!CL136</f>
        <v>0.17974309687315848</v>
      </c>
      <c r="CK36" s="130">
        <f>'Assign To West Contracts'!CM136</f>
        <v>0.17974309687315845</v>
      </c>
      <c r="CL36" s="130">
        <f>'Assign To West Contracts'!CN136</f>
        <v>0.17974309687315848</v>
      </c>
      <c r="CM36" s="130">
        <f>'Assign To West Contracts'!CO136</f>
        <v>0.17974309687315848</v>
      </c>
      <c r="CN36" s="130">
        <f>'Assign To West Contracts'!CP136</f>
        <v>0.17974309687315851</v>
      </c>
      <c r="CO36" s="130">
        <f>'Assign To West Contracts'!CQ136</f>
        <v>0.17974309687315845</v>
      </c>
      <c r="CP36" s="130">
        <f>'Assign To West Contracts'!CR136</f>
        <v>0.17974309687315854</v>
      </c>
      <c r="CQ36" s="130">
        <f>'Assign To West Contracts'!CS136</f>
        <v>0.17974309687315845</v>
      </c>
      <c r="CR36" s="130">
        <f>'Assign To West Contracts'!CT136</f>
        <v>0.46002675029061468</v>
      </c>
      <c r="CS36" s="130">
        <f>'Assign To West Contracts'!CU136</f>
        <v>0.46002675029061463</v>
      </c>
      <c r="CT36" s="130">
        <f>'Assign To West Contracts'!CV136</f>
        <v>0.46002675029061457</v>
      </c>
      <c r="CU36" s="130">
        <f>'Assign To West Contracts'!CW136</f>
        <v>0.46002675029061463</v>
      </c>
      <c r="CV36" s="130">
        <f>'Assign To West Contracts'!CX136</f>
        <v>0.46002675029061463</v>
      </c>
      <c r="CX36" s="76"/>
      <c r="CZ36" s="76"/>
      <c r="DA36" s="90">
        <f>DA18/DA20</f>
        <v>0</v>
      </c>
      <c r="DB36" s="90">
        <f t="shared" ref="DB36:DG36" si="13">DB18/DB20</f>
        <v>0</v>
      </c>
      <c r="DC36" s="90">
        <f t="shared" si="13"/>
        <v>0</v>
      </c>
      <c r="DD36" s="90">
        <f t="shared" si="13"/>
        <v>0</v>
      </c>
      <c r="DE36" s="90">
        <f t="shared" si="13"/>
        <v>0</v>
      </c>
      <c r="DF36" s="90">
        <f t="shared" si="13"/>
        <v>0</v>
      </c>
      <c r="DG36" s="90">
        <f t="shared" si="13"/>
        <v>0</v>
      </c>
      <c r="DI36" s="76"/>
      <c r="DJ36" s="1"/>
      <c r="DK36" s="76"/>
    </row>
    <row r="37" spans="1:115" x14ac:dyDescent="0.25">
      <c r="A37" s="70" t="s">
        <v>25</v>
      </c>
      <c r="B37" s="130">
        <f>'Assign To West Contracts'!D137</f>
        <v>0.99999999999999989</v>
      </c>
      <c r="C37" s="130">
        <f>'Assign To West Contracts'!E137</f>
        <v>0.99999999999999989</v>
      </c>
      <c r="D37" s="130">
        <f>'Assign To West Contracts'!F137</f>
        <v>1</v>
      </c>
      <c r="E37" s="130">
        <f>'Assign To West Contracts'!G137</f>
        <v>1.0000000000000002</v>
      </c>
      <c r="F37" s="130">
        <f>'Assign To West Contracts'!H137</f>
        <v>1</v>
      </c>
      <c r="G37" s="130">
        <f>'Assign To West Contracts'!I137</f>
        <v>1</v>
      </c>
      <c r="H37" s="130">
        <f>'Assign To West Contracts'!J137</f>
        <v>1.0000000000000002</v>
      </c>
      <c r="I37" s="130">
        <f>'Assign To West Contracts'!K137</f>
        <v>1</v>
      </c>
      <c r="J37" s="130">
        <f>'Assign To West Contracts'!L137</f>
        <v>1</v>
      </c>
      <c r="K37" s="130">
        <f>'Assign To West Contracts'!M137</f>
        <v>0.99999999999999989</v>
      </c>
      <c r="L37" s="130">
        <f>'Assign To West Contracts'!N137</f>
        <v>0.99999999999999989</v>
      </c>
      <c r="M37" s="130">
        <f>'Assign To West Contracts'!O137</f>
        <v>0.99999999999999978</v>
      </c>
      <c r="N37" s="130">
        <f>'Assign To West Contracts'!P137</f>
        <v>1</v>
      </c>
      <c r="O37" s="130">
        <f>'Assign To West Contracts'!Q137</f>
        <v>0.99999999999999989</v>
      </c>
      <c r="P37" s="130">
        <f>'Assign To West Contracts'!R137</f>
        <v>1</v>
      </c>
      <c r="Q37" s="130">
        <f>'Assign To West Contracts'!S137</f>
        <v>1</v>
      </c>
      <c r="R37" s="130">
        <f>'Assign To West Contracts'!T137</f>
        <v>1</v>
      </c>
      <c r="S37" s="130">
        <f>'Assign To West Contracts'!U137</f>
        <v>1</v>
      </c>
      <c r="T37" s="130">
        <f>'Assign To West Contracts'!V137</f>
        <v>1</v>
      </c>
      <c r="U37" s="130">
        <f>'Assign To West Contracts'!W137</f>
        <v>1</v>
      </c>
      <c r="V37" s="130">
        <f>'Assign To West Contracts'!X137</f>
        <v>0.99999999999999978</v>
      </c>
      <c r="W37" s="130">
        <f>'Assign To West Contracts'!Y137</f>
        <v>0.99999999999999989</v>
      </c>
      <c r="X37" s="130">
        <f>'Assign To West Contracts'!Z137</f>
        <v>0.99999999999999989</v>
      </c>
      <c r="Y37" s="130">
        <f>'Assign To West Contracts'!AA137</f>
        <v>1</v>
      </c>
      <c r="Z37" s="130">
        <f>'Assign To West Contracts'!AB137</f>
        <v>1</v>
      </c>
      <c r="AA37" s="130">
        <f>'Assign To West Contracts'!AC137</f>
        <v>1</v>
      </c>
      <c r="AB37" s="130">
        <f>'Assign To West Contracts'!AD137</f>
        <v>1</v>
      </c>
      <c r="AC37" s="130">
        <f>'Assign To West Contracts'!AE137</f>
        <v>1</v>
      </c>
      <c r="AD37" s="130">
        <f>'Assign To West Contracts'!AF137</f>
        <v>1</v>
      </c>
      <c r="AE37" s="130">
        <f>'Assign To West Contracts'!AG137</f>
        <v>1</v>
      </c>
      <c r="AF37" s="130">
        <f>'Assign To West Contracts'!AH137</f>
        <v>1</v>
      </c>
      <c r="AG37" s="130">
        <f>'Assign To West Contracts'!AI137</f>
        <v>0.99999999999999989</v>
      </c>
      <c r="AH37" s="130">
        <f>'Assign To West Contracts'!AJ137</f>
        <v>1</v>
      </c>
      <c r="AI37" s="130">
        <f>'Assign To West Contracts'!AK137</f>
        <v>1</v>
      </c>
      <c r="AJ37" s="130">
        <f>'Assign To West Contracts'!AL137</f>
        <v>1</v>
      </c>
      <c r="AK37" s="130">
        <f>'Assign To West Contracts'!AM137</f>
        <v>1</v>
      </c>
      <c r="AL37" s="130">
        <f>'Assign To West Contracts'!AN137</f>
        <v>1</v>
      </c>
      <c r="AM37" s="130">
        <f>'Assign To West Contracts'!AO137</f>
        <v>1.0000000000000002</v>
      </c>
      <c r="AN37" s="130">
        <f>'Assign To West Contracts'!AP137</f>
        <v>1</v>
      </c>
      <c r="AO37" s="130">
        <f>'Assign To West Contracts'!AQ137</f>
        <v>1</v>
      </c>
      <c r="AP37" s="130">
        <f>'Assign To West Contracts'!AR137</f>
        <v>0.99999999999999978</v>
      </c>
      <c r="AQ37" s="130">
        <f>'Assign To West Contracts'!AS137</f>
        <v>0.99999999999999989</v>
      </c>
      <c r="AR37" s="130">
        <f>'Assign To West Contracts'!AT137</f>
        <v>1</v>
      </c>
      <c r="AS37" s="130">
        <f>'Assign To West Contracts'!AU137</f>
        <v>1</v>
      </c>
      <c r="AT37" s="130">
        <f>'Assign To West Contracts'!AV137</f>
        <v>1</v>
      </c>
      <c r="AU37" s="130">
        <f>'Assign To West Contracts'!AW137</f>
        <v>1</v>
      </c>
      <c r="AV37" s="130">
        <f>'Assign To West Contracts'!AX137</f>
        <v>1</v>
      </c>
      <c r="AW37" s="130">
        <f>'Assign To West Contracts'!AY137</f>
        <v>1</v>
      </c>
      <c r="AX37" s="130">
        <f>'Assign To West Contracts'!AZ137</f>
        <v>1</v>
      </c>
      <c r="AY37" s="130">
        <f>'Assign To West Contracts'!BA137</f>
        <v>1</v>
      </c>
      <c r="AZ37" s="130">
        <f>'Assign To West Contracts'!BB137</f>
        <v>1</v>
      </c>
      <c r="BA37" s="130">
        <f>'Assign To West Contracts'!BC137</f>
        <v>1</v>
      </c>
      <c r="BB37" s="130">
        <f>'Assign To West Contracts'!BD137</f>
        <v>1</v>
      </c>
      <c r="BC37" s="130">
        <f>'Assign To West Contracts'!BE137</f>
        <v>1</v>
      </c>
      <c r="BD37" s="130">
        <f>'Assign To West Contracts'!BF137</f>
        <v>0.99999999999999989</v>
      </c>
      <c r="BE37" s="130">
        <f>'Assign To West Contracts'!BG137</f>
        <v>1</v>
      </c>
      <c r="BF37" s="130">
        <f>'Assign To West Contracts'!BH137</f>
        <v>0.99999999999999989</v>
      </c>
      <c r="BG37" s="130">
        <f>'Assign To West Contracts'!BI137</f>
        <v>0.99999999999999978</v>
      </c>
      <c r="BH37" s="130">
        <f>'Assign To West Contracts'!BJ137</f>
        <v>1</v>
      </c>
      <c r="BI37" s="130">
        <f>'Assign To West Contracts'!BK137</f>
        <v>1</v>
      </c>
      <c r="BJ37" s="130">
        <f>'Assign To West Contracts'!BL137</f>
        <v>1</v>
      </c>
      <c r="BK37" s="130">
        <f>'Assign To West Contracts'!BM137</f>
        <v>1</v>
      </c>
      <c r="BL37" s="130">
        <f>'Assign To West Contracts'!BN137</f>
        <v>0.99999999999999989</v>
      </c>
      <c r="BM37" s="130">
        <f>'Assign To West Contracts'!BO137</f>
        <v>1</v>
      </c>
      <c r="BN37" s="130">
        <f>'Assign To West Contracts'!BP137</f>
        <v>0.99999999999999989</v>
      </c>
      <c r="BO37" s="130">
        <f>'Assign To West Contracts'!BQ137</f>
        <v>1</v>
      </c>
      <c r="BP37" s="130">
        <f>'Assign To West Contracts'!BR137</f>
        <v>0.99999999999999989</v>
      </c>
      <c r="BQ37" s="130">
        <f>'Assign To West Contracts'!BS137</f>
        <v>1</v>
      </c>
      <c r="BR37" s="130">
        <f>'Assign To West Contracts'!BT137</f>
        <v>0.99999999999999989</v>
      </c>
      <c r="BS37" s="130">
        <f>'Assign To West Contracts'!BU137</f>
        <v>1</v>
      </c>
      <c r="BT37" s="130">
        <f>'Assign To West Contracts'!BV137</f>
        <v>1</v>
      </c>
      <c r="BU37" s="130">
        <f>'Assign To West Contracts'!BW137</f>
        <v>0.99999999999999989</v>
      </c>
      <c r="BV37" s="130">
        <f>'Assign To West Contracts'!BX137</f>
        <v>1</v>
      </c>
      <c r="BW37" s="130">
        <f>'Assign To West Contracts'!BY137</f>
        <v>1</v>
      </c>
      <c r="BY37" s="76"/>
      <c r="BZ37" s="130">
        <f>'Assign To West Contracts'!CB137</f>
        <v>0.99999999999999967</v>
      </c>
      <c r="CA37" s="130">
        <f>'Assign To West Contracts'!CC137</f>
        <v>1</v>
      </c>
      <c r="CB37" s="130">
        <f>'Assign To West Contracts'!CD137</f>
        <v>1</v>
      </c>
      <c r="CC37" s="130">
        <f>'Assign To West Contracts'!CE137</f>
        <v>0.99999999999999967</v>
      </c>
      <c r="CD37" s="130">
        <f>'Assign To West Contracts'!CF137</f>
        <v>1</v>
      </c>
      <c r="CE37" s="130">
        <f>'Assign To West Contracts'!CG137</f>
        <v>0.99999999999999967</v>
      </c>
      <c r="CF37" s="130">
        <f>'Assign To West Contracts'!CH137</f>
        <v>0.99999999999999989</v>
      </c>
      <c r="CG37" s="130">
        <f>'Assign To West Contracts'!CI137</f>
        <v>0.99999999999999989</v>
      </c>
      <c r="CH37" s="130">
        <f>'Assign To West Contracts'!CJ137</f>
        <v>0.99999999999999989</v>
      </c>
      <c r="CI37" s="130">
        <f>'Assign To West Contracts'!CK137</f>
        <v>0.99999999999999989</v>
      </c>
      <c r="CJ37" s="130">
        <f>'Assign To West Contracts'!CL137</f>
        <v>0.99999999999999989</v>
      </c>
      <c r="CK37" s="130">
        <f>'Assign To West Contracts'!CM137</f>
        <v>0.99999999999999989</v>
      </c>
      <c r="CL37" s="130">
        <f>'Assign To West Contracts'!CN137</f>
        <v>1</v>
      </c>
      <c r="CM37" s="130">
        <f>'Assign To West Contracts'!CO137</f>
        <v>0.99999999999999989</v>
      </c>
      <c r="CN37" s="130">
        <f>'Assign To West Contracts'!CP137</f>
        <v>0.99999999999999989</v>
      </c>
      <c r="CO37" s="130">
        <f>'Assign To West Contracts'!CQ137</f>
        <v>0.99999999999999989</v>
      </c>
      <c r="CP37" s="130">
        <f>'Assign To West Contracts'!CR137</f>
        <v>1</v>
      </c>
      <c r="CQ37" s="130">
        <f>'Assign To West Contracts'!CS137</f>
        <v>1</v>
      </c>
      <c r="CR37" s="130">
        <f>'Assign To West Contracts'!CT137</f>
        <v>1</v>
      </c>
      <c r="CS37" s="130">
        <f>'Assign To West Contracts'!CU137</f>
        <v>1</v>
      </c>
      <c r="CT37" s="130">
        <f>'Assign To West Contracts'!CV137</f>
        <v>0.99999999999999989</v>
      </c>
      <c r="CU37" s="130">
        <f>'Assign To West Contracts'!CW137</f>
        <v>1</v>
      </c>
      <c r="CV37" s="130">
        <f>'Assign To West Contracts'!CX137</f>
        <v>1</v>
      </c>
      <c r="CX37" s="76"/>
      <c r="CZ37" s="76"/>
      <c r="DA37" s="90">
        <f>SUM(DA30:DA36)</f>
        <v>1</v>
      </c>
      <c r="DB37" s="90">
        <f t="shared" ref="DB37:DG37" si="14">SUM(DB30:DB36)</f>
        <v>1</v>
      </c>
      <c r="DC37" s="90">
        <f t="shared" si="14"/>
        <v>1</v>
      </c>
      <c r="DD37" s="90">
        <f t="shared" si="14"/>
        <v>1</v>
      </c>
      <c r="DE37" s="90">
        <f t="shared" si="14"/>
        <v>1</v>
      </c>
      <c r="DF37" s="90">
        <f t="shared" si="14"/>
        <v>1</v>
      </c>
      <c r="DG37" s="90">
        <f t="shared" si="14"/>
        <v>1</v>
      </c>
      <c r="DI37" s="76"/>
      <c r="DJ37" s="1"/>
      <c r="DK37" s="76"/>
    </row>
    <row r="38" spans="1:115" x14ac:dyDescent="0.25">
      <c r="BY38" s="76"/>
      <c r="CX38" s="76"/>
      <c r="CZ38" s="76"/>
      <c r="DI38" s="76"/>
      <c r="DJ38" s="1"/>
      <c r="DK38" s="76"/>
    </row>
    <row r="39" spans="1:115" x14ac:dyDescent="0.25">
      <c r="A39" s="53" t="s">
        <v>643</v>
      </c>
      <c r="BY39" s="76"/>
      <c r="CX39" s="76"/>
      <c r="CZ39" s="76"/>
      <c r="DI39" s="76"/>
      <c r="DJ39" s="1"/>
      <c r="DK39" s="76"/>
    </row>
    <row r="40" spans="1:115" x14ac:dyDescent="0.25">
      <c r="A40" s="70" t="s">
        <v>325</v>
      </c>
      <c r="B40" s="75">
        <f>SUM(B41:B46)</f>
        <v>7366.9849931787176</v>
      </c>
      <c r="L40" s="75">
        <f>SUM(L41:L46)</f>
        <v>36834.924965893595</v>
      </c>
      <c r="W40" s="75">
        <f>SUM(W41:W46)</f>
        <v>13260.572987721691</v>
      </c>
      <c r="BD40" s="75">
        <f>SUM(BD41:BD46)</f>
        <v>7366.9849931787176</v>
      </c>
      <c r="BI40" s="75">
        <f>SUM(BI41:BI46)</f>
        <v>198908.59481582537</v>
      </c>
      <c r="BR40" s="75">
        <f>SUM(BR41:BR46)</f>
        <v>64461.118690313786</v>
      </c>
      <c r="BU40" s="75">
        <f>SUM(BU41:BU46)</f>
        <v>6998.6357435197824</v>
      </c>
      <c r="BX40" s="72">
        <f t="shared" ref="BX40:BX46" si="15">SUM(B40:BW40)</f>
        <v>335197.81718963163</v>
      </c>
      <c r="BY40" s="76"/>
      <c r="CF40" s="75">
        <f>SUM(CF41:CF46)</f>
        <v>4604.1855868903358</v>
      </c>
      <c r="CH40" s="75">
        <f>SUM(CH41:CH46)</f>
        <v>3683.4924965893588</v>
      </c>
      <c r="CK40" s="75">
        <f>SUM(CK41:CK46)</f>
        <v>5401.0153908934881</v>
      </c>
      <c r="CL40" s="75">
        <f>SUM(CL41:CL46)</f>
        <v>36577.476565594334</v>
      </c>
      <c r="CN40" s="75">
        <f>SUM(CN41:CN46)</f>
        <v>69656.535428660602</v>
      </c>
      <c r="CP40" s="75"/>
      <c r="CQ40" s="75"/>
      <c r="CT40" s="75">
        <f>SUM(CT41:CT46)</f>
        <v>72990.762263305514</v>
      </c>
      <c r="CW40" s="73">
        <f t="shared" ref="CW40:CW62" si="16">SUM(BZ40:CV40)</f>
        <v>192913.46773193363</v>
      </c>
      <c r="CX40" s="76"/>
      <c r="CY40" s="73">
        <f t="shared" ref="CY40:CY62" si="17">BX40+CW40</f>
        <v>528111.28492156533</v>
      </c>
      <c r="CZ40" s="76"/>
      <c r="DI40" s="76"/>
      <c r="DJ40" s="1"/>
      <c r="DK40" s="76"/>
    </row>
    <row r="41" spans="1:115" x14ac:dyDescent="0.25">
      <c r="A41" s="70" t="s">
        <v>326</v>
      </c>
      <c r="B41" s="68">
        <f>'Assign To West Contracts'!D93</f>
        <v>748.7859000917008</v>
      </c>
      <c r="L41" s="68">
        <f>'Assign To West Contracts'!N93</f>
        <v>3743.9295004585047</v>
      </c>
      <c r="W41" s="68">
        <f>'Assign To West Contracts'!Y93</f>
        <v>1347.8146201650616</v>
      </c>
      <c r="BD41" s="68">
        <f>'Assign To West Contracts'!BF93</f>
        <v>748.7859000917008</v>
      </c>
      <c r="BI41" s="68">
        <f>'Assign To West Contracts'!BK93</f>
        <v>20217.219302475922</v>
      </c>
      <c r="BR41" s="68">
        <f>'Assign To West Contracts'!BT93</f>
        <v>6551.8766258023843</v>
      </c>
      <c r="BU41" s="68">
        <f>'Assign To West Contracts'!BW93</f>
        <v>711.34660508711568</v>
      </c>
      <c r="BX41" s="72">
        <f t="shared" si="15"/>
        <v>34069.758454172385</v>
      </c>
      <c r="BY41" s="76"/>
      <c r="CF41" s="68">
        <f>'Assign To West Contracts'!CH93</f>
        <v>467.97288878165097</v>
      </c>
      <c r="CH41" s="68">
        <f>'Assign To West Contracts'!CJ93</f>
        <v>374.3929500458504</v>
      </c>
      <c r="CK41" s="68">
        <f>'Assign To West Contracts'!CM93</f>
        <v>548.96326986195083</v>
      </c>
      <c r="CL41" s="68">
        <f>'Assign To West Contracts'!CN93</f>
        <v>3717.7622512617513</v>
      </c>
      <c r="CN41" s="68">
        <f>'Assign To West Contracts'!CP93</f>
        <v>7079.9426938582565</v>
      </c>
      <c r="CP41" s="68"/>
      <c r="CQ41" s="68"/>
      <c r="CT41" s="68">
        <f>'Assign To West Contracts'!CV93</f>
        <v>0</v>
      </c>
      <c r="CW41" s="73">
        <f t="shared" si="16"/>
        <v>12189.034053809461</v>
      </c>
      <c r="CX41" s="76"/>
      <c r="CY41" s="73">
        <f t="shared" si="17"/>
        <v>46258.792507981845</v>
      </c>
      <c r="CZ41" s="76"/>
      <c r="DI41" s="76"/>
      <c r="DJ41" s="1"/>
      <c r="DK41" s="76"/>
    </row>
    <row r="42" spans="1:115" x14ac:dyDescent="0.25">
      <c r="A42" s="70" t="s">
        <v>327</v>
      </c>
      <c r="B42" s="68">
        <f>'Assign To West Contracts'!D94</f>
        <v>290.93679847316287</v>
      </c>
      <c r="L42" s="68">
        <f>'Assign To West Contracts'!N94</f>
        <v>1454.6839923658147</v>
      </c>
      <c r="W42" s="68">
        <f>'Assign To West Contracts'!Y94</f>
        <v>523.68623725169323</v>
      </c>
      <c r="BD42" s="68">
        <f>'Assign To West Contracts'!BF94</f>
        <v>290.93679847316287</v>
      </c>
      <c r="BI42" s="68">
        <f>'Assign To West Contracts'!BK94</f>
        <v>7855.2935587753982</v>
      </c>
      <c r="BR42" s="68">
        <f>'Assign To West Contracts'!BT94</f>
        <v>2545.6969866401755</v>
      </c>
      <c r="BU42" s="68">
        <f>'Assign To West Contracts'!BW94</f>
        <v>276.38995854950468</v>
      </c>
      <c r="BX42" s="72">
        <f t="shared" si="15"/>
        <v>13237.624330528914</v>
      </c>
      <c r="BY42" s="76"/>
      <c r="CF42" s="68">
        <f>'Assign To West Contracts'!CH94</f>
        <v>181.82838915329103</v>
      </c>
      <c r="CH42" s="68">
        <f>'Assign To West Contracts'!CJ94</f>
        <v>145.46839923658143</v>
      </c>
      <c r="CK42" s="68">
        <f>'Assign To West Contracts'!CM94</f>
        <v>213.29677307416634</v>
      </c>
      <c r="CL42" s="68">
        <f>'Assign To West Contracts'!CN94</f>
        <v>1444.5168461826127</v>
      </c>
      <c r="CN42" s="68">
        <f>'Assign To West Contracts'!CP94</f>
        <v>2750.8742625526515</v>
      </c>
      <c r="CP42" s="68"/>
      <c r="CQ42" s="68"/>
      <c r="CT42" s="68">
        <f>'Assign To West Contracts'!CV94</f>
        <v>0</v>
      </c>
      <c r="CW42" s="73">
        <f t="shared" si="16"/>
        <v>4735.9846701993029</v>
      </c>
      <c r="CX42" s="76"/>
      <c r="CY42" s="73">
        <f t="shared" si="17"/>
        <v>17973.609000728218</v>
      </c>
      <c r="CZ42" s="76"/>
      <c r="DI42" s="76"/>
      <c r="DJ42" s="1"/>
      <c r="DK42" s="76"/>
    </row>
    <row r="43" spans="1:115" x14ac:dyDescent="0.25">
      <c r="A43" s="70" t="s">
        <v>328</v>
      </c>
      <c r="B43" s="68">
        <f>'Assign To West Contracts'!D95</f>
        <v>3448.8107774890191</v>
      </c>
      <c r="L43" s="68">
        <f>'Assign To West Contracts'!N95</f>
        <v>17244.053887445101</v>
      </c>
      <c r="W43" s="68">
        <f>'Assign To West Contracts'!Y95</f>
        <v>6207.859399480235</v>
      </c>
      <c r="BD43" s="68">
        <f>'Assign To West Contracts'!BF95</f>
        <v>3448.8107774890191</v>
      </c>
      <c r="BI43" s="68">
        <f>'Assign To West Contracts'!BK95</f>
        <v>93117.890992203538</v>
      </c>
      <c r="BR43" s="68">
        <f>'Assign To West Contracts'!BT95</f>
        <v>30177.094303028924</v>
      </c>
      <c r="BU43" s="68">
        <f>'Assign To West Contracts'!BW95</f>
        <v>3276.3702386145687</v>
      </c>
      <c r="BX43" s="72">
        <f t="shared" si="15"/>
        <v>156920.8903757504</v>
      </c>
      <c r="BY43" s="76"/>
      <c r="CF43" s="68">
        <f>'Assign To West Contracts'!CH95</f>
        <v>2155.4224541423309</v>
      </c>
      <c r="CH43" s="68">
        <f>'Assign To West Contracts'!CJ95</f>
        <v>1724.4053887445095</v>
      </c>
      <c r="CK43" s="68">
        <f>'Assign To West Contracts'!CM95</f>
        <v>2528.4536491854988</v>
      </c>
      <c r="CL43" s="68">
        <f>'Assign To West Contracts'!CN95</f>
        <v>17123.530930167257</v>
      </c>
      <c r="CN43" s="68">
        <f>'Assign To West Contracts'!CP95</f>
        <v>32609.298149968759</v>
      </c>
      <c r="CP43" s="68"/>
      <c r="CQ43" s="68"/>
      <c r="CT43" s="68">
        <f>'Assign To West Contracts'!CV95</f>
        <v>0</v>
      </c>
      <c r="CW43" s="73">
        <f t="shared" si="16"/>
        <v>56141.110572208359</v>
      </c>
      <c r="CX43" s="76"/>
      <c r="CY43" s="73">
        <f t="shared" si="17"/>
        <v>213062.00094795876</v>
      </c>
      <c r="CZ43" s="76"/>
      <c r="DI43" s="76"/>
      <c r="DJ43" s="1"/>
      <c r="DK43" s="76"/>
    </row>
    <row r="44" spans="1:115" x14ac:dyDescent="0.25">
      <c r="A44" s="70" t="s">
        <v>329</v>
      </c>
      <c r="B44" s="68">
        <f>'Assign To West Contracts'!D96</f>
        <v>257.40145985009883</v>
      </c>
      <c r="L44" s="68">
        <f>'Assign To West Contracts'!N96</f>
        <v>1287.0072992504943</v>
      </c>
      <c r="W44" s="68">
        <f>'Assign To West Contracts'!Y96</f>
        <v>463.322627730178</v>
      </c>
      <c r="BD44" s="68">
        <f>'Assign To West Contracts'!BF96</f>
        <v>257.40145985009883</v>
      </c>
      <c r="BI44" s="68">
        <f>'Assign To West Contracts'!BK96</f>
        <v>6949.8394159526697</v>
      </c>
      <c r="BR44" s="68">
        <f>'Assign To West Contracts'!BT96</f>
        <v>2252.2627736883655</v>
      </c>
      <c r="BU44" s="68">
        <f>'Assign To West Contracts'!BW96</f>
        <v>244.53138685759393</v>
      </c>
      <c r="BX44" s="72">
        <f t="shared" si="15"/>
        <v>11711.766423179499</v>
      </c>
      <c r="BY44" s="76"/>
      <c r="CF44" s="68">
        <f>'Assign To West Contracts'!CH96</f>
        <v>160.86962204805545</v>
      </c>
      <c r="CH44" s="68">
        <f>'Assign To West Contracts'!CJ96</f>
        <v>128.70072992504942</v>
      </c>
      <c r="CK44" s="68">
        <f>'Assign To West Contracts'!CM96</f>
        <v>188.71074769068829</v>
      </c>
      <c r="CL44" s="68">
        <f>'Assign To West Contracts'!CN96</f>
        <v>1278.0120869439047</v>
      </c>
      <c r="CN44" s="68">
        <f>'Assign To West Contracts'!CP96</f>
        <v>2433.7899322502949</v>
      </c>
      <c r="CP44" s="68"/>
      <c r="CQ44" s="68"/>
      <c r="CT44" s="68">
        <f>'Assign To West Contracts'!CV96</f>
        <v>6527.0957840946448</v>
      </c>
      <c r="CW44" s="73">
        <f t="shared" si="16"/>
        <v>10717.178902952637</v>
      </c>
      <c r="CX44" s="76"/>
      <c r="CY44" s="73">
        <f t="shared" si="17"/>
        <v>22428.945326132136</v>
      </c>
      <c r="CZ44" s="76"/>
      <c r="DI44" s="76"/>
      <c r="DJ44" s="1"/>
      <c r="DK44" s="76"/>
    </row>
    <row r="45" spans="1:115" x14ac:dyDescent="0.25">
      <c r="A45" s="70" t="s">
        <v>330</v>
      </c>
      <c r="B45" s="68">
        <f>'Assign To West Contracts'!D97</f>
        <v>1296.8853599827087</v>
      </c>
      <c r="L45" s="68">
        <f>'Assign To West Contracts'!N97</f>
        <v>6484.4267999135436</v>
      </c>
      <c r="W45" s="68">
        <f>'Assign To West Contracts'!Y97</f>
        <v>2334.3936479688755</v>
      </c>
      <c r="BD45" s="68">
        <f>'Assign To West Contracts'!BF97</f>
        <v>1296.8853599827087</v>
      </c>
      <c r="BI45" s="68">
        <f>'Assign To West Contracts'!BK97</f>
        <v>35015.904719533137</v>
      </c>
      <c r="BR45" s="68">
        <f>'Assign To West Contracts'!BT97</f>
        <v>11347.746899848704</v>
      </c>
      <c r="BU45" s="68">
        <f>'Assign To West Contracts'!BW97</f>
        <v>1232.0410919835733</v>
      </c>
      <c r="BX45" s="72">
        <f t="shared" si="15"/>
        <v>59008.283879213246</v>
      </c>
      <c r="BY45" s="76"/>
      <c r="CF45" s="68">
        <f>'Assign To West Contracts'!CH97</f>
        <v>810.52165679857762</v>
      </c>
      <c r="CH45" s="68">
        <f>'Assign To West Contracts'!CJ97</f>
        <v>648.44267999135434</v>
      </c>
      <c r="CK45" s="68">
        <f>'Assign To West Contracts'!CM97</f>
        <v>950.79571846239628</v>
      </c>
      <c r="CL45" s="68">
        <f>'Assign To West Contracts'!CN97</f>
        <v>6439.105537333503</v>
      </c>
      <c r="CN45" s="68">
        <f>'Assign To West Contracts'!CP97</f>
        <v>12262.348994628299</v>
      </c>
      <c r="CP45" s="68"/>
      <c r="CQ45" s="68"/>
      <c r="CT45" s="68">
        <f>'Assign To West Contracts'!CV97</f>
        <v>32885.963313987602</v>
      </c>
      <c r="CW45" s="73">
        <f t="shared" si="16"/>
        <v>53997.177901201736</v>
      </c>
      <c r="CX45" s="76"/>
      <c r="CY45" s="73">
        <f t="shared" si="17"/>
        <v>113005.46178041497</v>
      </c>
      <c r="CZ45" s="76"/>
      <c r="DI45" s="76"/>
      <c r="DJ45" s="1"/>
      <c r="DK45" s="76"/>
    </row>
    <row r="46" spans="1:115" x14ac:dyDescent="0.25">
      <c r="A46" s="70" t="s">
        <v>331</v>
      </c>
      <c r="B46" s="68">
        <f>'Assign To West Contracts'!D98</f>
        <v>1324.1646972920271</v>
      </c>
      <c r="L46" s="68">
        <f>'Assign To West Contracts'!N98</f>
        <v>6620.8234864601363</v>
      </c>
      <c r="W46" s="68">
        <f>'Assign To West Contracts'!Y98</f>
        <v>2383.4964551256489</v>
      </c>
      <c r="BD46" s="68">
        <f>'Assign To West Contracts'!BF98</f>
        <v>1324.1646972920271</v>
      </c>
      <c r="BI46" s="68">
        <f>'Assign To West Contracts'!BK98</f>
        <v>35752.446826884734</v>
      </c>
      <c r="BR46" s="68">
        <f>'Assign To West Contracts'!BT98</f>
        <v>11586.441101305241</v>
      </c>
      <c r="BU46" s="68">
        <f>'Assign To West Contracts'!BW98</f>
        <v>1257.9564624274258</v>
      </c>
      <c r="BX46" s="72">
        <f t="shared" si="15"/>
        <v>60249.493726787252</v>
      </c>
      <c r="BY46" s="76"/>
      <c r="CF46" s="68">
        <f>'Assign To West Contracts'!CH98</f>
        <v>827.57057596642983</v>
      </c>
      <c r="CH46" s="68">
        <f>'Assign To West Contracts'!CJ98</f>
        <v>662.08234864601354</v>
      </c>
      <c r="CK46" s="68">
        <f>'Assign To West Contracts'!CM98</f>
        <v>970.79523261878808</v>
      </c>
      <c r="CL46" s="68">
        <f>'Assign To West Contracts'!CN98</f>
        <v>6574.5489137053064</v>
      </c>
      <c r="CN46" s="68">
        <f>'Assign To West Contracts'!CP98</f>
        <v>12520.28139540234</v>
      </c>
      <c r="CP46" s="68"/>
      <c r="CQ46" s="68"/>
      <c r="CT46" s="68">
        <f>'Assign To West Contracts'!CV98</f>
        <v>33577.703165223262</v>
      </c>
      <c r="CW46" s="73">
        <f t="shared" si="16"/>
        <v>55132.981631562143</v>
      </c>
      <c r="CX46" s="76"/>
      <c r="CY46" s="73">
        <f t="shared" si="17"/>
        <v>115382.47535834939</v>
      </c>
      <c r="CZ46" s="76"/>
      <c r="DI46" s="76"/>
      <c r="DJ46" s="1"/>
      <c r="DK46" s="76"/>
    </row>
    <row r="47" spans="1:115" x14ac:dyDescent="0.25">
      <c r="A47" s="70"/>
      <c r="B47" s="68"/>
      <c r="L47" s="68"/>
      <c r="W47" s="68"/>
      <c r="BD47" s="68"/>
      <c r="BI47" s="68"/>
      <c r="BR47" s="68"/>
      <c r="BU47" s="68"/>
      <c r="BY47" s="76"/>
      <c r="CF47" s="68"/>
      <c r="CH47" s="68"/>
      <c r="CK47" s="68"/>
      <c r="CL47" s="68"/>
      <c r="CN47" s="68"/>
      <c r="CP47" s="68"/>
      <c r="CQ47" s="68"/>
      <c r="CT47" s="68"/>
      <c r="CW47" s="73"/>
      <c r="CX47" s="76"/>
      <c r="CY47" s="73"/>
      <c r="CZ47" s="76"/>
      <c r="DI47" s="76"/>
      <c r="DJ47" s="1"/>
      <c r="DK47" s="76"/>
    </row>
    <row r="48" spans="1:115" x14ac:dyDescent="0.25">
      <c r="A48" s="70" t="s">
        <v>332</v>
      </c>
      <c r="B48" s="75">
        <f>SUM(B49:B54)</f>
        <v>7175.9890859481575</v>
      </c>
      <c r="L48" s="75">
        <f>SUM(L49:L54)</f>
        <v>35879.945429740794</v>
      </c>
      <c r="W48" s="75">
        <f>SUM(W49:W54)</f>
        <v>12916.780354706683</v>
      </c>
      <c r="BD48" s="75">
        <f>SUM(BD49:BD54)</f>
        <v>7175.9890859481575</v>
      </c>
      <c r="BI48" s="75">
        <f>SUM(BI49:BI54)</f>
        <v>193751.70532060027</v>
      </c>
      <c r="BR48" s="75">
        <f>SUM(BR49:BR54)</f>
        <v>62789.904502046396</v>
      </c>
      <c r="BU48" s="75">
        <f>SUM(BU49:BU54)</f>
        <v>6817.1896316507509</v>
      </c>
      <c r="BX48" s="72">
        <f t="shared" ref="BX48:BX54" si="18">SUM(B48:BW48)</f>
        <v>326507.50341064122</v>
      </c>
      <c r="BY48" s="76"/>
      <c r="CF48" s="75">
        <f>SUM(CF49:CF54)</f>
        <v>4484.817812415401</v>
      </c>
      <c r="CH48" s="75">
        <f>SUM(CH49:CH54)</f>
        <v>3587.9945429740787</v>
      </c>
      <c r="CK48" s="75">
        <f>SUM(CK49:CK54)</f>
        <v>5260.9890659443972</v>
      </c>
      <c r="CL48" s="75">
        <f>SUM(CL49:CL54)</f>
        <v>35629.171617597443</v>
      </c>
      <c r="CN48" s="75">
        <f>SUM(CN49:CN54)</f>
        <v>67850.625250880505</v>
      </c>
      <c r="CP48" s="75">
        <f>SUM(CP49:CP54)</f>
        <v>579786.90127077233</v>
      </c>
      <c r="CQ48" s="75">
        <f>SUM(CQ49:CQ54)</f>
        <v>34213.098729227764</v>
      </c>
      <c r="CT48" s="75">
        <f>SUM(CT49:CT54)</f>
        <v>71098.409167590173</v>
      </c>
      <c r="CW48" s="73">
        <f t="shared" si="16"/>
        <v>801912.00745740219</v>
      </c>
      <c r="CX48" s="76"/>
      <c r="CY48" s="73">
        <f t="shared" si="17"/>
        <v>1128419.5108680434</v>
      </c>
      <c r="CZ48" s="76"/>
      <c r="DI48" s="76"/>
      <c r="DJ48" s="1"/>
      <c r="DK48" s="76"/>
    </row>
    <row r="49" spans="1:115" x14ac:dyDescent="0.25">
      <c r="A49" s="70" t="s">
        <v>326</v>
      </c>
      <c r="B49" s="68">
        <f>'Assign To West Contracts'!D100</f>
        <v>729.37293231154547</v>
      </c>
      <c r="L49" s="68">
        <f>'Assign To West Contracts'!N100</f>
        <v>3646.8646615577281</v>
      </c>
      <c r="W49" s="68">
        <f>'Assign To West Contracts'!Y100</f>
        <v>1312.8712781607821</v>
      </c>
      <c r="BD49" s="68">
        <f>'Assign To West Contracts'!BF100</f>
        <v>729.37293231154547</v>
      </c>
      <c r="BI49" s="68">
        <f>'Assign To West Contracts'!BK100</f>
        <v>19693.069172411731</v>
      </c>
      <c r="BR49" s="68">
        <f>'Assign To West Contracts'!BT100</f>
        <v>6382.0131577260254</v>
      </c>
      <c r="BU49" s="68">
        <f>'Assign To West Contracts'!BW100</f>
        <v>692.90428569596827</v>
      </c>
      <c r="BX49" s="72">
        <f t="shared" si="18"/>
        <v>33186.468420175326</v>
      </c>
      <c r="BY49" s="76"/>
      <c r="CF49" s="68">
        <f>'Assign To West Contracts'!CH100</f>
        <v>455.84025833175627</v>
      </c>
      <c r="CH49" s="68">
        <f>'Assign To West Contracts'!CJ100</f>
        <v>364.68646615577273</v>
      </c>
      <c r="CK49" s="68">
        <f>'Assign To West Contracts'!CM100</f>
        <v>534.73088879145575</v>
      </c>
      <c r="CL49" s="68">
        <f>'Assign To West Contracts'!CN100</f>
        <v>3621.3758225253355</v>
      </c>
      <c r="CN49" s="68">
        <f>'Assign To West Contracts'!CP100</f>
        <v>6896.3886240174861</v>
      </c>
      <c r="CP49" s="68">
        <f>'Assign To West Contracts'!CR100</f>
        <v>58929.977070862951</v>
      </c>
      <c r="CQ49" s="68">
        <f>'Assign To West Contracts'!CS100</f>
        <v>3477.4451082242836</v>
      </c>
      <c r="CT49" s="68">
        <f>'Assign To West Contracts'!CV100</f>
        <v>0</v>
      </c>
      <c r="CW49" s="73">
        <f t="shared" si="16"/>
        <v>74280.444238909055</v>
      </c>
      <c r="CX49" s="76"/>
      <c r="CY49" s="73">
        <f t="shared" si="17"/>
        <v>107466.91265908438</v>
      </c>
      <c r="CZ49" s="76"/>
      <c r="DI49" s="76"/>
      <c r="DJ49" s="1"/>
      <c r="DK49" s="76"/>
    </row>
    <row r="50" spans="1:115" x14ac:dyDescent="0.25">
      <c r="A50" s="70" t="s">
        <v>327</v>
      </c>
      <c r="B50" s="68">
        <f>'Assign To West Contracts'!D101</f>
        <v>283.39399258682158</v>
      </c>
      <c r="L50" s="68">
        <f>'Assign To West Contracts'!N101</f>
        <v>1416.9699629341083</v>
      </c>
      <c r="W50" s="68">
        <f>'Assign To West Contracts'!Y101</f>
        <v>510.10918665627889</v>
      </c>
      <c r="BD50" s="68">
        <f>'Assign To West Contracts'!BF101</f>
        <v>283.39399258682158</v>
      </c>
      <c r="BI50" s="68">
        <f>'Assign To West Contracts'!BK101</f>
        <v>7651.637799844184</v>
      </c>
      <c r="BR50" s="68">
        <f>'Assign To West Contracts'!BT101</f>
        <v>2479.6974351346889</v>
      </c>
      <c r="BU50" s="68">
        <f>'Assign To West Contracts'!BW101</f>
        <v>269.22429295748043</v>
      </c>
      <c r="BX50" s="72">
        <f t="shared" si="18"/>
        <v>12894.426662700384</v>
      </c>
      <c r="BY50" s="76"/>
      <c r="CF50" s="68">
        <f>'Assign To West Contracts'!CH101</f>
        <v>177.11431980487234</v>
      </c>
      <c r="CH50" s="68">
        <f>'Assign To West Contracts'!CJ101</f>
        <v>141.69699629341079</v>
      </c>
      <c r="CK50" s="68">
        <f>'Assign To West Contracts'!CM101</f>
        <v>207.76685673520646</v>
      </c>
      <c r="CL50" s="68">
        <f>'Assign To West Contracts'!CN101</f>
        <v>1407.0664094297301</v>
      </c>
      <c r="CN50" s="68">
        <f>'Assign To West Contracts'!CP101</f>
        <v>2679.5553001901753</v>
      </c>
      <c r="CP50" s="68">
        <f>'Assign To West Contracts'!CR101</f>
        <v>22896.930699408331</v>
      </c>
      <c r="CQ50" s="68">
        <f>'Assign To West Contracts'!CS101</f>
        <v>1351.142892152528</v>
      </c>
      <c r="CT50" s="68">
        <f>'Assign To West Contracts'!CV101</f>
        <v>0</v>
      </c>
      <c r="CW50" s="73">
        <f t="shared" si="16"/>
        <v>28861.273474014255</v>
      </c>
      <c r="CX50" s="76"/>
      <c r="CY50" s="73">
        <f t="shared" si="17"/>
        <v>41755.700136714637</v>
      </c>
      <c r="CZ50" s="76"/>
      <c r="DI50" s="76"/>
      <c r="DJ50" s="1"/>
      <c r="DK50" s="76"/>
    </row>
    <row r="51" spans="1:115" x14ac:dyDescent="0.25">
      <c r="A51" s="70" t="s">
        <v>328</v>
      </c>
      <c r="B51" s="68">
        <f>'Assign To West Contracts'!D102</f>
        <v>3359.3971647393037</v>
      </c>
      <c r="L51" s="68">
        <f>'Assign To West Contracts'!N102</f>
        <v>16796.985823696523</v>
      </c>
      <c r="W51" s="68">
        <f>'Assign To West Contracts'!Y102</f>
        <v>6046.9148965307477</v>
      </c>
      <c r="BD51" s="68">
        <f>'Assign To West Contracts'!BF102</f>
        <v>3359.3971647393037</v>
      </c>
      <c r="BI51" s="68">
        <f>'Assign To West Contracts'!BK102</f>
        <v>90703.723447961209</v>
      </c>
      <c r="BR51" s="68">
        <f>'Assign To West Contracts'!BT102</f>
        <v>29394.725191468911</v>
      </c>
      <c r="BU51" s="68">
        <f>'Assign To West Contracts'!BW102</f>
        <v>3191.427306502339</v>
      </c>
      <c r="BX51" s="72">
        <f t="shared" si="18"/>
        <v>152852.57099563835</v>
      </c>
      <c r="BY51" s="76"/>
      <c r="CF51" s="68">
        <f>'Assign To West Contracts'!CH102</f>
        <v>2099.5411312571596</v>
      </c>
      <c r="CH51" s="68">
        <f>'Assign To West Contracts'!CJ102</f>
        <v>1679.6985823696518</v>
      </c>
      <c r="CK51" s="68">
        <f>'Assign To West Contracts'!CM102</f>
        <v>2462.9011471695781</v>
      </c>
      <c r="CL51" s="68">
        <f>'Assign To West Contracts'!CN102</f>
        <v>16679.587535681439</v>
      </c>
      <c r="CN51" s="68">
        <f>'Assign To West Contracts'!CP102</f>
        <v>31763.871901636234</v>
      </c>
      <c r="CP51" s="68">
        <f>'Assign To West Contracts'!CR102</f>
        <v>271423.83425526996</v>
      </c>
      <c r="CQ51" s="68">
        <f>'Assign To West Contracts'!CS102</f>
        <v>16016.661325889869</v>
      </c>
      <c r="CT51" s="68">
        <f>'Assign To West Contracts'!CV102</f>
        <v>0</v>
      </c>
      <c r="CW51" s="73">
        <f t="shared" si="16"/>
        <v>342126.0958792739</v>
      </c>
      <c r="CX51" s="76"/>
      <c r="CY51" s="73">
        <f t="shared" si="17"/>
        <v>494978.66687491222</v>
      </c>
      <c r="CZ51" s="76"/>
      <c r="DI51" s="76"/>
      <c r="DJ51" s="1"/>
      <c r="DK51" s="76"/>
    </row>
    <row r="52" spans="1:115" x14ac:dyDescent="0.25">
      <c r="A52" s="70" t="s">
        <v>329</v>
      </c>
      <c r="B52" s="68">
        <f>'Assign To West Contracts'!D103</f>
        <v>250.72808866879998</v>
      </c>
      <c r="L52" s="68">
        <f>'Assign To West Contracts'!N103</f>
        <v>1253.640443344</v>
      </c>
      <c r="W52" s="68">
        <f>'Assign To West Contracts'!Y103</f>
        <v>451.31055960383998</v>
      </c>
      <c r="BD52" s="68">
        <f>'Assign To West Contracts'!BF103</f>
        <v>250.72808866879998</v>
      </c>
      <c r="BI52" s="68">
        <f>'Assign To West Contracts'!BK103</f>
        <v>6769.6583940575993</v>
      </c>
      <c r="BR52" s="68">
        <f>'Assign To West Contracts'!BT103</f>
        <v>2193.8707758520004</v>
      </c>
      <c r="BU52" s="68">
        <f>'Assign To West Contracts'!BW103</f>
        <v>238.19168423535999</v>
      </c>
      <c r="BX52" s="72">
        <f t="shared" si="18"/>
        <v>11408.1280344304</v>
      </c>
      <c r="BY52" s="76"/>
      <c r="CF52" s="68">
        <f>'Assign To West Contracts'!CH103</f>
        <v>156.69892814310583</v>
      </c>
      <c r="CH52" s="68">
        <f>'Assign To West Contracts'!CJ103</f>
        <v>125.36404433439999</v>
      </c>
      <c r="CK52" s="68">
        <f>'Assign To West Contracts'!CM103</f>
        <v>183.81824682463341</v>
      </c>
      <c r="CL52" s="68">
        <f>'Assign To West Contracts'!CN103</f>
        <v>1244.8784402453589</v>
      </c>
      <c r="CN52" s="68">
        <f>'Assign To West Contracts'!CP103</f>
        <v>2370.6916747475093</v>
      </c>
      <c r="CP52" s="68">
        <f>'Assign To West Contracts'!CR103</f>
        <v>20257.675959330074</v>
      </c>
      <c r="CQ52" s="68">
        <f>'Assign To West Contracts'!CS103</f>
        <v>1195.4010449394093</v>
      </c>
      <c r="CT52" s="68">
        <f>'Assign To West Contracts'!CV103</f>
        <v>6357.8747822847827</v>
      </c>
      <c r="CW52" s="73">
        <f t="shared" si="16"/>
        <v>31892.403120849274</v>
      </c>
      <c r="CX52" s="76"/>
      <c r="CY52" s="73">
        <f t="shared" si="17"/>
        <v>43300.531155279677</v>
      </c>
      <c r="CZ52" s="76"/>
      <c r="DI52" s="76"/>
      <c r="DJ52" s="1"/>
      <c r="DK52" s="76"/>
    </row>
    <row r="53" spans="1:115" x14ac:dyDescent="0.25">
      <c r="A53" s="70" t="s">
        <v>330</v>
      </c>
      <c r="B53" s="68">
        <f>'Assign To West Contracts'!D104</f>
        <v>1263.2624062053792</v>
      </c>
      <c r="L53" s="68">
        <f>'Assign To West Contracts'!N104</f>
        <v>6316.312031026896</v>
      </c>
      <c r="W53" s="68">
        <f>'Assign To West Contracts'!Y104</f>
        <v>2273.8723311696822</v>
      </c>
      <c r="BD53" s="68">
        <f>'Assign To West Contracts'!BF104</f>
        <v>1263.2624062053792</v>
      </c>
      <c r="BI53" s="68">
        <f>'Assign To West Contracts'!BK104</f>
        <v>34108.084967545241</v>
      </c>
      <c r="BR53" s="68">
        <f>'Assign To West Contracts'!BT104</f>
        <v>11053.54605429707</v>
      </c>
      <c r="BU53" s="68">
        <f>'Assign To West Contracts'!BW104</f>
        <v>1200.0992858951101</v>
      </c>
      <c r="BX53" s="72">
        <f t="shared" si="18"/>
        <v>57478.439482344751</v>
      </c>
      <c r="BY53" s="76"/>
      <c r="CF53" s="68">
        <f>'Assign To West Contracts'!CH104</f>
        <v>789.50813236305885</v>
      </c>
      <c r="CH53" s="68">
        <f>'Assign To West Contracts'!CJ104</f>
        <v>631.6312031026896</v>
      </c>
      <c r="CK53" s="68">
        <f>'Assign To West Contracts'!CM104</f>
        <v>926.14545909485253</v>
      </c>
      <c r="CL53" s="68">
        <f>'Assign To West Contracts'!CN104</f>
        <v>6272.165764143374</v>
      </c>
      <c r="CN53" s="68">
        <f>'Assign To West Contracts'!CP104</f>
        <v>11944.436242915712</v>
      </c>
      <c r="CP53" s="68">
        <f>'Assign To West Contracts'!CR104</f>
        <v>102065.79012500017</v>
      </c>
      <c r="CQ53" s="68">
        <f>'Assign To West Contracts'!CS104</f>
        <v>6022.880038803155</v>
      </c>
      <c r="CT53" s="68">
        <f>'Assign To West Contracts'!CV104</f>
        <v>32033.36426510644</v>
      </c>
      <c r="CW53" s="73">
        <f t="shared" si="16"/>
        <v>160685.92123052946</v>
      </c>
      <c r="CX53" s="76"/>
      <c r="CY53" s="73">
        <f t="shared" si="17"/>
        <v>218164.36071287422</v>
      </c>
      <c r="CZ53" s="76"/>
      <c r="DI53" s="76"/>
      <c r="DJ53" s="1"/>
      <c r="DK53" s="76"/>
    </row>
    <row r="54" spans="1:115" x14ac:dyDescent="0.25">
      <c r="A54" s="70" t="s">
        <v>331</v>
      </c>
      <c r="B54" s="68">
        <f>'Assign To West Contracts'!D105</f>
        <v>1289.8345014363078</v>
      </c>
      <c r="L54" s="68">
        <f>'Assign To West Contracts'!N105</f>
        <v>6449.172507181539</v>
      </c>
      <c r="W54" s="68">
        <f>'Assign To West Contracts'!Y105</f>
        <v>2321.7021025853542</v>
      </c>
      <c r="BD54" s="68">
        <f>'Assign To West Contracts'!BF105</f>
        <v>1289.8345014363078</v>
      </c>
      <c r="BI54" s="68">
        <f>'Assign To West Contracts'!BK105</f>
        <v>34825.531538780313</v>
      </c>
      <c r="BR54" s="68">
        <f>'Assign To West Contracts'!BT105</f>
        <v>11286.051887567697</v>
      </c>
      <c r="BU54" s="68">
        <f>'Assign To West Contracts'!BW105</f>
        <v>1225.3427763644925</v>
      </c>
      <c r="BX54" s="72">
        <f t="shared" si="18"/>
        <v>58687.469815352008</v>
      </c>
      <c r="BY54" s="76"/>
      <c r="CF54" s="68">
        <f>'Assign To West Contracts'!CH105</f>
        <v>806.11504251544818</v>
      </c>
      <c r="CH54" s="68">
        <f>'Assign To West Contracts'!CJ105</f>
        <v>644.91725071815392</v>
      </c>
      <c r="CK54" s="68">
        <f>'Assign To West Contracts'!CM105</f>
        <v>945.62646732867131</v>
      </c>
      <c r="CL54" s="68">
        <f>'Assign To West Contracts'!CN105</f>
        <v>6404.0976455722048</v>
      </c>
      <c r="CN54" s="68">
        <f>'Assign To West Contracts'!CP105</f>
        <v>12195.681507373391</v>
      </c>
      <c r="CP54" s="68">
        <f>'Assign To West Contracts'!CR105</f>
        <v>104212.69316090083</v>
      </c>
      <c r="CQ54" s="68">
        <f>'Assign To West Contracts'!CS105</f>
        <v>6149.5683192185206</v>
      </c>
      <c r="CT54" s="68">
        <f>'Assign To West Contracts'!CV105</f>
        <v>32707.170120198949</v>
      </c>
      <c r="CW54" s="73">
        <f t="shared" si="16"/>
        <v>164065.86951382618</v>
      </c>
      <c r="CX54" s="76"/>
      <c r="CY54" s="73">
        <f t="shared" si="17"/>
        <v>222753.33932917818</v>
      </c>
      <c r="CZ54" s="76"/>
      <c r="DI54" s="76"/>
      <c r="DJ54" s="1"/>
      <c r="DK54" s="76"/>
    </row>
    <row r="55" spans="1:115" x14ac:dyDescent="0.25">
      <c r="A55" s="70"/>
      <c r="B55" s="68"/>
      <c r="L55" s="68"/>
      <c r="W55" s="68"/>
      <c r="BD55" s="68"/>
      <c r="BI55" s="68"/>
      <c r="BR55" s="68"/>
      <c r="BU55" s="68"/>
      <c r="BY55" s="76"/>
      <c r="CF55" s="68"/>
      <c r="CH55" s="68"/>
      <c r="CK55" s="68"/>
      <c r="CL55" s="68"/>
      <c r="CN55" s="68"/>
      <c r="CP55" s="68"/>
      <c r="CQ55" s="68"/>
      <c r="CT55" s="68"/>
      <c r="CW55" s="73"/>
      <c r="CX55" s="76"/>
      <c r="CY55" s="73"/>
      <c r="CZ55" s="76"/>
      <c r="DI55" s="76"/>
      <c r="DJ55" s="1"/>
      <c r="DK55" s="76"/>
    </row>
    <row r="56" spans="1:115" x14ac:dyDescent="0.25">
      <c r="A56" s="70" t="s">
        <v>333</v>
      </c>
      <c r="B56" s="75">
        <f>SUM(B57:B62)</f>
        <v>5457.0259208731241</v>
      </c>
      <c r="L56" s="75">
        <f>SUM(L57:L62)</f>
        <v>27285.129604365622</v>
      </c>
      <c r="W56" s="75">
        <f>SUM(W57:W62)</f>
        <v>9822.646657571624</v>
      </c>
      <c r="BD56" s="75">
        <f>SUM(BD57:BD62)</f>
        <v>5457.0259208731241</v>
      </c>
      <c r="BI56" s="75">
        <f>SUM(BI57:BI62)</f>
        <v>147339.69986357435</v>
      </c>
      <c r="BR56" s="75">
        <f>SUM(BR57:BR62)</f>
        <v>47748.976807639847</v>
      </c>
      <c r="BU56" s="75">
        <f>SUM(BU57:BU62)</f>
        <v>5184.1746248294685</v>
      </c>
      <c r="BX56" s="72">
        <f t="shared" ref="BX56:BX62" si="19">SUM(B56:BW56)</f>
        <v>248294.67939972715</v>
      </c>
      <c r="BY56" s="76"/>
      <c r="CF56" s="75">
        <f>SUM(CF57:CF62)</f>
        <v>3410.5078421409889</v>
      </c>
      <c r="CH56" s="75">
        <f>SUM(CH57:CH62)</f>
        <v>2728.512960436562</v>
      </c>
      <c r="CK56" s="75">
        <f>SUM(CK57:CK62)</f>
        <v>4000.7521414025841</v>
      </c>
      <c r="CL56" s="75">
        <f>SUM(CL57:CL62)</f>
        <v>27094.42708562543</v>
      </c>
      <c r="CN56" s="75">
        <f>SUM(CN57:CN62)</f>
        <v>51597.433650859697</v>
      </c>
      <c r="CP56" s="75"/>
      <c r="CQ56" s="75"/>
      <c r="CT56" s="75">
        <f>SUM(CT57:CT62)</f>
        <v>54067.231306152229</v>
      </c>
      <c r="CW56" s="73">
        <f t="shared" si="16"/>
        <v>142898.86498661747</v>
      </c>
      <c r="CX56" s="76"/>
      <c r="CY56" s="73">
        <f t="shared" si="17"/>
        <v>391193.54438634461</v>
      </c>
      <c r="CZ56" s="76"/>
      <c r="DI56" s="76"/>
      <c r="DJ56" s="1"/>
      <c r="DK56" s="76"/>
    </row>
    <row r="57" spans="1:115" x14ac:dyDescent="0.25">
      <c r="A57" s="70" t="s">
        <v>326</v>
      </c>
      <c r="B57" s="68">
        <f>'Assign To West Contracts'!D107</f>
        <v>554.65622229014878</v>
      </c>
      <c r="L57" s="68">
        <f>'Assign To West Contracts'!N107</f>
        <v>2773.281111450744</v>
      </c>
      <c r="W57" s="68">
        <f>'Assign To West Contracts'!Y107</f>
        <v>998.38120012226784</v>
      </c>
      <c r="BD57" s="68">
        <f>'Assign To West Contracts'!BF107</f>
        <v>554.65622229014878</v>
      </c>
      <c r="BI57" s="68">
        <f>'Assign To West Contracts'!BK107</f>
        <v>14975.718001834017</v>
      </c>
      <c r="BR57" s="68">
        <f>'Assign To West Contracts'!BT107</f>
        <v>4853.2419450388024</v>
      </c>
      <c r="BU57" s="68">
        <f>'Assign To West Contracts'!BW107</f>
        <v>526.92341117564126</v>
      </c>
      <c r="BX57" s="72">
        <f t="shared" si="19"/>
        <v>25236.858114201768</v>
      </c>
      <c r="BY57" s="76"/>
      <c r="CF57" s="68">
        <f>'Assign To West Contracts'!CH107</f>
        <v>346.6465842827044</v>
      </c>
      <c r="CH57" s="68">
        <f>'Assign To West Contracts'!CJ107</f>
        <v>277.32811114507439</v>
      </c>
      <c r="CK57" s="68">
        <f>'Assign To West Contracts'!CM107</f>
        <v>406.63945915700066</v>
      </c>
      <c r="CL57" s="68">
        <f>'Assign To West Contracts'!CN107</f>
        <v>2753.8979638975934</v>
      </c>
      <c r="CN57" s="68">
        <f>'Assign To West Contracts'!CP107</f>
        <v>5244.4019954505602</v>
      </c>
      <c r="CP57" s="68"/>
      <c r="CQ57" s="68"/>
      <c r="CT57" s="68">
        <f>'Assign To West Contracts'!CV107</f>
        <v>0</v>
      </c>
      <c r="CW57" s="73">
        <f t="shared" si="16"/>
        <v>9028.9141139329331</v>
      </c>
      <c r="CX57" s="76"/>
      <c r="CY57" s="73">
        <f t="shared" si="17"/>
        <v>34265.772228134701</v>
      </c>
      <c r="CZ57" s="76"/>
      <c r="DI57" s="76"/>
      <c r="DJ57" s="1"/>
      <c r="DK57" s="76"/>
    </row>
    <row r="58" spans="1:115" x14ac:dyDescent="0.25">
      <c r="A58" s="70" t="s">
        <v>327</v>
      </c>
      <c r="B58" s="68">
        <f>'Assign To West Contracts'!D108</f>
        <v>215.50873960975025</v>
      </c>
      <c r="L58" s="68">
        <f>'Assign To West Contracts'!N108</f>
        <v>1077.5436980487516</v>
      </c>
      <c r="W58" s="68">
        <f>'Assign To West Contracts'!Y108</f>
        <v>387.91573129755051</v>
      </c>
      <c r="BD58" s="68">
        <f>'Assign To West Contracts'!BF108</f>
        <v>215.50873960975025</v>
      </c>
      <c r="BI58" s="68">
        <f>'Assign To West Contracts'!BK108</f>
        <v>5818.7359694632578</v>
      </c>
      <c r="BR58" s="68">
        <f>'Assign To West Contracts'!BT108</f>
        <v>1885.7014715853149</v>
      </c>
      <c r="BU58" s="68">
        <f>'Assign To West Contracts'!BW108</f>
        <v>204.73330262926271</v>
      </c>
      <c r="BX58" s="72">
        <f t="shared" si="19"/>
        <v>9805.6476522436387</v>
      </c>
      <c r="BY58" s="76"/>
      <c r="CF58" s="68">
        <f>'Assign To West Contracts'!CH108</f>
        <v>134.68769566910444</v>
      </c>
      <c r="CH58" s="68">
        <f>'Assign To West Contracts'!CJ108</f>
        <v>107.75436980487513</v>
      </c>
      <c r="CK58" s="68">
        <f>'Assign To West Contracts'!CM108</f>
        <v>157.99760968456766</v>
      </c>
      <c r="CL58" s="68">
        <f>'Assign To West Contracts'!CN108</f>
        <v>1070.0124786537872</v>
      </c>
      <c r="CN58" s="68">
        <f>'Assign To West Contracts'!CP108</f>
        <v>2037.6846389278901</v>
      </c>
      <c r="CP58" s="68"/>
      <c r="CQ58" s="68"/>
      <c r="CT58" s="68">
        <f>'Assign To West Contracts'!CV108</f>
        <v>0</v>
      </c>
      <c r="CW58" s="73">
        <f t="shared" si="16"/>
        <v>3508.1367927402243</v>
      </c>
      <c r="CX58" s="76"/>
      <c r="CY58" s="73">
        <f t="shared" si="17"/>
        <v>13313.784444983863</v>
      </c>
      <c r="CZ58" s="76"/>
      <c r="DI58" s="76"/>
      <c r="DJ58" s="1"/>
      <c r="DK58" s="76"/>
    </row>
    <row r="59" spans="1:115" x14ac:dyDescent="0.25">
      <c r="A59" s="70" t="s">
        <v>328</v>
      </c>
      <c r="B59" s="68">
        <f>'Assign To West Contracts'!D109</f>
        <v>2554.6746499918659</v>
      </c>
      <c r="L59" s="68">
        <f>'Assign To West Contracts'!N109</f>
        <v>12773.373249959333</v>
      </c>
      <c r="W59" s="68">
        <f>'Assign To West Contracts'!Y109</f>
        <v>4598.4143699853594</v>
      </c>
      <c r="BD59" s="68">
        <f>'Assign To West Contracts'!BF109</f>
        <v>2554.6746499918659</v>
      </c>
      <c r="BI59" s="68">
        <f>'Assign To West Contracts'!BK109</f>
        <v>68976.215549780391</v>
      </c>
      <c r="BR59" s="68">
        <f>'Assign To West Contracts'!BT109</f>
        <v>22353.40318742883</v>
      </c>
      <c r="BU59" s="68">
        <f>'Assign To West Contracts'!BW109</f>
        <v>2426.940917492273</v>
      </c>
      <c r="BX59" s="72">
        <f t="shared" si="19"/>
        <v>116237.69657462992</v>
      </c>
      <c r="BY59" s="76"/>
      <c r="CF59" s="68">
        <f>'Assign To West Contracts'!CH109</f>
        <v>1596.6092252906155</v>
      </c>
      <c r="CH59" s="68">
        <f>'Assign To West Contracts'!CJ109</f>
        <v>1277.3373249959329</v>
      </c>
      <c r="CK59" s="68">
        <f>'Assign To West Contracts'!CM109</f>
        <v>1872.9286290262951</v>
      </c>
      <c r="CL59" s="68">
        <f>'Assign To West Contracts'!CN109</f>
        <v>12684.096985309079</v>
      </c>
      <c r="CN59" s="68">
        <f>'Assign To West Contracts'!CP109</f>
        <v>24155.035666643525</v>
      </c>
      <c r="CP59" s="68"/>
      <c r="CQ59" s="68"/>
      <c r="CT59" s="68">
        <f>'Assign To West Contracts'!CV109</f>
        <v>0</v>
      </c>
      <c r="CW59" s="73">
        <f t="shared" si="16"/>
        <v>41586.007831265451</v>
      </c>
      <c r="CX59" s="76"/>
      <c r="CY59" s="73">
        <f t="shared" si="17"/>
        <v>157823.70440589538</v>
      </c>
      <c r="CZ59" s="76"/>
      <c r="DI59" s="76"/>
      <c r="DJ59" s="1"/>
      <c r="DK59" s="76"/>
    </row>
    <row r="60" spans="1:115" x14ac:dyDescent="0.25">
      <c r="A60" s="70" t="s">
        <v>329</v>
      </c>
      <c r="B60" s="68">
        <f>'Assign To West Contracts'!D110</f>
        <v>190.66774803711027</v>
      </c>
      <c r="L60" s="68">
        <f>'Assign To West Contracts'!N110</f>
        <v>953.33874018555139</v>
      </c>
      <c r="W60" s="68">
        <f>'Assign To West Contracts'!Y110</f>
        <v>343.20194646679852</v>
      </c>
      <c r="BD60" s="68">
        <f>'Assign To West Contracts'!BF110</f>
        <v>190.66774803711027</v>
      </c>
      <c r="BI60" s="68">
        <f>'Assign To West Contracts'!BK110</f>
        <v>5148.0291970019771</v>
      </c>
      <c r="BR60" s="68">
        <f>'Assign To West Contracts'!BT110</f>
        <v>1668.3427953247151</v>
      </c>
      <c r="BU60" s="68">
        <f>'Assign To West Contracts'!BW110</f>
        <v>181.13436063525475</v>
      </c>
      <c r="BX60" s="72">
        <f t="shared" si="19"/>
        <v>8675.3825356885172</v>
      </c>
      <c r="BY60" s="76"/>
      <c r="CF60" s="68">
        <f>'Assign To West Contracts'!CH110</f>
        <v>119.16268299855957</v>
      </c>
      <c r="CH60" s="68">
        <f>'Assign To West Contracts'!CJ110</f>
        <v>95.333874018555136</v>
      </c>
      <c r="CK60" s="68">
        <f>'Assign To West Contracts'!CM110</f>
        <v>139.7857390301395</v>
      </c>
      <c r="CL60" s="68">
        <f>'Assign To West Contracts'!CN110</f>
        <v>946.6756199584479</v>
      </c>
      <c r="CN60" s="68">
        <f>'Assign To West Contracts'!CP110</f>
        <v>1802.8073572224407</v>
      </c>
      <c r="CP60" s="68"/>
      <c r="CQ60" s="68"/>
      <c r="CT60" s="68">
        <f>'Assign To West Contracts'!CV110</f>
        <v>4834.8857659960331</v>
      </c>
      <c r="CW60" s="73">
        <f t="shared" si="16"/>
        <v>7938.6510392241762</v>
      </c>
      <c r="CX60" s="76"/>
      <c r="CY60" s="73">
        <f t="shared" si="17"/>
        <v>16614.033574912693</v>
      </c>
      <c r="CZ60" s="76"/>
      <c r="DI60" s="76"/>
      <c r="DJ60" s="1"/>
      <c r="DK60" s="76"/>
    </row>
    <row r="61" spans="1:115" x14ac:dyDescent="0.25">
      <c r="A61" s="70" t="s">
        <v>330</v>
      </c>
      <c r="B61" s="68">
        <f>'Assign To West Contracts'!D111</f>
        <v>960.65582220941383</v>
      </c>
      <c r="L61" s="68">
        <f>'Assign To West Contracts'!N111</f>
        <v>4803.2791110470698</v>
      </c>
      <c r="W61" s="68">
        <f>'Assign To West Contracts'!Y111</f>
        <v>1729.180479976945</v>
      </c>
      <c r="BD61" s="68">
        <f>'Assign To West Contracts'!BF111</f>
        <v>960.65582220941383</v>
      </c>
      <c r="BI61" s="68">
        <f>'Assign To West Contracts'!BK111</f>
        <v>25937.707199654174</v>
      </c>
      <c r="BR61" s="68">
        <f>'Assign To West Contracts'!BT111</f>
        <v>8405.7384443323735</v>
      </c>
      <c r="BU61" s="68">
        <f>'Assign To West Contracts'!BW111</f>
        <v>912.6230310989431</v>
      </c>
      <c r="BX61" s="72">
        <f t="shared" si="19"/>
        <v>43709.839910528332</v>
      </c>
      <c r="BY61" s="76"/>
      <c r="CF61" s="68">
        <f>'Assign To West Contracts'!CH111</f>
        <v>600.38641244339078</v>
      </c>
      <c r="CH61" s="68">
        <f>'Assign To West Contracts'!CJ111</f>
        <v>480.32791110470691</v>
      </c>
      <c r="CK61" s="68">
        <f>'Assign To West Contracts'!CM111</f>
        <v>704.29312478696022</v>
      </c>
      <c r="CL61" s="68">
        <f>'Assign To West Contracts'!CN111</f>
        <v>4769.7078054322237</v>
      </c>
      <c r="CN61" s="68">
        <f>'Assign To West Contracts'!CP111</f>
        <v>9083.2214775024422</v>
      </c>
      <c r="CP61" s="68"/>
      <c r="CQ61" s="68"/>
      <c r="CT61" s="68">
        <f>'Assign To West Contracts'!CV111</f>
        <v>24359.972825176003</v>
      </c>
      <c r="CW61" s="73">
        <f t="shared" si="16"/>
        <v>39997.909556445724</v>
      </c>
      <c r="CX61" s="76"/>
      <c r="CY61" s="73">
        <f t="shared" si="17"/>
        <v>83707.749466974055</v>
      </c>
      <c r="CZ61" s="76"/>
      <c r="DI61" s="76"/>
      <c r="DJ61" s="1"/>
      <c r="DK61" s="76"/>
    </row>
    <row r="62" spans="1:115" x14ac:dyDescent="0.25">
      <c r="A62" s="70" t="s">
        <v>331</v>
      </c>
      <c r="B62" s="68">
        <f>'Assign To West Contracts'!D112</f>
        <v>980.86273873483492</v>
      </c>
      <c r="L62" s="68">
        <f>'Assign To West Contracts'!N112</f>
        <v>4904.3136936741748</v>
      </c>
      <c r="W62" s="68">
        <f>'Assign To West Contracts'!Y112</f>
        <v>1765.5529297227029</v>
      </c>
      <c r="BD62" s="68">
        <f>'Assign To West Contracts'!BF112</f>
        <v>980.86273873483492</v>
      </c>
      <c r="BI62" s="68">
        <f>'Assign To West Contracts'!BK112</f>
        <v>26483.293945840542</v>
      </c>
      <c r="BR62" s="68">
        <f>'Assign To West Contracts'!BT112</f>
        <v>8582.5489639298085</v>
      </c>
      <c r="BU62" s="68">
        <f>'Assign To West Contracts'!BW112</f>
        <v>931.81960179809323</v>
      </c>
      <c r="BX62" s="72">
        <f t="shared" si="19"/>
        <v>44629.254612434997</v>
      </c>
      <c r="BY62" s="76"/>
      <c r="CF62" s="68">
        <f>'Assign To West Contracts'!CH112</f>
        <v>613.0152414566146</v>
      </c>
      <c r="CH62" s="68">
        <f>'Assign To West Contracts'!CJ112</f>
        <v>490.43136936741746</v>
      </c>
      <c r="CK62" s="68">
        <f>'Assign To West Contracts'!CM112</f>
        <v>719.10757971762075</v>
      </c>
      <c r="CL62" s="68">
        <f>'Assign To West Contracts'!CN112</f>
        <v>4870.0362323743011</v>
      </c>
      <c r="CN62" s="68">
        <f>'Assign To West Contracts'!CP112</f>
        <v>9274.2825151128436</v>
      </c>
      <c r="CP62" s="68"/>
      <c r="CQ62" s="68"/>
      <c r="CT62" s="68">
        <f>'Assign To West Contracts'!CV112</f>
        <v>24872.372714980193</v>
      </c>
      <c r="CW62" s="73">
        <f t="shared" si="16"/>
        <v>40839.245653008991</v>
      </c>
      <c r="CX62" s="76"/>
      <c r="CY62" s="73">
        <f t="shared" si="17"/>
        <v>85468.500265443989</v>
      </c>
      <c r="CZ62" s="76"/>
      <c r="DI62" s="76"/>
      <c r="DJ62" s="1"/>
      <c r="DK62" s="76"/>
    </row>
  </sheetData>
  <printOptions horizontalCentered="1"/>
  <pageMargins left="0.75" right="0.75" top="1" bottom="1" header="0.5" footer="0.5"/>
  <pageSetup scale="74" fitToWidth="100" orientation="portrait" horizontalDpi="300" verticalDpi="300" r:id="rId1"/>
  <headerFooter alignWithMargins="0">
    <oddHeader>&amp;LPrivileged and Confidential
For Settlement Purposes Only</oddHeader>
    <oddFooter>&amp;L&amp;F
&amp;D  &amp;T&amp;CPage &amp;P of &amp;N&amp;R&amp;A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5"/>
  <sheetViews>
    <sheetView workbookViewId="0"/>
  </sheetViews>
  <sheetFormatPr defaultRowHeight="13.2" x14ac:dyDescent="0.25"/>
  <cols>
    <col min="1" max="1" width="16.44140625" customWidth="1"/>
    <col min="2" max="2" width="9.33203125" customWidth="1"/>
    <col min="3" max="3" width="6.109375" customWidth="1"/>
    <col min="4" max="4" width="11.5546875" customWidth="1"/>
    <col min="5" max="5" width="21.88671875" customWidth="1"/>
    <col min="6" max="6" width="8.5546875" customWidth="1"/>
    <col min="7" max="7" width="14" customWidth="1"/>
    <col min="8" max="8" width="13.88671875" customWidth="1"/>
    <col min="9" max="9" width="44.44140625" customWidth="1"/>
    <col min="10" max="10" width="39.109375" customWidth="1"/>
  </cols>
  <sheetData>
    <row r="1" spans="1:8" s="45" customFormat="1" ht="13.8" thickTop="1" x14ac:dyDescent="0.25">
      <c r="A1" s="51" t="s">
        <v>199</v>
      </c>
      <c r="B1" s="45" t="s">
        <v>200</v>
      </c>
      <c r="C1" s="45" t="s">
        <v>201</v>
      </c>
      <c r="E1" s="45" t="s">
        <v>202</v>
      </c>
      <c r="F1" s="46" t="s">
        <v>203</v>
      </c>
      <c r="G1" s="47" t="s">
        <v>204</v>
      </c>
      <c r="H1" s="45" t="s">
        <v>205</v>
      </c>
    </row>
    <row r="2" spans="1:8" s="38" customFormat="1" x14ac:dyDescent="0.25">
      <c r="A2" s="3" t="s">
        <v>206</v>
      </c>
      <c r="B2" s="3" t="s">
        <v>207</v>
      </c>
      <c r="C2" s="3"/>
      <c r="D2" s="3" t="s">
        <v>208</v>
      </c>
      <c r="E2" s="7"/>
      <c r="F2" s="5" t="s">
        <v>209</v>
      </c>
      <c r="G2" s="6" t="s">
        <v>210</v>
      </c>
      <c r="H2" s="7" t="s">
        <v>211</v>
      </c>
    </row>
    <row r="3" spans="1:8" s="38" customFormat="1" x14ac:dyDescent="0.25">
      <c r="A3" s="3" t="s">
        <v>212</v>
      </c>
      <c r="B3" s="3" t="s">
        <v>212</v>
      </c>
      <c r="C3" s="3" t="s">
        <v>213</v>
      </c>
      <c r="D3" s="3" t="s">
        <v>214</v>
      </c>
      <c r="E3" s="5" t="s">
        <v>215</v>
      </c>
      <c r="F3" s="5" t="s">
        <v>216</v>
      </c>
      <c r="G3" s="6" t="s">
        <v>217</v>
      </c>
      <c r="H3" s="7" t="s">
        <v>218</v>
      </c>
    </row>
    <row r="4" spans="1:8" s="38" customFormat="1" x14ac:dyDescent="0.25">
      <c r="A4" s="3"/>
      <c r="B4" s="3"/>
      <c r="C4" s="3"/>
      <c r="D4" s="3"/>
      <c r="E4" s="5"/>
      <c r="F4" s="5"/>
      <c r="G4" s="39"/>
      <c r="H4" s="7"/>
    </row>
    <row r="5" spans="1:8" s="43" customFormat="1" ht="13.8" thickBot="1" x14ac:dyDescent="0.3">
      <c r="A5" s="40"/>
      <c r="B5" s="40"/>
      <c r="C5" s="40"/>
      <c r="D5" s="40"/>
      <c r="E5" s="41"/>
      <c r="F5" s="41"/>
      <c r="G5" s="42"/>
    </row>
    <row r="6" spans="1:8" ht="13.8" thickTop="1" x14ac:dyDescent="0.25">
      <c r="A6" s="48"/>
      <c r="B6" s="3"/>
      <c r="C6" s="3"/>
      <c r="D6" s="3"/>
      <c r="E6" s="5"/>
      <c r="F6" s="5"/>
      <c r="G6" s="6"/>
    </row>
    <row r="7" spans="1:8" x14ac:dyDescent="0.25">
      <c r="A7" s="7"/>
      <c r="B7" s="8"/>
      <c r="C7" s="3"/>
      <c r="D7" s="3"/>
      <c r="E7" s="7"/>
      <c r="F7" s="5"/>
      <c r="G7" s="9"/>
    </row>
    <row r="8" spans="1:8" x14ac:dyDescent="0.25">
      <c r="A8" s="7"/>
      <c r="B8" s="8"/>
      <c r="C8" s="3"/>
      <c r="D8" s="3"/>
      <c r="E8" s="7"/>
      <c r="F8" s="5"/>
      <c r="G8" s="9"/>
    </row>
    <row r="9" spans="1:8" x14ac:dyDescent="0.25">
      <c r="A9" s="7"/>
      <c r="B9" s="8"/>
      <c r="C9" s="3"/>
      <c r="D9" s="3"/>
      <c r="E9" s="7"/>
      <c r="F9" s="5"/>
      <c r="G9" s="9"/>
    </row>
    <row r="10" spans="1:8" x14ac:dyDescent="0.25">
      <c r="A10" s="10" t="s">
        <v>219</v>
      </c>
      <c r="B10" s="11">
        <v>216749</v>
      </c>
      <c r="C10" s="12" t="s">
        <v>220</v>
      </c>
      <c r="D10" s="12" t="s">
        <v>221</v>
      </c>
      <c r="E10" s="13" t="s">
        <v>203</v>
      </c>
      <c r="F10" s="14" t="s">
        <v>222</v>
      </c>
      <c r="G10" s="15">
        <v>0</v>
      </c>
      <c r="H10" s="44">
        <f>SUM(G11:G22)</f>
        <v>1095000</v>
      </c>
    </row>
    <row r="11" spans="1:8" x14ac:dyDescent="0.25">
      <c r="A11" s="16" t="s">
        <v>33</v>
      </c>
      <c r="B11" s="17">
        <v>24900</v>
      </c>
      <c r="C11" s="18" t="s">
        <v>220</v>
      </c>
      <c r="D11" s="18" t="s">
        <v>221</v>
      </c>
      <c r="E11" s="16" t="s">
        <v>223</v>
      </c>
      <c r="F11" s="19" t="s">
        <v>222</v>
      </c>
      <c r="G11" s="56">
        <v>140000</v>
      </c>
      <c r="H11" s="44"/>
    </row>
    <row r="12" spans="1:8" x14ac:dyDescent="0.25">
      <c r="A12" s="21" t="s">
        <v>224</v>
      </c>
      <c r="B12" s="22">
        <v>37039</v>
      </c>
      <c r="C12" s="23" t="s">
        <v>220</v>
      </c>
      <c r="D12" s="23" t="s">
        <v>221</v>
      </c>
      <c r="E12" s="21" t="s">
        <v>225</v>
      </c>
      <c r="F12" s="24" t="s">
        <v>222</v>
      </c>
      <c r="G12" s="9">
        <v>200000</v>
      </c>
      <c r="H12" s="44"/>
    </row>
    <row r="13" spans="1:8" x14ac:dyDescent="0.25">
      <c r="A13" t="s">
        <v>34</v>
      </c>
      <c r="B13" s="4">
        <v>216655</v>
      </c>
      <c r="C13" s="23" t="s">
        <v>220</v>
      </c>
      <c r="D13" s="23" t="s">
        <v>221</v>
      </c>
      <c r="E13" s="21" t="s">
        <v>226</v>
      </c>
      <c r="F13" s="24" t="s">
        <v>222</v>
      </c>
      <c r="G13" s="9">
        <v>300000</v>
      </c>
      <c r="H13" s="44"/>
    </row>
    <row r="14" spans="1:8" x14ac:dyDescent="0.25">
      <c r="A14" s="21" t="s">
        <v>227</v>
      </c>
      <c r="B14" s="22">
        <v>38956</v>
      </c>
      <c r="C14" s="23" t="s">
        <v>220</v>
      </c>
      <c r="D14" s="23" t="s">
        <v>228</v>
      </c>
      <c r="E14" s="21" t="s">
        <v>229</v>
      </c>
      <c r="F14" s="24" t="s">
        <v>222</v>
      </c>
      <c r="G14" s="9">
        <v>60000</v>
      </c>
      <c r="H14" s="44"/>
    </row>
    <row r="15" spans="1:8" x14ac:dyDescent="0.25">
      <c r="A15" s="21" t="s">
        <v>230</v>
      </c>
      <c r="B15" s="22">
        <v>187909</v>
      </c>
      <c r="C15" s="23" t="s">
        <v>220</v>
      </c>
      <c r="D15" s="23" t="s">
        <v>228</v>
      </c>
      <c r="E15" s="21" t="s">
        <v>231</v>
      </c>
      <c r="F15" s="24" t="s">
        <v>222</v>
      </c>
      <c r="G15" s="9">
        <v>70000</v>
      </c>
      <c r="H15" s="44"/>
    </row>
    <row r="16" spans="1:8" x14ac:dyDescent="0.25">
      <c r="A16" s="21" t="s">
        <v>232</v>
      </c>
      <c r="B16" s="22">
        <v>55174</v>
      </c>
      <c r="C16" s="23" t="s">
        <v>220</v>
      </c>
      <c r="D16" s="23" t="s">
        <v>221</v>
      </c>
      <c r="E16" s="21" t="s">
        <v>233</v>
      </c>
      <c r="F16" s="24" t="s">
        <v>222</v>
      </c>
      <c r="G16" s="9">
        <v>100000</v>
      </c>
      <c r="H16" s="44"/>
    </row>
    <row r="17" spans="1:8" x14ac:dyDescent="0.25">
      <c r="A17" s="21" t="s">
        <v>55</v>
      </c>
      <c r="B17" s="22">
        <v>37110</v>
      </c>
      <c r="C17" s="23" t="s">
        <v>220</v>
      </c>
      <c r="D17" s="23" t="s">
        <v>221</v>
      </c>
      <c r="E17" s="21" t="s">
        <v>234</v>
      </c>
      <c r="F17" s="24" t="s">
        <v>222</v>
      </c>
      <c r="G17" s="25">
        <v>0</v>
      </c>
      <c r="H17" s="44"/>
    </row>
    <row r="18" spans="1:8" x14ac:dyDescent="0.25">
      <c r="A18" s="21" t="s">
        <v>54</v>
      </c>
      <c r="B18" s="22">
        <v>42662</v>
      </c>
      <c r="C18" s="23" t="s">
        <v>220</v>
      </c>
      <c r="D18" s="23" t="s">
        <v>221</v>
      </c>
      <c r="E18" s="21" t="s">
        <v>235</v>
      </c>
      <c r="F18" s="24" t="s">
        <v>222</v>
      </c>
      <c r="G18" s="25">
        <v>0</v>
      </c>
      <c r="H18" s="44"/>
    </row>
    <row r="19" spans="1:8" x14ac:dyDescent="0.25">
      <c r="A19" s="21" t="s">
        <v>236</v>
      </c>
      <c r="B19" s="22">
        <v>151533</v>
      </c>
      <c r="C19" s="23" t="s">
        <v>220</v>
      </c>
      <c r="D19" s="23" t="s">
        <v>221</v>
      </c>
      <c r="E19" s="21" t="s">
        <v>237</v>
      </c>
      <c r="F19" s="24" t="s">
        <v>222</v>
      </c>
      <c r="G19" s="9">
        <v>100000</v>
      </c>
      <c r="H19" s="44"/>
    </row>
    <row r="20" spans="1:8" x14ac:dyDescent="0.25">
      <c r="A20" s="21" t="s">
        <v>238</v>
      </c>
      <c r="B20" s="22">
        <v>37297</v>
      </c>
      <c r="C20" s="23" t="s">
        <v>220</v>
      </c>
      <c r="D20" s="23" t="s">
        <v>221</v>
      </c>
      <c r="E20" s="21" t="s">
        <v>239</v>
      </c>
      <c r="F20" s="24" t="s">
        <v>222</v>
      </c>
      <c r="G20" s="9">
        <v>25000</v>
      </c>
      <c r="H20" s="44"/>
    </row>
    <row r="21" spans="1:8" x14ac:dyDescent="0.25">
      <c r="A21" s="21" t="s">
        <v>240</v>
      </c>
      <c r="B21" s="22">
        <v>37218</v>
      </c>
      <c r="C21" s="23" t="s">
        <v>220</v>
      </c>
      <c r="D21" s="23" t="s">
        <v>221</v>
      </c>
      <c r="E21" s="21" t="s">
        <v>241</v>
      </c>
      <c r="F21" s="24" t="s">
        <v>222</v>
      </c>
      <c r="G21" s="9">
        <v>100000</v>
      </c>
      <c r="H21" s="44"/>
    </row>
    <row r="22" spans="1:8" x14ac:dyDescent="0.25">
      <c r="A22" s="21" t="s">
        <v>50</v>
      </c>
      <c r="B22" s="22">
        <v>37044</v>
      </c>
      <c r="C22" s="23" t="s">
        <v>220</v>
      </c>
      <c r="D22" s="23" t="s">
        <v>221</v>
      </c>
      <c r="E22" s="21" t="s">
        <v>242</v>
      </c>
      <c r="F22" s="24" t="s">
        <v>222</v>
      </c>
      <c r="G22" s="25">
        <v>0</v>
      </c>
      <c r="H22" s="44"/>
    </row>
    <row r="23" spans="1:8" x14ac:dyDescent="0.25">
      <c r="A23" s="21" t="s">
        <v>243</v>
      </c>
      <c r="B23" s="22">
        <f>COUNT(B11:B22)</f>
        <v>12</v>
      </c>
      <c r="C23" s="23"/>
      <c r="D23" s="23"/>
      <c r="E23" s="21"/>
      <c r="F23" s="24"/>
      <c r="G23" s="9"/>
      <c r="H23" s="44"/>
    </row>
    <row r="24" spans="1:8" x14ac:dyDescent="0.25">
      <c r="A24" s="21"/>
      <c r="B24" s="22"/>
      <c r="C24" s="23"/>
      <c r="D24" s="23"/>
      <c r="E24" s="21"/>
      <c r="F24" s="24"/>
      <c r="G24" s="9"/>
      <c r="H24" s="44"/>
    </row>
    <row r="25" spans="1:8" x14ac:dyDescent="0.25">
      <c r="A25" s="26" t="s">
        <v>244</v>
      </c>
      <c r="B25" s="22">
        <v>216748</v>
      </c>
      <c r="C25" s="23" t="s">
        <v>245</v>
      </c>
      <c r="D25" s="23" t="s">
        <v>221</v>
      </c>
      <c r="E25" s="21" t="s">
        <v>203</v>
      </c>
      <c r="F25" s="24" t="s">
        <v>246</v>
      </c>
      <c r="G25" s="27">
        <v>0</v>
      </c>
      <c r="H25" s="44">
        <f>SUM(G26:G38)</f>
        <v>3702008</v>
      </c>
    </row>
    <row r="26" spans="1:8" x14ac:dyDescent="0.25">
      <c r="A26" s="21" t="s">
        <v>247</v>
      </c>
      <c r="B26" s="22">
        <v>125072</v>
      </c>
      <c r="C26" s="23" t="s">
        <v>245</v>
      </c>
      <c r="D26" s="23" t="s">
        <v>228</v>
      </c>
      <c r="E26" s="21" t="s">
        <v>248</v>
      </c>
      <c r="F26" s="24" t="s">
        <v>246</v>
      </c>
      <c r="G26" s="9">
        <v>3200</v>
      </c>
      <c r="H26" s="44"/>
    </row>
    <row r="27" spans="1:8" x14ac:dyDescent="0.25">
      <c r="A27" s="21" t="s">
        <v>249</v>
      </c>
      <c r="B27" s="22">
        <v>216656</v>
      </c>
      <c r="C27" s="23" t="s">
        <v>245</v>
      </c>
      <c r="D27" s="23" t="s">
        <v>221</v>
      </c>
      <c r="E27" s="21" t="s">
        <v>250</v>
      </c>
      <c r="F27" s="24" t="s">
        <v>246</v>
      </c>
      <c r="G27" s="9">
        <v>200000</v>
      </c>
      <c r="H27" s="44"/>
    </row>
    <row r="28" spans="1:8" x14ac:dyDescent="0.25">
      <c r="A28" s="21" t="s">
        <v>251</v>
      </c>
      <c r="B28" s="22">
        <v>46792</v>
      </c>
      <c r="C28" s="23" t="s">
        <v>245</v>
      </c>
      <c r="D28" s="23" t="s">
        <v>221</v>
      </c>
      <c r="E28" s="21" t="s">
        <v>252</v>
      </c>
      <c r="F28" s="24" t="s">
        <v>246</v>
      </c>
      <c r="G28" s="9">
        <v>45000</v>
      </c>
      <c r="H28" s="44"/>
    </row>
    <row r="29" spans="1:8" x14ac:dyDescent="0.25">
      <c r="A29" s="21" t="s">
        <v>253</v>
      </c>
      <c r="B29" s="22">
        <v>154059</v>
      </c>
      <c r="C29" s="23" t="s">
        <v>245</v>
      </c>
      <c r="D29" s="23" t="s">
        <v>221</v>
      </c>
      <c r="E29" s="21" t="s">
        <v>254</v>
      </c>
      <c r="F29" s="24" t="s">
        <v>246</v>
      </c>
      <c r="G29" s="25">
        <v>0</v>
      </c>
      <c r="H29" s="44"/>
    </row>
    <row r="30" spans="1:8" x14ac:dyDescent="0.25">
      <c r="A30" s="21" t="s">
        <v>255</v>
      </c>
      <c r="B30" s="22">
        <v>55214</v>
      </c>
      <c r="C30" s="23" t="s">
        <v>245</v>
      </c>
      <c r="D30" s="23" t="s">
        <v>221</v>
      </c>
      <c r="E30" s="21" t="s">
        <v>256</v>
      </c>
      <c r="F30" s="24" t="s">
        <v>246</v>
      </c>
      <c r="G30" s="9">
        <v>560000</v>
      </c>
      <c r="H30" s="44"/>
    </row>
    <row r="31" spans="1:8" x14ac:dyDescent="0.25">
      <c r="A31" s="21" t="s">
        <v>257</v>
      </c>
      <c r="B31" s="22">
        <v>55215</v>
      </c>
      <c r="C31" s="23" t="s">
        <v>245</v>
      </c>
      <c r="D31" s="23" t="s">
        <v>228</v>
      </c>
      <c r="E31" s="21" t="s">
        <v>258</v>
      </c>
      <c r="F31" s="24" t="s">
        <v>246</v>
      </c>
      <c r="G31" s="9">
        <v>705000</v>
      </c>
      <c r="H31" s="44"/>
    </row>
    <row r="32" spans="1:8" x14ac:dyDescent="0.25">
      <c r="A32" s="21" t="s">
        <v>259</v>
      </c>
      <c r="B32" s="22">
        <v>205067</v>
      </c>
      <c r="C32" s="23" t="s">
        <v>245</v>
      </c>
      <c r="D32" s="23" t="s">
        <v>221</v>
      </c>
      <c r="E32" s="21" t="s">
        <v>260</v>
      </c>
      <c r="F32" s="24" t="s">
        <v>246</v>
      </c>
      <c r="G32" s="9">
        <v>450000</v>
      </c>
      <c r="H32" s="44"/>
    </row>
    <row r="33" spans="1:8" x14ac:dyDescent="0.25">
      <c r="A33" s="21" t="s">
        <v>261</v>
      </c>
      <c r="B33" s="22">
        <v>14633</v>
      </c>
      <c r="C33" s="23" t="s">
        <v>245</v>
      </c>
      <c r="D33" s="23" t="s">
        <v>228</v>
      </c>
      <c r="E33" s="21" t="s">
        <v>262</v>
      </c>
      <c r="F33" s="24" t="s">
        <v>246</v>
      </c>
      <c r="G33" s="9">
        <v>1000</v>
      </c>
      <c r="H33" s="44"/>
    </row>
    <row r="34" spans="1:8" x14ac:dyDescent="0.25">
      <c r="A34" s="21" t="s">
        <v>185</v>
      </c>
      <c r="B34" s="22">
        <v>5307</v>
      </c>
      <c r="C34" s="23" t="s">
        <v>245</v>
      </c>
      <c r="D34" s="23" t="s">
        <v>221</v>
      </c>
      <c r="E34" s="21" t="s">
        <v>263</v>
      </c>
      <c r="F34" s="24" t="s">
        <v>246</v>
      </c>
      <c r="G34" s="25">
        <v>0</v>
      </c>
      <c r="H34" s="44"/>
    </row>
    <row r="35" spans="1:8" x14ac:dyDescent="0.25">
      <c r="A35" s="21" t="s">
        <v>264</v>
      </c>
      <c r="B35" s="22">
        <v>187906</v>
      </c>
      <c r="C35" s="23" t="s">
        <v>245</v>
      </c>
      <c r="D35" s="23" t="s">
        <v>228</v>
      </c>
      <c r="E35" s="21" t="s">
        <v>265</v>
      </c>
      <c r="F35" s="24" t="s">
        <v>246</v>
      </c>
      <c r="G35" s="9">
        <v>1200000</v>
      </c>
      <c r="H35" s="44"/>
    </row>
    <row r="36" spans="1:8" x14ac:dyDescent="0.25">
      <c r="A36" s="21" t="s">
        <v>266</v>
      </c>
      <c r="B36" s="22">
        <v>125202</v>
      </c>
      <c r="C36" s="23" t="s">
        <v>245</v>
      </c>
      <c r="D36" s="23" t="s">
        <v>228</v>
      </c>
      <c r="E36" s="21" t="s">
        <v>267</v>
      </c>
      <c r="F36" s="24" t="s">
        <v>246</v>
      </c>
      <c r="G36" s="9">
        <v>1500</v>
      </c>
      <c r="H36" s="44"/>
    </row>
    <row r="37" spans="1:8" x14ac:dyDescent="0.25">
      <c r="A37" s="21" t="s">
        <v>268</v>
      </c>
      <c r="B37" s="22">
        <v>38948</v>
      </c>
      <c r="C37" s="23" t="s">
        <v>245</v>
      </c>
      <c r="D37" s="23" t="s">
        <v>228</v>
      </c>
      <c r="E37" s="21" t="s">
        <v>269</v>
      </c>
      <c r="F37" s="24" t="s">
        <v>246</v>
      </c>
      <c r="G37" s="9">
        <v>45000</v>
      </c>
      <c r="H37" s="44"/>
    </row>
    <row r="38" spans="1:8" x14ac:dyDescent="0.25">
      <c r="A38" s="21" t="s">
        <v>270</v>
      </c>
      <c r="B38" s="22">
        <v>217003</v>
      </c>
      <c r="C38" s="23" t="s">
        <v>245</v>
      </c>
      <c r="D38" s="23" t="s">
        <v>228</v>
      </c>
      <c r="E38" s="21" t="s">
        <v>271</v>
      </c>
      <c r="F38" s="24" t="s">
        <v>246</v>
      </c>
      <c r="G38" s="9">
        <v>491308</v>
      </c>
      <c r="H38" s="44"/>
    </row>
    <row r="39" spans="1:8" x14ac:dyDescent="0.25">
      <c r="A39" s="21" t="s">
        <v>243</v>
      </c>
      <c r="B39" s="22">
        <f>COUNT(B26:B38)</f>
        <v>13</v>
      </c>
      <c r="C39" s="23"/>
      <c r="D39" s="23"/>
      <c r="E39" s="21"/>
      <c r="F39" s="24"/>
      <c r="G39" s="9"/>
      <c r="H39" s="44"/>
    </row>
    <row r="40" spans="1:8" x14ac:dyDescent="0.25">
      <c r="A40" s="21"/>
      <c r="B40" s="22"/>
      <c r="C40" s="23"/>
      <c r="D40" s="23"/>
      <c r="E40" s="21"/>
      <c r="F40" s="24"/>
      <c r="G40" s="9"/>
      <c r="H40" s="44"/>
    </row>
    <row r="41" spans="1:8" x14ac:dyDescent="0.25">
      <c r="A41" s="26" t="s">
        <v>272</v>
      </c>
      <c r="B41" s="22">
        <v>216747</v>
      </c>
      <c r="C41" s="23" t="s">
        <v>245</v>
      </c>
      <c r="D41" s="23" t="s">
        <v>221</v>
      </c>
      <c r="E41" s="21" t="s">
        <v>203</v>
      </c>
      <c r="F41" s="24" t="s">
        <v>273</v>
      </c>
      <c r="G41" s="27">
        <v>0</v>
      </c>
      <c r="H41" s="44">
        <f>SUM(G42:G48)</f>
        <v>1709300</v>
      </c>
    </row>
    <row r="42" spans="1:8" x14ac:dyDescent="0.25">
      <c r="A42" s="21" t="s">
        <v>274</v>
      </c>
      <c r="B42" s="22">
        <v>2430</v>
      </c>
      <c r="C42" s="23" t="s">
        <v>245</v>
      </c>
      <c r="D42" s="23" t="s">
        <v>221</v>
      </c>
      <c r="E42" s="21" t="s">
        <v>275</v>
      </c>
      <c r="F42" s="24" t="s">
        <v>273</v>
      </c>
      <c r="G42" s="9">
        <v>250000</v>
      </c>
      <c r="H42" s="44"/>
    </row>
    <row r="43" spans="1:8" x14ac:dyDescent="0.25">
      <c r="A43" s="28" t="s">
        <v>276</v>
      </c>
      <c r="B43" s="29">
        <v>22541</v>
      </c>
      <c r="C43" s="30" t="s">
        <v>245</v>
      </c>
      <c r="D43" s="30" t="s">
        <v>228</v>
      </c>
      <c r="E43" s="28" t="s">
        <v>277</v>
      </c>
      <c r="F43" s="31" t="s">
        <v>273</v>
      </c>
      <c r="G43" s="9">
        <v>12200</v>
      </c>
      <c r="H43" s="44" t="s">
        <v>278</v>
      </c>
    </row>
    <row r="44" spans="1:8" x14ac:dyDescent="0.25">
      <c r="A44" s="21" t="s">
        <v>57</v>
      </c>
      <c r="B44" s="22">
        <v>42521</v>
      </c>
      <c r="C44" s="23" t="s">
        <v>245</v>
      </c>
      <c r="D44" s="23" t="s">
        <v>221</v>
      </c>
      <c r="E44" s="21" t="s">
        <v>279</v>
      </c>
      <c r="F44" s="24" t="s">
        <v>273</v>
      </c>
      <c r="G44" s="9">
        <v>525000</v>
      </c>
      <c r="H44" s="44">
        <f>G42+G43+G44+G46</f>
        <v>1287200</v>
      </c>
    </row>
    <row r="45" spans="1:8" x14ac:dyDescent="0.25">
      <c r="A45" s="21" t="s">
        <v>280</v>
      </c>
      <c r="B45" s="22">
        <v>204587</v>
      </c>
      <c r="C45" s="23" t="s">
        <v>245</v>
      </c>
      <c r="D45" s="23" t="s">
        <v>228</v>
      </c>
      <c r="E45" s="21" t="s">
        <v>281</v>
      </c>
      <c r="F45" s="24" t="s">
        <v>273</v>
      </c>
      <c r="G45" s="20">
        <v>32100</v>
      </c>
      <c r="H45" s="44"/>
    </row>
    <row r="46" spans="1:8" x14ac:dyDescent="0.25">
      <c r="A46" s="21" t="s">
        <v>282</v>
      </c>
      <c r="B46" s="22">
        <v>109206</v>
      </c>
      <c r="C46" s="23" t="s">
        <v>245</v>
      </c>
      <c r="D46" s="23" t="s">
        <v>228</v>
      </c>
      <c r="E46" s="21" t="s">
        <v>283</v>
      </c>
      <c r="F46" s="24" t="s">
        <v>273</v>
      </c>
      <c r="G46" s="20">
        <v>500000</v>
      </c>
      <c r="H46" s="44" t="s">
        <v>284</v>
      </c>
    </row>
    <row r="47" spans="1:8" x14ac:dyDescent="0.25">
      <c r="A47" s="21" t="s">
        <v>285</v>
      </c>
      <c r="B47" s="22">
        <v>157796</v>
      </c>
      <c r="C47" s="23" t="s">
        <v>245</v>
      </c>
      <c r="D47" s="23" t="s">
        <v>228</v>
      </c>
      <c r="E47" s="21" t="s">
        <v>286</v>
      </c>
      <c r="F47" s="24" t="s">
        <v>273</v>
      </c>
      <c r="G47" s="9">
        <v>200000</v>
      </c>
      <c r="H47" s="44">
        <f>G45+G47+G48</f>
        <v>422100</v>
      </c>
    </row>
    <row r="48" spans="1:8" x14ac:dyDescent="0.25">
      <c r="A48" s="21" t="s">
        <v>287</v>
      </c>
      <c r="B48" s="22">
        <v>55228</v>
      </c>
      <c r="C48" s="23" t="s">
        <v>245</v>
      </c>
      <c r="D48" s="23" t="s">
        <v>221</v>
      </c>
      <c r="E48" s="21" t="s">
        <v>288</v>
      </c>
      <c r="F48" s="24" t="s">
        <v>273</v>
      </c>
      <c r="G48" s="9">
        <v>190000</v>
      </c>
      <c r="H48" s="44"/>
    </row>
    <row r="49" spans="1:8" x14ac:dyDescent="0.25">
      <c r="A49" s="21" t="s">
        <v>243</v>
      </c>
      <c r="B49" s="22">
        <f>COUNT(B42:B48)</f>
        <v>7</v>
      </c>
      <c r="C49" s="23"/>
      <c r="D49" s="23"/>
      <c r="E49" s="21"/>
      <c r="F49" s="24"/>
      <c r="G49" s="9"/>
      <c r="H49" s="44"/>
    </row>
    <row r="50" spans="1:8" x14ac:dyDescent="0.25">
      <c r="A50" s="21"/>
      <c r="B50" s="22"/>
      <c r="C50" s="23"/>
      <c r="D50" s="23"/>
      <c r="E50" s="21"/>
      <c r="F50" s="24"/>
      <c r="G50" s="9"/>
      <c r="H50" s="44"/>
    </row>
    <row r="51" spans="1:8" x14ac:dyDescent="0.25">
      <c r="A51" s="26" t="s">
        <v>289</v>
      </c>
      <c r="B51" s="22">
        <v>216750</v>
      </c>
      <c r="C51" s="23" t="s">
        <v>290</v>
      </c>
      <c r="D51" s="23" t="s">
        <v>221</v>
      </c>
      <c r="E51" s="21" t="s">
        <v>203</v>
      </c>
      <c r="F51" s="24" t="s">
        <v>291</v>
      </c>
      <c r="G51" s="27">
        <v>0</v>
      </c>
      <c r="H51" s="44">
        <f>SUM(G52:G124)</f>
        <v>3157240</v>
      </c>
    </row>
    <row r="52" spans="1:8" x14ac:dyDescent="0.25">
      <c r="A52" s="21" t="s">
        <v>292</v>
      </c>
      <c r="B52" s="22">
        <v>71666</v>
      </c>
      <c r="C52" s="23" t="s">
        <v>290</v>
      </c>
      <c r="D52" s="23" t="s">
        <v>228</v>
      </c>
      <c r="E52" s="21" t="s">
        <v>293</v>
      </c>
      <c r="F52" s="24" t="s">
        <v>291</v>
      </c>
      <c r="G52" s="9">
        <v>15000</v>
      </c>
      <c r="H52" s="44"/>
    </row>
    <row r="53" spans="1:8" x14ac:dyDescent="0.25">
      <c r="A53" s="21" t="s">
        <v>294</v>
      </c>
      <c r="B53" s="22">
        <v>39417</v>
      </c>
      <c r="C53" s="23" t="s">
        <v>290</v>
      </c>
      <c r="D53" s="23" t="s">
        <v>221</v>
      </c>
      <c r="E53" s="21" t="s">
        <v>295</v>
      </c>
      <c r="F53" s="24" t="s">
        <v>291</v>
      </c>
      <c r="G53" s="25">
        <v>0</v>
      </c>
      <c r="H53" s="44"/>
    </row>
    <row r="54" spans="1:8" x14ac:dyDescent="0.25">
      <c r="A54" s="21" t="s">
        <v>296</v>
      </c>
      <c r="B54" s="22">
        <v>37223</v>
      </c>
      <c r="C54" s="23" t="s">
        <v>290</v>
      </c>
      <c r="D54" s="23" t="s">
        <v>228</v>
      </c>
      <c r="E54" s="21" t="s">
        <v>297</v>
      </c>
      <c r="F54" s="24" t="s">
        <v>291</v>
      </c>
      <c r="G54" s="9">
        <v>60000</v>
      </c>
      <c r="H54" s="44"/>
    </row>
    <row r="55" spans="1:8" x14ac:dyDescent="0.25">
      <c r="A55" s="21" t="s">
        <v>298</v>
      </c>
      <c r="B55" s="22">
        <v>38748</v>
      </c>
      <c r="C55" s="23" t="s">
        <v>290</v>
      </c>
      <c r="D55" s="23" t="s">
        <v>228</v>
      </c>
      <c r="E55" s="21" t="s">
        <v>299</v>
      </c>
      <c r="F55" s="24" t="s">
        <v>291</v>
      </c>
      <c r="G55" s="9">
        <v>20000</v>
      </c>
      <c r="H55" s="44"/>
    </row>
    <row r="56" spans="1:8" x14ac:dyDescent="0.25">
      <c r="A56" s="21" t="s">
        <v>300</v>
      </c>
      <c r="B56" s="22">
        <v>71651</v>
      </c>
      <c r="C56" s="23" t="s">
        <v>290</v>
      </c>
      <c r="D56" s="23" t="s">
        <v>228</v>
      </c>
      <c r="E56" s="21" t="s">
        <v>301</v>
      </c>
      <c r="F56" s="24" t="s">
        <v>291</v>
      </c>
      <c r="G56" s="9">
        <v>300</v>
      </c>
      <c r="H56" s="44"/>
    </row>
    <row r="57" spans="1:8" x14ac:dyDescent="0.25">
      <c r="A57" s="21" t="s">
        <v>302</v>
      </c>
      <c r="B57" s="22">
        <v>72482</v>
      </c>
      <c r="C57" s="23" t="s">
        <v>290</v>
      </c>
      <c r="D57" s="23" t="s">
        <v>228</v>
      </c>
      <c r="E57" s="21" t="s">
        <v>303</v>
      </c>
      <c r="F57" s="24" t="s">
        <v>291</v>
      </c>
      <c r="G57" s="9">
        <v>6000</v>
      </c>
      <c r="H57" s="44"/>
    </row>
    <row r="58" spans="1:8" x14ac:dyDescent="0.25">
      <c r="A58" s="21" t="s">
        <v>37</v>
      </c>
      <c r="B58" s="22">
        <v>37226</v>
      </c>
      <c r="C58" s="23" t="s">
        <v>290</v>
      </c>
      <c r="D58" s="23" t="s">
        <v>221</v>
      </c>
      <c r="E58" s="21" t="s">
        <v>304</v>
      </c>
      <c r="F58" s="24" t="s">
        <v>291</v>
      </c>
      <c r="G58" s="9">
        <v>75000</v>
      </c>
      <c r="H58" s="44"/>
    </row>
    <row r="59" spans="1:8" x14ac:dyDescent="0.25">
      <c r="A59" s="21" t="s">
        <v>305</v>
      </c>
      <c r="B59" s="22">
        <v>41382</v>
      </c>
      <c r="C59" s="23" t="s">
        <v>290</v>
      </c>
      <c r="D59" s="23" t="s">
        <v>221</v>
      </c>
      <c r="E59" s="21" t="s">
        <v>306</v>
      </c>
      <c r="F59" s="24" t="s">
        <v>291</v>
      </c>
      <c r="G59" s="9">
        <v>30000</v>
      </c>
      <c r="H59" s="44"/>
    </row>
    <row r="60" spans="1:8" x14ac:dyDescent="0.25">
      <c r="A60" t="s">
        <v>307</v>
      </c>
      <c r="B60" s="22">
        <v>127219</v>
      </c>
      <c r="C60" s="23" t="s">
        <v>290</v>
      </c>
      <c r="D60" s="23" t="s">
        <v>228</v>
      </c>
      <c r="E60" s="21" t="s">
        <v>308</v>
      </c>
      <c r="F60" s="24" t="s">
        <v>291</v>
      </c>
      <c r="G60" s="9">
        <v>50000</v>
      </c>
      <c r="H60" s="44"/>
    </row>
    <row r="61" spans="1:8" x14ac:dyDescent="0.25">
      <c r="A61" s="21" t="s">
        <v>309</v>
      </c>
      <c r="B61" s="22">
        <v>187650</v>
      </c>
      <c r="C61" s="23" t="s">
        <v>290</v>
      </c>
      <c r="D61" s="23" t="s">
        <v>228</v>
      </c>
      <c r="E61" s="21" t="s">
        <v>310</v>
      </c>
      <c r="F61" s="24" t="s">
        <v>291</v>
      </c>
      <c r="G61" s="9">
        <v>250</v>
      </c>
      <c r="H61" s="44"/>
    </row>
    <row r="62" spans="1:8" x14ac:dyDescent="0.25">
      <c r="A62" s="21" t="s">
        <v>311</v>
      </c>
      <c r="B62" s="22">
        <v>125190</v>
      </c>
      <c r="C62" s="23" t="s">
        <v>290</v>
      </c>
      <c r="D62" s="23" t="s">
        <v>228</v>
      </c>
      <c r="E62" s="21" t="s">
        <v>312</v>
      </c>
      <c r="F62" s="24" t="s">
        <v>291</v>
      </c>
      <c r="G62" s="9">
        <v>350</v>
      </c>
      <c r="H62" s="44"/>
    </row>
    <row r="63" spans="1:8" x14ac:dyDescent="0.25">
      <c r="A63" s="21" t="s">
        <v>313</v>
      </c>
      <c r="B63" s="22">
        <v>187648</v>
      </c>
      <c r="C63" s="23" t="s">
        <v>290</v>
      </c>
      <c r="D63" s="23" t="s">
        <v>228</v>
      </c>
      <c r="E63" s="21" t="s">
        <v>314</v>
      </c>
      <c r="F63" s="24" t="s">
        <v>291</v>
      </c>
      <c r="G63" s="9">
        <v>2000</v>
      </c>
      <c r="H63" s="44"/>
    </row>
    <row r="64" spans="1:8" x14ac:dyDescent="0.25">
      <c r="A64" s="21" t="s">
        <v>315</v>
      </c>
      <c r="B64" s="22">
        <v>217679</v>
      </c>
      <c r="C64" s="23" t="s">
        <v>290</v>
      </c>
      <c r="D64" s="23" t="s">
        <v>228</v>
      </c>
      <c r="E64" s="21" t="s">
        <v>316</v>
      </c>
      <c r="F64" s="24" t="s">
        <v>291</v>
      </c>
      <c r="G64" s="9">
        <v>1500</v>
      </c>
      <c r="H64" s="44"/>
    </row>
    <row r="65" spans="1:8" x14ac:dyDescent="0.25">
      <c r="A65" s="21" t="s">
        <v>317</v>
      </c>
      <c r="B65" s="22">
        <v>187912</v>
      </c>
      <c r="C65" s="23" t="s">
        <v>290</v>
      </c>
      <c r="D65" s="23" t="s">
        <v>228</v>
      </c>
      <c r="E65" s="21" t="s">
        <v>318</v>
      </c>
      <c r="F65" s="24" t="s">
        <v>291</v>
      </c>
      <c r="G65" s="9">
        <v>500</v>
      </c>
      <c r="H65" s="44"/>
    </row>
    <row r="66" spans="1:8" x14ac:dyDescent="0.25">
      <c r="A66" s="21" t="s">
        <v>319</v>
      </c>
      <c r="B66" s="22">
        <v>38771</v>
      </c>
      <c r="C66" s="23" t="s">
        <v>290</v>
      </c>
      <c r="D66" s="23" t="s">
        <v>221</v>
      </c>
      <c r="E66" s="21" t="s">
        <v>320</v>
      </c>
      <c r="F66" s="24" t="s">
        <v>291</v>
      </c>
      <c r="G66" s="9">
        <v>5000</v>
      </c>
      <c r="H66" s="44"/>
    </row>
    <row r="67" spans="1:8" x14ac:dyDescent="0.25">
      <c r="A67" s="21" t="s">
        <v>47</v>
      </c>
      <c r="B67" s="22">
        <v>14508</v>
      </c>
      <c r="C67" s="23" t="s">
        <v>290</v>
      </c>
      <c r="D67" s="23" t="s">
        <v>221</v>
      </c>
      <c r="E67" s="21" t="s">
        <v>321</v>
      </c>
      <c r="F67" s="24" t="s">
        <v>291</v>
      </c>
      <c r="G67" s="9">
        <v>30000</v>
      </c>
      <c r="H67" s="44"/>
    </row>
    <row r="68" spans="1:8" x14ac:dyDescent="0.25">
      <c r="A68" s="21" t="s">
        <v>322</v>
      </c>
      <c r="B68" s="22">
        <v>151517</v>
      </c>
      <c r="C68" s="23" t="s">
        <v>290</v>
      </c>
      <c r="D68" s="23" t="s">
        <v>221</v>
      </c>
      <c r="E68" s="21" t="s">
        <v>323</v>
      </c>
      <c r="F68" s="24" t="s">
        <v>291</v>
      </c>
      <c r="G68" s="9">
        <v>95000</v>
      </c>
      <c r="H68" s="44"/>
    </row>
    <row r="69" spans="1:8" x14ac:dyDescent="0.25">
      <c r="A69" s="21" t="s">
        <v>324</v>
      </c>
      <c r="B69" s="22">
        <v>55113</v>
      </c>
      <c r="C69" s="23" t="s">
        <v>290</v>
      </c>
      <c r="D69" s="23" t="s">
        <v>228</v>
      </c>
      <c r="E69" s="21" t="s">
        <v>347</v>
      </c>
      <c r="F69" s="24" t="s">
        <v>291</v>
      </c>
      <c r="G69" s="9">
        <v>40000</v>
      </c>
      <c r="H69" s="44"/>
    </row>
    <row r="70" spans="1:8" x14ac:dyDescent="0.25">
      <c r="A70" s="21" t="s">
        <v>348</v>
      </c>
      <c r="B70" s="22">
        <v>196051</v>
      </c>
      <c r="C70" s="23" t="s">
        <v>290</v>
      </c>
      <c r="D70" s="23" t="s">
        <v>228</v>
      </c>
      <c r="E70" s="21" t="s">
        <v>349</v>
      </c>
      <c r="F70" s="24" t="s">
        <v>291</v>
      </c>
      <c r="G70" s="9">
        <v>1000</v>
      </c>
      <c r="H70" s="44"/>
    </row>
    <row r="71" spans="1:8" x14ac:dyDescent="0.25">
      <c r="A71" s="28" t="s">
        <v>350</v>
      </c>
      <c r="B71" s="29">
        <v>267033</v>
      </c>
      <c r="C71" s="30" t="s">
        <v>290</v>
      </c>
      <c r="D71" s="30" t="s">
        <v>228</v>
      </c>
      <c r="E71" s="28" t="s">
        <v>351</v>
      </c>
      <c r="F71" s="31" t="s">
        <v>291</v>
      </c>
      <c r="G71" s="32">
        <v>30000</v>
      </c>
      <c r="H71" s="44"/>
    </row>
    <row r="72" spans="1:8" x14ac:dyDescent="0.25">
      <c r="A72" s="21" t="s">
        <v>352</v>
      </c>
      <c r="B72" s="22">
        <v>38787</v>
      </c>
      <c r="C72" s="23" t="s">
        <v>290</v>
      </c>
      <c r="D72" s="23" t="s">
        <v>221</v>
      </c>
      <c r="E72" s="21" t="s">
        <v>353</v>
      </c>
      <c r="F72" s="24" t="s">
        <v>291</v>
      </c>
      <c r="G72" s="9">
        <v>56000</v>
      </c>
      <c r="H72" s="44"/>
    </row>
    <row r="73" spans="1:8" x14ac:dyDescent="0.25">
      <c r="A73" s="21" t="s">
        <v>354</v>
      </c>
      <c r="B73" s="22">
        <v>38398</v>
      </c>
      <c r="C73" s="23" t="s">
        <v>290</v>
      </c>
      <c r="D73" s="23" t="s">
        <v>228</v>
      </c>
      <c r="E73" s="21" t="s">
        <v>355</v>
      </c>
      <c r="F73" s="24" t="s">
        <v>291</v>
      </c>
      <c r="G73" s="9">
        <v>110000</v>
      </c>
      <c r="H73" s="44"/>
    </row>
    <row r="74" spans="1:8" x14ac:dyDescent="0.25">
      <c r="A74" s="33" t="s">
        <v>356</v>
      </c>
      <c r="B74" s="34">
        <v>235341</v>
      </c>
      <c r="C74" s="35" t="s">
        <v>290</v>
      </c>
      <c r="D74" s="35" t="s">
        <v>228</v>
      </c>
      <c r="E74" s="33" t="s">
        <v>357</v>
      </c>
      <c r="F74" s="36" t="s">
        <v>291</v>
      </c>
      <c r="G74" s="9">
        <v>140000</v>
      </c>
      <c r="H74" s="44"/>
    </row>
    <row r="75" spans="1:8" x14ac:dyDescent="0.25">
      <c r="A75" s="21" t="s">
        <v>46</v>
      </c>
      <c r="B75" s="22">
        <v>38954</v>
      </c>
      <c r="C75" s="23" t="s">
        <v>290</v>
      </c>
      <c r="D75" s="23" t="s">
        <v>221</v>
      </c>
      <c r="E75" s="21" t="s">
        <v>358</v>
      </c>
      <c r="F75" s="24" t="s">
        <v>291</v>
      </c>
      <c r="G75" s="25">
        <v>50500</v>
      </c>
      <c r="H75" s="44"/>
    </row>
    <row r="76" spans="1:8" x14ac:dyDescent="0.25">
      <c r="A76" s="21" t="s">
        <v>359</v>
      </c>
      <c r="B76" s="22">
        <v>55093</v>
      </c>
      <c r="C76" s="23" t="s">
        <v>290</v>
      </c>
      <c r="D76" s="23" t="s">
        <v>228</v>
      </c>
      <c r="E76" s="21" t="s">
        <v>360</v>
      </c>
      <c r="F76" s="24" t="s">
        <v>291</v>
      </c>
      <c r="G76" s="9">
        <v>10000</v>
      </c>
      <c r="H76" s="44"/>
    </row>
    <row r="77" spans="1:8" x14ac:dyDescent="0.25">
      <c r="A77" s="21" t="s">
        <v>361</v>
      </c>
      <c r="B77" s="22">
        <v>55111</v>
      </c>
      <c r="C77" s="23" t="s">
        <v>290</v>
      </c>
      <c r="D77" s="23" t="s">
        <v>221</v>
      </c>
      <c r="E77" s="21" t="s">
        <v>362</v>
      </c>
      <c r="F77" s="24" t="s">
        <v>291</v>
      </c>
      <c r="G77" s="9">
        <v>70000</v>
      </c>
      <c r="H77" s="44"/>
    </row>
    <row r="78" spans="1:8" x14ac:dyDescent="0.25">
      <c r="A78" s="21" t="s">
        <v>363</v>
      </c>
      <c r="B78" s="22">
        <v>38960</v>
      </c>
      <c r="C78" s="23" t="s">
        <v>290</v>
      </c>
      <c r="D78" s="23" t="s">
        <v>221</v>
      </c>
      <c r="E78" s="21" t="s">
        <v>364</v>
      </c>
      <c r="F78" s="24" t="s">
        <v>291</v>
      </c>
      <c r="G78" s="9">
        <v>20000</v>
      </c>
      <c r="H78" s="44"/>
    </row>
    <row r="79" spans="1:8" x14ac:dyDescent="0.25">
      <c r="A79" s="21" t="s">
        <v>365</v>
      </c>
      <c r="B79" s="22">
        <v>196036</v>
      </c>
      <c r="C79" s="23" t="s">
        <v>290</v>
      </c>
      <c r="D79" s="23" t="s">
        <v>228</v>
      </c>
      <c r="E79" s="21" t="s">
        <v>366</v>
      </c>
      <c r="F79" s="24" t="s">
        <v>291</v>
      </c>
      <c r="G79" s="9">
        <v>30000</v>
      </c>
      <c r="H79" s="44"/>
    </row>
    <row r="80" spans="1:8" x14ac:dyDescent="0.25">
      <c r="A80" s="21" t="s">
        <v>367</v>
      </c>
      <c r="B80" s="22">
        <v>187911</v>
      </c>
      <c r="C80" s="23" t="s">
        <v>290</v>
      </c>
      <c r="D80" s="23" t="s">
        <v>228</v>
      </c>
      <c r="E80" s="21" t="s">
        <v>368</v>
      </c>
      <c r="F80" s="24" t="s">
        <v>291</v>
      </c>
      <c r="G80" s="9">
        <v>150000</v>
      </c>
      <c r="H80" s="44"/>
    </row>
    <row r="81" spans="1:8" x14ac:dyDescent="0.25">
      <c r="A81" s="21" t="s">
        <v>369</v>
      </c>
      <c r="B81" s="22">
        <v>55097</v>
      </c>
      <c r="C81" s="23" t="s">
        <v>290</v>
      </c>
      <c r="D81" s="23" t="s">
        <v>221</v>
      </c>
      <c r="E81" s="21" t="s">
        <v>370</v>
      </c>
      <c r="F81" s="24" t="s">
        <v>291</v>
      </c>
      <c r="G81" s="9">
        <v>63000</v>
      </c>
      <c r="H81" s="44"/>
    </row>
    <row r="82" spans="1:8" x14ac:dyDescent="0.25">
      <c r="A82" s="21" t="s">
        <v>371</v>
      </c>
      <c r="B82" s="22">
        <v>125919</v>
      </c>
      <c r="C82" s="23" t="s">
        <v>290</v>
      </c>
      <c r="D82" s="23" t="s">
        <v>221</v>
      </c>
      <c r="E82" s="21" t="s">
        <v>372</v>
      </c>
      <c r="F82" s="24" t="s">
        <v>291</v>
      </c>
      <c r="G82" s="25">
        <v>0</v>
      </c>
      <c r="H82" s="44"/>
    </row>
    <row r="83" spans="1:8" x14ac:dyDescent="0.25">
      <c r="A83" s="21" t="s">
        <v>49</v>
      </c>
      <c r="B83" s="22">
        <v>14452</v>
      </c>
      <c r="C83" s="23" t="s">
        <v>290</v>
      </c>
      <c r="D83" s="23" t="s">
        <v>228</v>
      </c>
      <c r="E83" s="21" t="s">
        <v>373</v>
      </c>
      <c r="F83" s="24" t="s">
        <v>291</v>
      </c>
      <c r="G83" s="9">
        <v>393000</v>
      </c>
      <c r="H83" s="44"/>
    </row>
    <row r="84" spans="1:8" x14ac:dyDescent="0.25">
      <c r="A84" s="21" t="s">
        <v>374</v>
      </c>
      <c r="B84" s="22">
        <v>217828</v>
      </c>
      <c r="C84" s="23" t="s">
        <v>290</v>
      </c>
      <c r="D84" s="23" t="s">
        <v>228</v>
      </c>
      <c r="E84" s="21" t="s">
        <v>375</v>
      </c>
      <c r="F84" s="24" t="s">
        <v>291</v>
      </c>
      <c r="G84" s="9">
        <v>10000</v>
      </c>
      <c r="H84" s="44"/>
    </row>
    <row r="85" spans="1:8" x14ac:dyDescent="0.25">
      <c r="A85" s="21" t="s">
        <v>40</v>
      </c>
      <c r="B85" s="22">
        <v>42599</v>
      </c>
      <c r="C85" s="23" t="s">
        <v>290</v>
      </c>
      <c r="D85" s="23" t="s">
        <v>221</v>
      </c>
      <c r="E85" s="21" t="s">
        <v>376</v>
      </c>
      <c r="F85" s="24" t="s">
        <v>291</v>
      </c>
      <c r="G85" s="9">
        <v>325000</v>
      </c>
      <c r="H85" s="44"/>
    </row>
    <row r="86" spans="1:8" x14ac:dyDescent="0.25">
      <c r="A86" s="21" t="s">
        <v>377</v>
      </c>
      <c r="B86" s="22">
        <v>26278</v>
      </c>
      <c r="C86" s="23" t="s">
        <v>290</v>
      </c>
      <c r="D86" s="23" t="s">
        <v>221</v>
      </c>
      <c r="E86" s="21" t="s">
        <v>378</v>
      </c>
      <c r="F86" s="24" t="s">
        <v>291</v>
      </c>
      <c r="G86" s="9">
        <v>9000</v>
      </c>
      <c r="H86" s="44"/>
    </row>
    <row r="87" spans="1:8" x14ac:dyDescent="0.25">
      <c r="A87" s="21" t="s">
        <v>379</v>
      </c>
      <c r="B87" s="22">
        <v>55141</v>
      </c>
      <c r="C87" s="23" t="s">
        <v>290</v>
      </c>
      <c r="D87" s="23" t="s">
        <v>228</v>
      </c>
      <c r="E87" s="21" t="s">
        <v>380</v>
      </c>
      <c r="F87" s="24" t="s">
        <v>291</v>
      </c>
      <c r="G87" s="9">
        <v>75000</v>
      </c>
      <c r="H87" s="44"/>
    </row>
    <row r="88" spans="1:8" x14ac:dyDescent="0.25">
      <c r="A88" s="21" t="s">
        <v>381</v>
      </c>
      <c r="B88" s="22">
        <v>135733</v>
      </c>
      <c r="C88" s="23" t="s">
        <v>290</v>
      </c>
      <c r="D88" s="23" t="s">
        <v>221</v>
      </c>
      <c r="E88" s="21" t="s">
        <v>382</v>
      </c>
      <c r="F88" s="24" t="s">
        <v>291</v>
      </c>
      <c r="G88" s="9">
        <v>94900</v>
      </c>
      <c r="H88" s="44"/>
    </row>
    <row r="89" spans="1:8" x14ac:dyDescent="0.25">
      <c r="A89" s="21" t="s">
        <v>383</v>
      </c>
      <c r="B89" s="22">
        <v>37319</v>
      </c>
      <c r="C89" s="23" t="s">
        <v>290</v>
      </c>
      <c r="D89" s="23" t="s">
        <v>228</v>
      </c>
      <c r="E89" s="21" t="s">
        <v>384</v>
      </c>
      <c r="F89" s="24" t="s">
        <v>291</v>
      </c>
      <c r="G89" s="9">
        <v>1600</v>
      </c>
      <c r="H89" s="44"/>
    </row>
    <row r="90" spans="1:8" x14ac:dyDescent="0.25">
      <c r="A90" s="21" t="s">
        <v>385</v>
      </c>
      <c r="B90" s="22">
        <v>216746</v>
      </c>
      <c r="C90" s="23" t="s">
        <v>290</v>
      </c>
      <c r="D90" s="23" t="s">
        <v>228</v>
      </c>
      <c r="E90" s="21" t="s">
        <v>386</v>
      </c>
      <c r="F90" s="24" t="s">
        <v>291</v>
      </c>
      <c r="G90" s="9">
        <v>16600</v>
      </c>
      <c r="H90" s="44"/>
    </row>
    <row r="91" spans="1:8" x14ac:dyDescent="0.25">
      <c r="A91" s="21" t="s">
        <v>387</v>
      </c>
      <c r="B91" s="22">
        <v>38961</v>
      </c>
      <c r="C91" s="23" t="s">
        <v>290</v>
      </c>
      <c r="D91" s="23" t="s">
        <v>221</v>
      </c>
      <c r="E91" s="21" t="s">
        <v>388</v>
      </c>
      <c r="F91" s="24" t="s">
        <v>291</v>
      </c>
      <c r="G91" s="9">
        <v>91000</v>
      </c>
      <c r="H91" s="44"/>
    </row>
    <row r="92" spans="1:8" x14ac:dyDescent="0.25">
      <c r="A92" s="21" t="s">
        <v>389</v>
      </c>
      <c r="B92" s="22">
        <v>38487</v>
      </c>
      <c r="C92" s="23" t="s">
        <v>290</v>
      </c>
      <c r="D92" s="23" t="s">
        <v>221</v>
      </c>
      <c r="E92" s="21" t="s">
        <v>390</v>
      </c>
      <c r="F92" s="24" t="s">
        <v>291</v>
      </c>
      <c r="G92" s="9">
        <v>36000</v>
      </c>
      <c r="H92" s="44"/>
    </row>
    <row r="93" spans="1:8" x14ac:dyDescent="0.25">
      <c r="A93" s="21" t="s">
        <v>391</v>
      </c>
      <c r="B93" s="22">
        <v>38564</v>
      </c>
      <c r="C93" s="23" t="s">
        <v>290</v>
      </c>
      <c r="D93" s="23" t="s">
        <v>221</v>
      </c>
      <c r="E93" s="21" t="s">
        <v>392</v>
      </c>
      <c r="F93" s="24" t="s">
        <v>291</v>
      </c>
      <c r="G93" s="9">
        <v>75000</v>
      </c>
      <c r="H93" s="44"/>
    </row>
    <row r="94" spans="1:8" x14ac:dyDescent="0.25">
      <c r="A94" s="21" t="s">
        <v>393</v>
      </c>
      <c r="B94" s="22">
        <v>38932</v>
      </c>
      <c r="C94" s="23" t="s">
        <v>290</v>
      </c>
      <c r="D94" s="23" t="s">
        <v>228</v>
      </c>
      <c r="E94" s="21" t="s">
        <v>394</v>
      </c>
      <c r="F94" s="24" t="s">
        <v>291</v>
      </c>
      <c r="G94" s="9">
        <v>32000</v>
      </c>
      <c r="H94" s="44"/>
    </row>
    <row r="95" spans="1:8" x14ac:dyDescent="0.25">
      <c r="A95" s="21" t="s">
        <v>395</v>
      </c>
      <c r="B95" s="22">
        <v>39415</v>
      </c>
      <c r="C95" s="23" t="s">
        <v>290</v>
      </c>
      <c r="D95" s="23" t="s">
        <v>221</v>
      </c>
      <c r="E95" s="21" t="s">
        <v>396</v>
      </c>
      <c r="F95" s="24" t="s">
        <v>291</v>
      </c>
      <c r="G95" s="9">
        <v>30000</v>
      </c>
      <c r="H95" s="44"/>
    </row>
    <row r="96" spans="1:8" x14ac:dyDescent="0.25">
      <c r="A96" s="21" t="s">
        <v>397</v>
      </c>
      <c r="B96" s="22">
        <v>55139</v>
      </c>
      <c r="C96" s="23" t="s">
        <v>290</v>
      </c>
      <c r="D96" s="23" t="s">
        <v>228</v>
      </c>
      <c r="E96" s="21" t="s">
        <v>398</v>
      </c>
      <c r="F96" s="24" t="s">
        <v>291</v>
      </c>
      <c r="G96" s="9">
        <v>4000</v>
      </c>
      <c r="H96" s="44"/>
    </row>
    <row r="97" spans="1:8" x14ac:dyDescent="0.25">
      <c r="A97" s="21" t="s">
        <v>399</v>
      </c>
      <c r="B97" s="22">
        <v>187916</v>
      </c>
      <c r="C97" s="23" t="s">
        <v>290</v>
      </c>
      <c r="D97" s="23" t="s">
        <v>228</v>
      </c>
      <c r="E97" s="21" t="s">
        <v>400</v>
      </c>
      <c r="F97" s="24" t="s">
        <v>291</v>
      </c>
      <c r="G97" s="9">
        <v>500</v>
      </c>
      <c r="H97" s="44"/>
    </row>
    <row r="98" spans="1:8" x14ac:dyDescent="0.25">
      <c r="A98" s="21" t="s">
        <v>401</v>
      </c>
      <c r="B98" s="22">
        <v>198180</v>
      </c>
      <c r="C98" s="23" t="s">
        <v>290</v>
      </c>
      <c r="D98" s="23" t="s">
        <v>228</v>
      </c>
      <c r="E98" s="21" t="s">
        <v>402</v>
      </c>
      <c r="F98" s="24" t="s">
        <v>291</v>
      </c>
      <c r="G98" s="9">
        <v>500</v>
      </c>
      <c r="H98" s="44"/>
    </row>
    <row r="99" spans="1:8" x14ac:dyDescent="0.25">
      <c r="A99" s="21" t="s">
        <v>53</v>
      </c>
      <c r="B99" s="22">
        <v>37322</v>
      </c>
      <c r="C99" s="23" t="s">
        <v>290</v>
      </c>
      <c r="D99" s="23" t="s">
        <v>221</v>
      </c>
      <c r="E99" s="21" t="s">
        <v>403</v>
      </c>
      <c r="F99" s="24" t="s">
        <v>291</v>
      </c>
      <c r="G99" s="9">
        <v>80000</v>
      </c>
      <c r="H99" s="44"/>
    </row>
    <row r="100" spans="1:8" x14ac:dyDescent="0.25">
      <c r="A100" s="21" t="s">
        <v>404</v>
      </c>
      <c r="B100" s="22">
        <v>55116</v>
      </c>
      <c r="C100" s="23" t="s">
        <v>290</v>
      </c>
      <c r="D100" s="23" t="s">
        <v>228</v>
      </c>
      <c r="E100" s="21" t="s">
        <v>405</v>
      </c>
      <c r="F100" s="24" t="s">
        <v>291</v>
      </c>
      <c r="G100" s="9">
        <v>11000</v>
      </c>
      <c r="H100" s="44"/>
    </row>
    <row r="101" spans="1:8" x14ac:dyDescent="0.25">
      <c r="A101" s="21" t="s">
        <v>406</v>
      </c>
      <c r="B101" s="22">
        <v>187649</v>
      </c>
      <c r="C101" s="23" t="s">
        <v>290</v>
      </c>
      <c r="D101" s="23" t="s">
        <v>228</v>
      </c>
      <c r="E101" s="21" t="s">
        <v>407</v>
      </c>
      <c r="F101" s="24" t="s">
        <v>291</v>
      </c>
      <c r="G101" s="9">
        <v>7500</v>
      </c>
      <c r="H101" s="44"/>
    </row>
    <row r="102" spans="1:8" x14ac:dyDescent="0.25">
      <c r="A102" s="21" t="s">
        <v>408</v>
      </c>
      <c r="B102" s="22">
        <v>187647</v>
      </c>
      <c r="C102" s="23" t="s">
        <v>290</v>
      </c>
      <c r="D102" s="23" t="s">
        <v>228</v>
      </c>
      <c r="E102" s="21" t="s">
        <v>409</v>
      </c>
      <c r="F102" s="24" t="s">
        <v>291</v>
      </c>
      <c r="G102" s="9">
        <v>40</v>
      </c>
      <c r="H102" s="44"/>
    </row>
    <row r="103" spans="1:8" x14ac:dyDescent="0.25">
      <c r="A103" s="21" t="s">
        <v>410</v>
      </c>
      <c r="B103" s="22">
        <v>38970</v>
      </c>
      <c r="C103" s="23" t="s">
        <v>290</v>
      </c>
      <c r="D103" s="23" t="s">
        <v>228</v>
      </c>
      <c r="E103" s="21" t="s">
        <v>411</v>
      </c>
      <c r="F103" s="24" t="s">
        <v>291</v>
      </c>
      <c r="G103" s="9">
        <v>4500</v>
      </c>
      <c r="H103" s="44"/>
    </row>
    <row r="104" spans="1:8" x14ac:dyDescent="0.25">
      <c r="A104" s="21" t="s">
        <v>414</v>
      </c>
      <c r="B104" s="22">
        <v>38828</v>
      </c>
      <c r="C104" s="23" t="s">
        <v>290</v>
      </c>
      <c r="D104" s="23" t="s">
        <v>228</v>
      </c>
      <c r="E104" s="21" t="s">
        <v>415</v>
      </c>
      <c r="F104" s="24" t="s">
        <v>291</v>
      </c>
      <c r="G104" s="9">
        <v>120000</v>
      </c>
      <c r="H104" s="44"/>
    </row>
    <row r="105" spans="1:8" x14ac:dyDescent="0.25">
      <c r="A105" s="21" t="s">
        <v>416</v>
      </c>
      <c r="B105" s="22">
        <v>38950</v>
      </c>
      <c r="C105" s="23" t="s">
        <v>290</v>
      </c>
      <c r="D105" s="23" t="s">
        <v>221</v>
      </c>
      <c r="E105" s="21" t="s">
        <v>417</v>
      </c>
      <c r="F105" s="24" t="s">
        <v>291</v>
      </c>
      <c r="G105" s="9">
        <v>70000</v>
      </c>
      <c r="H105" s="44"/>
    </row>
    <row r="106" spans="1:8" x14ac:dyDescent="0.25">
      <c r="A106" s="21" t="s">
        <v>418</v>
      </c>
      <c r="B106" s="22">
        <v>112932</v>
      </c>
      <c r="C106" s="23" t="s">
        <v>290</v>
      </c>
      <c r="D106" s="23" t="s">
        <v>228</v>
      </c>
      <c r="E106" s="21" t="s">
        <v>419</v>
      </c>
      <c r="F106" s="24" t="s">
        <v>291</v>
      </c>
      <c r="G106" s="9">
        <v>8700</v>
      </c>
      <c r="H106" s="44"/>
    </row>
    <row r="107" spans="1:8" x14ac:dyDescent="0.25">
      <c r="A107" s="21" t="s">
        <v>420</v>
      </c>
      <c r="B107" s="22">
        <v>37326</v>
      </c>
      <c r="C107" s="23" t="s">
        <v>290</v>
      </c>
      <c r="D107" s="23" t="s">
        <v>221</v>
      </c>
      <c r="E107" s="21" t="s">
        <v>421</v>
      </c>
      <c r="F107" s="24" t="s">
        <v>291</v>
      </c>
      <c r="G107" s="9">
        <v>8000</v>
      </c>
      <c r="H107" s="44"/>
    </row>
    <row r="108" spans="1:8" x14ac:dyDescent="0.25">
      <c r="A108" s="21" t="s">
        <v>422</v>
      </c>
      <c r="B108" s="22">
        <v>38531</v>
      </c>
      <c r="C108" s="23" t="s">
        <v>290</v>
      </c>
      <c r="D108" s="23" t="s">
        <v>221</v>
      </c>
      <c r="E108" s="21" t="s">
        <v>423</v>
      </c>
      <c r="F108" s="24" t="s">
        <v>291</v>
      </c>
      <c r="G108" s="9">
        <v>25000</v>
      </c>
      <c r="H108" s="44"/>
    </row>
    <row r="109" spans="1:8" x14ac:dyDescent="0.25">
      <c r="A109" s="21" t="s">
        <v>424</v>
      </c>
      <c r="B109" s="22">
        <v>32582</v>
      </c>
      <c r="C109" s="23" t="s">
        <v>290</v>
      </c>
      <c r="D109" s="23" t="s">
        <v>228</v>
      </c>
      <c r="E109" s="21" t="s">
        <v>425</v>
      </c>
      <c r="F109" s="24" t="s">
        <v>291</v>
      </c>
      <c r="G109" s="9">
        <v>2500</v>
      </c>
      <c r="H109" s="44"/>
    </row>
    <row r="110" spans="1:8" x14ac:dyDescent="0.25">
      <c r="A110" s="21" t="s">
        <v>426</v>
      </c>
      <c r="B110" s="22">
        <v>36917</v>
      </c>
      <c r="C110" s="23" t="s">
        <v>290</v>
      </c>
      <c r="D110" s="23" t="s">
        <v>221</v>
      </c>
      <c r="E110" s="21" t="s">
        <v>427</v>
      </c>
      <c r="F110" s="24" t="s">
        <v>291</v>
      </c>
      <c r="G110" s="25">
        <v>0</v>
      </c>
      <c r="H110" s="44"/>
    </row>
    <row r="111" spans="1:8" x14ac:dyDescent="0.25">
      <c r="A111" s="21" t="s">
        <v>428</v>
      </c>
      <c r="B111" s="22">
        <v>38935</v>
      </c>
      <c r="C111" s="23" t="s">
        <v>290</v>
      </c>
      <c r="D111" s="23" t="s">
        <v>228</v>
      </c>
      <c r="E111" s="21" t="s">
        <v>429</v>
      </c>
      <c r="F111" s="24" t="s">
        <v>291</v>
      </c>
      <c r="G111" s="9">
        <v>16000</v>
      </c>
      <c r="H111" s="44"/>
    </row>
    <row r="112" spans="1:8" x14ac:dyDescent="0.25">
      <c r="A112" s="21" t="s">
        <v>430</v>
      </c>
      <c r="B112" s="22">
        <v>38963</v>
      </c>
      <c r="C112" s="23" t="s">
        <v>290</v>
      </c>
      <c r="D112" s="23" t="s">
        <v>228</v>
      </c>
      <c r="E112" s="21" t="s">
        <v>431</v>
      </c>
      <c r="F112" s="24" t="s">
        <v>291</v>
      </c>
      <c r="G112" s="9">
        <v>1000</v>
      </c>
      <c r="H112" s="44"/>
    </row>
    <row r="113" spans="1:8" x14ac:dyDescent="0.25">
      <c r="A113" s="21" t="s">
        <v>432</v>
      </c>
      <c r="B113" s="22">
        <v>42905</v>
      </c>
      <c r="C113" s="23" t="s">
        <v>290</v>
      </c>
      <c r="D113" s="23" t="s">
        <v>221</v>
      </c>
      <c r="E113" s="21" t="s">
        <v>433</v>
      </c>
      <c r="F113" s="24" t="s">
        <v>291</v>
      </c>
      <c r="G113" s="9">
        <v>140000</v>
      </c>
      <c r="H113" s="44"/>
    </row>
    <row r="114" spans="1:8" x14ac:dyDescent="0.25">
      <c r="A114" s="21" t="s">
        <v>434</v>
      </c>
      <c r="B114" s="22">
        <v>38751</v>
      </c>
      <c r="C114" s="23" t="s">
        <v>290</v>
      </c>
      <c r="D114" s="23" t="s">
        <v>221</v>
      </c>
      <c r="E114" s="21" t="s">
        <v>435</v>
      </c>
      <c r="F114" s="24" t="s">
        <v>291</v>
      </c>
      <c r="G114" s="9">
        <v>3500</v>
      </c>
      <c r="H114" s="44"/>
    </row>
    <row r="115" spans="1:8" x14ac:dyDescent="0.25">
      <c r="A115" s="21" t="s">
        <v>436</v>
      </c>
      <c r="B115" s="22">
        <v>38788</v>
      </c>
      <c r="C115" s="23" t="s">
        <v>290</v>
      </c>
      <c r="D115" s="23" t="s">
        <v>221</v>
      </c>
      <c r="E115" s="21" t="s">
        <v>437</v>
      </c>
      <c r="F115" s="24" t="s">
        <v>291</v>
      </c>
      <c r="G115" s="9">
        <v>27500</v>
      </c>
      <c r="H115" s="44"/>
    </row>
    <row r="116" spans="1:8" x14ac:dyDescent="0.25">
      <c r="A116" s="28" t="s">
        <v>438</v>
      </c>
      <c r="B116" s="29">
        <v>55130</v>
      </c>
      <c r="C116" s="30" t="s">
        <v>290</v>
      </c>
      <c r="D116" s="30" t="s">
        <v>228</v>
      </c>
      <c r="E116" s="28" t="s">
        <v>439</v>
      </c>
      <c r="F116" s="31" t="s">
        <v>27</v>
      </c>
      <c r="G116" s="9">
        <v>2400</v>
      </c>
      <c r="H116" s="44"/>
    </row>
    <row r="117" spans="1:8" x14ac:dyDescent="0.25">
      <c r="A117" s="21" t="s">
        <v>45</v>
      </c>
      <c r="B117" s="22">
        <v>24785</v>
      </c>
      <c r="C117" s="23" t="s">
        <v>290</v>
      </c>
      <c r="D117" s="23" t="s">
        <v>221</v>
      </c>
      <c r="E117" s="21" t="s">
        <v>440</v>
      </c>
      <c r="F117" s="24" t="s">
        <v>291</v>
      </c>
      <c r="G117" s="9">
        <v>50000</v>
      </c>
      <c r="H117" s="44"/>
    </row>
    <row r="118" spans="1:8" x14ac:dyDescent="0.25">
      <c r="A118" s="33" t="s">
        <v>441</v>
      </c>
      <c r="B118" s="34">
        <v>38544</v>
      </c>
      <c r="C118" s="35" t="s">
        <v>290</v>
      </c>
      <c r="D118" s="35" t="s">
        <v>221</v>
      </c>
      <c r="E118" s="33" t="s">
        <v>442</v>
      </c>
      <c r="F118" s="36" t="s">
        <v>291</v>
      </c>
      <c r="G118" s="9">
        <v>25000</v>
      </c>
      <c r="H118" s="44"/>
    </row>
    <row r="119" spans="1:8" x14ac:dyDescent="0.25">
      <c r="A119" s="33" t="s">
        <v>443</v>
      </c>
      <c r="B119" s="34">
        <v>38640</v>
      </c>
      <c r="C119" s="35" t="s">
        <v>290</v>
      </c>
      <c r="D119" s="35" t="s">
        <v>221</v>
      </c>
      <c r="E119" s="33" t="s">
        <v>444</v>
      </c>
      <c r="F119" s="36" t="s">
        <v>291</v>
      </c>
      <c r="G119" s="9">
        <v>17000</v>
      </c>
      <c r="H119" s="44"/>
    </row>
    <row r="120" spans="1:8" x14ac:dyDescent="0.25">
      <c r="A120" s="21" t="s">
        <v>39</v>
      </c>
      <c r="B120" s="22">
        <v>125980</v>
      </c>
      <c r="C120" s="23" t="s">
        <v>290</v>
      </c>
      <c r="D120" s="23" t="s">
        <v>221</v>
      </c>
      <c r="E120" s="21" t="s">
        <v>445</v>
      </c>
      <c r="F120" s="24" t="s">
        <v>291</v>
      </c>
      <c r="G120" s="25">
        <v>0</v>
      </c>
      <c r="H120" s="44"/>
    </row>
    <row r="121" spans="1:8" x14ac:dyDescent="0.25">
      <c r="A121" s="21" t="s">
        <v>446</v>
      </c>
      <c r="B121" s="22">
        <v>38964</v>
      </c>
      <c r="C121" s="23" t="s">
        <v>290</v>
      </c>
      <c r="D121" s="23" t="s">
        <v>221</v>
      </c>
      <c r="E121" s="21" t="s">
        <v>447</v>
      </c>
      <c r="F121" s="24" t="s">
        <v>291</v>
      </c>
      <c r="G121" s="9">
        <v>45000</v>
      </c>
      <c r="H121" s="44"/>
    </row>
    <row r="122" spans="1:8" x14ac:dyDescent="0.25">
      <c r="A122" s="21" t="s">
        <v>448</v>
      </c>
      <c r="B122" s="22">
        <v>39411</v>
      </c>
      <c r="C122" s="23" t="s">
        <v>290</v>
      </c>
      <c r="D122" s="23" t="s">
        <v>221</v>
      </c>
      <c r="E122" s="21" t="s">
        <v>449</v>
      </c>
      <c r="F122" s="24" t="s">
        <v>291</v>
      </c>
      <c r="G122" s="9">
        <v>62000</v>
      </c>
      <c r="H122" s="44"/>
    </row>
    <row r="123" spans="1:8" x14ac:dyDescent="0.25">
      <c r="A123" s="21" t="s">
        <v>450</v>
      </c>
      <c r="B123" s="22">
        <v>38965</v>
      </c>
      <c r="C123" s="23" t="s">
        <v>290</v>
      </c>
      <c r="D123" s="23" t="s">
        <v>221</v>
      </c>
      <c r="E123" s="21" t="s">
        <v>451</v>
      </c>
      <c r="F123" s="24" t="s">
        <v>291</v>
      </c>
      <c r="G123" s="9">
        <v>75000</v>
      </c>
      <c r="H123" s="44"/>
    </row>
    <row r="124" spans="1:8" x14ac:dyDescent="0.25">
      <c r="A124" s="21" t="s">
        <v>452</v>
      </c>
      <c r="B124" s="22">
        <v>71659</v>
      </c>
      <c r="C124" s="23" t="s">
        <v>290</v>
      </c>
      <c r="D124" s="23" t="s">
        <v>228</v>
      </c>
      <c r="E124" s="21" t="s">
        <v>453</v>
      </c>
      <c r="F124" s="24" t="s">
        <v>291</v>
      </c>
      <c r="G124" s="9">
        <v>100</v>
      </c>
      <c r="H124" s="44"/>
    </row>
    <row r="125" spans="1:8" x14ac:dyDescent="0.25">
      <c r="A125" s="21" t="s">
        <v>243</v>
      </c>
      <c r="B125" s="22">
        <f>COUNT(B52:B124)</f>
        <v>73</v>
      </c>
      <c r="C125" s="23"/>
      <c r="D125" s="23"/>
      <c r="E125" s="21"/>
      <c r="F125" s="24"/>
      <c r="G125" s="9"/>
      <c r="H125" s="44"/>
    </row>
    <row r="126" spans="1:8" x14ac:dyDescent="0.25">
      <c r="A126" s="21"/>
      <c r="B126" s="22"/>
      <c r="C126" s="23"/>
      <c r="D126" s="23"/>
      <c r="E126" s="21"/>
      <c r="F126" s="24"/>
      <c r="G126" s="9"/>
      <c r="H126" s="44"/>
    </row>
    <row r="127" spans="1:8" x14ac:dyDescent="0.25">
      <c r="A127" s="26" t="s">
        <v>454</v>
      </c>
      <c r="B127" s="22">
        <v>216751</v>
      </c>
      <c r="C127" s="23" t="s">
        <v>290</v>
      </c>
      <c r="D127" s="23" t="s">
        <v>221</v>
      </c>
      <c r="E127" s="21" t="s">
        <v>203</v>
      </c>
      <c r="F127" s="24" t="s">
        <v>455</v>
      </c>
      <c r="G127" s="27">
        <v>0</v>
      </c>
      <c r="H127" s="44">
        <f>SUM(G128:G151)</f>
        <v>510201</v>
      </c>
    </row>
    <row r="128" spans="1:8" x14ac:dyDescent="0.25">
      <c r="A128" s="33" t="s">
        <v>456</v>
      </c>
      <c r="B128" s="34">
        <v>223381</v>
      </c>
      <c r="C128" s="35" t="s">
        <v>290</v>
      </c>
      <c r="D128" s="35" t="s">
        <v>228</v>
      </c>
      <c r="E128" s="33" t="s">
        <v>457</v>
      </c>
      <c r="F128" s="36" t="s">
        <v>455</v>
      </c>
      <c r="G128" s="9">
        <v>13300</v>
      </c>
      <c r="H128" s="44"/>
    </row>
    <row r="129" spans="1:8" x14ac:dyDescent="0.25">
      <c r="A129" s="21" t="s">
        <v>458</v>
      </c>
      <c r="B129" s="22">
        <v>38636</v>
      </c>
      <c r="C129" s="23" t="s">
        <v>290</v>
      </c>
      <c r="D129" s="23" t="s">
        <v>221</v>
      </c>
      <c r="E129" s="21" t="s">
        <v>459</v>
      </c>
      <c r="F129" s="24" t="s">
        <v>455</v>
      </c>
      <c r="G129" s="9">
        <v>10000</v>
      </c>
      <c r="H129" s="44"/>
    </row>
    <row r="130" spans="1:8" x14ac:dyDescent="0.25">
      <c r="A130" s="21" t="s">
        <v>460</v>
      </c>
      <c r="B130" s="22">
        <v>125235</v>
      </c>
      <c r="C130" s="23" t="s">
        <v>290</v>
      </c>
      <c r="D130" s="23" t="s">
        <v>228</v>
      </c>
      <c r="E130" s="21" t="s">
        <v>461</v>
      </c>
      <c r="F130" s="24" t="s">
        <v>455</v>
      </c>
      <c r="G130" s="9">
        <v>3600</v>
      </c>
      <c r="H130" s="44"/>
    </row>
    <row r="131" spans="1:8" x14ac:dyDescent="0.25">
      <c r="A131" s="21" t="s">
        <v>462</v>
      </c>
      <c r="B131" s="22">
        <v>72484</v>
      </c>
      <c r="C131" s="23" t="s">
        <v>290</v>
      </c>
      <c r="D131" s="23" t="s">
        <v>228</v>
      </c>
      <c r="E131" s="21" t="s">
        <v>463</v>
      </c>
      <c r="F131" s="24" t="s">
        <v>455</v>
      </c>
      <c r="G131" s="9">
        <v>5800</v>
      </c>
      <c r="H131" s="44"/>
    </row>
    <row r="132" spans="1:8" x14ac:dyDescent="0.25">
      <c r="A132" s="21" t="s">
        <v>464</v>
      </c>
      <c r="B132" s="22">
        <v>55202</v>
      </c>
      <c r="C132" s="23" t="s">
        <v>290</v>
      </c>
      <c r="D132" s="23" t="s">
        <v>228</v>
      </c>
      <c r="E132" s="21" t="s">
        <v>465</v>
      </c>
      <c r="F132" s="24" t="s">
        <v>455</v>
      </c>
      <c r="G132" s="9">
        <v>2000</v>
      </c>
      <c r="H132" s="44"/>
    </row>
    <row r="133" spans="1:8" x14ac:dyDescent="0.25">
      <c r="A133" s="21" t="s">
        <v>466</v>
      </c>
      <c r="B133" s="22">
        <v>117073</v>
      </c>
      <c r="C133" s="23" t="s">
        <v>290</v>
      </c>
      <c r="D133" s="23" t="s">
        <v>228</v>
      </c>
      <c r="E133" s="21" t="s">
        <v>467</v>
      </c>
      <c r="F133" s="24" t="s">
        <v>455</v>
      </c>
      <c r="G133" s="9">
        <v>2500</v>
      </c>
      <c r="H133" s="44"/>
    </row>
    <row r="134" spans="1:8" x14ac:dyDescent="0.25">
      <c r="A134" s="21" t="s">
        <v>468</v>
      </c>
      <c r="B134" s="22">
        <v>37234</v>
      </c>
      <c r="C134" s="23" t="s">
        <v>290</v>
      </c>
      <c r="D134" s="23" t="s">
        <v>228</v>
      </c>
      <c r="E134" s="21" t="s">
        <v>469</v>
      </c>
      <c r="F134" s="24" t="s">
        <v>455</v>
      </c>
      <c r="G134" s="9">
        <v>7500</v>
      </c>
      <c r="H134" s="44"/>
    </row>
    <row r="135" spans="1:8" x14ac:dyDescent="0.25">
      <c r="A135" s="21" t="s">
        <v>470</v>
      </c>
      <c r="B135" s="22">
        <v>37235</v>
      </c>
      <c r="C135" s="23" t="s">
        <v>290</v>
      </c>
      <c r="D135" s="23" t="s">
        <v>228</v>
      </c>
      <c r="E135" s="21" t="s">
        <v>471</v>
      </c>
      <c r="F135" s="24" t="s">
        <v>455</v>
      </c>
      <c r="G135" s="9">
        <v>3000</v>
      </c>
      <c r="H135" s="44"/>
    </row>
    <row r="136" spans="1:8" x14ac:dyDescent="0.25">
      <c r="A136" s="21" t="s">
        <v>472</v>
      </c>
      <c r="B136" s="22">
        <v>117089</v>
      </c>
      <c r="C136" s="23" t="s">
        <v>290</v>
      </c>
      <c r="D136" s="23" t="s">
        <v>228</v>
      </c>
      <c r="E136" s="21" t="s">
        <v>471</v>
      </c>
      <c r="F136" s="24" t="s">
        <v>455</v>
      </c>
      <c r="G136" s="9">
        <v>2000</v>
      </c>
      <c r="H136" s="44"/>
    </row>
    <row r="137" spans="1:8" x14ac:dyDescent="0.25">
      <c r="A137" s="21" t="s">
        <v>473</v>
      </c>
      <c r="B137" s="22">
        <v>37241</v>
      </c>
      <c r="C137" s="23" t="s">
        <v>290</v>
      </c>
      <c r="D137" s="23" t="s">
        <v>228</v>
      </c>
      <c r="E137" s="21" t="s">
        <v>474</v>
      </c>
      <c r="F137" s="24" t="s">
        <v>455</v>
      </c>
      <c r="G137" s="9">
        <v>4000</v>
      </c>
      <c r="H137" s="44"/>
    </row>
    <row r="138" spans="1:8" x14ac:dyDescent="0.25">
      <c r="A138" s="21" t="s">
        <v>475</v>
      </c>
      <c r="B138" s="22">
        <v>125192</v>
      </c>
      <c r="C138" s="23" t="s">
        <v>290</v>
      </c>
      <c r="D138" s="23" t="s">
        <v>228</v>
      </c>
      <c r="E138" s="21" t="s">
        <v>476</v>
      </c>
      <c r="F138" s="24" t="s">
        <v>455</v>
      </c>
      <c r="G138" s="9">
        <v>3000</v>
      </c>
      <c r="H138" s="44"/>
    </row>
    <row r="139" spans="1:8" x14ac:dyDescent="0.25">
      <c r="A139" s="21" t="s">
        <v>477</v>
      </c>
      <c r="B139" s="22">
        <v>125191</v>
      </c>
      <c r="C139" s="23" t="s">
        <v>290</v>
      </c>
      <c r="D139" s="23" t="s">
        <v>228</v>
      </c>
      <c r="E139" s="21" t="s">
        <v>478</v>
      </c>
      <c r="F139" s="24" t="s">
        <v>455</v>
      </c>
      <c r="G139" s="9">
        <v>1</v>
      </c>
      <c r="H139" s="44"/>
    </row>
    <row r="140" spans="1:8" x14ac:dyDescent="0.25">
      <c r="A140" s="21" t="s">
        <v>479</v>
      </c>
      <c r="B140" s="22">
        <v>71624</v>
      </c>
      <c r="C140" s="23" t="s">
        <v>290</v>
      </c>
      <c r="D140" s="23" t="s">
        <v>228</v>
      </c>
      <c r="E140" s="21" t="s">
        <v>480</v>
      </c>
      <c r="F140" s="24" t="s">
        <v>455</v>
      </c>
      <c r="G140" s="9">
        <v>3000</v>
      </c>
      <c r="H140" s="44"/>
    </row>
    <row r="141" spans="1:8" x14ac:dyDescent="0.25">
      <c r="A141" s="21" t="s">
        <v>481</v>
      </c>
      <c r="B141" s="22">
        <v>196041</v>
      </c>
      <c r="C141" s="23" t="s">
        <v>290</v>
      </c>
      <c r="D141" s="23" t="s">
        <v>228</v>
      </c>
      <c r="E141" s="21" t="s">
        <v>482</v>
      </c>
      <c r="F141" s="24" t="s">
        <v>455</v>
      </c>
      <c r="G141" s="9">
        <v>60000</v>
      </c>
      <c r="H141" s="44"/>
    </row>
    <row r="142" spans="1:8" x14ac:dyDescent="0.25">
      <c r="A142" s="21" t="s">
        <v>56</v>
      </c>
      <c r="B142" s="22">
        <v>16953</v>
      </c>
      <c r="C142" s="23" t="s">
        <v>290</v>
      </c>
      <c r="D142" s="23" t="s">
        <v>221</v>
      </c>
      <c r="E142" s="21" t="s">
        <v>483</v>
      </c>
      <c r="F142" s="24" t="s">
        <v>455</v>
      </c>
      <c r="G142" s="9">
        <v>5000</v>
      </c>
      <c r="H142" s="44"/>
    </row>
    <row r="143" spans="1:8" x14ac:dyDescent="0.25">
      <c r="A143" s="21" t="s">
        <v>484</v>
      </c>
      <c r="B143" s="22">
        <v>27464</v>
      </c>
      <c r="C143" s="23" t="s">
        <v>290</v>
      </c>
      <c r="D143" s="23" t="s">
        <v>221</v>
      </c>
      <c r="E143" s="21" t="s">
        <v>485</v>
      </c>
      <c r="F143" s="24" t="s">
        <v>455</v>
      </c>
      <c r="G143" s="9">
        <v>256000</v>
      </c>
      <c r="H143" s="44"/>
    </row>
    <row r="144" spans="1:8" x14ac:dyDescent="0.25">
      <c r="A144" s="21" t="s">
        <v>51</v>
      </c>
      <c r="B144" s="22">
        <v>68485</v>
      </c>
      <c r="C144" s="23" t="s">
        <v>290</v>
      </c>
      <c r="D144" s="23" t="s">
        <v>221</v>
      </c>
      <c r="E144" s="21" t="s">
        <v>486</v>
      </c>
      <c r="F144" s="24" t="s">
        <v>455</v>
      </c>
      <c r="G144" s="25">
        <v>0</v>
      </c>
      <c r="H144" s="44"/>
    </row>
    <row r="145" spans="1:8" x14ac:dyDescent="0.25">
      <c r="A145" s="21" t="s">
        <v>487</v>
      </c>
      <c r="B145" s="22">
        <v>25449</v>
      </c>
      <c r="C145" s="23" t="s">
        <v>290</v>
      </c>
      <c r="D145" s="23" t="s">
        <v>221</v>
      </c>
      <c r="E145" s="21" t="s">
        <v>488</v>
      </c>
      <c r="F145" s="24" t="s">
        <v>455</v>
      </c>
      <c r="G145" s="9">
        <v>15000</v>
      </c>
      <c r="H145" s="44"/>
    </row>
    <row r="146" spans="1:8" x14ac:dyDescent="0.25">
      <c r="A146" s="21" t="s">
        <v>489</v>
      </c>
      <c r="B146" s="22">
        <v>125195</v>
      </c>
      <c r="C146" s="23" t="s">
        <v>290</v>
      </c>
      <c r="D146" s="23" t="s">
        <v>228</v>
      </c>
      <c r="E146" s="21" t="s">
        <v>490</v>
      </c>
      <c r="F146" s="24" t="s">
        <v>455</v>
      </c>
      <c r="G146" s="9">
        <v>700</v>
      </c>
      <c r="H146" s="44"/>
    </row>
    <row r="147" spans="1:8" x14ac:dyDescent="0.25">
      <c r="A147" s="21" t="s">
        <v>491</v>
      </c>
      <c r="B147" s="22">
        <v>27469</v>
      </c>
      <c r="C147" s="23" t="s">
        <v>290</v>
      </c>
      <c r="D147" s="23" t="s">
        <v>221</v>
      </c>
      <c r="E147" s="21" t="s">
        <v>492</v>
      </c>
      <c r="F147" s="24" t="s">
        <v>455</v>
      </c>
      <c r="G147" s="9">
        <v>75000</v>
      </c>
      <c r="H147" s="44"/>
    </row>
    <row r="148" spans="1:8" x14ac:dyDescent="0.25">
      <c r="A148" s="21" t="s">
        <v>35</v>
      </c>
      <c r="B148" s="22">
        <v>125985</v>
      </c>
      <c r="C148" s="23" t="s">
        <v>220</v>
      </c>
      <c r="D148" s="23" t="s">
        <v>221</v>
      </c>
      <c r="E148" s="21" t="s">
        <v>493</v>
      </c>
      <c r="F148" s="24" t="s">
        <v>455</v>
      </c>
      <c r="G148" s="25">
        <v>0</v>
      </c>
      <c r="H148" s="44"/>
    </row>
    <row r="149" spans="1:8" x14ac:dyDescent="0.25">
      <c r="A149" s="21" t="s">
        <v>36</v>
      </c>
      <c r="B149" s="22">
        <v>24199</v>
      </c>
      <c r="C149" s="23" t="s">
        <v>290</v>
      </c>
      <c r="D149" s="23" t="s">
        <v>221</v>
      </c>
      <c r="E149" s="21" t="s">
        <v>494</v>
      </c>
      <c r="F149" s="24" t="s">
        <v>455</v>
      </c>
      <c r="G149" s="25">
        <v>0</v>
      </c>
      <c r="H149" s="44"/>
    </row>
    <row r="150" spans="1:8" x14ac:dyDescent="0.25">
      <c r="A150" s="21" t="s">
        <v>495</v>
      </c>
      <c r="B150" s="22">
        <v>37330</v>
      </c>
      <c r="C150" s="23" t="s">
        <v>290</v>
      </c>
      <c r="D150" s="23" t="s">
        <v>228</v>
      </c>
      <c r="E150" s="21" t="s">
        <v>496</v>
      </c>
      <c r="F150" s="24" t="s">
        <v>455</v>
      </c>
      <c r="G150" s="9">
        <v>35000</v>
      </c>
      <c r="H150" s="44"/>
    </row>
    <row r="151" spans="1:8" x14ac:dyDescent="0.25">
      <c r="A151" s="21" t="s">
        <v>497</v>
      </c>
      <c r="B151" s="22">
        <v>125189</v>
      </c>
      <c r="C151" s="23" t="s">
        <v>290</v>
      </c>
      <c r="D151" s="23" t="s">
        <v>228</v>
      </c>
      <c r="E151" s="21" t="s">
        <v>498</v>
      </c>
      <c r="F151" s="24" t="s">
        <v>455</v>
      </c>
      <c r="G151" s="9">
        <v>3800</v>
      </c>
      <c r="H151" s="44"/>
    </row>
    <row r="152" spans="1:8" x14ac:dyDescent="0.25">
      <c r="A152" s="21" t="s">
        <v>243</v>
      </c>
      <c r="B152" s="22">
        <f>COUNT(B128:B151)</f>
        <v>24</v>
      </c>
      <c r="C152" s="23"/>
      <c r="D152" s="23"/>
      <c r="E152" s="21"/>
      <c r="F152" s="24"/>
      <c r="G152" s="9"/>
      <c r="H152" s="44"/>
    </row>
    <row r="153" spans="1:8" x14ac:dyDescent="0.25">
      <c r="A153" s="21"/>
      <c r="B153" s="22"/>
      <c r="C153" s="23"/>
      <c r="D153" s="23"/>
      <c r="E153" s="21"/>
      <c r="F153" s="24"/>
      <c r="G153" s="9"/>
      <c r="H153" s="44"/>
    </row>
    <row r="154" spans="1:8" x14ac:dyDescent="0.25">
      <c r="A154" s="26" t="s">
        <v>499</v>
      </c>
      <c r="B154" s="22">
        <v>216752</v>
      </c>
      <c r="C154" s="23" t="s">
        <v>290</v>
      </c>
      <c r="D154" s="23" t="s">
        <v>221</v>
      </c>
      <c r="E154" s="21" t="s">
        <v>203</v>
      </c>
      <c r="F154" s="24" t="s">
        <v>500</v>
      </c>
      <c r="G154" s="27">
        <v>0</v>
      </c>
      <c r="H154" s="44">
        <f>SUM(G155:G169)</f>
        <v>2038000</v>
      </c>
    </row>
    <row r="155" spans="1:8" x14ac:dyDescent="0.25">
      <c r="A155" s="21" t="s">
        <v>501</v>
      </c>
      <c r="B155" s="22">
        <v>37237</v>
      </c>
      <c r="C155" s="23" t="s">
        <v>290</v>
      </c>
      <c r="D155" s="23" t="s">
        <v>228</v>
      </c>
      <c r="E155" s="21" t="s">
        <v>502</v>
      </c>
      <c r="F155" s="24" t="s">
        <v>500</v>
      </c>
      <c r="G155" s="9">
        <v>1000</v>
      </c>
      <c r="H155" s="44"/>
    </row>
    <row r="156" spans="1:8" x14ac:dyDescent="0.25">
      <c r="A156" s="21" t="s">
        <v>48</v>
      </c>
      <c r="B156" s="22">
        <v>25755</v>
      </c>
      <c r="C156" s="23" t="s">
        <v>290</v>
      </c>
      <c r="D156" s="23" t="s">
        <v>221</v>
      </c>
      <c r="E156" s="21" t="s">
        <v>503</v>
      </c>
      <c r="F156" s="24" t="s">
        <v>500</v>
      </c>
      <c r="G156" s="9">
        <v>115000</v>
      </c>
      <c r="H156" s="44"/>
    </row>
    <row r="157" spans="1:8" x14ac:dyDescent="0.25">
      <c r="A157" s="21" t="s">
        <v>504</v>
      </c>
      <c r="B157" s="22">
        <v>151624</v>
      </c>
      <c r="C157" s="23" t="s">
        <v>290</v>
      </c>
      <c r="D157" s="23" t="s">
        <v>221</v>
      </c>
      <c r="E157" s="21" t="s">
        <v>505</v>
      </c>
      <c r="F157" s="24" t="s">
        <v>500</v>
      </c>
      <c r="G157" s="9">
        <v>50000</v>
      </c>
      <c r="H157" s="44"/>
    </row>
    <row r="158" spans="1:8" x14ac:dyDescent="0.25">
      <c r="A158" s="21" t="s">
        <v>506</v>
      </c>
      <c r="B158" s="22">
        <v>187908</v>
      </c>
      <c r="C158" s="23" t="s">
        <v>290</v>
      </c>
      <c r="D158" s="23" t="s">
        <v>228</v>
      </c>
      <c r="E158" s="21" t="s">
        <v>507</v>
      </c>
      <c r="F158" s="24" t="s">
        <v>500</v>
      </c>
      <c r="G158" s="9">
        <v>5000</v>
      </c>
      <c r="H158" s="44"/>
    </row>
    <row r="159" spans="1:8" x14ac:dyDescent="0.25">
      <c r="A159" s="21" t="s">
        <v>508</v>
      </c>
      <c r="B159" s="22">
        <v>187919</v>
      </c>
      <c r="C159" s="23" t="s">
        <v>290</v>
      </c>
      <c r="D159" s="23" t="s">
        <v>228</v>
      </c>
      <c r="E159" s="21" t="s">
        <v>509</v>
      </c>
      <c r="F159" s="24" t="s">
        <v>500</v>
      </c>
      <c r="G159" s="9">
        <v>230000</v>
      </c>
      <c r="H159" s="44"/>
    </row>
    <row r="160" spans="1:8" x14ac:dyDescent="0.25">
      <c r="A160" s="21" t="s">
        <v>510</v>
      </c>
      <c r="B160" s="22">
        <v>38953</v>
      </c>
      <c r="C160" s="23" t="s">
        <v>290</v>
      </c>
      <c r="D160" s="23" t="s">
        <v>221</v>
      </c>
      <c r="E160" s="21" t="s">
        <v>511</v>
      </c>
      <c r="F160" s="24" t="s">
        <v>500</v>
      </c>
      <c r="G160" s="9">
        <v>225000</v>
      </c>
      <c r="H160" s="44"/>
    </row>
    <row r="161" spans="1:8" x14ac:dyDescent="0.25">
      <c r="A161" s="21" t="s">
        <v>38</v>
      </c>
      <c r="B161" s="22">
        <v>81035</v>
      </c>
      <c r="C161" s="23" t="s">
        <v>290</v>
      </c>
      <c r="D161" s="23" t="s">
        <v>221</v>
      </c>
      <c r="E161" s="21" t="s">
        <v>512</v>
      </c>
      <c r="F161" s="24" t="s">
        <v>500</v>
      </c>
      <c r="G161" s="9">
        <v>75000</v>
      </c>
      <c r="H161" s="44"/>
    </row>
    <row r="162" spans="1:8" x14ac:dyDescent="0.25">
      <c r="A162" s="21" t="s">
        <v>513</v>
      </c>
      <c r="B162" s="22">
        <v>68517</v>
      </c>
      <c r="C162" s="23" t="s">
        <v>290</v>
      </c>
      <c r="D162" s="23" t="s">
        <v>221</v>
      </c>
      <c r="E162" s="21" t="s">
        <v>514</v>
      </c>
      <c r="F162" s="24" t="s">
        <v>500</v>
      </c>
      <c r="G162" s="9">
        <v>240000</v>
      </c>
      <c r="H162" s="44"/>
    </row>
    <row r="163" spans="1:8" x14ac:dyDescent="0.25">
      <c r="A163" s="21" t="s">
        <v>42</v>
      </c>
      <c r="B163" s="22">
        <v>151617</v>
      </c>
      <c r="C163" s="23" t="s">
        <v>290</v>
      </c>
      <c r="D163" s="23" t="s">
        <v>221</v>
      </c>
      <c r="E163" s="21" t="s">
        <v>515</v>
      </c>
      <c r="F163" s="24" t="s">
        <v>500</v>
      </c>
      <c r="G163" s="9">
        <v>350000</v>
      </c>
      <c r="H163" s="44"/>
    </row>
    <row r="164" spans="1:8" x14ac:dyDescent="0.25">
      <c r="A164" s="21" t="s">
        <v>516</v>
      </c>
      <c r="B164" s="22">
        <v>38952</v>
      </c>
      <c r="C164" s="23" t="s">
        <v>290</v>
      </c>
      <c r="D164" s="23" t="s">
        <v>228</v>
      </c>
      <c r="E164" s="21" t="s">
        <v>517</v>
      </c>
      <c r="F164" s="24" t="s">
        <v>500</v>
      </c>
      <c r="G164" s="9">
        <v>50000</v>
      </c>
      <c r="H164" s="44"/>
    </row>
    <row r="165" spans="1:8" x14ac:dyDescent="0.25">
      <c r="A165" s="21" t="s">
        <v>518</v>
      </c>
      <c r="B165" s="22">
        <v>196052</v>
      </c>
      <c r="C165" s="23" t="s">
        <v>290</v>
      </c>
      <c r="D165" s="23" t="s">
        <v>228</v>
      </c>
      <c r="E165" s="21" t="s">
        <v>519</v>
      </c>
      <c r="F165" s="24" t="s">
        <v>500</v>
      </c>
      <c r="G165" s="9">
        <v>3000</v>
      </c>
      <c r="H165" s="44"/>
    </row>
    <row r="166" spans="1:8" x14ac:dyDescent="0.25">
      <c r="A166" s="21" t="s">
        <v>520</v>
      </c>
      <c r="B166" s="22">
        <v>55152</v>
      </c>
      <c r="C166" s="23" t="s">
        <v>290</v>
      </c>
      <c r="D166" s="23" t="s">
        <v>228</v>
      </c>
      <c r="E166" s="21" t="s">
        <v>521</v>
      </c>
      <c r="F166" s="24" t="s">
        <v>500</v>
      </c>
      <c r="G166" s="9">
        <v>150000</v>
      </c>
      <c r="H166" s="44"/>
    </row>
    <row r="167" spans="1:8" x14ac:dyDescent="0.25">
      <c r="A167" s="21" t="s">
        <v>41</v>
      </c>
      <c r="B167" s="22">
        <v>152149</v>
      </c>
      <c r="C167" s="23" t="s">
        <v>290</v>
      </c>
      <c r="D167" s="23" t="s">
        <v>221</v>
      </c>
      <c r="E167" s="21" t="s">
        <v>522</v>
      </c>
      <c r="F167" s="24" t="s">
        <v>500</v>
      </c>
      <c r="G167" s="9">
        <v>350000</v>
      </c>
      <c r="H167" s="44"/>
    </row>
    <row r="168" spans="1:8" x14ac:dyDescent="0.25">
      <c r="A168" s="21" t="s">
        <v>52</v>
      </c>
      <c r="B168" s="22">
        <v>151612</v>
      </c>
      <c r="C168" s="23" t="s">
        <v>290</v>
      </c>
      <c r="D168" s="23" t="s">
        <v>221</v>
      </c>
      <c r="E168" s="21" t="s">
        <v>523</v>
      </c>
      <c r="F168" s="24" t="s">
        <v>500</v>
      </c>
      <c r="G168" s="9">
        <v>190000</v>
      </c>
      <c r="H168" s="44"/>
    </row>
    <row r="169" spans="1:8" x14ac:dyDescent="0.25">
      <c r="A169" s="21" t="s">
        <v>524</v>
      </c>
      <c r="B169" s="22">
        <v>55153</v>
      </c>
      <c r="C169" s="23" t="s">
        <v>290</v>
      </c>
      <c r="D169" s="23" t="s">
        <v>228</v>
      </c>
      <c r="E169" s="21" t="s">
        <v>525</v>
      </c>
      <c r="F169" s="24" t="s">
        <v>500</v>
      </c>
      <c r="G169" s="9">
        <v>4000</v>
      </c>
      <c r="H169" s="44"/>
    </row>
    <row r="170" spans="1:8" x14ac:dyDescent="0.25">
      <c r="A170" s="21" t="s">
        <v>243</v>
      </c>
      <c r="B170" s="22">
        <f>COUNT(B155:B169)</f>
        <v>15</v>
      </c>
      <c r="C170" s="23"/>
      <c r="D170" s="23"/>
      <c r="E170" s="21"/>
      <c r="F170" s="24"/>
      <c r="G170" s="9"/>
      <c r="H170" s="44"/>
    </row>
    <row r="171" spans="1:8" x14ac:dyDescent="0.25">
      <c r="A171" s="21"/>
      <c r="B171" s="22"/>
      <c r="C171" s="23"/>
      <c r="D171" s="23"/>
      <c r="E171" s="21"/>
      <c r="F171" s="24"/>
      <c r="G171" s="9"/>
      <c r="H171" s="44"/>
    </row>
    <row r="172" spans="1:8" x14ac:dyDescent="0.25">
      <c r="A172" s="21" t="s">
        <v>526</v>
      </c>
      <c r="B172" s="22">
        <f>B170+B152+B125+B49+B39+B23</f>
        <v>144</v>
      </c>
      <c r="C172" s="23"/>
      <c r="D172" s="23"/>
      <c r="E172" s="21"/>
      <c r="F172" s="24"/>
      <c r="G172" s="9"/>
      <c r="H172" s="44"/>
    </row>
    <row r="173" spans="1:8" x14ac:dyDescent="0.25">
      <c r="A173" s="21"/>
      <c r="B173" s="22"/>
      <c r="C173" s="23"/>
      <c r="D173" s="23"/>
      <c r="E173" s="21"/>
      <c r="F173" s="24"/>
      <c r="G173" s="9"/>
      <c r="H173" s="44"/>
    </row>
    <row r="174" spans="1:8" x14ac:dyDescent="0.25">
      <c r="A174" s="37"/>
      <c r="B174" s="22"/>
      <c r="C174" s="23"/>
      <c r="D174" s="23"/>
      <c r="E174" s="21"/>
      <c r="F174" s="24"/>
      <c r="G174" s="9"/>
      <c r="H174" s="44"/>
    </row>
    <row r="175" spans="1:8" x14ac:dyDescent="0.25">
      <c r="A175" s="21" t="s">
        <v>31</v>
      </c>
      <c r="B175" s="22"/>
      <c r="C175" s="23"/>
      <c r="D175" s="23"/>
      <c r="E175" s="21"/>
      <c r="F175" s="24"/>
      <c r="G175" s="44">
        <f>SUM(G10:G169)</f>
        <v>12211749</v>
      </c>
      <c r="H175" s="44"/>
    </row>
  </sheetData>
  <printOptions horizontalCentered="1"/>
  <pageMargins left="0.75" right="0.75" top="1" bottom="1" header="0.5" footer="0.5"/>
  <pageSetup scale="62" fitToHeight="5" orientation="portrait" horizontalDpi="300" verticalDpi="300" r:id="rId1"/>
  <headerFooter alignWithMargins="0">
    <oddHeader>&amp;LPrivileged and Confidential
For Settlement Purposes Only</oddHeader>
    <oddFooter>&amp;L&amp;F
&amp;D  &amp;T&amp;CPage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17"/>
  <sheetViews>
    <sheetView workbookViewId="0"/>
  </sheetViews>
  <sheetFormatPr defaultColWidth="9.109375" defaultRowHeight="13.2" x14ac:dyDescent="0.25"/>
  <cols>
    <col min="1" max="1" width="12" style="100" customWidth="1"/>
    <col min="2" max="2" width="7" style="100" customWidth="1"/>
    <col min="3" max="3" width="11.33203125" style="100" customWidth="1"/>
    <col min="4" max="4" width="14.88671875" style="100" customWidth="1"/>
    <col min="5" max="5" width="17.44140625" style="100" customWidth="1"/>
    <col min="6" max="6" width="8.33203125" style="100" customWidth="1"/>
    <col min="7" max="7" width="23.88671875" style="100" customWidth="1"/>
    <col min="8" max="8" width="11" style="100" bestFit="1" customWidth="1"/>
    <col min="9" max="9" width="19.33203125" style="100" bestFit="1" customWidth="1"/>
    <col min="10" max="10" width="7.33203125" style="100" customWidth="1"/>
    <col min="11" max="16384" width="9.109375" style="100"/>
  </cols>
  <sheetData>
    <row r="2" spans="1:11" x14ac:dyDescent="0.25">
      <c r="A2" s="7" t="s">
        <v>602</v>
      </c>
    </row>
    <row r="3" spans="1:11" x14ac:dyDescent="0.25">
      <c r="A3" s="7"/>
    </row>
    <row r="4" spans="1:11" x14ac:dyDescent="0.25">
      <c r="A4" s="7"/>
    </row>
    <row r="5" spans="1:11" x14ac:dyDescent="0.25">
      <c r="A5" s="61" t="s">
        <v>203</v>
      </c>
      <c r="B5" s="61" t="s">
        <v>19</v>
      </c>
      <c r="C5" s="61" t="s">
        <v>2</v>
      </c>
      <c r="D5" s="101"/>
      <c r="E5" s="251" t="s">
        <v>608</v>
      </c>
      <c r="F5" s="251"/>
      <c r="G5" s="251" t="s">
        <v>647</v>
      </c>
      <c r="H5" s="251"/>
      <c r="I5" s="250" t="s">
        <v>603</v>
      </c>
      <c r="J5" s="250"/>
    </row>
    <row r="6" spans="1:11" x14ac:dyDescent="0.25">
      <c r="A6" s="103" t="s">
        <v>20</v>
      </c>
      <c r="B6" s="103">
        <v>20</v>
      </c>
      <c r="C6" s="104">
        <f>Bondad_St_Cap</f>
        <v>1287200</v>
      </c>
      <c r="D6" s="101"/>
      <c r="E6" s="102"/>
      <c r="F6" s="102"/>
      <c r="G6" s="251" t="s">
        <v>646</v>
      </c>
      <c r="H6" s="251"/>
      <c r="I6" s="105">
        <f>C6</f>
        <v>1287200</v>
      </c>
      <c r="J6" s="106">
        <f>I6/I$13</f>
        <v>0.23787224826234249</v>
      </c>
    </row>
    <row r="7" spans="1:11" x14ac:dyDescent="0.25">
      <c r="A7" s="103" t="s">
        <v>21</v>
      </c>
      <c r="B7" s="103">
        <v>216747</v>
      </c>
      <c r="C7" s="104">
        <f>Bondad_ML_Cap</f>
        <v>422100</v>
      </c>
      <c r="D7" s="101"/>
      <c r="E7" s="102"/>
      <c r="F7" s="102"/>
      <c r="I7" s="105">
        <f>C7</f>
        <v>422100</v>
      </c>
      <c r="J7" s="106">
        <f>I7/I$13</f>
        <v>7.8003321932516134E-2</v>
      </c>
    </row>
    <row r="8" spans="1:11" x14ac:dyDescent="0.25">
      <c r="A8" s="103" t="s">
        <v>244</v>
      </c>
      <c r="B8" s="103">
        <v>216748</v>
      </c>
      <c r="C8" s="104">
        <f>Blanco_Cap</f>
        <v>3702008</v>
      </c>
      <c r="D8" s="101"/>
      <c r="E8" s="102"/>
      <c r="F8" s="102"/>
      <c r="G8" s="2" t="s">
        <v>625</v>
      </c>
      <c r="H8" s="100">
        <v>0.10282386273117794</v>
      </c>
      <c r="I8" s="105">
        <f>C8</f>
        <v>3702008</v>
      </c>
      <c r="J8" s="106">
        <f>I8/I$13</f>
        <v>0.68412442980514143</v>
      </c>
    </row>
    <row r="9" spans="1:11" x14ac:dyDescent="0.25">
      <c r="A9" s="103" t="s">
        <v>219</v>
      </c>
      <c r="B9" s="103">
        <v>216749</v>
      </c>
      <c r="C9" s="104">
        <f>Anad_Cap</f>
        <v>1095000</v>
      </c>
      <c r="D9" s="101"/>
      <c r="E9" s="102"/>
      <c r="F9" s="102"/>
      <c r="I9" s="101"/>
      <c r="J9" s="101"/>
    </row>
    <row r="10" spans="1:11" x14ac:dyDescent="0.25">
      <c r="A10" s="107" t="s">
        <v>454</v>
      </c>
      <c r="B10" s="108">
        <v>216751</v>
      </c>
      <c r="C10" s="108">
        <f>Plains_Cap</f>
        <v>510201</v>
      </c>
      <c r="D10" s="101"/>
      <c r="E10" s="102">
        <f>C10</f>
        <v>510201</v>
      </c>
      <c r="F10" s="109">
        <f>E10/E$13</f>
        <v>8.9423587063646795E-2</v>
      </c>
      <c r="G10" s="107"/>
      <c r="H10" s="128">
        <f>F10</f>
        <v>8.9423587063646795E-2</v>
      </c>
      <c r="I10" s="101"/>
      <c r="J10" s="101"/>
    </row>
    <row r="11" spans="1:11" x14ac:dyDescent="0.25">
      <c r="A11" s="103" t="s">
        <v>289</v>
      </c>
      <c r="B11" s="103">
        <v>216750</v>
      </c>
      <c r="C11" s="104">
        <f>Keystone_Cap</f>
        <v>3157240</v>
      </c>
      <c r="D11" s="101"/>
      <c r="E11" s="102">
        <f>C11</f>
        <v>3157240</v>
      </c>
      <c r="F11" s="122">
        <f>E11/E$13</f>
        <v>0.55337352537691653</v>
      </c>
      <c r="G11" s="103" t="s">
        <v>648</v>
      </c>
      <c r="H11" s="128">
        <f>F11-H8</f>
        <v>0.45054966264573859</v>
      </c>
      <c r="I11" s="101"/>
      <c r="J11" s="101"/>
    </row>
    <row r="12" spans="1:11" x14ac:dyDescent="0.25">
      <c r="A12" s="103" t="s">
        <v>499</v>
      </c>
      <c r="B12" s="103">
        <v>216752</v>
      </c>
      <c r="C12" s="104">
        <f>Waha_Cap</f>
        <v>2038000</v>
      </c>
      <c r="D12" s="101"/>
      <c r="E12" s="102">
        <f>C12</f>
        <v>2038000</v>
      </c>
      <c r="F12" s="122">
        <f>E12/E$13</f>
        <v>0.35720288755943669</v>
      </c>
      <c r="G12" s="103" t="s">
        <v>649</v>
      </c>
      <c r="H12" s="128">
        <f>F12+H8</f>
        <v>0.46002675029061463</v>
      </c>
      <c r="I12" s="101"/>
      <c r="J12" s="101"/>
    </row>
    <row r="13" spans="1:11" x14ac:dyDescent="0.25">
      <c r="A13" s="108"/>
      <c r="B13" s="107" t="s">
        <v>25</v>
      </c>
      <c r="C13" s="110">
        <f>SUM(C6:C12)</f>
        <v>12211749</v>
      </c>
      <c r="D13" s="101"/>
      <c r="E13" s="110">
        <f>SUM(E6:E12)</f>
        <v>5705441</v>
      </c>
      <c r="F13" s="111">
        <f>SUM(F6:F12)</f>
        <v>1</v>
      </c>
      <c r="G13" s="2"/>
      <c r="H13" s="128">
        <f>SUM(H10:H12)</f>
        <v>1</v>
      </c>
      <c r="I13" s="105">
        <f>SUM(I6:I8)</f>
        <v>5411308</v>
      </c>
      <c r="J13" s="112">
        <f>SUM(J6:J8)</f>
        <v>1</v>
      </c>
    </row>
    <row r="14" spans="1:11" x14ac:dyDescent="0.25">
      <c r="A14" s="102"/>
      <c r="B14" s="102"/>
      <c r="C14" s="102"/>
      <c r="D14" s="102"/>
      <c r="E14" s="102"/>
      <c r="F14" s="102"/>
      <c r="G14" s="102"/>
      <c r="H14" s="102"/>
      <c r="I14" s="102"/>
      <c r="J14" s="102"/>
    </row>
    <row r="15" spans="1:11" x14ac:dyDescent="0.25">
      <c r="H15"/>
      <c r="I15"/>
      <c r="J15"/>
      <c r="K15"/>
    </row>
    <row r="16" spans="1:11" x14ac:dyDescent="0.25">
      <c r="H16"/>
      <c r="I16"/>
      <c r="J16"/>
      <c r="K16"/>
    </row>
    <row r="17" spans="8:11" x14ac:dyDescent="0.25">
      <c r="H17"/>
      <c r="I17"/>
      <c r="J17"/>
      <c r="K17"/>
    </row>
  </sheetData>
  <mergeCells count="4">
    <mergeCell ref="I5:J5"/>
    <mergeCell ref="G5:H5"/>
    <mergeCell ref="G6:H6"/>
    <mergeCell ref="E5:F5"/>
  </mergeCells>
  <printOptions horizontalCentered="1" verticalCentered="1"/>
  <pageMargins left="0.75" right="0.75" top="0.25" bottom="0.25" header="0.5" footer="0.5"/>
  <pageSetup scale="93" orientation="landscape" horizontalDpi="300" verticalDpi="300" r:id="rId1"/>
  <headerFooter alignWithMargins="0">
    <oddHeader>&amp;LPrivileged and Confidential
For Settlement Purposes Only</oddHeader>
    <oddFooter>&amp;L&amp;F
&amp;D  &amp;T&amp;CPage &amp;P of &amp;N&amp;R&amp;A</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I138"/>
  <sheetViews>
    <sheetView workbookViewId="0"/>
  </sheetViews>
  <sheetFormatPr defaultColWidth="9.109375" defaultRowHeight="13.2" x14ac:dyDescent="0.25"/>
  <cols>
    <col min="1" max="1" width="20.44140625" style="119" customWidth="1"/>
    <col min="2" max="2" width="18" style="119" customWidth="1"/>
    <col min="3" max="3" width="14.5546875" style="119" customWidth="1"/>
    <col min="4" max="78" width="15.6640625" style="119" customWidth="1"/>
    <col min="79" max="79" width="2.6640625" style="119" customWidth="1"/>
    <col min="80" max="103" width="15.6640625" style="119" customWidth="1"/>
    <col min="104" max="104" width="3.109375" style="119" customWidth="1"/>
    <col min="105" max="106" width="18.88671875" style="119" customWidth="1"/>
    <col min="107" max="107" width="9.5546875" style="119" customWidth="1"/>
    <col min="108" max="108" width="10" style="119" customWidth="1"/>
    <col min="109" max="109" width="10.88671875" style="119" bestFit="1" customWidth="1"/>
    <col min="110" max="110" width="10.6640625" style="119" customWidth="1"/>
    <col min="111" max="111" width="43.88671875" style="119" customWidth="1"/>
    <col min="112" max="113" width="10.33203125" style="119" customWidth="1"/>
    <col min="114" max="114" width="39.44140625" style="119" customWidth="1"/>
    <col min="115" max="115" width="17.5546875" style="119" customWidth="1"/>
    <col min="116" max="116" width="19" style="119" bestFit="1" customWidth="1"/>
    <col min="117" max="117" width="15.6640625" style="119" customWidth="1"/>
    <col min="118" max="118" width="59.109375" style="119" customWidth="1"/>
    <col min="119" max="119" width="16.44140625" style="119" bestFit="1" customWidth="1"/>
    <col min="120" max="128" width="9.33203125" style="119" bestFit="1" customWidth="1"/>
    <col min="129" max="129" width="9.88671875" style="119" bestFit="1" customWidth="1"/>
    <col min="130" max="131" width="9.33203125" style="119" bestFit="1" customWidth="1"/>
    <col min="132" max="132" width="9.33203125" style="119" customWidth="1"/>
    <col min="133" max="133" width="9.109375" style="119"/>
    <col min="134" max="134" width="9.88671875" style="119" bestFit="1" customWidth="1"/>
    <col min="135" max="16384" width="9.109375" style="119"/>
  </cols>
  <sheetData>
    <row r="1" spans="1:139" s="114" customFormat="1" ht="22.5" customHeight="1" x14ac:dyDescent="0.25">
      <c r="F1" s="114" t="s">
        <v>626</v>
      </c>
      <c r="G1" s="114" t="s">
        <v>626</v>
      </c>
      <c r="H1" s="114" t="s">
        <v>626</v>
      </c>
      <c r="I1" s="114" t="s">
        <v>626</v>
      </c>
      <c r="J1" s="114" t="s">
        <v>626</v>
      </c>
      <c r="K1" s="114" t="s">
        <v>626</v>
      </c>
      <c r="L1" s="114" t="s">
        <v>626</v>
      </c>
      <c r="O1" s="114" t="s">
        <v>626</v>
      </c>
      <c r="P1" s="114" t="s">
        <v>626</v>
      </c>
      <c r="Q1" s="114" t="s">
        <v>626</v>
      </c>
      <c r="R1" s="114" t="s">
        <v>626</v>
      </c>
      <c r="S1" s="114" t="s">
        <v>626</v>
      </c>
      <c r="T1" s="114" t="s">
        <v>626</v>
      </c>
      <c r="U1" s="114" t="s">
        <v>626</v>
      </c>
      <c r="V1" s="114" t="s">
        <v>626</v>
      </c>
      <c r="W1" s="114" t="s">
        <v>626</v>
      </c>
      <c r="X1" s="114" t="s">
        <v>626</v>
      </c>
      <c r="Z1" s="114" t="s">
        <v>626</v>
      </c>
      <c r="AA1" s="114" t="s">
        <v>626</v>
      </c>
      <c r="AB1" s="114" t="s">
        <v>626</v>
      </c>
      <c r="AC1" s="114" t="s">
        <v>626</v>
      </c>
      <c r="AD1" s="114" t="s">
        <v>626</v>
      </c>
      <c r="AE1" s="114" t="s">
        <v>626</v>
      </c>
      <c r="AF1" s="114" t="s">
        <v>626</v>
      </c>
      <c r="AG1" s="114" t="s">
        <v>626</v>
      </c>
      <c r="AH1" s="114" t="s">
        <v>626</v>
      </c>
      <c r="AI1" s="114" t="s">
        <v>626</v>
      </c>
      <c r="AJ1" s="114" t="s">
        <v>626</v>
      </c>
      <c r="AK1" s="114" t="s">
        <v>626</v>
      </c>
      <c r="AL1" s="114" t="s">
        <v>626</v>
      </c>
      <c r="AM1" s="114" t="s">
        <v>626</v>
      </c>
      <c r="AN1" s="114" t="s">
        <v>626</v>
      </c>
      <c r="AQ1" s="114" t="s">
        <v>626</v>
      </c>
      <c r="AR1" s="114" t="s">
        <v>626</v>
      </c>
      <c r="AU1" s="114" t="s">
        <v>626</v>
      </c>
      <c r="AV1" s="114" t="s">
        <v>626</v>
      </c>
      <c r="AW1" s="114" t="s">
        <v>626</v>
      </c>
      <c r="AX1" s="114" t="s">
        <v>626</v>
      </c>
      <c r="AY1" s="114" t="s">
        <v>626</v>
      </c>
      <c r="AZ1" s="114" t="s">
        <v>626</v>
      </c>
      <c r="BA1" s="114" t="s">
        <v>626</v>
      </c>
      <c r="BB1" s="114" t="s">
        <v>626</v>
      </c>
      <c r="BC1" s="114" t="s">
        <v>626</v>
      </c>
      <c r="BD1" s="114" t="s">
        <v>626</v>
      </c>
      <c r="BE1" s="114" t="s">
        <v>626</v>
      </c>
      <c r="BG1" s="114" t="s">
        <v>626</v>
      </c>
      <c r="BI1" s="114" t="s">
        <v>626</v>
      </c>
      <c r="BM1" s="114" t="s">
        <v>626</v>
      </c>
      <c r="BN1" s="114" t="s">
        <v>626</v>
      </c>
      <c r="BO1" s="114" t="s">
        <v>626</v>
      </c>
      <c r="BQ1" s="114" t="s">
        <v>626</v>
      </c>
      <c r="BR1" s="114" t="s">
        <v>626</v>
      </c>
      <c r="BS1" s="114" t="s">
        <v>626</v>
      </c>
      <c r="BU1" s="114" t="s">
        <v>626</v>
      </c>
      <c r="BV1" s="114" t="s">
        <v>626</v>
      </c>
      <c r="BY1" s="114" t="s">
        <v>626</v>
      </c>
      <c r="BZ1" s="136"/>
      <c r="CA1" s="76"/>
      <c r="CB1" s="119"/>
      <c r="CC1" s="119"/>
      <c r="CD1" s="119"/>
      <c r="CE1" s="119"/>
      <c r="CF1" s="119"/>
      <c r="CG1" s="119"/>
      <c r="CH1" s="119"/>
      <c r="CI1" s="119"/>
      <c r="CJ1" s="119"/>
      <c r="CK1" s="119"/>
      <c r="CL1" s="119"/>
      <c r="CM1" s="119"/>
      <c r="CN1" s="119"/>
      <c r="CO1" s="119"/>
      <c r="CP1" s="119"/>
      <c r="CQ1" s="119"/>
      <c r="CR1" s="119"/>
      <c r="CS1" s="119"/>
      <c r="CT1" s="119"/>
      <c r="CU1" s="119"/>
      <c r="CV1" s="119"/>
      <c r="CW1" s="119"/>
      <c r="CX1" s="119"/>
      <c r="CY1" s="119"/>
      <c r="CZ1" s="76"/>
      <c r="DA1" s="136"/>
      <c r="DG1" s="252" t="s">
        <v>570</v>
      </c>
      <c r="DH1" s="252"/>
      <c r="DI1" s="252"/>
      <c r="DJ1" s="252"/>
      <c r="DK1" s="252"/>
      <c r="DL1" s="252"/>
      <c r="DM1" s="252"/>
      <c r="DN1" s="252"/>
      <c r="DO1" s="119"/>
      <c r="DP1" s="119"/>
      <c r="DQ1" s="119"/>
      <c r="DR1" s="119"/>
      <c r="DS1" s="119"/>
      <c r="DT1" s="137"/>
      <c r="DU1" s="137"/>
      <c r="DV1" s="137"/>
      <c r="DW1" s="137"/>
      <c r="DX1" s="137"/>
      <c r="DY1" s="137"/>
      <c r="DZ1" s="137"/>
      <c r="EA1" s="137"/>
      <c r="EB1" s="137"/>
      <c r="EC1" s="137"/>
      <c r="ED1" s="137"/>
      <c r="EE1" s="137"/>
      <c r="EF1" s="137"/>
      <c r="EG1" s="137"/>
      <c r="EH1" s="137"/>
      <c r="EI1" s="137"/>
    </row>
    <row r="2" spans="1:139" s="114" customFormat="1" ht="52.8" x14ac:dyDescent="0.25">
      <c r="B2" s="138"/>
      <c r="C2" s="139" t="s">
        <v>60</v>
      </c>
      <c r="D2" s="60" t="s">
        <v>61</v>
      </c>
      <c r="E2" s="60" t="s">
        <v>672</v>
      </c>
      <c r="F2" s="60" t="s">
        <v>62</v>
      </c>
      <c r="G2" s="60" t="s">
        <v>63</v>
      </c>
      <c r="H2" s="60" t="s">
        <v>64</v>
      </c>
      <c r="I2" s="60" t="s">
        <v>65</v>
      </c>
      <c r="J2" s="60" t="s">
        <v>66</v>
      </c>
      <c r="K2" s="60" t="s">
        <v>67</v>
      </c>
      <c r="L2" s="60" t="s">
        <v>68</v>
      </c>
      <c r="M2" s="60" t="s">
        <v>69</v>
      </c>
      <c r="N2" s="60" t="s">
        <v>70</v>
      </c>
      <c r="O2" s="60" t="s">
        <v>71</v>
      </c>
      <c r="P2" s="60" t="s">
        <v>334</v>
      </c>
      <c r="Q2" s="60" t="s">
        <v>335</v>
      </c>
      <c r="R2" s="60" t="s">
        <v>72</v>
      </c>
      <c r="S2" s="60" t="s">
        <v>73</v>
      </c>
      <c r="T2" s="140" t="s">
        <v>74</v>
      </c>
      <c r="U2" s="60" t="s">
        <v>75</v>
      </c>
      <c r="V2" s="60" t="s">
        <v>76</v>
      </c>
      <c r="W2" s="60" t="s">
        <v>82</v>
      </c>
      <c r="X2" s="60" t="s">
        <v>83</v>
      </c>
      <c r="Y2" s="60" t="s">
        <v>84</v>
      </c>
      <c r="Z2" s="60" t="s">
        <v>85</v>
      </c>
      <c r="AA2" s="60" t="s">
        <v>86</v>
      </c>
      <c r="AB2" s="60" t="s">
        <v>87</v>
      </c>
      <c r="AC2" s="60" t="s">
        <v>88</v>
      </c>
      <c r="AD2" s="60" t="s">
        <v>89</v>
      </c>
      <c r="AE2" s="60" t="s">
        <v>90</v>
      </c>
      <c r="AF2" s="60" t="s">
        <v>91</v>
      </c>
      <c r="AG2" s="60" t="s">
        <v>92</v>
      </c>
      <c r="AH2" s="60" t="s">
        <v>93</v>
      </c>
      <c r="AI2" s="60" t="s">
        <v>94</v>
      </c>
      <c r="AJ2" s="60" t="s">
        <v>95</v>
      </c>
      <c r="AK2" s="60" t="s">
        <v>96</v>
      </c>
      <c r="AL2" s="60" t="s">
        <v>97</v>
      </c>
      <c r="AM2" s="60" t="s">
        <v>98</v>
      </c>
      <c r="AN2" s="60" t="s">
        <v>99</v>
      </c>
      <c r="AO2" s="60" t="s">
        <v>336</v>
      </c>
      <c r="AP2" s="60" t="s">
        <v>337</v>
      </c>
      <c r="AQ2" s="60" t="s">
        <v>100</v>
      </c>
      <c r="AR2" s="60" t="s">
        <v>101</v>
      </c>
      <c r="AS2" s="60" t="s">
        <v>102</v>
      </c>
      <c r="AT2" s="60" t="s">
        <v>103</v>
      </c>
      <c r="AU2" s="60" t="s">
        <v>104</v>
      </c>
      <c r="AV2" s="60" t="s">
        <v>105</v>
      </c>
      <c r="AW2" s="60" t="s">
        <v>106</v>
      </c>
      <c r="AX2" s="60" t="s">
        <v>107</v>
      </c>
      <c r="AY2" s="60" t="s">
        <v>108</v>
      </c>
      <c r="AZ2" s="60" t="s">
        <v>109</v>
      </c>
      <c r="BA2" s="60" t="s">
        <v>638</v>
      </c>
      <c r="BB2" s="60" t="s">
        <v>338</v>
      </c>
      <c r="BC2" s="60" t="s">
        <v>339</v>
      </c>
      <c r="BD2" s="60" t="s">
        <v>340</v>
      </c>
      <c r="BE2" s="60" t="s">
        <v>110</v>
      </c>
      <c r="BF2" s="60" t="s">
        <v>111</v>
      </c>
      <c r="BG2" s="60" t="s">
        <v>112</v>
      </c>
      <c r="BH2" s="60" t="s">
        <v>113</v>
      </c>
      <c r="BI2" s="60" t="s">
        <v>114</v>
      </c>
      <c r="BJ2" s="60" t="s">
        <v>115</v>
      </c>
      <c r="BK2" s="60" t="s">
        <v>341</v>
      </c>
      <c r="BL2" s="60" t="s">
        <v>342</v>
      </c>
      <c r="BM2" s="60" t="s">
        <v>343</v>
      </c>
      <c r="BN2" s="60" t="s">
        <v>344</v>
      </c>
      <c r="BO2" s="60" t="s">
        <v>116</v>
      </c>
      <c r="BP2" s="60" t="s">
        <v>117</v>
      </c>
      <c r="BQ2" s="60" t="s">
        <v>345</v>
      </c>
      <c r="BR2" s="60" t="s">
        <v>346</v>
      </c>
      <c r="BS2" s="60" t="s">
        <v>118</v>
      </c>
      <c r="BT2" s="60" t="s">
        <v>120</v>
      </c>
      <c r="BU2" s="60" t="s">
        <v>121</v>
      </c>
      <c r="BV2" s="60" t="s">
        <v>122</v>
      </c>
      <c r="BW2" s="60" t="s">
        <v>123</v>
      </c>
      <c r="BX2" s="60" t="s">
        <v>124</v>
      </c>
      <c r="BY2" s="60" t="s">
        <v>125</v>
      </c>
      <c r="BZ2" s="141" t="s">
        <v>126</v>
      </c>
      <c r="CA2" s="76"/>
      <c r="CB2" s="114" t="s">
        <v>3</v>
      </c>
      <c r="CC2" s="114" t="s">
        <v>4</v>
      </c>
      <c r="CD2" s="114" t="s">
        <v>5</v>
      </c>
      <c r="CE2" s="114" t="s">
        <v>6</v>
      </c>
      <c r="CF2" s="114" t="s">
        <v>7</v>
      </c>
      <c r="CG2" s="114" t="s">
        <v>8</v>
      </c>
      <c r="CH2" s="114" t="s">
        <v>12</v>
      </c>
      <c r="CI2" s="114" t="s">
        <v>13</v>
      </c>
      <c r="CJ2" s="114" t="s">
        <v>14</v>
      </c>
      <c r="CK2" s="114" t="s">
        <v>15</v>
      </c>
      <c r="CL2" s="114" t="s">
        <v>653</v>
      </c>
      <c r="CM2" s="114" t="s">
        <v>9</v>
      </c>
      <c r="CN2" s="114" t="s">
        <v>10</v>
      </c>
      <c r="CO2" s="114" t="s">
        <v>16</v>
      </c>
      <c r="CP2" s="114" t="s">
        <v>679</v>
      </c>
      <c r="CQ2" s="114" t="s">
        <v>678</v>
      </c>
      <c r="CR2" s="114" t="s">
        <v>677</v>
      </c>
      <c r="CS2" s="114" t="s">
        <v>676</v>
      </c>
      <c r="CT2" s="114" t="s">
        <v>530</v>
      </c>
      <c r="CU2" s="114" t="s">
        <v>11</v>
      </c>
      <c r="CV2" s="114" t="s">
        <v>673</v>
      </c>
      <c r="CW2" s="114" t="s">
        <v>674</v>
      </c>
      <c r="CX2" s="114" t="s">
        <v>675</v>
      </c>
      <c r="CY2" s="141" t="s">
        <v>127</v>
      </c>
      <c r="CZ2" s="76"/>
      <c r="DA2" s="141" t="s">
        <v>529</v>
      </c>
      <c r="DB2" s="60"/>
      <c r="DC2" s="142" t="s">
        <v>58</v>
      </c>
      <c r="DD2" s="142" t="s">
        <v>59</v>
      </c>
      <c r="DF2" s="69"/>
      <c r="DG2" s="69"/>
      <c r="DH2" s="249" t="s">
        <v>694</v>
      </c>
      <c r="DI2" s="249" t="s">
        <v>693</v>
      </c>
      <c r="DJ2" s="89"/>
      <c r="DK2" s="143" t="s">
        <v>32</v>
      </c>
      <c r="DL2" s="89"/>
      <c r="DN2" s="69"/>
      <c r="DO2" s="89"/>
      <c r="DP2" s="89"/>
      <c r="DQ2" s="89"/>
      <c r="DR2" s="89"/>
      <c r="DS2" s="89"/>
      <c r="DT2" s="89"/>
      <c r="DU2" s="89"/>
      <c r="DV2" s="89"/>
      <c r="DW2" s="89"/>
      <c r="DX2" s="89"/>
      <c r="DY2" s="89"/>
      <c r="DZ2" s="89"/>
      <c r="EA2" s="89"/>
      <c r="EB2" s="89"/>
      <c r="EC2" s="89"/>
      <c r="ED2" s="89"/>
      <c r="EE2" s="89"/>
      <c r="EF2" s="89"/>
      <c r="EG2" s="89"/>
      <c r="EH2" s="89"/>
      <c r="EI2" s="89"/>
    </row>
    <row r="3" spans="1:139" s="69" customFormat="1" x14ac:dyDescent="0.25">
      <c r="B3" s="70"/>
      <c r="C3" s="107" t="s">
        <v>128</v>
      </c>
      <c r="D3" s="62" t="s">
        <v>129</v>
      </c>
      <c r="E3" s="62" t="s">
        <v>129</v>
      </c>
      <c r="F3" s="62" t="s">
        <v>130</v>
      </c>
      <c r="G3" s="62" t="s">
        <v>129</v>
      </c>
      <c r="H3" s="62" t="s">
        <v>129</v>
      </c>
      <c r="I3" s="62" t="s">
        <v>129</v>
      </c>
      <c r="J3" s="62" t="s">
        <v>129</v>
      </c>
      <c r="K3" s="62" t="s">
        <v>129</v>
      </c>
      <c r="L3" s="62" t="s">
        <v>130</v>
      </c>
      <c r="M3" s="62" t="s">
        <v>129</v>
      </c>
      <c r="N3" s="62" t="s">
        <v>129</v>
      </c>
      <c r="O3" s="62" t="s">
        <v>129</v>
      </c>
      <c r="P3" s="62" t="s">
        <v>129</v>
      </c>
      <c r="Q3" s="62" t="s">
        <v>129</v>
      </c>
      <c r="R3" s="62" t="s">
        <v>130</v>
      </c>
      <c r="S3" s="62" t="s">
        <v>130</v>
      </c>
      <c r="T3" s="62" t="s">
        <v>130</v>
      </c>
      <c r="U3" s="62" t="s">
        <v>130</v>
      </c>
      <c r="V3" s="62" t="s">
        <v>130</v>
      </c>
      <c r="W3" s="62" t="s">
        <v>129</v>
      </c>
      <c r="X3" s="62" t="s">
        <v>129</v>
      </c>
      <c r="Y3" s="62" t="s">
        <v>129</v>
      </c>
      <c r="Z3" s="62" t="s">
        <v>129</v>
      </c>
      <c r="AA3" s="62" t="s">
        <v>130</v>
      </c>
      <c r="AB3" s="62" t="s">
        <v>130</v>
      </c>
      <c r="AC3" s="62" t="s">
        <v>130</v>
      </c>
      <c r="AD3" s="62" t="s">
        <v>130</v>
      </c>
      <c r="AE3" s="62" t="s">
        <v>130</v>
      </c>
      <c r="AF3" s="62" t="s">
        <v>130</v>
      </c>
      <c r="AG3" s="62" t="s">
        <v>130</v>
      </c>
      <c r="AH3" s="62" t="s">
        <v>130</v>
      </c>
      <c r="AI3" s="62" t="s">
        <v>129</v>
      </c>
      <c r="AJ3" s="62" t="s">
        <v>130</v>
      </c>
      <c r="AK3" s="62" t="s">
        <v>130</v>
      </c>
      <c r="AL3" s="62" t="s">
        <v>129</v>
      </c>
      <c r="AM3" s="62" t="s">
        <v>130</v>
      </c>
      <c r="AN3" s="62" t="s">
        <v>130</v>
      </c>
      <c r="AO3" s="62" t="s">
        <v>129</v>
      </c>
      <c r="AP3" s="62" t="s">
        <v>129</v>
      </c>
      <c r="AQ3" s="62" t="s">
        <v>130</v>
      </c>
      <c r="AR3" s="62" t="s">
        <v>129</v>
      </c>
      <c r="AS3" s="62" t="s">
        <v>129</v>
      </c>
      <c r="AT3" s="62" t="s">
        <v>129</v>
      </c>
      <c r="AU3" s="62" t="s">
        <v>130</v>
      </c>
      <c r="AV3" s="62" t="s">
        <v>129</v>
      </c>
      <c r="AW3" s="62" t="s">
        <v>129</v>
      </c>
      <c r="AX3" s="62" t="s">
        <v>130</v>
      </c>
      <c r="AY3" s="62" t="s">
        <v>129</v>
      </c>
      <c r="AZ3" s="62" t="s">
        <v>129</v>
      </c>
      <c r="BA3" s="62" t="s">
        <v>129</v>
      </c>
      <c r="BB3" s="62" t="s">
        <v>129</v>
      </c>
      <c r="BC3" s="62" t="s">
        <v>129</v>
      </c>
      <c r="BD3" s="62" t="s">
        <v>129</v>
      </c>
      <c r="BE3" s="62" t="s">
        <v>130</v>
      </c>
      <c r="BF3" s="62" t="s">
        <v>129</v>
      </c>
      <c r="BG3" s="62" t="s">
        <v>129</v>
      </c>
      <c r="BH3" s="62" t="s">
        <v>129</v>
      </c>
      <c r="BI3" s="62" t="s">
        <v>129</v>
      </c>
      <c r="BJ3" s="62" t="s">
        <v>129</v>
      </c>
      <c r="BK3" s="62" t="s">
        <v>129</v>
      </c>
      <c r="BL3" s="62" t="s">
        <v>129</v>
      </c>
      <c r="BM3" s="62" t="s">
        <v>129</v>
      </c>
      <c r="BN3" s="62" t="s">
        <v>129</v>
      </c>
      <c r="BO3" s="62" t="s">
        <v>129</v>
      </c>
      <c r="BP3" s="62" t="s">
        <v>129</v>
      </c>
      <c r="BQ3" s="62" t="s">
        <v>129</v>
      </c>
      <c r="BR3" s="62" t="s">
        <v>129</v>
      </c>
      <c r="BS3" s="62" t="s">
        <v>130</v>
      </c>
      <c r="BT3" s="62" t="s">
        <v>129</v>
      </c>
      <c r="BU3" s="62" t="s">
        <v>130</v>
      </c>
      <c r="BV3" s="62" t="s">
        <v>130</v>
      </c>
      <c r="BW3" s="62" t="s">
        <v>129</v>
      </c>
      <c r="BX3" s="62" t="s">
        <v>129</v>
      </c>
      <c r="BY3" s="62" t="s">
        <v>130</v>
      </c>
      <c r="BZ3" s="144"/>
      <c r="CA3" s="76"/>
      <c r="CB3" s="62" t="s">
        <v>129</v>
      </c>
      <c r="CC3" s="62" t="s">
        <v>129</v>
      </c>
      <c r="CD3" s="62" t="s">
        <v>129</v>
      </c>
      <c r="CE3" s="62" t="s">
        <v>129</v>
      </c>
      <c r="CF3" s="62" t="s">
        <v>129</v>
      </c>
      <c r="CG3" s="62" t="s">
        <v>129</v>
      </c>
      <c r="CH3" s="62" t="s">
        <v>129</v>
      </c>
      <c r="CI3" s="62" t="s">
        <v>129</v>
      </c>
      <c r="CJ3" s="62" t="s">
        <v>129</v>
      </c>
      <c r="CK3" s="62" t="s">
        <v>129</v>
      </c>
      <c r="CL3" s="62" t="s">
        <v>129</v>
      </c>
      <c r="CM3" s="62" t="s">
        <v>129</v>
      </c>
      <c r="CN3" s="62" t="s">
        <v>129</v>
      </c>
      <c r="CO3" s="62" t="s">
        <v>129</v>
      </c>
      <c r="CP3" s="62" t="s">
        <v>129</v>
      </c>
      <c r="CQ3" s="62" t="s">
        <v>129</v>
      </c>
      <c r="CR3" s="62" t="s">
        <v>129</v>
      </c>
      <c r="CS3" s="62" t="s">
        <v>129</v>
      </c>
      <c r="CT3" s="62" t="s">
        <v>129</v>
      </c>
      <c r="CU3" s="62" t="s">
        <v>129</v>
      </c>
      <c r="CV3" s="62" t="s">
        <v>129</v>
      </c>
      <c r="CW3" s="62" t="s">
        <v>129</v>
      </c>
      <c r="CX3" s="62" t="s">
        <v>129</v>
      </c>
      <c r="CY3" s="144"/>
      <c r="CZ3" s="76"/>
      <c r="DA3" s="145"/>
      <c r="DB3" s="146"/>
      <c r="DF3" s="89"/>
      <c r="DG3" s="147" t="s">
        <v>568</v>
      </c>
      <c r="DJ3" s="148" t="s">
        <v>555</v>
      </c>
      <c r="DK3" s="149">
        <f>DA59-D32</f>
        <v>409144.95860857749</v>
      </c>
      <c r="DL3" s="89" t="s">
        <v>558</v>
      </c>
      <c r="DN3" s="89"/>
      <c r="DO3" s="89"/>
      <c r="DP3" s="89"/>
      <c r="DQ3" s="89"/>
      <c r="DR3" s="89"/>
      <c r="DS3" s="89"/>
      <c r="DT3" s="89"/>
      <c r="DU3" s="89"/>
      <c r="DV3" s="89"/>
      <c r="DW3" s="89"/>
      <c r="DX3" s="89"/>
      <c r="DY3" s="89"/>
      <c r="DZ3" s="89"/>
      <c r="EA3" s="89"/>
      <c r="EB3" s="89"/>
      <c r="EC3" s="89"/>
      <c r="ED3" s="89"/>
      <c r="EE3" s="89"/>
      <c r="EF3" s="89"/>
      <c r="EG3" s="89"/>
      <c r="EH3" s="89"/>
      <c r="EI3" s="89"/>
    </row>
    <row r="4" spans="1:139" s="69" customFormat="1" x14ac:dyDescent="0.25">
      <c r="B4" s="70"/>
      <c r="C4" s="107" t="s">
        <v>131</v>
      </c>
      <c r="D4" s="63">
        <v>33695</v>
      </c>
      <c r="E4" s="63">
        <v>36708</v>
      </c>
      <c r="F4" s="63">
        <v>33482</v>
      </c>
      <c r="G4" s="63">
        <v>33512</v>
      </c>
      <c r="H4" s="63">
        <v>33512</v>
      </c>
      <c r="I4" s="63">
        <v>33512</v>
      </c>
      <c r="J4" s="63">
        <v>33512</v>
      </c>
      <c r="K4" s="63">
        <v>33512</v>
      </c>
      <c r="L4" s="63">
        <v>33543</v>
      </c>
      <c r="M4" s="63">
        <v>33664</v>
      </c>
      <c r="N4" s="63">
        <v>33695</v>
      </c>
      <c r="O4" s="63">
        <v>33512</v>
      </c>
      <c r="P4" s="63">
        <v>33482</v>
      </c>
      <c r="Q4" s="63">
        <v>33482</v>
      </c>
      <c r="R4" s="63">
        <v>33512</v>
      </c>
      <c r="S4" s="63">
        <v>33512</v>
      </c>
      <c r="T4" s="63">
        <v>33512</v>
      </c>
      <c r="U4" s="63">
        <v>33482</v>
      </c>
      <c r="V4" s="63">
        <v>33482</v>
      </c>
      <c r="W4" s="63">
        <v>33543</v>
      </c>
      <c r="X4" s="63">
        <v>33573</v>
      </c>
      <c r="Y4" s="63">
        <v>33695</v>
      </c>
      <c r="Z4" s="63">
        <v>33543</v>
      </c>
      <c r="AA4" s="63">
        <v>33482</v>
      </c>
      <c r="AB4" s="63">
        <v>33512</v>
      </c>
      <c r="AC4" s="63">
        <v>33573</v>
      </c>
      <c r="AD4" s="63">
        <v>33512</v>
      </c>
      <c r="AE4" s="63">
        <v>33543</v>
      </c>
      <c r="AF4" s="63">
        <v>33482</v>
      </c>
      <c r="AG4" s="63">
        <v>33512</v>
      </c>
      <c r="AH4" s="63">
        <v>33482</v>
      </c>
      <c r="AI4" s="63">
        <v>33543</v>
      </c>
      <c r="AJ4" s="63">
        <v>33482</v>
      </c>
      <c r="AK4" s="63">
        <v>33543</v>
      </c>
      <c r="AL4" s="63">
        <v>33482</v>
      </c>
      <c r="AM4" s="63">
        <v>33543</v>
      </c>
      <c r="AN4" s="63">
        <v>33482</v>
      </c>
      <c r="AO4" s="63">
        <v>33604</v>
      </c>
      <c r="AP4" s="63">
        <v>33604</v>
      </c>
      <c r="AQ4" s="63">
        <v>33482</v>
      </c>
      <c r="AR4" s="63">
        <v>33604</v>
      </c>
      <c r="AS4" s="63">
        <v>33664</v>
      </c>
      <c r="AT4" s="63">
        <v>33695</v>
      </c>
      <c r="AU4" s="63">
        <v>33512</v>
      </c>
      <c r="AV4" s="63">
        <v>33543</v>
      </c>
      <c r="AW4" s="63">
        <v>33543</v>
      </c>
      <c r="AX4" s="63">
        <v>33482</v>
      </c>
      <c r="AY4" s="63">
        <v>33482</v>
      </c>
      <c r="AZ4" s="63">
        <v>33482</v>
      </c>
      <c r="BA4" s="63">
        <v>33482</v>
      </c>
      <c r="BB4" s="63">
        <v>33512</v>
      </c>
      <c r="BC4" s="63">
        <v>33512</v>
      </c>
      <c r="BD4" s="63">
        <v>33512</v>
      </c>
      <c r="BE4" s="63">
        <v>33543</v>
      </c>
      <c r="BF4" s="63">
        <v>33695</v>
      </c>
      <c r="BG4" s="63">
        <v>33604</v>
      </c>
      <c r="BH4" s="63">
        <v>33664</v>
      </c>
      <c r="BI4" s="63">
        <v>33573</v>
      </c>
      <c r="BJ4" s="63">
        <v>33664</v>
      </c>
      <c r="BK4" s="63">
        <v>33482</v>
      </c>
      <c r="BL4" s="63">
        <v>33482</v>
      </c>
      <c r="BM4" s="63">
        <v>33482</v>
      </c>
      <c r="BN4" s="63">
        <v>33482</v>
      </c>
      <c r="BO4" s="63">
        <v>33482</v>
      </c>
      <c r="BP4" s="63">
        <v>33482</v>
      </c>
      <c r="BQ4" s="63">
        <v>33482</v>
      </c>
      <c r="BR4" s="63">
        <v>33482</v>
      </c>
      <c r="BS4" s="63">
        <v>33512</v>
      </c>
      <c r="BT4" s="63">
        <v>33695</v>
      </c>
      <c r="BU4" s="63">
        <v>33482</v>
      </c>
      <c r="BV4" s="63">
        <v>33543</v>
      </c>
      <c r="BW4" s="63">
        <v>33695</v>
      </c>
      <c r="BX4" s="63">
        <v>33604</v>
      </c>
      <c r="BY4" s="63">
        <v>33604</v>
      </c>
      <c r="BZ4" s="144"/>
      <c r="CA4" s="76"/>
      <c r="CP4" s="150">
        <v>36586</v>
      </c>
      <c r="CR4" s="150">
        <v>36586</v>
      </c>
      <c r="CV4" s="150">
        <v>36586</v>
      </c>
      <c r="CW4" s="150">
        <v>36586</v>
      </c>
      <c r="CY4" s="144"/>
      <c r="CZ4" s="76"/>
      <c r="DB4" s="146"/>
      <c r="DF4" s="89"/>
      <c r="DG4" s="143" t="s">
        <v>325</v>
      </c>
      <c r="DH4" s="89"/>
      <c r="DI4" s="89"/>
      <c r="DJ4" s="148" t="s">
        <v>556</v>
      </c>
      <c r="DK4" s="149">
        <f>$DK$3+$DA$65-$DH$53</f>
        <v>442890.88765172474</v>
      </c>
      <c r="DL4" s="89" t="s">
        <v>632</v>
      </c>
      <c r="DN4" s="89"/>
      <c r="DO4" s="89"/>
      <c r="DP4" s="89"/>
      <c r="DQ4" s="89"/>
      <c r="DR4" s="89"/>
      <c r="DS4" s="89"/>
      <c r="DT4" s="89"/>
      <c r="DU4" s="89"/>
      <c r="DV4" s="89"/>
      <c r="DW4" s="89"/>
      <c r="DX4" s="89"/>
      <c r="DY4" s="89"/>
      <c r="DZ4" s="89"/>
      <c r="EA4" s="89"/>
      <c r="EB4" s="89"/>
      <c r="EC4" s="89"/>
      <c r="ED4" s="89"/>
      <c r="EE4" s="89"/>
      <c r="EF4" s="89"/>
      <c r="EG4" s="89"/>
      <c r="EH4" s="89"/>
      <c r="EI4" s="89"/>
    </row>
    <row r="5" spans="1:139" s="69" customFormat="1" x14ac:dyDescent="0.25">
      <c r="B5" s="70"/>
      <c r="C5" s="107" t="s">
        <v>132</v>
      </c>
      <c r="D5" s="63">
        <v>39172</v>
      </c>
      <c r="E5" s="63" t="s">
        <v>615</v>
      </c>
      <c r="F5" s="63">
        <v>41517</v>
      </c>
      <c r="G5" s="63">
        <v>42643</v>
      </c>
      <c r="H5" s="63">
        <v>41547</v>
      </c>
      <c r="I5" s="63">
        <v>37256</v>
      </c>
      <c r="J5" s="63">
        <v>37256</v>
      </c>
      <c r="K5" s="63">
        <v>41547</v>
      </c>
      <c r="L5" s="63">
        <v>40847</v>
      </c>
      <c r="M5" s="63">
        <v>39141</v>
      </c>
      <c r="N5" s="63">
        <v>39172</v>
      </c>
      <c r="O5" s="63">
        <v>40816</v>
      </c>
      <c r="P5" s="63">
        <v>40786</v>
      </c>
      <c r="Q5" s="63">
        <v>40786</v>
      </c>
      <c r="R5" s="63">
        <v>40816</v>
      </c>
      <c r="S5" s="63">
        <v>37164</v>
      </c>
      <c r="T5" s="63">
        <v>40816</v>
      </c>
      <c r="U5" s="63">
        <v>40786</v>
      </c>
      <c r="V5" s="63">
        <v>40786</v>
      </c>
      <c r="W5" s="63">
        <v>40847</v>
      </c>
      <c r="X5" s="63">
        <v>40877</v>
      </c>
      <c r="Y5" s="63">
        <v>39172</v>
      </c>
      <c r="Z5" s="63">
        <v>40847</v>
      </c>
      <c r="AA5" s="63">
        <v>40786</v>
      </c>
      <c r="AB5" s="63">
        <v>40816</v>
      </c>
      <c r="AC5" s="63">
        <v>40877</v>
      </c>
      <c r="AD5" s="63">
        <v>40816</v>
      </c>
      <c r="AE5" s="63">
        <v>40847</v>
      </c>
      <c r="AF5" s="63">
        <v>40786</v>
      </c>
      <c r="AG5" s="63">
        <v>40816</v>
      </c>
      <c r="AH5" s="63">
        <v>40786</v>
      </c>
      <c r="AI5" s="63">
        <v>41578</v>
      </c>
      <c r="AJ5" s="63">
        <v>40786</v>
      </c>
      <c r="AK5" s="63">
        <v>40847</v>
      </c>
      <c r="AL5" s="63">
        <v>37256</v>
      </c>
      <c r="AM5" s="63">
        <v>40847</v>
      </c>
      <c r="AN5" s="63">
        <v>40786</v>
      </c>
      <c r="AO5" s="63">
        <v>65380</v>
      </c>
      <c r="AP5" s="63">
        <v>65380</v>
      </c>
      <c r="AQ5" s="63">
        <v>40786</v>
      </c>
      <c r="AR5" s="63">
        <v>37621</v>
      </c>
      <c r="AS5" s="63">
        <v>39141</v>
      </c>
      <c r="AT5" s="63">
        <v>39172</v>
      </c>
      <c r="AU5" s="63">
        <v>40816</v>
      </c>
      <c r="AV5" s="63">
        <v>40847</v>
      </c>
      <c r="AW5" s="63">
        <v>40847</v>
      </c>
      <c r="AX5" s="63">
        <v>40786</v>
      </c>
      <c r="AY5" s="63">
        <v>41517</v>
      </c>
      <c r="AZ5" s="63">
        <v>41517</v>
      </c>
      <c r="BA5" s="63">
        <v>41517</v>
      </c>
      <c r="BB5" s="63">
        <v>40816</v>
      </c>
      <c r="BC5" s="63">
        <v>40816</v>
      </c>
      <c r="BD5" s="63">
        <v>40816</v>
      </c>
      <c r="BE5" s="63">
        <v>40847</v>
      </c>
      <c r="BF5" s="63">
        <v>39172</v>
      </c>
      <c r="BG5" s="63">
        <v>41639</v>
      </c>
      <c r="BH5" s="63">
        <v>39141</v>
      </c>
      <c r="BI5" s="63">
        <v>40877</v>
      </c>
      <c r="BJ5" s="63">
        <v>39142</v>
      </c>
      <c r="BK5" s="63">
        <v>38960</v>
      </c>
      <c r="BL5" s="63">
        <v>38960</v>
      </c>
      <c r="BM5" s="63">
        <v>40786</v>
      </c>
      <c r="BN5" s="63">
        <v>40786</v>
      </c>
      <c r="BO5" s="63">
        <v>40786</v>
      </c>
      <c r="BP5" s="63">
        <v>40786</v>
      </c>
      <c r="BQ5" s="63">
        <v>40786</v>
      </c>
      <c r="BR5" s="63">
        <v>40786</v>
      </c>
      <c r="BS5" s="63">
        <v>40816</v>
      </c>
      <c r="BT5" s="63">
        <v>39172</v>
      </c>
      <c r="BU5" s="63">
        <v>40786</v>
      </c>
      <c r="BV5" s="63">
        <v>40847</v>
      </c>
      <c r="BW5" s="63">
        <v>39172</v>
      </c>
      <c r="BX5" s="63">
        <v>37256</v>
      </c>
      <c r="BY5" s="63">
        <v>40908</v>
      </c>
      <c r="BZ5" s="144"/>
      <c r="CA5" s="76"/>
      <c r="CP5" s="150">
        <v>37042</v>
      </c>
      <c r="CR5" s="150">
        <v>37042</v>
      </c>
      <c r="CV5" s="150">
        <v>37042</v>
      </c>
      <c r="CW5" s="150">
        <v>37042</v>
      </c>
      <c r="CY5" s="144"/>
      <c r="CZ5" s="76"/>
      <c r="DG5" s="70" t="s">
        <v>326</v>
      </c>
      <c r="DH5" s="117">
        <f>DA93</f>
        <v>46258.792507981845</v>
      </c>
      <c r="DI5" s="117"/>
      <c r="DJ5" s="143" t="s">
        <v>559</v>
      </c>
      <c r="DK5" s="151">
        <f>$DI$36-$DI$42+$DK$4-DH51</f>
        <v>1978667.6050830893</v>
      </c>
      <c r="DL5" s="89" t="s">
        <v>598</v>
      </c>
      <c r="DN5" s="117"/>
      <c r="DO5" s="89"/>
      <c r="DP5" s="89"/>
      <c r="DQ5" s="89"/>
      <c r="DR5" s="89"/>
      <c r="DS5" s="89"/>
      <c r="DT5" s="89"/>
      <c r="DU5" s="89"/>
      <c r="DV5" s="89"/>
      <c r="DW5" s="89"/>
      <c r="DX5" s="89"/>
      <c r="DY5" s="89"/>
      <c r="DZ5" s="89"/>
      <c r="EA5" s="89"/>
      <c r="EB5" s="89"/>
      <c r="EC5" s="89"/>
      <c r="ED5" s="89"/>
      <c r="EE5" s="89"/>
      <c r="EF5" s="89"/>
      <c r="EG5" s="89"/>
      <c r="EH5" s="89"/>
      <c r="EI5" s="89"/>
    </row>
    <row r="6" spans="1:139" s="153" customFormat="1" x14ac:dyDescent="0.25">
      <c r="A6" s="152"/>
      <c r="B6" s="70"/>
      <c r="C6" s="107" t="s">
        <v>133</v>
      </c>
      <c r="D6" s="62" t="s">
        <v>134</v>
      </c>
      <c r="E6" s="62" t="s">
        <v>134</v>
      </c>
      <c r="F6" s="62" t="s">
        <v>134</v>
      </c>
      <c r="G6" s="62" t="s">
        <v>134</v>
      </c>
      <c r="H6" s="62" t="s">
        <v>134</v>
      </c>
      <c r="I6" s="62" t="s">
        <v>134</v>
      </c>
      <c r="J6" s="62" t="s">
        <v>134</v>
      </c>
      <c r="K6" s="62" t="s">
        <v>134</v>
      </c>
      <c r="L6" s="62" t="s">
        <v>134</v>
      </c>
      <c r="M6" s="62" t="s">
        <v>134</v>
      </c>
      <c r="N6" s="62" t="s">
        <v>134</v>
      </c>
      <c r="O6" s="62" t="s">
        <v>134</v>
      </c>
      <c r="P6" s="62" t="s">
        <v>134</v>
      </c>
      <c r="Q6" s="62" t="s">
        <v>134</v>
      </c>
      <c r="R6" s="62" t="s">
        <v>134</v>
      </c>
      <c r="S6" s="62" t="s">
        <v>134</v>
      </c>
      <c r="T6" s="62" t="s">
        <v>134</v>
      </c>
      <c r="U6" s="62" t="s">
        <v>134</v>
      </c>
      <c r="V6" s="62" t="s">
        <v>134</v>
      </c>
      <c r="W6" s="62" t="s">
        <v>134</v>
      </c>
      <c r="X6" s="62" t="s">
        <v>134</v>
      </c>
      <c r="Y6" s="62" t="s">
        <v>134</v>
      </c>
      <c r="Z6" s="62" t="s">
        <v>134</v>
      </c>
      <c r="AA6" s="62" t="s">
        <v>134</v>
      </c>
      <c r="AB6" s="62" t="s">
        <v>134</v>
      </c>
      <c r="AC6" s="62" t="s">
        <v>134</v>
      </c>
      <c r="AD6" s="62" t="s">
        <v>134</v>
      </c>
      <c r="AE6" s="62" t="s">
        <v>134</v>
      </c>
      <c r="AF6" s="62" t="s">
        <v>134</v>
      </c>
      <c r="AG6" s="62" t="s">
        <v>134</v>
      </c>
      <c r="AH6" s="62" t="s">
        <v>134</v>
      </c>
      <c r="AI6" s="62" t="s">
        <v>134</v>
      </c>
      <c r="AJ6" s="62" t="s">
        <v>134</v>
      </c>
      <c r="AK6" s="62" t="s">
        <v>134</v>
      </c>
      <c r="AL6" s="62" t="s">
        <v>134</v>
      </c>
      <c r="AM6" s="62" t="s">
        <v>134</v>
      </c>
      <c r="AN6" s="62" t="s">
        <v>134</v>
      </c>
      <c r="AO6" s="62" t="s">
        <v>134</v>
      </c>
      <c r="AP6" s="62" t="s">
        <v>134</v>
      </c>
      <c r="AQ6" s="62" t="s">
        <v>134</v>
      </c>
      <c r="AR6" s="62" t="s">
        <v>134</v>
      </c>
      <c r="AS6" s="62" t="s">
        <v>134</v>
      </c>
      <c r="AT6" s="62" t="s">
        <v>135</v>
      </c>
      <c r="AU6" s="62" t="s">
        <v>134</v>
      </c>
      <c r="AV6" s="62" t="s">
        <v>134</v>
      </c>
      <c r="AW6" s="62" t="s">
        <v>134</v>
      </c>
      <c r="AX6" s="62" t="s">
        <v>134</v>
      </c>
      <c r="AY6" s="62" t="s">
        <v>134</v>
      </c>
      <c r="AZ6" s="62" t="s">
        <v>134</v>
      </c>
      <c r="BA6" s="62" t="s">
        <v>134</v>
      </c>
      <c r="BB6" s="62" t="s">
        <v>134</v>
      </c>
      <c r="BC6" s="62" t="s">
        <v>134</v>
      </c>
      <c r="BD6" s="62" t="s">
        <v>134</v>
      </c>
      <c r="BE6" s="62" t="s">
        <v>134</v>
      </c>
      <c r="BF6" s="62" t="s">
        <v>134</v>
      </c>
      <c r="BG6" s="62" t="s">
        <v>134</v>
      </c>
      <c r="BH6" s="62" t="s">
        <v>134</v>
      </c>
      <c r="BI6" s="62" t="s">
        <v>134</v>
      </c>
      <c r="BJ6" s="62" t="s">
        <v>134</v>
      </c>
      <c r="BK6" s="62" t="s">
        <v>134</v>
      </c>
      <c r="BL6" s="62" t="s">
        <v>134</v>
      </c>
      <c r="BM6" s="62" t="s">
        <v>134</v>
      </c>
      <c r="BN6" s="62" t="s">
        <v>134</v>
      </c>
      <c r="BO6" s="144" t="s">
        <v>134</v>
      </c>
      <c r="BP6" s="62" t="s">
        <v>134</v>
      </c>
      <c r="BQ6" s="62" t="s">
        <v>134</v>
      </c>
      <c r="BR6" s="62" t="s">
        <v>134</v>
      </c>
      <c r="BS6" s="62" t="s">
        <v>134</v>
      </c>
      <c r="BT6" s="62" t="s">
        <v>134</v>
      </c>
      <c r="BU6" s="62" t="s">
        <v>134</v>
      </c>
      <c r="BV6" s="62" t="s">
        <v>134</v>
      </c>
      <c r="BW6" s="62" t="s">
        <v>134</v>
      </c>
      <c r="BX6" s="62" t="s">
        <v>134</v>
      </c>
      <c r="BY6" s="62" t="s">
        <v>134</v>
      </c>
      <c r="BZ6" s="144"/>
      <c r="CA6" s="76"/>
      <c r="CB6" s="62" t="s">
        <v>135</v>
      </c>
      <c r="CC6" s="62" t="s">
        <v>135</v>
      </c>
      <c r="CD6" s="62" t="s">
        <v>135</v>
      </c>
      <c r="CE6" s="62" t="s">
        <v>135</v>
      </c>
      <c r="CF6" s="62" t="s">
        <v>135</v>
      </c>
      <c r="CG6" s="62" t="s">
        <v>135</v>
      </c>
      <c r="CH6" s="62" t="s">
        <v>134</v>
      </c>
      <c r="CI6" s="62" t="s">
        <v>134</v>
      </c>
      <c r="CJ6" s="62" t="s">
        <v>134</v>
      </c>
      <c r="CK6" s="62" t="s">
        <v>134</v>
      </c>
      <c r="CL6" s="62" t="s">
        <v>134</v>
      </c>
      <c r="CM6" s="62" t="s">
        <v>134</v>
      </c>
      <c r="CN6" s="62" t="s">
        <v>134</v>
      </c>
      <c r="CO6" s="62" t="s">
        <v>134</v>
      </c>
      <c r="CP6" s="62" t="s">
        <v>134</v>
      </c>
      <c r="CQ6" s="62" t="s">
        <v>134</v>
      </c>
      <c r="CR6" s="62" t="s">
        <v>134</v>
      </c>
      <c r="CS6" s="62" t="s">
        <v>134</v>
      </c>
      <c r="CT6" s="153" t="s">
        <v>531</v>
      </c>
      <c r="CU6" s="153" t="s">
        <v>531</v>
      </c>
      <c r="CV6" s="153" t="s">
        <v>531</v>
      </c>
      <c r="CW6" s="153" t="s">
        <v>531</v>
      </c>
      <c r="CX6" s="153" t="s">
        <v>531</v>
      </c>
      <c r="CY6" s="144"/>
      <c r="CZ6" s="76"/>
      <c r="DA6" s="154"/>
      <c r="DB6" s="134"/>
      <c r="DF6" s="69"/>
      <c r="DG6" s="70" t="s">
        <v>327</v>
      </c>
      <c r="DH6" s="117">
        <f>DA94</f>
        <v>17973.609000728218</v>
      </c>
      <c r="DI6" s="117"/>
      <c r="DJ6" s="89"/>
      <c r="DK6" s="132"/>
      <c r="DL6" s="89"/>
      <c r="DN6" s="117"/>
      <c r="DO6" s="89"/>
      <c r="DP6" s="89"/>
      <c r="DQ6" s="89"/>
      <c r="DR6" s="89"/>
      <c r="DS6" s="89"/>
      <c r="DT6" s="89"/>
      <c r="DU6" s="89"/>
      <c r="DV6" s="89"/>
      <c r="DW6" s="89"/>
      <c r="DX6" s="89"/>
      <c r="DY6" s="89"/>
      <c r="DZ6" s="89"/>
      <c r="EA6" s="89"/>
      <c r="EB6" s="89"/>
      <c r="EC6" s="89"/>
      <c r="ED6" s="89"/>
      <c r="EE6" s="89"/>
      <c r="EF6" s="89"/>
      <c r="EG6" s="89"/>
      <c r="EH6" s="89"/>
      <c r="EI6" s="89"/>
    </row>
    <row r="7" spans="1:139" s="114" customFormat="1" ht="31.2" x14ac:dyDescent="0.25">
      <c r="A7" s="135"/>
      <c r="B7" s="155"/>
      <c r="C7" s="156" t="s">
        <v>136</v>
      </c>
      <c r="D7" s="55" t="s">
        <v>17</v>
      </c>
      <c r="E7" s="55" t="s">
        <v>43</v>
      </c>
      <c r="F7" s="55" t="s">
        <v>137</v>
      </c>
      <c r="G7" s="95" t="s">
        <v>138</v>
      </c>
      <c r="H7" s="55" t="s">
        <v>139</v>
      </c>
      <c r="I7" s="55" t="s">
        <v>140</v>
      </c>
      <c r="J7" s="55" t="s">
        <v>141</v>
      </c>
      <c r="K7" s="55" t="s">
        <v>142</v>
      </c>
      <c r="L7" s="55" t="s">
        <v>528</v>
      </c>
      <c r="M7" s="55" t="s">
        <v>143</v>
      </c>
      <c r="N7" s="55" t="s">
        <v>144</v>
      </c>
      <c r="O7" s="55" t="s">
        <v>145</v>
      </c>
      <c r="P7" s="55" t="s">
        <v>43</v>
      </c>
      <c r="Q7" s="55" t="s">
        <v>43</v>
      </c>
      <c r="R7" s="55" t="s">
        <v>146</v>
      </c>
      <c r="S7" s="55" t="s">
        <v>147</v>
      </c>
      <c r="T7" s="55" t="s">
        <v>148</v>
      </c>
      <c r="U7" s="55" t="s">
        <v>149</v>
      </c>
      <c r="V7" s="55" t="s">
        <v>150</v>
      </c>
      <c r="W7" s="55" t="s">
        <v>151</v>
      </c>
      <c r="X7" s="55" t="s">
        <v>152</v>
      </c>
      <c r="Y7" s="55" t="s">
        <v>153</v>
      </c>
      <c r="Z7" s="55" t="s">
        <v>154</v>
      </c>
      <c r="AA7" s="55" t="s">
        <v>155</v>
      </c>
      <c r="AB7" s="55" t="s">
        <v>156</v>
      </c>
      <c r="AC7" s="55" t="s">
        <v>157</v>
      </c>
      <c r="AD7" s="55" t="s">
        <v>158</v>
      </c>
      <c r="AE7" s="55" t="s">
        <v>159</v>
      </c>
      <c r="AF7" s="55" t="s">
        <v>160</v>
      </c>
      <c r="AG7" s="55" t="s">
        <v>161</v>
      </c>
      <c r="AH7" s="55" t="s">
        <v>162</v>
      </c>
      <c r="AI7" s="55" t="s">
        <v>163</v>
      </c>
      <c r="AJ7" s="55" t="s">
        <v>164</v>
      </c>
      <c r="AK7" s="55" t="s">
        <v>165</v>
      </c>
      <c r="AL7" s="55" t="s">
        <v>166</v>
      </c>
      <c r="AM7" s="55" t="s">
        <v>167</v>
      </c>
      <c r="AN7" s="55" t="s">
        <v>168</v>
      </c>
      <c r="AO7" s="55" t="s">
        <v>43</v>
      </c>
      <c r="AP7" s="55" t="s">
        <v>43</v>
      </c>
      <c r="AQ7" s="55" t="s">
        <v>169</v>
      </c>
      <c r="AR7" s="55" t="s">
        <v>527</v>
      </c>
      <c r="AS7" s="55" t="s">
        <v>143</v>
      </c>
      <c r="AT7" s="135" t="s">
        <v>170</v>
      </c>
      <c r="AU7" s="55" t="s">
        <v>171</v>
      </c>
      <c r="AV7" s="55" t="s">
        <v>172</v>
      </c>
      <c r="AW7" s="55" t="s">
        <v>173</v>
      </c>
      <c r="AX7" s="55" t="s">
        <v>174</v>
      </c>
      <c r="AY7" s="55" t="s">
        <v>175</v>
      </c>
      <c r="AZ7" s="55" t="s">
        <v>176</v>
      </c>
      <c r="BA7" s="55" t="s">
        <v>176</v>
      </c>
      <c r="BB7" s="55" t="s">
        <v>177</v>
      </c>
      <c r="BC7" s="55" t="s">
        <v>43</v>
      </c>
      <c r="BD7" s="55" t="s">
        <v>43</v>
      </c>
      <c r="BE7" s="55" t="s">
        <v>178</v>
      </c>
      <c r="BF7" s="55" t="s">
        <v>153</v>
      </c>
      <c r="BG7" s="55" t="s">
        <v>179</v>
      </c>
      <c r="BH7" s="55" t="s">
        <v>143</v>
      </c>
      <c r="BI7" s="55" t="s">
        <v>180</v>
      </c>
      <c r="BJ7" s="55" t="s">
        <v>143</v>
      </c>
      <c r="BK7" s="55" t="s">
        <v>582</v>
      </c>
      <c r="BL7" s="55" t="s">
        <v>143</v>
      </c>
      <c r="BM7" s="55" t="s">
        <v>181</v>
      </c>
      <c r="BN7" s="55" t="s">
        <v>181</v>
      </c>
      <c r="BO7" s="55" t="s">
        <v>182</v>
      </c>
      <c r="BP7" s="55" t="s">
        <v>183</v>
      </c>
      <c r="BQ7" s="55" t="s">
        <v>43</v>
      </c>
      <c r="BR7" s="55" t="s">
        <v>43</v>
      </c>
      <c r="BS7" s="55" t="s">
        <v>0</v>
      </c>
      <c r="BT7" s="55" t="s">
        <v>153</v>
      </c>
      <c r="BU7" s="55" t="s">
        <v>1</v>
      </c>
      <c r="BV7" s="55" t="s">
        <v>44</v>
      </c>
      <c r="BW7" s="55" t="s">
        <v>153</v>
      </c>
      <c r="BX7" s="55" t="s">
        <v>43</v>
      </c>
      <c r="BY7" s="55" t="s">
        <v>184</v>
      </c>
      <c r="BZ7" s="157"/>
      <c r="CA7" s="52"/>
      <c r="CB7" s="120" t="s">
        <v>29</v>
      </c>
      <c r="CC7" s="120" t="s">
        <v>583</v>
      </c>
      <c r="CD7" s="120" t="s">
        <v>523</v>
      </c>
      <c r="CE7" s="120" t="s">
        <v>522</v>
      </c>
      <c r="CF7" s="120" t="s">
        <v>584</v>
      </c>
      <c r="CG7" s="120" t="s">
        <v>29</v>
      </c>
      <c r="CH7" s="120" t="s">
        <v>585</v>
      </c>
      <c r="CI7" s="55" t="s">
        <v>143</v>
      </c>
      <c r="CJ7" s="120" t="s">
        <v>585</v>
      </c>
      <c r="CK7" s="55" t="s">
        <v>143</v>
      </c>
      <c r="CL7" s="120" t="s">
        <v>586</v>
      </c>
      <c r="CM7" s="120" t="s">
        <v>585</v>
      </c>
      <c r="CN7" s="120" t="s">
        <v>585</v>
      </c>
      <c r="CO7" s="120" t="s">
        <v>587</v>
      </c>
      <c r="CP7" s="120" t="s">
        <v>585</v>
      </c>
      <c r="CQ7" s="55" t="s">
        <v>143</v>
      </c>
      <c r="CR7" s="120" t="s">
        <v>624</v>
      </c>
      <c r="CS7" s="120" t="s">
        <v>624</v>
      </c>
      <c r="CT7" s="120" t="s">
        <v>588</v>
      </c>
      <c r="CU7" s="120" t="s">
        <v>187</v>
      </c>
      <c r="CV7" s="120" t="s">
        <v>585</v>
      </c>
      <c r="CW7" s="55" t="s">
        <v>143</v>
      </c>
      <c r="CX7" s="55" t="s">
        <v>143</v>
      </c>
      <c r="CY7" s="158"/>
      <c r="CZ7" s="76"/>
      <c r="DA7" s="73" t="s">
        <v>18</v>
      </c>
      <c r="DB7" s="64"/>
      <c r="DF7" s="69"/>
      <c r="DG7" s="70" t="s">
        <v>328</v>
      </c>
      <c r="DH7" s="117">
        <f>DA95</f>
        <v>213062.00094795876</v>
      </c>
      <c r="DI7" s="117"/>
      <c r="DJ7" s="89"/>
      <c r="DK7" s="89"/>
      <c r="DL7" s="132"/>
      <c r="DM7" s="89"/>
      <c r="DN7" s="117"/>
      <c r="DO7" s="89"/>
      <c r="DP7" s="89"/>
      <c r="DQ7" s="89"/>
      <c r="DR7" s="89"/>
      <c r="DS7" s="89"/>
      <c r="DT7" s="89"/>
      <c r="DU7" s="89"/>
      <c r="DV7" s="89"/>
      <c r="DW7" s="89"/>
      <c r="DX7" s="89"/>
      <c r="DY7" s="89"/>
      <c r="DZ7" s="89"/>
      <c r="EA7" s="89"/>
      <c r="EB7" s="89"/>
      <c r="EC7" s="89"/>
      <c r="ED7" s="89"/>
      <c r="EE7" s="89"/>
      <c r="EF7" s="89"/>
      <c r="EG7" s="89"/>
      <c r="EH7" s="89"/>
      <c r="EI7" s="89"/>
    </row>
    <row r="8" spans="1:139" s="114" customFormat="1" ht="12.75" customHeight="1" x14ac:dyDescent="0.25">
      <c r="B8" s="138"/>
      <c r="C8" s="107" t="s">
        <v>578</v>
      </c>
      <c r="D8" s="60" t="s">
        <v>579</v>
      </c>
      <c r="E8" s="60" t="s">
        <v>580</v>
      </c>
      <c r="F8" s="60" t="s">
        <v>580</v>
      </c>
      <c r="G8" s="60" t="s">
        <v>580</v>
      </c>
      <c r="H8" s="60" t="s">
        <v>580</v>
      </c>
      <c r="I8" s="60" t="s">
        <v>580</v>
      </c>
      <c r="J8" s="60" t="s">
        <v>580</v>
      </c>
      <c r="K8" s="60" t="s">
        <v>580</v>
      </c>
      <c r="L8" s="60" t="s">
        <v>580</v>
      </c>
      <c r="M8" s="60" t="s">
        <v>579</v>
      </c>
      <c r="N8" s="60" t="s">
        <v>579</v>
      </c>
      <c r="O8" s="60" t="s">
        <v>580</v>
      </c>
      <c r="P8" s="60" t="s">
        <v>580</v>
      </c>
      <c r="Q8" s="60" t="s">
        <v>580</v>
      </c>
      <c r="R8" s="60" t="s">
        <v>580</v>
      </c>
      <c r="S8" s="60" t="s">
        <v>580</v>
      </c>
      <c r="T8" s="60" t="s">
        <v>580</v>
      </c>
      <c r="U8" s="60" t="s">
        <v>580</v>
      </c>
      <c r="V8" s="60" t="s">
        <v>580</v>
      </c>
      <c r="W8" s="60" t="s">
        <v>580</v>
      </c>
      <c r="X8" s="60" t="s">
        <v>580</v>
      </c>
      <c r="Y8" s="60" t="s">
        <v>579</v>
      </c>
      <c r="Z8" s="60" t="s">
        <v>580</v>
      </c>
      <c r="AA8" s="60" t="s">
        <v>580</v>
      </c>
      <c r="AB8" s="60" t="s">
        <v>580</v>
      </c>
      <c r="AC8" s="60" t="s">
        <v>580</v>
      </c>
      <c r="AD8" s="60" t="s">
        <v>580</v>
      </c>
      <c r="AE8" s="60" t="s">
        <v>580</v>
      </c>
      <c r="AF8" s="60" t="s">
        <v>580</v>
      </c>
      <c r="AG8" s="60" t="s">
        <v>580</v>
      </c>
      <c r="AH8" s="60" t="s">
        <v>580</v>
      </c>
      <c r="AI8" s="60" t="s">
        <v>580</v>
      </c>
      <c r="AJ8" s="60" t="s">
        <v>580</v>
      </c>
      <c r="AK8" s="60" t="s">
        <v>580</v>
      </c>
      <c r="AL8" s="60" t="s">
        <v>580</v>
      </c>
      <c r="AM8" s="60" t="s">
        <v>580</v>
      </c>
      <c r="AN8" s="60" t="s">
        <v>580</v>
      </c>
      <c r="AO8" s="60" t="s">
        <v>580</v>
      </c>
      <c r="AP8" s="60" t="s">
        <v>580</v>
      </c>
      <c r="AQ8" s="60" t="s">
        <v>580</v>
      </c>
      <c r="AR8" s="60" t="s">
        <v>580</v>
      </c>
      <c r="AS8" s="60" t="s">
        <v>579</v>
      </c>
      <c r="AT8" s="60" t="s">
        <v>580</v>
      </c>
      <c r="AU8" s="60" t="s">
        <v>580</v>
      </c>
      <c r="AV8" s="60" t="s">
        <v>580</v>
      </c>
      <c r="AW8" s="60" t="s">
        <v>580</v>
      </c>
      <c r="AX8" s="60" t="s">
        <v>580</v>
      </c>
      <c r="AY8" s="60" t="s">
        <v>580</v>
      </c>
      <c r="AZ8" s="60" t="s">
        <v>580</v>
      </c>
      <c r="BA8" s="60" t="s">
        <v>580</v>
      </c>
      <c r="BB8" s="60" t="s">
        <v>580</v>
      </c>
      <c r="BC8" s="60" t="s">
        <v>580</v>
      </c>
      <c r="BD8" s="60" t="s">
        <v>580</v>
      </c>
      <c r="BE8" s="60" t="s">
        <v>580</v>
      </c>
      <c r="BF8" s="60" t="s">
        <v>579</v>
      </c>
      <c r="BG8" s="60" t="s">
        <v>580</v>
      </c>
      <c r="BH8" s="60" t="s">
        <v>579</v>
      </c>
      <c r="BI8" s="60" t="s">
        <v>580</v>
      </c>
      <c r="BJ8" s="60" t="s">
        <v>579</v>
      </c>
      <c r="BK8" s="60" t="s">
        <v>579</v>
      </c>
      <c r="BL8" s="60" t="s">
        <v>579</v>
      </c>
      <c r="BM8" s="60" t="s">
        <v>580</v>
      </c>
      <c r="BN8" s="60" t="s">
        <v>580</v>
      </c>
      <c r="BO8" s="60" t="s">
        <v>580</v>
      </c>
      <c r="BP8" s="60" t="s">
        <v>580</v>
      </c>
      <c r="BQ8" s="60" t="s">
        <v>580</v>
      </c>
      <c r="BR8" s="60" t="s">
        <v>580</v>
      </c>
      <c r="BS8" s="60" t="s">
        <v>580</v>
      </c>
      <c r="BT8" s="60" t="s">
        <v>579</v>
      </c>
      <c r="BU8" s="60" t="s">
        <v>580</v>
      </c>
      <c r="BV8" s="60" t="s">
        <v>580</v>
      </c>
      <c r="BW8" s="60" t="s">
        <v>579</v>
      </c>
      <c r="BX8" s="60" t="s">
        <v>580</v>
      </c>
      <c r="BY8" s="60" t="s">
        <v>580</v>
      </c>
      <c r="BZ8" s="141"/>
      <c r="CA8" s="94"/>
      <c r="CB8" s="60" t="s">
        <v>580</v>
      </c>
      <c r="CC8" s="60" t="s">
        <v>580</v>
      </c>
      <c r="CD8" s="60" t="s">
        <v>580</v>
      </c>
      <c r="CE8" s="60" t="s">
        <v>580</v>
      </c>
      <c r="CF8" s="60" t="s">
        <v>580</v>
      </c>
      <c r="CG8" s="60" t="s">
        <v>580</v>
      </c>
      <c r="CH8" s="60" t="s">
        <v>579</v>
      </c>
      <c r="CI8" s="60" t="s">
        <v>579</v>
      </c>
      <c r="CJ8" s="60" t="s">
        <v>579</v>
      </c>
      <c r="CK8" s="60" t="s">
        <v>579</v>
      </c>
      <c r="CL8" s="60" t="s">
        <v>580</v>
      </c>
      <c r="CM8" s="60" t="s">
        <v>579</v>
      </c>
      <c r="CN8" s="60" t="s">
        <v>579</v>
      </c>
      <c r="CO8" s="60" t="s">
        <v>580</v>
      </c>
      <c r="CP8" s="60" t="s">
        <v>579</v>
      </c>
      <c r="CQ8" s="60" t="s">
        <v>579</v>
      </c>
      <c r="CR8" s="60" t="s">
        <v>579</v>
      </c>
      <c r="CS8" s="60" t="s">
        <v>579</v>
      </c>
      <c r="CT8" s="60" t="s">
        <v>580</v>
      </c>
      <c r="CU8" s="60" t="s">
        <v>580</v>
      </c>
      <c r="CV8" s="60" t="s">
        <v>579</v>
      </c>
      <c r="CW8" s="60" t="s">
        <v>579</v>
      </c>
      <c r="CX8" s="60" t="s">
        <v>579</v>
      </c>
      <c r="CY8" s="158"/>
      <c r="CZ8" s="96"/>
      <c r="DA8" s="73"/>
      <c r="DB8" s="64"/>
      <c r="DF8" s="69"/>
      <c r="DG8" s="70" t="s">
        <v>329</v>
      </c>
      <c r="DH8" s="117"/>
      <c r="DI8" s="117">
        <f>DA96</f>
        <v>22428.945326132136</v>
      </c>
      <c r="DJ8" s="143" t="s">
        <v>571</v>
      </c>
      <c r="DK8" s="89"/>
      <c r="DL8" s="143" t="s">
        <v>611</v>
      </c>
      <c r="DN8" s="117"/>
      <c r="DO8" s="89"/>
      <c r="DP8" s="89"/>
      <c r="DQ8" s="89"/>
      <c r="DR8" s="89"/>
      <c r="DS8" s="89"/>
      <c r="DT8" s="69"/>
      <c r="DU8" s="69"/>
      <c r="DV8" s="69"/>
      <c r="DW8" s="69"/>
      <c r="DX8" s="69"/>
      <c r="DY8" s="69"/>
      <c r="DZ8" s="69"/>
      <c r="EA8" s="69"/>
      <c r="EB8" s="69"/>
      <c r="EC8" s="69"/>
      <c r="ED8" s="69"/>
      <c r="EE8" s="69"/>
      <c r="EF8" s="69"/>
      <c r="EG8" s="69"/>
      <c r="EH8" s="69"/>
    </row>
    <row r="9" spans="1:139" s="114" customFormat="1" ht="12.75" customHeight="1" x14ac:dyDescent="0.25">
      <c r="B9" s="138"/>
      <c r="C9" s="107" t="s">
        <v>581</v>
      </c>
      <c r="D9" s="60" t="str">
        <f>IF(D8&lt;&gt;"EOC","",IF(D17&gt;1,"EOCNML","EOCSML"))</f>
        <v/>
      </c>
      <c r="E9" s="60" t="str">
        <f t="shared" ref="E9:L9" si="0">IF(E8&lt;&gt;"EOC","",IF(E17&gt;1,"EOCNML","EOCSML"))</f>
        <v>EOCSML</v>
      </c>
      <c r="F9" s="60" t="str">
        <f t="shared" si="0"/>
        <v>EOCSML</v>
      </c>
      <c r="G9" s="60" t="str">
        <f t="shared" si="0"/>
        <v>EOCSML</v>
      </c>
      <c r="H9" s="60" t="str">
        <f t="shared" si="0"/>
        <v>EOCSML</v>
      </c>
      <c r="I9" s="60" t="str">
        <f t="shared" si="0"/>
        <v>EOCSML</v>
      </c>
      <c r="J9" s="60" t="str">
        <f t="shared" si="0"/>
        <v>EOCSML</v>
      </c>
      <c r="K9" s="60" t="str">
        <f t="shared" si="0"/>
        <v>EOCSML</v>
      </c>
      <c r="L9" s="60" t="str">
        <f t="shared" si="0"/>
        <v>EOCSML</v>
      </c>
      <c r="M9" s="60" t="str">
        <f t="shared" ref="M9:T9" si="1">IF(M8&lt;&gt;"EOC","",IF(M17&gt;1,"EOCNML","EOCSML"))</f>
        <v/>
      </c>
      <c r="N9" s="60" t="str">
        <f t="shared" si="1"/>
        <v/>
      </c>
      <c r="O9" s="60" t="str">
        <f t="shared" si="1"/>
        <v>EOCSML</v>
      </c>
      <c r="P9" s="60" t="str">
        <f t="shared" si="1"/>
        <v>EOCNML</v>
      </c>
      <c r="Q9" s="60" t="str">
        <f t="shared" si="1"/>
        <v>EOCSML</v>
      </c>
      <c r="R9" s="60" t="str">
        <f t="shared" si="1"/>
        <v>EOCSML</v>
      </c>
      <c r="S9" s="60" t="str">
        <f t="shared" si="1"/>
        <v>EOCSML</v>
      </c>
      <c r="T9" s="60" t="str">
        <f t="shared" si="1"/>
        <v>EOCSML</v>
      </c>
      <c r="U9" s="60" t="str">
        <f>IF(U8&lt;&gt;"EOC","",IF(U17&gt;1,"EOCNMLEE","EOCSMLEE"))</f>
        <v>EOCSMLEE</v>
      </c>
      <c r="V9" s="60" t="str">
        <f>IF(V8&lt;&gt;"EOC","",IF(V17&gt;1,"EOCNMLEE","EOCSMLEE"))</f>
        <v>EOCSMLEE</v>
      </c>
      <c r="W9" s="60" t="str">
        <f>IF(W8&lt;&gt;"EOC","",IF(W17&gt;1,"EOCNML","EOCSML"))</f>
        <v>EOCSML</v>
      </c>
      <c r="X9" s="60" t="str">
        <f>IF(X8&lt;&gt;"EOC","",IF(X17&gt;1,"EOCNML","EOCSML"))</f>
        <v>EOCSML</v>
      </c>
      <c r="Y9" s="60" t="str">
        <f>IF(Y8&lt;&gt;"EOC","",IF(Y17&gt;1,"EOCNML","EOCSML"))</f>
        <v/>
      </c>
      <c r="Z9" s="60" t="str">
        <f>IF(Z8&lt;&gt;"EOC","",IF(Z17&gt;1,"EOCNML","EOCSML"))</f>
        <v>EOCSML</v>
      </c>
      <c r="AA9" s="60" t="str">
        <f>IF(AA8&lt;&gt;"EOC","",IF(AA17&gt;1,"EOCNMLEE","EOCSMLEE"))</f>
        <v>EOCNMLEE</v>
      </c>
      <c r="AB9" s="60" t="str">
        <f>IF(AB8&lt;&gt;"EOC","",IF(AB17&gt;1,"EOCNMLEE","EOCSMLEE"))</f>
        <v>EOCNMLEE</v>
      </c>
      <c r="AC9" s="60" t="str">
        <f>IF(AC8&lt;&gt;"EOC","",IF(AC17&gt;1,"EOCNML","EOCSML"))</f>
        <v>EOCSML</v>
      </c>
      <c r="AD9" s="60" t="str">
        <f>IF(AD8&lt;&gt;"EOC","",IF(AD17&gt;1,"EOCNML","EOCSML"))</f>
        <v>EOCNML</v>
      </c>
      <c r="AE9" s="60" t="str">
        <f>IF(AE8&lt;&gt;"EOC","",IF(AE17&gt;1,"EOCNMLEE","EOCSMLEE"))</f>
        <v>EOCSMLEE</v>
      </c>
      <c r="AF9" s="60" t="str">
        <f>IF(AF8&lt;&gt;"EOC","",IF(AF17&gt;1,"EOCNMLEE","EOCSMLEE"))</f>
        <v>EOCNMLEE</v>
      </c>
      <c r="AG9" s="60" t="str">
        <f>IF(AG8&lt;&gt;"EOC","",IF(AG17&gt;1,"EOCNML","EOCSML"))</f>
        <v>EOCSML</v>
      </c>
      <c r="AH9" s="60" t="str">
        <f>IF(AH8&lt;&gt;"EOC","",IF(AH17&gt;1,"EOCNML","EOCSML"))</f>
        <v>EOCNML</v>
      </c>
      <c r="AI9" s="60" t="str">
        <f>IF(AI8&lt;&gt;"EOC","",IF(AI17&gt;1,"EOCNML","EOCSML"))</f>
        <v>EOCSML</v>
      </c>
      <c r="AJ9" s="60" t="str">
        <f>IF(AJ8&lt;&gt;"EOC","",IF(AJ17&gt;1,"EOCNMLEE","EOCSMLEE"))</f>
        <v>EOCNMLEE</v>
      </c>
      <c r="AK9" s="60" t="str">
        <f>IF(AK8&lt;&gt;"EOC","",IF(AK17&gt;1,"EOCNML","EOCSML"))</f>
        <v>EOCSML</v>
      </c>
      <c r="AL9" s="60" t="str">
        <f>IF(AL8&lt;&gt;"EOC","",IF(AL17&gt;1,"EOCNML","EOCSML"))</f>
        <v>EOCSML</v>
      </c>
      <c r="AM9" s="60" t="str">
        <f>IF(AM8&lt;&gt;"EOC","",IF(AM17&gt;1,"EOCNML","EOCSML"))</f>
        <v>EOCNML</v>
      </c>
      <c r="AN9" s="60" t="str">
        <f>IF(AN8&lt;&gt;"EOC","",IF(AN17&gt;1,"EOCNML","EOCSML"))</f>
        <v>EOCSML</v>
      </c>
      <c r="AO9" s="60" t="str">
        <f>IF(AO8&lt;&gt;"EOC","",IF(AO17&gt;1,"EOCNMLEE","EOCSMLEE"))</f>
        <v>EOCNMLEE</v>
      </c>
      <c r="AP9" s="60" t="str">
        <f>IF(AP8&lt;&gt;"EOC","",IF(AP17&gt;1,"EOCNML","EOCSML"))</f>
        <v>EOCSML</v>
      </c>
      <c r="AQ9" s="60" t="str">
        <f>IF(AQ8&lt;&gt;"EOC","",IF(AQ17&gt;1,"EOCNMLEE","EOCSMLEE"))</f>
        <v>EOCNMLEE</v>
      </c>
      <c r="AR9" s="60" t="str">
        <f t="shared" ref="AR9:AW9" si="2">IF(AR8&lt;&gt;"EOC","",IF(AR17&gt;1,"EOCNML","EOCSML"))</f>
        <v>EOCSML</v>
      </c>
      <c r="AS9" s="60" t="str">
        <f t="shared" si="2"/>
        <v/>
      </c>
      <c r="AT9" s="60" t="str">
        <f t="shared" si="2"/>
        <v>EOCNML</v>
      </c>
      <c r="AU9" s="60" t="str">
        <f t="shared" si="2"/>
        <v>EOCNML</v>
      </c>
      <c r="AV9" s="60" t="str">
        <f t="shared" si="2"/>
        <v>EOCNML</v>
      </c>
      <c r="AW9" s="60" t="str">
        <f t="shared" si="2"/>
        <v>EOCNML</v>
      </c>
      <c r="AX9" s="60" t="str">
        <f>IF(AX8&lt;&gt;"EOC","",IF(AX17&gt;1,"EOCNMLEE","EOCSMLEE"))</f>
        <v>EOCNMLEE</v>
      </c>
      <c r="AY9" s="60" t="str">
        <f t="shared" ref="AY9:BL9" si="3">IF(AY8&lt;&gt;"EOC","",IF(AY17&gt;1,"EOCNML","EOCSML"))</f>
        <v>EOCSML</v>
      </c>
      <c r="AZ9" s="60" t="str">
        <f t="shared" si="3"/>
        <v>EOCSML</v>
      </c>
      <c r="BA9" s="60" t="str">
        <f t="shared" si="3"/>
        <v>EOCSML</v>
      </c>
      <c r="BB9" s="60" t="str">
        <f t="shared" si="3"/>
        <v>EOCNML</v>
      </c>
      <c r="BC9" s="60" t="str">
        <f t="shared" si="3"/>
        <v>EOCNML</v>
      </c>
      <c r="BD9" s="60" t="str">
        <f t="shared" si="3"/>
        <v>EOCSML</v>
      </c>
      <c r="BE9" s="60" t="str">
        <f t="shared" si="3"/>
        <v>EOCSML</v>
      </c>
      <c r="BF9" s="60" t="str">
        <f t="shared" si="3"/>
        <v/>
      </c>
      <c r="BG9" s="60" t="str">
        <f t="shared" si="3"/>
        <v>EOCSML</v>
      </c>
      <c r="BH9" s="60" t="str">
        <f t="shared" si="3"/>
        <v/>
      </c>
      <c r="BI9" s="60" t="str">
        <f t="shared" si="3"/>
        <v>EOCSML</v>
      </c>
      <c r="BJ9" s="60" t="str">
        <f t="shared" si="3"/>
        <v/>
      </c>
      <c r="BK9" s="60" t="str">
        <f t="shared" si="3"/>
        <v/>
      </c>
      <c r="BL9" s="60" t="str">
        <f t="shared" si="3"/>
        <v/>
      </c>
      <c r="BM9" s="60" t="str">
        <f>IF(BM8&lt;&gt;"EOC","",IF(BM17&gt;1,"EOCNMLEE","EOCSMLEE"))</f>
        <v>EOCNMLEE</v>
      </c>
      <c r="BN9" s="60" t="str">
        <f>IF(BN8&lt;&gt;"EOC","",IF(BN17&gt;1,"EOCNML","EOCSML"))</f>
        <v>EOCSML</v>
      </c>
      <c r="BO9" s="60" t="str">
        <f>IF(BO8&lt;&gt;"EOC","",IF(BO17&gt;1,"EOCNML","EOCSML"))</f>
        <v>EOCSML</v>
      </c>
      <c r="BP9" s="60" t="str">
        <f>IF(BP8&lt;&gt;"EOC","",IF(BP17&gt;1,"EOCNML","EOCSML"))</f>
        <v>EOCNML</v>
      </c>
      <c r="BQ9" s="60" t="str">
        <f>IF(BQ8&lt;&gt;"EOC","",IF(BQ17&gt;1,"EOCNML","EOCSML"))</f>
        <v>EOCNML</v>
      </c>
      <c r="BR9" s="60" t="str">
        <f>IF(BR8&lt;&gt;"EOC","",IF(BR17&gt;1,"EOCNML","EOCSML"))</f>
        <v>EOCSML</v>
      </c>
      <c r="BS9" s="60" t="str">
        <f>IF(BS8&lt;&gt;"EOC","",IF(BS17&gt;1,"EOCNMLEE","EOCSMLEE"))</f>
        <v>EOCSMLEE</v>
      </c>
      <c r="BT9" s="60" t="str">
        <f>IF(BT8&lt;&gt;"EOC","",IF(BT17&gt;1,"EOCNML","EOCSML"))</f>
        <v/>
      </c>
      <c r="BU9" s="60" t="str">
        <f>IF(BU8&lt;&gt;"EOC","",IF(BU17&gt;1,"EOCNMLEE","EOCSMLEE"))</f>
        <v>EOCNMLEE</v>
      </c>
      <c r="BV9" s="60" t="str">
        <f>IF(BV8&lt;&gt;"EOC","",IF(BV17&gt;1,"EOCNML","EOCSML"))</f>
        <v>EOCNML</v>
      </c>
      <c r="BW9" s="60" t="str">
        <f>IF(BW8&lt;&gt;"EOC","",IF(BW17&gt;1,"EOCNML","EOCSML"))</f>
        <v/>
      </c>
      <c r="BX9" s="60" t="str">
        <f>IF(BX8&lt;&gt;"EOC","",IF(BX17&gt;1,"EOCNMLEE","EOCSMLEE"))</f>
        <v>EOCNMLEE</v>
      </c>
      <c r="BY9" s="60" t="str">
        <f>IF(BY8&lt;&gt;"EOC","",IF(BY17&gt;1,"EOCNML","EOCSML"))</f>
        <v>EOCSML</v>
      </c>
      <c r="BZ9" s="141"/>
      <c r="CA9" s="94"/>
      <c r="CB9" s="60" t="str">
        <f t="shared" ref="CB9:CG9" si="4">IF(CB8&lt;&gt;"EOC","",IF(CB17&gt;1,"EOCNMLEE","EOCSMLEE"))</f>
        <v>EOCSMLEE</v>
      </c>
      <c r="CC9" s="60" t="str">
        <f t="shared" si="4"/>
        <v>EOCSMLEE</v>
      </c>
      <c r="CD9" s="60" t="str">
        <f t="shared" si="4"/>
        <v>EOCSMLEE</v>
      </c>
      <c r="CE9" s="60" t="str">
        <f t="shared" si="4"/>
        <v>EOCSMLEE</v>
      </c>
      <c r="CF9" s="60" t="str">
        <f t="shared" si="4"/>
        <v>EOCSMLEE</v>
      </c>
      <c r="CG9" s="60" t="str">
        <f t="shared" si="4"/>
        <v>EOCSMLEE</v>
      </c>
      <c r="CH9" s="60" t="str">
        <f t="shared" ref="CH9:CQ9" si="5">IF(CH8&lt;&gt;"EOC","",IF(CH17&gt;1,"EOCNML","EOCSML"))</f>
        <v/>
      </c>
      <c r="CI9" s="60" t="str">
        <f t="shared" si="5"/>
        <v/>
      </c>
      <c r="CJ9" s="60" t="str">
        <f t="shared" si="5"/>
        <v/>
      </c>
      <c r="CK9" s="60" t="str">
        <f t="shared" si="5"/>
        <v/>
      </c>
      <c r="CL9" s="60" t="str">
        <f t="shared" si="5"/>
        <v>EOCSML</v>
      </c>
      <c r="CM9" s="60" t="str">
        <f t="shared" si="5"/>
        <v/>
      </c>
      <c r="CN9" s="60" t="str">
        <f t="shared" si="5"/>
        <v/>
      </c>
      <c r="CO9" s="60" t="str">
        <f t="shared" si="5"/>
        <v>EOCNML</v>
      </c>
      <c r="CP9" s="60" t="str">
        <f t="shared" si="5"/>
        <v/>
      </c>
      <c r="CQ9" s="60" t="str">
        <f t="shared" si="5"/>
        <v/>
      </c>
      <c r="CR9" s="60"/>
      <c r="CS9" s="159"/>
      <c r="CT9" s="60" t="str">
        <f>IF(CT8&lt;&gt;"EOC","",IF(CT17&gt;1,"EOCNML","EOCSML"))</f>
        <v>EOCNML</v>
      </c>
      <c r="CU9" s="60" t="str">
        <f>IF(CU8&lt;&gt;"EOC","",IF(CU17&gt;1,"EOCNML","EOCSML"))</f>
        <v>EOCSML</v>
      </c>
      <c r="CV9" s="60" t="str">
        <f>IF(CV8&lt;&gt;"EOC","",IF(CV17&gt;1,"EOCNML","EOCSML"))</f>
        <v/>
      </c>
      <c r="CW9" s="60" t="str">
        <f>IF(CW8&lt;&gt;"EOC","",IF(CW17&gt;1,"EOCNML","EOCSML"))</f>
        <v/>
      </c>
      <c r="CX9" s="159"/>
      <c r="CY9" s="158"/>
      <c r="CZ9" s="96"/>
      <c r="DA9" s="73"/>
      <c r="DB9" s="64"/>
      <c r="DF9" s="69"/>
      <c r="DG9" s="70" t="s">
        <v>330</v>
      </c>
      <c r="DH9" s="117"/>
      <c r="DI9" s="117">
        <f>DA97</f>
        <v>113005.46178041497</v>
      </c>
      <c r="DJ9" s="89"/>
      <c r="DK9" s="70" t="s">
        <v>534</v>
      </c>
      <c r="DL9" s="132">
        <f>D32</f>
        <v>2184070.4203323559</v>
      </c>
      <c r="DN9" s="117"/>
      <c r="DO9" s="89"/>
      <c r="DP9" s="89"/>
      <c r="DQ9" s="89"/>
      <c r="DR9" s="89"/>
      <c r="DS9" s="89"/>
      <c r="DT9" s="69"/>
      <c r="DU9" s="69"/>
      <c r="DV9" s="69"/>
      <c r="DW9" s="69"/>
      <c r="DX9" s="69"/>
      <c r="DY9" s="69"/>
      <c r="DZ9" s="69"/>
      <c r="EA9" s="69"/>
      <c r="EB9" s="69"/>
      <c r="EC9" s="69"/>
      <c r="ED9" s="69"/>
      <c r="EE9" s="69"/>
      <c r="EF9" s="69"/>
      <c r="EG9" s="69"/>
      <c r="EH9" s="69"/>
    </row>
    <row r="10" spans="1:139" s="69" customFormat="1" x14ac:dyDescent="0.25">
      <c r="B10" s="70"/>
      <c r="C10" s="71" t="s">
        <v>186</v>
      </c>
      <c r="D10" s="65">
        <v>20460</v>
      </c>
      <c r="E10" s="65">
        <v>40920</v>
      </c>
      <c r="F10" s="65">
        <v>2129</v>
      </c>
      <c r="G10" s="65">
        <v>17880</v>
      </c>
      <c r="H10" s="65">
        <v>66042</v>
      </c>
      <c r="I10" s="65">
        <v>5962</v>
      </c>
      <c r="J10" s="65">
        <v>2993</v>
      </c>
      <c r="K10" s="65">
        <v>13207</v>
      </c>
      <c r="L10" s="65">
        <v>901</v>
      </c>
      <c r="M10" s="65">
        <v>84909</v>
      </c>
      <c r="N10" s="65">
        <v>102300</v>
      </c>
      <c r="O10" s="65">
        <v>2108</v>
      </c>
      <c r="P10" s="65">
        <v>36251</v>
      </c>
      <c r="Q10" s="65">
        <v>1360</v>
      </c>
      <c r="R10" s="65">
        <v>569</v>
      </c>
      <c r="S10" s="65">
        <v>478</v>
      </c>
      <c r="T10" s="65">
        <v>1710</v>
      </c>
      <c r="U10" s="65">
        <v>916</v>
      </c>
      <c r="V10" s="65">
        <v>64</v>
      </c>
      <c r="W10" s="65">
        <v>12680</v>
      </c>
      <c r="X10" s="65">
        <v>795</v>
      </c>
      <c r="Y10" s="65">
        <v>36828</v>
      </c>
      <c r="Z10" s="65">
        <v>14247</v>
      </c>
      <c r="AA10" s="65">
        <v>477</v>
      </c>
      <c r="AB10" s="65">
        <v>281</v>
      </c>
      <c r="AC10" s="65">
        <v>1301</v>
      </c>
      <c r="AD10" s="65">
        <v>1060</v>
      </c>
      <c r="AE10" s="65">
        <v>195</v>
      </c>
      <c r="AF10" s="65">
        <v>101</v>
      </c>
      <c r="AG10" s="65">
        <v>616</v>
      </c>
      <c r="AH10" s="65">
        <v>35</v>
      </c>
      <c r="AI10" s="65">
        <v>4201</v>
      </c>
      <c r="AJ10" s="65">
        <v>2989</v>
      </c>
      <c r="AK10" s="65">
        <v>232</v>
      </c>
      <c r="AL10" s="65">
        <v>35674</v>
      </c>
      <c r="AM10" s="65">
        <v>1907</v>
      </c>
      <c r="AN10" s="65">
        <v>1310</v>
      </c>
      <c r="AO10" s="67">
        <v>26099</v>
      </c>
      <c r="AP10" s="65">
        <v>4591</v>
      </c>
      <c r="AQ10" s="65">
        <v>321</v>
      </c>
      <c r="AR10" s="65">
        <v>23000</v>
      </c>
      <c r="AS10" s="65">
        <v>7161</v>
      </c>
      <c r="AT10" s="65">
        <v>5115</v>
      </c>
      <c r="AU10" s="65">
        <v>734</v>
      </c>
      <c r="AV10" s="65">
        <v>5326</v>
      </c>
      <c r="AW10" s="65">
        <v>7093</v>
      </c>
      <c r="AX10" s="65">
        <v>148</v>
      </c>
      <c r="AY10" s="65">
        <v>13360</v>
      </c>
      <c r="AZ10" s="65">
        <v>4486</v>
      </c>
      <c r="BA10" s="65">
        <v>2410</v>
      </c>
      <c r="BB10" s="66">
        <v>3183</v>
      </c>
      <c r="BC10" s="66">
        <v>19366</v>
      </c>
      <c r="BD10" s="66">
        <v>10666</v>
      </c>
      <c r="BE10" s="65">
        <v>4737</v>
      </c>
      <c r="BF10" s="65">
        <v>20460</v>
      </c>
      <c r="BG10" s="65">
        <v>48341</v>
      </c>
      <c r="BH10" s="65">
        <v>10230</v>
      </c>
      <c r="BI10" s="65">
        <v>2</v>
      </c>
      <c r="BJ10" s="65">
        <v>132990</v>
      </c>
      <c r="BK10" s="65">
        <v>552420</v>
      </c>
      <c r="BL10" s="65">
        <v>624030</v>
      </c>
      <c r="BM10" s="67">
        <v>4804</v>
      </c>
      <c r="BN10" s="65">
        <v>3582</v>
      </c>
      <c r="BO10" s="65">
        <v>70302</v>
      </c>
      <c r="BP10" s="65">
        <v>153450</v>
      </c>
      <c r="BQ10" s="67">
        <v>4699</v>
      </c>
      <c r="BR10" s="65">
        <v>332639</v>
      </c>
      <c r="BS10" s="65">
        <v>99</v>
      </c>
      <c r="BT10" s="65">
        <v>179025</v>
      </c>
      <c r="BU10" s="65">
        <v>11</v>
      </c>
      <c r="BV10" s="65">
        <v>218</v>
      </c>
      <c r="BW10" s="65">
        <v>19437</v>
      </c>
      <c r="BX10" s="65">
        <v>1490</v>
      </c>
      <c r="BY10" s="65">
        <v>409</v>
      </c>
      <c r="BZ10" s="72">
        <f>SUM(D10:BY10)</f>
        <v>2812522</v>
      </c>
      <c r="CA10" s="76"/>
      <c r="CB10" s="121">
        <v>46035</v>
      </c>
      <c r="CC10" s="121">
        <v>16495</v>
      </c>
      <c r="CD10" s="121">
        <v>50000</v>
      </c>
      <c r="CE10" s="121">
        <v>25575</v>
      </c>
      <c r="CF10" s="121">
        <v>20460</v>
      </c>
      <c r="CG10" s="121">
        <v>25575</v>
      </c>
      <c r="CH10" s="121">
        <f>25575-CI10</f>
        <v>12787</v>
      </c>
      <c r="CI10" s="121">
        <v>12788</v>
      </c>
      <c r="CJ10" s="121">
        <f>20460-CK10</f>
        <v>10230</v>
      </c>
      <c r="CK10" s="121">
        <v>10230</v>
      </c>
      <c r="CL10" s="121">
        <v>409</v>
      </c>
      <c r="CM10" s="121">
        <v>15000</v>
      </c>
      <c r="CN10" s="121">
        <v>101585</v>
      </c>
      <c r="CO10" s="121">
        <v>4604</v>
      </c>
      <c r="CP10" s="121">
        <f>193454</f>
        <v>193454</v>
      </c>
      <c r="CQ10" s="121">
        <v>9750</v>
      </c>
      <c r="CR10" s="121">
        <v>593122</v>
      </c>
      <c r="CS10" s="121">
        <v>35000</v>
      </c>
      <c r="CT10" s="121">
        <v>1733</v>
      </c>
      <c r="CU10" s="121">
        <v>40000</v>
      </c>
      <c r="CV10" s="121">
        <v>202714</v>
      </c>
      <c r="CW10" s="121">
        <v>259684</v>
      </c>
      <c r="CX10" s="121">
        <v>4812</v>
      </c>
      <c r="CY10" s="73">
        <f>SUM(CB10:CX10)</f>
        <v>1692042</v>
      </c>
      <c r="CZ10" s="76"/>
      <c r="DA10" s="73">
        <f>BZ10+CY10</f>
        <v>4504564</v>
      </c>
      <c r="DB10" s="160"/>
      <c r="DC10" s="117">
        <f>MIN(MIN($CB10:$CX10),MIN($D10:$BY10))</f>
        <v>2</v>
      </c>
      <c r="DD10" s="117">
        <f>MAX(MAX($CB10:$CX10),MAX($D10:$BY10))</f>
        <v>624030</v>
      </c>
      <c r="DG10" s="70" t="s">
        <v>331</v>
      </c>
      <c r="DH10" s="117"/>
      <c r="DI10" s="117">
        <f>DA98</f>
        <v>115382.47535834939</v>
      </c>
      <c r="DJ10" s="89"/>
      <c r="DK10" s="143" t="s">
        <v>572</v>
      </c>
      <c r="DL10" s="132">
        <f>DK5</f>
        <v>1978667.6050830893</v>
      </c>
      <c r="DN10" s="117"/>
      <c r="DO10" s="89"/>
      <c r="DP10" s="89"/>
      <c r="DQ10" s="89"/>
      <c r="DR10" s="89"/>
      <c r="DS10" s="89"/>
      <c r="DT10" s="89"/>
      <c r="DU10" s="89"/>
      <c r="DV10" s="89"/>
      <c r="DW10" s="89"/>
      <c r="DX10" s="89"/>
      <c r="DY10" s="89"/>
      <c r="DZ10" s="89"/>
      <c r="EA10" s="89"/>
      <c r="EB10" s="89"/>
      <c r="EC10" s="89"/>
      <c r="ED10" s="89"/>
      <c r="EE10" s="89"/>
      <c r="EF10" s="89"/>
      <c r="EG10" s="89"/>
      <c r="EH10" s="89"/>
      <c r="EI10" s="89"/>
    </row>
    <row r="11" spans="1:139" s="69" customFormat="1" x14ac:dyDescent="0.25">
      <c r="B11" s="70"/>
      <c r="C11" s="71" t="s">
        <v>680</v>
      </c>
      <c r="D11" s="65">
        <f>D10/1.023</f>
        <v>20000</v>
      </c>
      <c r="E11" s="65">
        <f t="shared" ref="E11:BP11" si="6">E10/1.023</f>
        <v>40000</v>
      </c>
      <c r="F11" s="65">
        <f t="shared" si="6"/>
        <v>2081.1339198435976</v>
      </c>
      <c r="G11" s="65">
        <f t="shared" si="6"/>
        <v>17478.005865102641</v>
      </c>
      <c r="H11" s="65">
        <f t="shared" si="6"/>
        <v>64557.18475073314</v>
      </c>
      <c r="I11" s="65">
        <f t="shared" si="6"/>
        <v>5827.9569892473128</v>
      </c>
      <c r="J11" s="65">
        <f t="shared" si="6"/>
        <v>2925.7086999022486</v>
      </c>
      <c r="K11" s="65">
        <f t="shared" si="6"/>
        <v>12910.06842619746</v>
      </c>
      <c r="L11" s="65">
        <f t="shared" si="6"/>
        <v>880.74291300097764</v>
      </c>
      <c r="M11" s="65">
        <f t="shared" si="6"/>
        <v>83000.000000000015</v>
      </c>
      <c r="N11" s="65">
        <f t="shared" si="6"/>
        <v>100000.00000000001</v>
      </c>
      <c r="O11" s="65">
        <f t="shared" si="6"/>
        <v>2060.606060606061</v>
      </c>
      <c r="P11" s="65">
        <f t="shared" si="6"/>
        <v>35435.97262952102</v>
      </c>
      <c r="Q11" s="65">
        <f t="shared" si="6"/>
        <v>1329.4232649071359</v>
      </c>
      <c r="R11" s="65">
        <f t="shared" si="6"/>
        <v>556.2072336265885</v>
      </c>
      <c r="S11" s="65">
        <f t="shared" si="6"/>
        <v>467.25317693059634</v>
      </c>
      <c r="T11" s="65">
        <f t="shared" si="6"/>
        <v>1671.5542521994137</v>
      </c>
      <c r="U11" s="65">
        <f t="shared" si="6"/>
        <v>895.40566959921807</v>
      </c>
      <c r="V11" s="65">
        <f t="shared" si="6"/>
        <v>62.561094819159344</v>
      </c>
      <c r="W11" s="65">
        <f t="shared" si="6"/>
        <v>12394.916911045944</v>
      </c>
      <c r="X11" s="65">
        <f t="shared" si="6"/>
        <v>777.12609970674498</v>
      </c>
      <c r="Y11" s="65">
        <f t="shared" si="6"/>
        <v>36000</v>
      </c>
      <c r="Z11" s="65">
        <f t="shared" si="6"/>
        <v>13926.686217008799</v>
      </c>
      <c r="AA11" s="65">
        <f t="shared" si="6"/>
        <v>466.27565982404695</v>
      </c>
      <c r="AB11" s="65">
        <f t="shared" si="6"/>
        <v>274.68230694037146</v>
      </c>
      <c r="AC11" s="65">
        <f t="shared" si="6"/>
        <v>1271.7497556207234</v>
      </c>
      <c r="AD11" s="65">
        <f t="shared" si="6"/>
        <v>1036.1681329423266</v>
      </c>
      <c r="AE11" s="65">
        <f t="shared" si="6"/>
        <v>190.61583577712611</v>
      </c>
      <c r="AF11" s="65">
        <f t="shared" si="6"/>
        <v>98.729227761485831</v>
      </c>
      <c r="AG11" s="65">
        <f t="shared" si="6"/>
        <v>602.15053763440869</v>
      </c>
      <c r="AH11" s="65">
        <f t="shared" si="6"/>
        <v>34.213098729227767</v>
      </c>
      <c r="AI11" s="65">
        <f t="shared" si="6"/>
        <v>4106.5493646138812</v>
      </c>
      <c r="AJ11" s="65">
        <f t="shared" si="6"/>
        <v>2921.798631476051</v>
      </c>
      <c r="AK11" s="65">
        <f t="shared" si="6"/>
        <v>226.78396871945262</v>
      </c>
      <c r="AL11" s="65">
        <f t="shared" si="6"/>
        <v>34871.945259042033</v>
      </c>
      <c r="AM11" s="65">
        <f t="shared" si="6"/>
        <v>1864.1251221896384</v>
      </c>
      <c r="AN11" s="65">
        <f t="shared" si="6"/>
        <v>1280.5474095796678</v>
      </c>
      <c r="AO11" s="65">
        <f t="shared" si="6"/>
        <v>25512.21896383187</v>
      </c>
      <c r="AP11" s="65">
        <f t="shared" si="6"/>
        <v>4487.7810361681331</v>
      </c>
      <c r="AQ11" s="65">
        <f t="shared" si="6"/>
        <v>313.78299120234607</v>
      </c>
      <c r="AR11" s="65">
        <f t="shared" si="6"/>
        <v>22482.893450635387</v>
      </c>
      <c r="AS11" s="65">
        <f t="shared" si="6"/>
        <v>7000.0000000000009</v>
      </c>
      <c r="AT11" s="65">
        <f t="shared" si="6"/>
        <v>5000</v>
      </c>
      <c r="AU11" s="65">
        <f t="shared" si="6"/>
        <v>717.49755620723374</v>
      </c>
      <c r="AV11" s="65">
        <f t="shared" si="6"/>
        <v>5206.2561094819166</v>
      </c>
      <c r="AW11" s="65">
        <f t="shared" si="6"/>
        <v>6933.5288367546436</v>
      </c>
      <c r="AX11" s="65">
        <f t="shared" si="6"/>
        <v>144.67253176930598</v>
      </c>
      <c r="AY11" s="65">
        <f t="shared" si="6"/>
        <v>13059.628543499512</v>
      </c>
      <c r="AZ11" s="65">
        <f t="shared" si="6"/>
        <v>4385.1417399804504</v>
      </c>
      <c r="BA11" s="65">
        <f t="shared" si="6"/>
        <v>2355.8162267839689</v>
      </c>
      <c r="BB11" s="65">
        <f t="shared" si="6"/>
        <v>3111.4369501466276</v>
      </c>
      <c r="BC11" s="65">
        <f t="shared" si="6"/>
        <v>18930.596285434996</v>
      </c>
      <c r="BD11" s="65">
        <f t="shared" si="6"/>
        <v>10426.197458455525</v>
      </c>
      <c r="BE11" s="65">
        <f t="shared" si="6"/>
        <v>4630.4985337243406</v>
      </c>
      <c r="BF11" s="65">
        <f t="shared" si="6"/>
        <v>20000</v>
      </c>
      <c r="BG11" s="65">
        <f t="shared" si="6"/>
        <v>47254.154447702836</v>
      </c>
      <c r="BH11" s="65">
        <f t="shared" si="6"/>
        <v>10000</v>
      </c>
      <c r="BI11" s="65">
        <f t="shared" si="6"/>
        <v>1.9550342130987295</v>
      </c>
      <c r="BJ11" s="65">
        <f t="shared" si="6"/>
        <v>130000.00000000001</v>
      </c>
      <c r="BK11" s="65">
        <f t="shared" si="6"/>
        <v>540000</v>
      </c>
      <c r="BL11" s="65">
        <f t="shared" si="6"/>
        <v>610000</v>
      </c>
      <c r="BM11" s="65">
        <f t="shared" si="6"/>
        <v>4695.9921798631476</v>
      </c>
      <c r="BN11" s="65">
        <f t="shared" si="6"/>
        <v>3501.4662756598245</v>
      </c>
      <c r="BO11" s="65">
        <f t="shared" si="6"/>
        <v>68721.407624633444</v>
      </c>
      <c r="BP11" s="65">
        <f t="shared" si="6"/>
        <v>150000</v>
      </c>
      <c r="BQ11" s="65">
        <f t="shared" ref="BQ11:BY11" si="7">BQ10/1.023</f>
        <v>4593.3528836754649</v>
      </c>
      <c r="BR11" s="65">
        <f t="shared" si="7"/>
        <v>325160.3128054741</v>
      </c>
      <c r="BS11" s="65">
        <f t="shared" si="7"/>
        <v>96.774193548387103</v>
      </c>
      <c r="BT11" s="65">
        <f t="shared" si="7"/>
        <v>175000.00000000003</v>
      </c>
      <c r="BU11" s="65">
        <f t="shared" si="7"/>
        <v>10.752688172043012</v>
      </c>
      <c r="BV11" s="65">
        <f t="shared" si="7"/>
        <v>213.09872922776151</v>
      </c>
      <c r="BW11" s="65">
        <f t="shared" si="7"/>
        <v>19000</v>
      </c>
      <c r="BX11" s="65">
        <f t="shared" si="7"/>
        <v>1456.5004887585535</v>
      </c>
      <c r="BY11" s="65">
        <f t="shared" si="7"/>
        <v>399.80449657869013</v>
      </c>
      <c r="BZ11" s="72">
        <f>SUM(D11:BY11)</f>
        <v>2749288.3675464331</v>
      </c>
      <c r="CA11" s="76"/>
      <c r="CB11" s="65">
        <f t="shared" ref="CB11:CX11" si="8">CB10/1.023</f>
        <v>45000.000000000007</v>
      </c>
      <c r="CC11" s="65">
        <f t="shared" si="8"/>
        <v>16124.144672531771</v>
      </c>
      <c r="CD11" s="65">
        <f t="shared" si="8"/>
        <v>48875.855327468234</v>
      </c>
      <c r="CE11" s="65">
        <f t="shared" si="8"/>
        <v>25000.000000000004</v>
      </c>
      <c r="CF11" s="65">
        <f t="shared" si="8"/>
        <v>20000</v>
      </c>
      <c r="CG11" s="65">
        <f t="shared" si="8"/>
        <v>25000.000000000004</v>
      </c>
      <c r="CH11" s="65">
        <f t="shared" si="8"/>
        <v>12499.511241446726</v>
      </c>
      <c r="CI11" s="65">
        <f t="shared" si="8"/>
        <v>12500.488758553276</v>
      </c>
      <c r="CJ11" s="65">
        <f t="shared" si="8"/>
        <v>10000</v>
      </c>
      <c r="CK11" s="65">
        <f t="shared" si="8"/>
        <v>10000</v>
      </c>
      <c r="CL11" s="65">
        <f t="shared" si="8"/>
        <v>399.80449657869013</v>
      </c>
      <c r="CM11" s="65">
        <f t="shared" si="8"/>
        <v>14662.75659824047</v>
      </c>
      <c r="CN11" s="65">
        <f t="shared" si="8"/>
        <v>99301.075268817207</v>
      </c>
      <c r="CO11" s="65">
        <f t="shared" si="8"/>
        <v>4500.4887585532751</v>
      </c>
      <c r="CP11" s="65">
        <f t="shared" si="8"/>
        <v>189104.59433040081</v>
      </c>
      <c r="CQ11" s="65">
        <f t="shared" si="8"/>
        <v>9530.7917888563061</v>
      </c>
      <c r="CR11" s="65">
        <f t="shared" si="8"/>
        <v>579786.90127077233</v>
      </c>
      <c r="CS11" s="65">
        <f t="shared" si="8"/>
        <v>34213.098729227764</v>
      </c>
      <c r="CT11" s="65">
        <f t="shared" si="8"/>
        <v>1694.0371456500491</v>
      </c>
      <c r="CU11" s="65">
        <f t="shared" si="8"/>
        <v>39100.684261974588</v>
      </c>
      <c r="CV11" s="65">
        <f t="shared" si="8"/>
        <v>198156.4027370479</v>
      </c>
      <c r="CW11" s="65">
        <f t="shared" si="8"/>
        <v>253845.55229716521</v>
      </c>
      <c r="CX11" s="65">
        <f t="shared" si="8"/>
        <v>4703.8123167155427</v>
      </c>
      <c r="CY11" s="73">
        <f>SUM(CB11:CX11)</f>
        <v>1654000</v>
      </c>
      <c r="CZ11" s="76"/>
      <c r="DA11" s="73">
        <f>BZ11+CY11</f>
        <v>4403288.3675464336</v>
      </c>
      <c r="DB11" s="160"/>
      <c r="DC11" s="117">
        <f>MIN(MIN($CB11:$CX11),MIN($D11:$BY11))</f>
        <v>1.9550342130987295</v>
      </c>
      <c r="DD11" s="117">
        <f>MAX(MAX($CB11:$CX11),MAX($D11:$BY11))</f>
        <v>610000</v>
      </c>
      <c r="DJ11" s="89"/>
      <c r="DK11" s="143" t="s">
        <v>574</v>
      </c>
      <c r="DL11" s="132">
        <f>C20</f>
        <v>23409.579667644182</v>
      </c>
      <c r="DN11" s="117"/>
      <c r="DO11" s="89"/>
      <c r="DP11" s="89"/>
      <c r="DQ11" s="89"/>
      <c r="DR11" s="89"/>
      <c r="DS11" s="89"/>
      <c r="DT11" s="89"/>
      <c r="DU11" s="89"/>
      <c r="DV11" s="89"/>
      <c r="DW11" s="89"/>
      <c r="DX11" s="89"/>
      <c r="DY11" s="89"/>
      <c r="DZ11" s="89"/>
      <c r="EA11" s="89"/>
      <c r="EB11" s="89"/>
      <c r="EC11" s="89"/>
      <c r="ED11" s="89"/>
      <c r="EE11" s="89"/>
      <c r="EF11" s="89"/>
      <c r="EG11" s="89"/>
      <c r="EH11" s="89"/>
      <c r="EI11" s="89"/>
    </row>
    <row r="12" spans="1:139" s="69" customFormat="1" ht="13.8" thickBot="1" x14ac:dyDescent="0.3">
      <c r="B12" s="70"/>
      <c r="C12" s="71" t="s">
        <v>188</v>
      </c>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5"/>
      <c r="BZ12" s="72"/>
      <c r="CA12" s="76"/>
      <c r="CB12" s="121"/>
      <c r="CC12" s="121"/>
      <c r="CD12" s="121"/>
      <c r="CE12" s="121"/>
      <c r="CF12" s="121"/>
      <c r="CG12" s="121"/>
      <c r="CH12" s="121"/>
      <c r="CI12" s="121"/>
      <c r="CJ12" s="121"/>
      <c r="CK12" s="121"/>
      <c r="CL12" s="121"/>
      <c r="CM12" s="121"/>
      <c r="CN12" s="121"/>
      <c r="CO12" s="121"/>
      <c r="CP12" s="121"/>
      <c r="CQ12" s="121"/>
      <c r="CR12" s="121"/>
      <c r="CS12" s="121"/>
      <c r="CT12" s="121"/>
      <c r="CU12" s="121"/>
      <c r="CV12" s="121"/>
      <c r="CW12" s="121"/>
      <c r="CX12" s="121"/>
      <c r="CY12" s="73"/>
      <c r="CZ12" s="76"/>
      <c r="DJ12" s="89"/>
      <c r="DK12" s="89" t="s">
        <v>25</v>
      </c>
      <c r="DL12" s="161">
        <f>DL10+DL9+DL11</f>
        <v>4186147.6050830893</v>
      </c>
      <c r="DN12" s="117"/>
      <c r="DO12" s="89"/>
      <c r="DP12" s="89"/>
      <c r="DQ12" s="89"/>
      <c r="DR12" s="89"/>
      <c r="DS12" s="89"/>
      <c r="DT12" s="89"/>
      <c r="DU12" s="89"/>
      <c r="DV12" s="89"/>
      <c r="DW12" s="89"/>
      <c r="DX12" s="89"/>
      <c r="DY12" s="89"/>
      <c r="DZ12" s="89"/>
      <c r="EA12" s="89"/>
      <c r="EB12" s="89"/>
      <c r="EC12" s="89"/>
      <c r="ED12" s="89"/>
      <c r="EE12" s="89"/>
      <c r="EF12" s="89"/>
      <c r="EG12" s="89"/>
      <c r="EH12" s="89"/>
      <c r="EI12" s="89"/>
    </row>
    <row r="13" spans="1:139" s="69" customFormat="1" ht="13.8" thickTop="1" x14ac:dyDescent="0.25">
      <c r="B13" s="70"/>
      <c r="C13" s="71" t="s">
        <v>601</v>
      </c>
      <c r="D13" s="65">
        <f t="shared" ref="D13:AI13" si="9">IF(D3="FT1",IF(D6="System",D11,0),0)</f>
        <v>20000</v>
      </c>
      <c r="E13" s="65">
        <f t="shared" si="9"/>
        <v>40000</v>
      </c>
      <c r="F13" s="65">
        <f t="shared" si="9"/>
        <v>0</v>
      </c>
      <c r="G13" s="65">
        <f t="shared" si="9"/>
        <v>17478.005865102641</v>
      </c>
      <c r="H13" s="65">
        <f t="shared" si="9"/>
        <v>64557.18475073314</v>
      </c>
      <c r="I13" s="65">
        <f t="shared" si="9"/>
        <v>5827.9569892473128</v>
      </c>
      <c r="J13" s="65">
        <f t="shared" si="9"/>
        <v>2925.7086999022486</v>
      </c>
      <c r="K13" s="65">
        <f t="shared" si="9"/>
        <v>12910.06842619746</v>
      </c>
      <c r="L13" s="65">
        <f t="shared" si="9"/>
        <v>0</v>
      </c>
      <c r="M13" s="65">
        <f t="shared" si="9"/>
        <v>83000.000000000015</v>
      </c>
      <c r="N13" s="65">
        <f t="shared" si="9"/>
        <v>100000.00000000001</v>
      </c>
      <c r="O13" s="65">
        <f t="shared" si="9"/>
        <v>2060.606060606061</v>
      </c>
      <c r="P13" s="65">
        <f t="shared" si="9"/>
        <v>35435.97262952102</v>
      </c>
      <c r="Q13" s="65">
        <f t="shared" si="9"/>
        <v>1329.4232649071359</v>
      </c>
      <c r="R13" s="65">
        <f t="shared" si="9"/>
        <v>0</v>
      </c>
      <c r="S13" s="65">
        <f t="shared" si="9"/>
        <v>0</v>
      </c>
      <c r="T13" s="65">
        <f t="shared" si="9"/>
        <v>0</v>
      </c>
      <c r="U13" s="65">
        <f t="shared" si="9"/>
        <v>0</v>
      </c>
      <c r="V13" s="65">
        <f t="shared" si="9"/>
        <v>0</v>
      </c>
      <c r="W13" s="65">
        <f t="shared" si="9"/>
        <v>12394.916911045944</v>
      </c>
      <c r="X13" s="65">
        <f t="shared" si="9"/>
        <v>777.12609970674498</v>
      </c>
      <c r="Y13" s="65">
        <f t="shared" si="9"/>
        <v>36000</v>
      </c>
      <c r="Z13" s="65">
        <f t="shared" si="9"/>
        <v>13926.686217008799</v>
      </c>
      <c r="AA13" s="65">
        <f t="shared" si="9"/>
        <v>0</v>
      </c>
      <c r="AB13" s="65">
        <f t="shared" si="9"/>
        <v>0</v>
      </c>
      <c r="AC13" s="65">
        <f t="shared" si="9"/>
        <v>0</v>
      </c>
      <c r="AD13" s="65">
        <f t="shared" si="9"/>
        <v>0</v>
      </c>
      <c r="AE13" s="65">
        <f t="shared" si="9"/>
        <v>0</v>
      </c>
      <c r="AF13" s="65">
        <f t="shared" si="9"/>
        <v>0</v>
      </c>
      <c r="AG13" s="65">
        <f t="shared" si="9"/>
        <v>0</v>
      </c>
      <c r="AH13" s="65">
        <f t="shared" si="9"/>
        <v>0</v>
      </c>
      <c r="AI13" s="65">
        <f t="shared" si="9"/>
        <v>4106.5493646138812</v>
      </c>
      <c r="AJ13" s="65">
        <f t="shared" ref="AJ13:BO13" si="10">IF(AJ3="FT1",IF(AJ6="System",AJ11,0),0)</f>
        <v>0</v>
      </c>
      <c r="AK13" s="65">
        <f t="shared" si="10"/>
        <v>0</v>
      </c>
      <c r="AL13" s="65">
        <f t="shared" si="10"/>
        <v>34871.945259042033</v>
      </c>
      <c r="AM13" s="65">
        <f t="shared" si="10"/>
        <v>0</v>
      </c>
      <c r="AN13" s="65">
        <f t="shared" si="10"/>
        <v>0</v>
      </c>
      <c r="AO13" s="65">
        <f t="shared" si="10"/>
        <v>25512.21896383187</v>
      </c>
      <c r="AP13" s="65">
        <f t="shared" si="10"/>
        <v>4487.7810361681331</v>
      </c>
      <c r="AQ13" s="65">
        <f t="shared" si="10"/>
        <v>0</v>
      </c>
      <c r="AR13" s="65">
        <f t="shared" si="10"/>
        <v>22482.893450635387</v>
      </c>
      <c r="AS13" s="65">
        <f t="shared" si="10"/>
        <v>7000.0000000000009</v>
      </c>
      <c r="AT13" s="65">
        <f t="shared" si="10"/>
        <v>0</v>
      </c>
      <c r="AU13" s="65">
        <f t="shared" si="10"/>
        <v>0</v>
      </c>
      <c r="AV13" s="65">
        <f t="shared" si="10"/>
        <v>5206.2561094819166</v>
      </c>
      <c r="AW13" s="65">
        <f t="shared" si="10"/>
        <v>6933.5288367546436</v>
      </c>
      <c r="AX13" s="65">
        <f t="shared" si="10"/>
        <v>0</v>
      </c>
      <c r="AY13" s="65">
        <f t="shared" si="10"/>
        <v>13059.628543499512</v>
      </c>
      <c r="AZ13" s="65">
        <f t="shared" si="10"/>
        <v>4385.1417399804504</v>
      </c>
      <c r="BA13" s="65">
        <f t="shared" si="10"/>
        <v>2355.8162267839689</v>
      </c>
      <c r="BB13" s="65">
        <f t="shared" si="10"/>
        <v>3111.4369501466276</v>
      </c>
      <c r="BC13" s="65">
        <f t="shared" si="10"/>
        <v>18930.596285434996</v>
      </c>
      <c r="BD13" s="65">
        <f t="shared" si="10"/>
        <v>10426.197458455525</v>
      </c>
      <c r="BE13" s="65">
        <f t="shared" si="10"/>
        <v>0</v>
      </c>
      <c r="BF13" s="65">
        <f t="shared" si="10"/>
        <v>20000</v>
      </c>
      <c r="BG13" s="65">
        <f t="shared" si="10"/>
        <v>47254.154447702836</v>
      </c>
      <c r="BH13" s="65">
        <f t="shared" si="10"/>
        <v>10000</v>
      </c>
      <c r="BI13" s="65">
        <f t="shared" si="10"/>
        <v>1.9550342130987295</v>
      </c>
      <c r="BJ13" s="65">
        <f t="shared" si="10"/>
        <v>130000.00000000001</v>
      </c>
      <c r="BK13" s="65">
        <f t="shared" si="10"/>
        <v>540000</v>
      </c>
      <c r="BL13" s="65">
        <f t="shared" si="10"/>
        <v>610000</v>
      </c>
      <c r="BM13" s="65">
        <f t="shared" si="10"/>
        <v>4695.9921798631476</v>
      </c>
      <c r="BN13" s="65">
        <f t="shared" si="10"/>
        <v>3501.4662756598245</v>
      </c>
      <c r="BO13" s="65">
        <f t="shared" si="10"/>
        <v>68721.407624633444</v>
      </c>
      <c r="BP13" s="65">
        <f t="shared" ref="BP13:BY13" si="11">IF(BP3="FT1",IF(BP6="System",BP11,0),0)</f>
        <v>150000</v>
      </c>
      <c r="BQ13" s="65">
        <f t="shared" si="11"/>
        <v>4593.3528836754649</v>
      </c>
      <c r="BR13" s="65">
        <f t="shared" si="11"/>
        <v>325160.3128054741</v>
      </c>
      <c r="BS13" s="65">
        <f t="shared" si="11"/>
        <v>0</v>
      </c>
      <c r="BT13" s="65">
        <f t="shared" si="11"/>
        <v>175000.00000000003</v>
      </c>
      <c r="BU13" s="65">
        <f t="shared" si="11"/>
        <v>0</v>
      </c>
      <c r="BV13" s="65">
        <f t="shared" si="11"/>
        <v>0</v>
      </c>
      <c r="BW13" s="65">
        <f t="shared" si="11"/>
        <v>19000</v>
      </c>
      <c r="BX13" s="65">
        <f t="shared" si="11"/>
        <v>1456.5004887585535</v>
      </c>
      <c r="BY13" s="65">
        <f t="shared" si="11"/>
        <v>0</v>
      </c>
      <c r="BZ13" s="72">
        <f>SUM(D13:BY13)</f>
        <v>2720878.7878787885</v>
      </c>
      <c r="CA13" s="76"/>
      <c r="CB13" s="65">
        <f t="shared" ref="CB13:CX13" si="12">IF(CB3="FT1",IF(CB6="System",CB11,0),0)</f>
        <v>0</v>
      </c>
      <c r="CC13" s="65">
        <f t="shared" si="12"/>
        <v>0</v>
      </c>
      <c r="CD13" s="65">
        <f t="shared" si="12"/>
        <v>0</v>
      </c>
      <c r="CE13" s="65">
        <f t="shared" si="12"/>
        <v>0</v>
      </c>
      <c r="CF13" s="65">
        <f t="shared" si="12"/>
        <v>0</v>
      </c>
      <c r="CG13" s="65">
        <f t="shared" si="12"/>
        <v>0</v>
      </c>
      <c r="CH13" s="65">
        <f t="shared" si="12"/>
        <v>12499.511241446726</v>
      </c>
      <c r="CI13" s="65">
        <f t="shared" si="12"/>
        <v>12500.488758553276</v>
      </c>
      <c r="CJ13" s="65">
        <f t="shared" si="12"/>
        <v>10000</v>
      </c>
      <c r="CK13" s="65">
        <f t="shared" si="12"/>
        <v>10000</v>
      </c>
      <c r="CL13" s="65">
        <f t="shared" si="12"/>
        <v>399.80449657869013</v>
      </c>
      <c r="CM13" s="65">
        <f t="shared" si="12"/>
        <v>14662.75659824047</v>
      </c>
      <c r="CN13" s="65">
        <f t="shared" si="12"/>
        <v>99301.075268817207</v>
      </c>
      <c r="CO13" s="65">
        <f t="shared" si="12"/>
        <v>4500.4887585532751</v>
      </c>
      <c r="CP13" s="65">
        <f t="shared" si="12"/>
        <v>189104.59433040081</v>
      </c>
      <c r="CQ13" s="65">
        <f t="shared" si="12"/>
        <v>9530.7917888563061</v>
      </c>
      <c r="CR13" s="65">
        <f t="shared" si="12"/>
        <v>579786.90127077233</v>
      </c>
      <c r="CS13" s="65">
        <f t="shared" si="12"/>
        <v>34213.098729227764</v>
      </c>
      <c r="CT13" s="65">
        <f t="shared" si="12"/>
        <v>0</v>
      </c>
      <c r="CU13" s="65">
        <f t="shared" si="12"/>
        <v>0</v>
      </c>
      <c r="CV13" s="65">
        <f t="shared" si="12"/>
        <v>0</v>
      </c>
      <c r="CW13" s="65">
        <f t="shared" si="12"/>
        <v>0</v>
      </c>
      <c r="CX13" s="65">
        <f t="shared" si="12"/>
        <v>0</v>
      </c>
      <c r="CY13" s="73">
        <f>SUM(CB13:CX13)</f>
        <v>976499.51124144683</v>
      </c>
      <c r="CZ13" s="76"/>
      <c r="DA13" s="73">
        <f>BZ13+CY13</f>
        <v>3697378.2991202353</v>
      </c>
      <c r="DB13" s="74"/>
      <c r="DC13" s="117">
        <f>MIN(MIN($CB13:$CX13),MIN($D13:$BY13))</f>
        <v>0</v>
      </c>
      <c r="DD13" s="117">
        <f>MAX(MAX($CB13:$CX13),MAX($D13:$BY13))</f>
        <v>610000</v>
      </c>
      <c r="DG13" s="143" t="s">
        <v>332</v>
      </c>
      <c r="DH13" s="117"/>
      <c r="DI13" s="117"/>
      <c r="DJ13" s="89"/>
      <c r="DN13" s="117"/>
      <c r="DO13" s="89"/>
      <c r="DP13" s="89"/>
      <c r="DQ13" s="89"/>
      <c r="DR13" s="89"/>
      <c r="DS13" s="89"/>
      <c r="DT13" s="89"/>
      <c r="DU13" s="89"/>
      <c r="DV13" s="89"/>
      <c r="DW13" s="89"/>
      <c r="DX13" s="89"/>
      <c r="DY13" s="89"/>
      <c r="DZ13" s="89"/>
      <c r="EA13" s="89"/>
      <c r="EB13" s="89"/>
      <c r="EC13" s="89"/>
      <c r="ED13" s="89"/>
      <c r="EE13" s="89"/>
      <c r="EF13" s="89"/>
      <c r="EG13" s="89"/>
      <c r="EH13" s="89"/>
      <c r="EI13" s="89"/>
    </row>
    <row r="14" spans="1:139" s="69" customFormat="1" ht="13.8" thickBot="1" x14ac:dyDescent="0.3">
      <c r="B14" s="70"/>
      <c r="C14" s="71" t="s">
        <v>22</v>
      </c>
      <c r="D14" s="65">
        <f t="shared" ref="D14:AI14" si="13">IF(D$6="System",D$11,IF(D$6="SJ",D$11,0))</f>
        <v>20000</v>
      </c>
      <c r="E14" s="65">
        <f t="shared" si="13"/>
        <v>40000</v>
      </c>
      <c r="F14" s="65">
        <f t="shared" si="13"/>
        <v>2081.1339198435976</v>
      </c>
      <c r="G14" s="65">
        <f t="shared" si="13"/>
        <v>17478.005865102641</v>
      </c>
      <c r="H14" s="65">
        <f t="shared" si="13"/>
        <v>64557.18475073314</v>
      </c>
      <c r="I14" s="65">
        <f t="shared" si="13"/>
        <v>5827.9569892473128</v>
      </c>
      <c r="J14" s="65">
        <f t="shared" si="13"/>
        <v>2925.7086999022486</v>
      </c>
      <c r="K14" s="65">
        <f t="shared" si="13"/>
        <v>12910.06842619746</v>
      </c>
      <c r="L14" s="65">
        <f t="shared" si="13"/>
        <v>880.74291300097764</v>
      </c>
      <c r="M14" s="65">
        <f t="shared" si="13"/>
        <v>83000.000000000015</v>
      </c>
      <c r="N14" s="65">
        <f t="shared" si="13"/>
        <v>100000.00000000001</v>
      </c>
      <c r="O14" s="65">
        <f t="shared" si="13"/>
        <v>2060.606060606061</v>
      </c>
      <c r="P14" s="65">
        <f t="shared" si="13"/>
        <v>35435.97262952102</v>
      </c>
      <c r="Q14" s="65">
        <f t="shared" si="13"/>
        <v>1329.4232649071359</v>
      </c>
      <c r="R14" s="65">
        <f t="shared" si="13"/>
        <v>556.2072336265885</v>
      </c>
      <c r="S14" s="65">
        <f t="shared" si="13"/>
        <v>467.25317693059634</v>
      </c>
      <c r="T14" s="65">
        <f t="shared" si="13"/>
        <v>1671.5542521994137</v>
      </c>
      <c r="U14" s="65">
        <f t="shared" si="13"/>
        <v>895.40566959921807</v>
      </c>
      <c r="V14" s="65">
        <f t="shared" si="13"/>
        <v>62.561094819159344</v>
      </c>
      <c r="W14" s="65">
        <f t="shared" si="13"/>
        <v>12394.916911045944</v>
      </c>
      <c r="X14" s="65">
        <f t="shared" si="13"/>
        <v>777.12609970674498</v>
      </c>
      <c r="Y14" s="65">
        <f t="shared" si="13"/>
        <v>36000</v>
      </c>
      <c r="Z14" s="65">
        <f t="shared" si="13"/>
        <v>13926.686217008799</v>
      </c>
      <c r="AA14" s="65">
        <f t="shared" si="13"/>
        <v>466.27565982404695</v>
      </c>
      <c r="AB14" s="65">
        <f t="shared" si="13"/>
        <v>274.68230694037146</v>
      </c>
      <c r="AC14" s="65">
        <f t="shared" si="13"/>
        <v>1271.7497556207234</v>
      </c>
      <c r="AD14" s="65">
        <f t="shared" si="13"/>
        <v>1036.1681329423266</v>
      </c>
      <c r="AE14" s="65">
        <f t="shared" si="13"/>
        <v>190.61583577712611</v>
      </c>
      <c r="AF14" s="65">
        <f t="shared" si="13"/>
        <v>98.729227761485831</v>
      </c>
      <c r="AG14" s="65">
        <f t="shared" si="13"/>
        <v>602.15053763440869</v>
      </c>
      <c r="AH14" s="65">
        <f t="shared" si="13"/>
        <v>34.213098729227767</v>
      </c>
      <c r="AI14" s="65">
        <f t="shared" si="13"/>
        <v>4106.5493646138812</v>
      </c>
      <c r="AJ14" s="65">
        <f t="shared" ref="AJ14:BO14" si="14">IF(AJ$6="System",AJ$11,IF(AJ$6="SJ",AJ$11,0))</f>
        <v>2921.798631476051</v>
      </c>
      <c r="AK14" s="65">
        <f t="shared" si="14"/>
        <v>226.78396871945262</v>
      </c>
      <c r="AL14" s="65">
        <f t="shared" si="14"/>
        <v>34871.945259042033</v>
      </c>
      <c r="AM14" s="65">
        <f t="shared" si="14"/>
        <v>1864.1251221896384</v>
      </c>
      <c r="AN14" s="65">
        <f t="shared" si="14"/>
        <v>1280.5474095796678</v>
      </c>
      <c r="AO14" s="65">
        <f t="shared" si="14"/>
        <v>25512.21896383187</v>
      </c>
      <c r="AP14" s="65">
        <f t="shared" si="14"/>
        <v>4487.7810361681331</v>
      </c>
      <c r="AQ14" s="65">
        <f t="shared" si="14"/>
        <v>313.78299120234607</v>
      </c>
      <c r="AR14" s="65">
        <f t="shared" si="14"/>
        <v>22482.893450635387</v>
      </c>
      <c r="AS14" s="65">
        <f t="shared" si="14"/>
        <v>7000.0000000000009</v>
      </c>
      <c r="AT14" s="65">
        <f t="shared" si="14"/>
        <v>5000</v>
      </c>
      <c r="AU14" s="65">
        <f t="shared" si="14"/>
        <v>717.49755620723374</v>
      </c>
      <c r="AV14" s="65">
        <f t="shared" si="14"/>
        <v>5206.2561094819166</v>
      </c>
      <c r="AW14" s="65">
        <f t="shared" si="14"/>
        <v>6933.5288367546436</v>
      </c>
      <c r="AX14" s="65">
        <f t="shared" si="14"/>
        <v>144.67253176930598</v>
      </c>
      <c r="AY14" s="65">
        <f t="shared" si="14"/>
        <v>13059.628543499512</v>
      </c>
      <c r="AZ14" s="65">
        <f t="shared" si="14"/>
        <v>4385.1417399804504</v>
      </c>
      <c r="BA14" s="65">
        <f t="shared" si="14"/>
        <v>2355.8162267839689</v>
      </c>
      <c r="BB14" s="65">
        <f t="shared" si="14"/>
        <v>3111.4369501466276</v>
      </c>
      <c r="BC14" s="65">
        <f t="shared" si="14"/>
        <v>18930.596285434996</v>
      </c>
      <c r="BD14" s="65">
        <f t="shared" si="14"/>
        <v>10426.197458455525</v>
      </c>
      <c r="BE14" s="65">
        <f t="shared" si="14"/>
        <v>4630.4985337243406</v>
      </c>
      <c r="BF14" s="65">
        <f t="shared" si="14"/>
        <v>20000</v>
      </c>
      <c r="BG14" s="65">
        <f t="shared" si="14"/>
        <v>47254.154447702836</v>
      </c>
      <c r="BH14" s="65">
        <f t="shared" si="14"/>
        <v>10000</v>
      </c>
      <c r="BI14" s="65">
        <f t="shared" si="14"/>
        <v>1.9550342130987295</v>
      </c>
      <c r="BJ14" s="65">
        <f t="shared" si="14"/>
        <v>130000.00000000001</v>
      </c>
      <c r="BK14" s="65">
        <f t="shared" si="14"/>
        <v>540000</v>
      </c>
      <c r="BL14" s="65">
        <f t="shared" si="14"/>
        <v>610000</v>
      </c>
      <c r="BM14" s="65">
        <f t="shared" si="14"/>
        <v>4695.9921798631476</v>
      </c>
      <c r="BN14" s="65">
        <f t="shared" si="14"/>
        <v>3501.4662756598245</v>
      </c>
      <c r="BO14" s="65">
        <f t="shared" si="14"/>
        <v>68721.407624633444</v>
      </c>
      <c r="BP14" s="65">
        <f t="shared" ref="BP14:BY14" si="15">IF(BP$6="System",BP$11,IF(BP$6="SJ",BP$11,0))</f>
        <v>150000</v>
      </c>
      <c r="BQ14" s="65">
        <f t="shared" si="15"/>
        <v>4593.3528836754649</v>
      </c>
      <c r="BR14" s="65">
        <f t="shared" si="15"/>
        <v>325160.3128054741</v>
      </c>
      <c r="BS14" s="65">
        <f t="shared" si="15"/>
        <v>96.774193548387103</v>
      </c>
      <c r="BT14" s="65">
        <f t="shared" si="15"/>
        <v>175000.00000000003</v>
      </c>
      <c r="BU14" s="65">
        <f t="shared" si="15"/>
        <v>10.752688172043012</v>
      </c>
      <c r="BV14" s="65">
        <f t="shared" si="15"/>
        <v>213.09872922776151</v>
      </c>
      <c r="BW14" s="65">
        <f t="shared" si="15"/>
        <v>19000</v>
      </c>
      <c r="BX14" s="65">
        <f t="shared" si="15"/>
        <v>1456.5004887585535</v>
      </c>
      <c r="BY14" s="65">
        <f t="shared" si="15"/>
        <v>399.80449657869013</v>
      </c>
      <c r="BZ14" s="72">
        <f>SUM(D14:BY14)</f>
        <v>2749288.3675464331</v>
      </c>
      <c r="CA14" s="76"/>
      <c r="CB14" s="121">
        <f t="shared" ref="CB14:CS14" si="16">CB11</f>
        <v>45000.000000000007</v>
      </c>
      <c r="CC14" s="121">
        <f t="shared" si="16"/>
        <v>16124.144672531771</v>
      </c>
      <c r="CD14" s="121">
        <f t="shared" si="16"/>
        <v>48875.855327468234</v>
      </c>
      <c r="CE14" s="121">
        <f t="shared" si="16"/>
        <v>25000.000000000004</v>
      </c>
      <c r="CF14" s="121">
        <f t="shared" si="16"/>
        <v>20000</v>
      </c>
      <c r="CG14" s="121">
        <f t="shared" si="16"/>
        <v>25000.000000000004</v>
      </c>
      <c r="CH14" s="121">
        <f t="shared" si="16"/>
        <v>12499.511241446726</v>
      </c>
      <c r="CI14" s="121">
        <f t="shared" si="16"/>
        <v>12500.488758553276</v>
      </c>
      <c r="CJ14" s="121">
        <f t="shared" si="16"/>
        <v>10000</v>
      </c>
      <c r="CK14" s="121">
        <f t="shared" si="16"/>
        <v>10000</v>
      </c>
      <c r="CL14" s="121">
        <f t="shared" si="16"/>
        <v>399.80449657869013</v>
      </c>
      <c r="CM14" s="121">
        <f t="shared" si="16"/>
        <v>14662.75659824047</v>
      </c>
      <c r="CN14" s="121">
        <f t="shared" si="16"/>
        <v>99301.075268817207</v>
      </c>
      <c r="CO14" s="121">
        <f t="shared" si="16"/>
        <v>4500.4887585532751</v>
      </c>
      <c r="CP14" s="121">
        <f t="shared" si="16"/>
        <v>189104.59433040081</v>
      </c>
      <c r="CQ14" s="121">
        <f t="shared" si="16"/>
        <v>9530.7917888563061</v>
      </c>
      <c r="CR14" s="121">
        <f t="shared" si="16"/>
        <v>579786.90127077233</v>
      </c>
      <c r="CS14" s="121">
        <f t="shared" si="16"/>
        <v>34213.098729227764</v>
      </c>
      <c r="CT14" s="121"/>
      <c r="CU14" s="121"/>
      <c r="CV14" s="121"/>
      <c r="CW14" s="121"/>
      <c r="CX14" s="121"/>
      <c r="CY14" s="73">
        <f>SUM(CB14:CX14)</f>
        <v>1156499.5112414467</v>
      </c>
      <c r="CZ14" s="76"/>
      <c r="DA14" s="73">
        <f>BZ14+CY14</f>
        <v>3905787.8787878798</v>
      </c>
      <c r="DB14" s="74"/>
      <c r="DC14" s="117">
        <f>MIN(MIN($CB14:$CX14),MIN($D14:$BY14))</f>
        <v>1.9550342130987295</v>
      </c>
      <c r="DD14" s="117">
        <f>MAX(MAX($CB14:$CX14),MAX($D14:$BY14))</f>
        <v>610000</v>
      </c>
      <c r="DG14" s="70" t="s">
        <v>326</v>
      </c>
      <c r="DH14" s="117">
        <f>DA100</f>
        <v>107466.91265908438</v>
      </c>
      <c r="DI14" s="117"/>
      <c r="DJ14" s="89"/>
      <c r="DK14" s="89"/>
      <c r="DL14" s="89"/>
      <c r="DM14" s="89"/>
      <c r="DN14" s="117"/>
      <c r="DO14" s="89"/>
      <c r="DP14" s="89"/>
      <c r="DQ14" s="89"/>
      <c r="DR14" s="89"/>
      <c r="DS14" s="89"/>
      <c r="DT14" s="89"/>
      <c r="DU14" s="89"/>
      <c r="DV14" s="89"/>
      <c r="DW14" s="89"/>
      <c r="DX14" s="89"/>
      <c r="DY14" s="89"/>
      <c r="DZ14" s="89"/>
      <c r="EA14" s="89"/>
      <c r="EB14" s="89"/>
      <c r="EC14" s="89"/>
      <c r="ED14" s="89"/>
      <c r="EE14" s="89"/>
      <c r="EF14" s="89"/>
      <c r="EG14" s="89"/>
      <c r="EH14" s="89"/>
      <c r="EI14" s="89"/>
    </row>
    <row r="15" spans="1:139" s="69" customFormat="1" x14ac:dyDescent="0.25">
      <c r="B15" s="70"/>
      <c r="C15" s="71" t="s">
        <v>189</v>
      </c>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72"/>
      <c r="CA15" s="76"/>
      <c r="CB15" s="121"/>
      <c r="CC15" s="121"/>
      <c r="CD15" s="121"/>
      <c r="CE15" s="121"/>
      <c r="CF15" s="121"/>
      <c r="CG15" s="121"/>
      <c r="CH15" s="121"/>
      <c r="CI15" s="121"/>
      <c r="CJ15" s="121"/>
      <c r="CK15" s="121"/>
      <c r="CL15" s="121"/>
      <c r="CM15" s="121"/>
      <c r="CN15" s="121"/>
      <c r="CO15" s="121"/>
      <c r="CP15" s="121"/>
      <c r="CQ15" s="121"/>
      <c r="CR15" s="121"/>
      <c r="CS15" s="121"/>
      <c r="CT15" s="121"/>
      <c r="CU15" s="121"/>
      <c r="CV15" s="121"/>
      <c r="CW15" s="121"/>
      <c r="CX15" s="121"/>
      <c r="CY15" s="73"/>
      <c r="CZ15" s="76"/>
      <c r="DA15" s="73"/>
      <c r="DB15" s="74"/>
      <c r="DG15" s="70" t="s">
        <v>327</v>
      </c>
      <c r="DH15" s="117">
        <f>DA101</f>
        <v>41755.700136714637</v>
      </c>
      <c r="DI15" s="117"/>
      <c r="DJ15" s="162" t="s">
        <v>696</v>
      </c>
      <c r="DK15" s="163">
        <f>MAX(0,DL9-(C32*1000))</f>
        <v>0</v>
      </c>
      <c r="DL15" s="164" t="s">
        <v>577</v>
      </c>
      <c r="DM15" s="165"/>
      <c r="DN15" s="166"/>
      <c r="DO15" s="89"/>
      <c r="DP15" s="89"/>
      <c r="DQ15" s="89"/>
      <c r="DR15" s="89"/>
      <c r="DS15" s="89"/>
      <c r="DT15" s="89"/>
      <c r="DU15" s="89"/>
      <c r="DV15" s="89"/>
      <c r="DW15" s="89"/>
      <c r="DX15" s="89"/>
      <c r="DY15" s="89"/>
      <c r="DZ15" s="89"/>
      <c r="EA15" s="89"/>
      <c r="EB15" s="89"/>
      <c r="EC15" s="89"/>
      <c r="ED15" s="89"/>
      <c r="EE15" s="89"/>
      <c r="EF15" s="89"/>
      <c r="EG15" s="89"/>
      <c r="EH15" s="89"/>
      <c r="EI15" s="89"/>
    </row>
    <row r="16" spans="1:139" s="69" customFormat="1" x14ac:dyDescent="0.25">
      <c r="B16" s="70"/>
      <c r="C16" s="71" t="s">
        <v>30</v>
      </c>
      <c r="D16" s="65">
        <f>D11</f>
        <v>20000</v>
      </c>
      <c r="E16" s="65"/>
      <c r="F16" s="65"/>
      <c r="G16" s="65"/>
      <c r="H16" s="65"/>
      <c r="I16" s="65"/>
      <c r="J16" s="65"/>
      <c r="K16" s="65"/>
      <c r="L16" s="65"/>
      <c r="M16" s="65"/>
      <c r="N16" s="65">
        <f>N11</f>
        <v>100000.00000000001</v>
      </c>
      <c r="O16" s="65"/>
      <c r="P16" s="65"/>
      <c r="Q16" s="65"/>
      <c r="R16" s="65"/>
      <c r="S16" s="65"/>
      <c r="T16" s="65"/>
      <c r="U16" s="65"/>
      <c r="V16" s="65"/>
      <c r="W16" s="65"/>
      <c r="X16" s="65"/>
      <c r="Y16" s="65">
        <f>Y11</f>
        <v>36000</v>
      </c>
      <c r="Z16" s="65"/>
      <c r="AA16" s="65"/>
      <c r="AB16" s="65"/>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5"/>
      <c r="BF16" s="65">
        <f>BF11</f>
        <v>20000</v>
      </c>
      <c r="BG16" s="65"/>
      <c r="BH16" s="65"/>
      <c r="BI16" s="65"/>
      <c r="BJ16" s="65"/>
      <c r="BK16" s="65">
        <f>BK11</f>
        <v>540000</v>
      </c>
      <c r="BL16" s="65"/>
      <c r="BM16" s="65"/>
      <c r="BN16" s="65"/>
      <c r="BO16" s="65"/>
      <c r="BP16" s="65"/>
      <c r="BQ16" s="65"/>
      <c r="BR16" s="65"/>
      <c r="BS16" s="65"/>
      <c r="BT16" s="65">
        <f>BT11</f>
        <v>175000.00000000003</v>
      </c>
      <c r="BU16" s="65"/>
      <c r="BV16" s="65"/>
      <c r="BW16" s="65">
        <f>BW11</f>
        <v>19000</v>
      </c>
      <c r="BX16" s="65"/>
      <c r="BY16" s="65"/>
      <c r="BZ16" s="72">
        <f>SUM(D16:BY16)</f>
        <v>910000</v>
      </c>
      <c r="CA16" s="76"/>
      <c r="CB16" s="121"/>
      <c r="CC16" s="121"/>
      <c r="CD16" s="121"/>
      <c r="CE16" s="121"/>
      <c r="CF16" s="121"/>
      <c r="CG16" s="121"/>
      <c r="CH16" s="65">
        <f>CH11</f>
        <v>12499.511241446726</v>
      </c>
      <c r="CI16" s="121"/>
      <c r="CJ16" s="65">
        <f>CJ11</f>
        <v>10000</v>
      </c>
      <c r="CK16" s="121"/>
      <c r="CL16" s="121"/>
      <c r="CM16" s="65">
        <f>CM11</f>
        <v>14662.75659824047</v>
      </c>
      <c r="CN16" s="65">
        <f>CN11</f>
        <v>99301.075268817207</v>
      </c>
      <c r="CO16" s="121"/>
      <c r="CP16" s="65">
        <f>CP11</f>
        <v>189104.59433040081</v>
      </c>
      <c r="CQ16" s="121"/>
      <c r="CR16" s="65">
        <f>CR11</f>
        <v>579786.90127077233</v>
      </c>
      <c r="CS16" s="65">
        <f>CS11</f>
        <v>34213.098729227764</v>
      </c>
      <c r="CT16" s="121"/>
      <c r="CU16" s="121"/>
      <c r="CV16" s="65">
        <f>CV11</f>
        <v>198156.4027370479</v>
      </c>
      <c r="CW16" s="121"/>
      <c r="CX16" s="121"/>
      <c r="CY16" s="73">
        <f>SUM(CB16:CX16)</f>
        <v>1137724.3401759532</v>
      </c>
      <c r="CZ16" s="76"/>
      <c r="DA16" s="73">
        <f>BZ16+CY16</f>
        <v>2047724.3401759532</v>
      </c>
      <c r="DB16" s="74"/>
      <c r="DC16" s="117">
        <f>MIN(MIN($CB16:$CX16),MIN($D16:$BY16))</f>
        <v>10000</v>
      </c>
      <c r="DD16" s="117">
        <f>MAX(MAX($CB16:$CX16),MAX($D16:$BY16))</f>
        <v>579786.90127077233</v>
      </c>
      <c r="DG16" s="70" t="s">
        <v>328</v>
      </c>
      <c r="DH16" s="117">
        <f>DA102</f>
        <v>494978.66687491222</v>
      </c>
      <c r="DI16" s="117"/>
      <c r="DJ16" s="167"/>
      <c r="DK16" s="168">
        <f>MAX(0,DK4-(C31*1000))</f>
        <v>14715.887651724741</v>
      </c>
      <c r="DL16" s="169" t="s">
        <v>576</v>
      </c>
      <c r="DM16" s="170"/>
      <c r="DN16" s="133"/>
      <c r="DO16" s="89"/>
      <c r="DP16" s="89"/>
      <c r="DQ16" s="89"/>
      <c r="DR16" s="89"/>
      <c r="DS16" s="89"/>
      <c r="DT16" s="89"/>
      <c r="DU16" s="89"/>
      <c r="DV16" s="89"/>
      <c r="DW16" s="89"/>
      <c r="DX16" s="89"/>
      <c r="DY16" s="89"/>
      <c r="DZ16" s="89"/>
      <c r="EA16" s="89"/>
      <c r="EB16" s="89"/>
      <c r="EC16" s="89"/>
      <c r="ED16" s="89"/>
      <c r="EE16" s="89"/>
      <c r="EF16" s="89"/>
      <c r="EG16" s="89"/>
      <c r="EH16" s="89"/>
      <c r="EI16" s="89"/>
    </row>
    <row r="17" spans="1:139" s="69" customFormat="1" x14ac:dyDescent="0.25">
      <c r="B17" s="70"/>
      <c r="C17" s="71" t="s">
        <v>190</v>
      </c>
      <c r="D17" s="65">
        <f>D11</f>
        <v>20000</v>
      </c>
      <c r="E17" s="65"/>
      <c r="F17" s="65"/>
      <c r="G17" s="65"/>
      <c r="H17" s="65"/>
      <c r="I17" s="65"/>
      <c r="J17" s="65"/>
      <c r="K17" s="65"/>
      <c r="L17" s="65"/>
      <c r="M17" s="65"/>
      <c r="N17" s="65">
        <f>N11</f>
        <v>100000.00000000001</v>
      </c>
      <c r="O17" s="65"/>
      <c r="P17" s="65">
        <f>P11</f>
        <v>35435.97262952102</v>
      </c>
      <c r="Q17" s="65"/>
      <c r="R17" s="65"/>
      <c r="S17" s="65"/>
      <c r="T17" s="65"/>
      <c r="U17" s="65"/>
      <c r="V17" s="65"/>
      <c r="W17" s="65"/>
      <c r="X17" s="65"/>
      <c r="Y17" s="65">
        <f>Y11</f>
        <v>36000</v>
      </c>
      <c r="Z17" s="65"/>
      <c r="AA17" s="65">
        <f>AA11</f>
        <v>466.27565982404695</v>
      </c>
      <c r="AB17" s="65">
        <f>AB11</f>
        <v>274.68230694037146</v>
      </c>
      <c r="AC17" s="65"/>
      <c r="AD17" s="65">
        <f>AD11</f>
        <v>1036.1681329423266</v>
      </c>
      <c r="AE17" s="65"/>
      <c r="AF17" s="65">
        <f>AF11</f>
        <v>98.729227761485831</v>
      </c>
      <c r="AG17" s="65"/>
      <c r="AH17" s="65">
        <f>AH11</f>
        <v>34.213098729227767</v>
      </c>
      <c r="AI17" s="65"/>
      <c r="AJ17" s="65">
        <f>AJ11</f>
        <v>2921.798631476051</v>
      </c>
      <c r="AK17" s="65"/>
      <c r="AL17" s="65"/>
      <c r="AM17" s="65">
        <f>AM11</f>
        <v>1864.1251221896384</v>
      </c>
      <c r="AN17" s="65"/>
      <c r="AO17" s="65">
        <f>AO11</f>
        <v>25512.21896383187</v>
      </c>
      <c r="AP17" s="67"/>
      <c r="AQ17" s="65">
        <f>AQ11</f>
        <v>313.78299120234607</v>
      </c>
      <c r="AR17" s="65"/>
      <c r="AS17" s="65"/>
      <c r="AT17" s="65">
        <f>AT11</f>
        <v>5000</v>
      </c>
      <c r="AU17" s="65">
        <f>AU11</f>
        <v>717.49755620723374</v>
      </c>
      <c r="AV17" s="65">
        <f>AV11</f>
        <v>5206.2561094819166</v>
      </c>
      <c r="AW17" s="65">
        <f>AW11</f>
        <v>6933.5288367546436</v>
      </c>
      <c r="AX17" s="65">
        <f>AX11</f>
        <v>144.67253176930598</v>
      </c>
      <c r="AY17" s="65"/>
      <c r="AZ17" s="65"/>
      <c r="BA17" s="65"/>
      <c r="BB17" s="65">
        <f>BB11</f>
        <v>3111.4369501466276</v>
      </c>
      <c r="BC17" s="65">
        <f>BC11</f>
        <v>18930.596285434996</v>
      </c>
      <c r="BD17" s="66"/>
      <c r="BE17" s="65"/>
      <c r="BF17" s="65">
        <f>BF11</f>
        <v>20000</v>
      </c>
      <c r="BG17" s="65"/>
      <c r="BH17" s="65"/>
      <c r="BI17" s="65"/>
      <c r="BJ17" s="65"/>
      <c r="BK17" s="65">
        <f>BK11</f>
        <v>540000</v>
      </c>
      <c r="BL17" s="65"/>
      <c r="BM17" s="65">
        <f>BM11</f>
        <v>4695.9921798631476</v>
      </c>
      <c r="BN17" s="67"/>
      <c r="BO17" s="65"/>
      <c r="BP17" s="65">
        <f>BP11</f>
        <v>150000</v>
      </c>
      <c r="BQ17" s="65">
        <f>BQ11</f>
        <v>4593.3528836754649</v>
      </c>
      <c r="BR17" s="67"/>
      <c r="BS17" s="65"/>
      <c r="BT17" s="65">
        <f>BT11</f>
        <v>175000.00000000003</v>
      </c>
      <c r="BU17" s="65">
        <f>BU11</f>
        <v>10.752688172043012</v>
      </c>
      <c r="BV17" s="65">
        <f>BV11</f>
        <v>213.09872922776151</v>
      </c>
      <c r="BW17" s="65">
        <f>BW11</f>
        <v>19000</v>
      </c>
      <c r="BX17" s="65">
        <f>BX11</f>
        <v>1456.5004887585535</v>
      </c>
      <c r="BY17" s="65"/>
      <c r="BZ17" s="72">
        <f>SUM(D17:BY17)</f>
        <v>1178971.6520039102</v>
      </c>
      <c r="CA17" s="76"/>
      <c r="CB17" s="121"/>
      <c r="CC17" s="121"/>
      <c r="CD17" s="121"/>
      <c r="CE17" s="121"/>
      <c r="CF17" s="121"/>
      <c r="CG17" s="121"/>
      <c r="CH17" s="65">
        <f>CH11</f>
        <v>12499.511241446726</v>
      </c>
      <c r="CI17" s="121"/>
      <c r="CJ17" s="65">
        <f>CJ11</f>
        <v>10000</v>
      </c>
      <c r="CK17" s="121"/>
      <c r="CL17" s="121"/>
      <c r="CM17" s="65">
        <f>CM11</f>
        <v>14662.75659824047</v>
      </c>
      <c r="CN17" s="65">
        <f>CN11</f>
        <v>99301.075268817207</v>
      </c>
      <c r="CO17" s="65">
        <f>CO11</f>
        <v>4500.4887585532751</v>
      </c>
      <c r="CP17" s="65">
        <f>CP11</f>
        <v>189104.59433040081</v>
      </c>
      <c r="CQ17" s="121"/>
      <c r="CR17" s="65">
        <f>CR11</f>
        <v>579786.90127077233</v>
      </c>
      <c r="CS17" s="65">
        <f>CS11</f>
        <v>34213.098729227764</v>
      </c>
      <c r="CT17" s="65">
        <f>CT11</f>
        <v>1694.0371456500491</v>
      </c>
      <c r="CU17" s="121"/>
      <c r="CV17" s="65">
        <f>CV11</f>
        <v>198156.4027370479</v>
      </c>
      <c r="CW17" s="121"/>
      <c r="CX17" s="121"/>
      <c r="CY17" s="73">
        <f>SUM(CB17:CX17)</f>
        <v>1143918.8660801565</v>
      </c>
      <c r="CZ17" s="76"/>
      <c r="DA17" s="73">
        <f>BZ17+CY17</f>
        <v>2322890.5180840669</v>
      </c>
      <c r="DB17" s="74"/>
      <c r="DC17" s="117">
        <f>MIN(MIN($CB17:$CX17),MIN($D17:$BY17))</f>
        <v>10.752688172043012</v>
      </c>
      <c r="DD17" s="117">
        <f>MAX(MAX($CB17:$CX17),MAX($D17:$BY17))</f>
        <v>579786.90127077233</v>
      </c>
      <c r="DG17" s="70" t="s">
        <v>329</v>
      </c>
      <c r="DH17" s="117"/>
      <c r="DI17" s="117">
        <f>DA103</f>
        <v>43300.531155279677</v>
      </c>
      <c r="DJ17" s="167"/>
      <c r="DK17" s="168">
        <f>MAX(0,DL10-(C33*1000))</f>
        <v>75667.605083089322</v>
      </c>
      <c r="DL17" s="171" t="s">
        <v>575</v>
      </c>
      <c r="DM17" s="170"/>
      <c r="DN17" s="133"/>
      <c r="DO17" s="89"/>
      <c r="DP17" s="89"/>
      <c r="DQ17" s="89"/>
      <c r="DR17" s="89"/>
      <c r="DS17" s="89"/>
      <c r="DT17" s="89"/>
      <c r="DU17" s="89"/>
      <c r="DV17" s="89"/>
      <c r="DW17" s="89"/>
      <c r="DX17" s="89"/>
      <c r="DY17" s="89"/>
      <c r="DZ17" s="89"/>
      <c r="EA17" s="89"/>
      <c r="EB17" s="89"/>
      <c r="EC17" s="89"/>
      <c r="ED17" s="89"/>
      <c r="EE17" s="89"/>
      <c r="EF17" s="89"/>
      <c r="EG17" s="89"/>
      <c r="EH17" s="89"/>
      <c r="EI17" s="89"/>
    </row>
    <row r="18" spans="1:139" s="69" customFormat="1" x14ac:dyDescent="0.25">
      <c r="B18" s="70"/>
      <c r="C18" s="71" t="s">
        <v>191</v>
      </c>
      <c r="D18" s="65"/>
      <c r="E18" s="65">
        <f t="shared" ref="E18:M18" si="17">E11</f>
        <v>40000</v>
      </c>
      <c r="F18" s="65">
        <f t="shared" si="17"/>
        <v>2081.1339198435976</v>
      </c>
      <c r="G18" s="65">
        <f t="shared" si="17"/>
        <v>17478.005865102641</v>
      </c>
      <c r="H18" s="65">
        <f t="shared" si="17"/>
        <v>64557.18475073314</v>
      </c>
      <c r="I18" s="65">
        <f t="shared" si="17"/>
        <v>5827.9569892473128</v>
      </c>
      <c r="J18" s="65">
        <f t="shared" si="17"/>
        <v>2925.7086999022486</v>
      </c>
      <c r="K18" s="65">
        <f t="shared" si="17"/>
        <v>12910.06842619746</v>
      </c>
      <c r="L18" s="65">
        <f t="shared" si="17"/>
        <v>880.74291300097764</v>
      </c>
      <c r="M18" s="65">
        <f t="shared" si="17"/>
        <v>83000.000000000015</v>
      </c>
      <c r="N18" s="65"/>
      <c r="O18" s="65">
        <f>O11</f>
        <v>2060.606060606061</v>
      </c>
      <c r="P18" s="65"/>
      <c r="Q18" s="65">
        <f t="shared" ref="Q18:X18" si="18">Q11</f>
        <v>1329.4232649071359</v>
      </c>
      <c r="R18" s="65">
        <f t="shared" si="18"/>
        <v>556.2072336265885</v>
      </c>
      <c r="S18" s="65">
        <f t="shared" si="18"/>
        <v>467.25317693059634</v>
      </c>
      <c r="T18" s="65">
        <f t="shared" si="18"/>
        <v>1671.5542521994137</v>
      </c>
      <c r="U18" s="65">
        <f t="shared" si="18"/>
        <v>895.40566959921807</v>
      </c>
      <c r="V18" s="65">
        <f t="shared" si="18"/>
        <v>62.561094819159344</v>
      </c>
      <c r="W18" s="65">
        <f t="shared" si="18"/>
        <v>12394.916911045944</v>
      </c>
      <c r="X18" s="65">
        <f t="shared" si="18"/>
        <v>777.12609970674498</v>
      </c>
      <c r="Y18" s="65"/>
      <c r="Z18" s="65">
        <f>Z11</f>
        <v>13926.686217008799</v>
      </c>
      <c r="AC18" s="65">
        <f>AC11</f>
        <v>1271.7497556207234</v>
      </c>
      <c r="AD18" s="65"/>
      <c r="AE18" s="65">
        <f>AE11</f>
        <v>190.61583577712611</v>
      </c>
      <c r="AG18" s="65">
        <f>AG11</f>
        <v>602.15053763440869</v>
      </c>
      <c r="AH18" s="65"/>
      <c r="AI18" s="65">
        <f>AI11</f>
        <v>4106.5493646138812</v>
      </c>
      <c r="AJ18" s="65"/>
      <c r="AK18" s="65">
        <f>AK11</f>
        <v>226.78396871945262</v>
      </c>
      <c r="AL18" s="65">
        <f>AL11</f>
        <v>34871.945259042033</v>
      </c>
      <c r="AM18" s="65"/>
      <c r="AN18" s="65">
        <f>AN11</f>
        <v>1280.5474095796678</v>
      </c>
      <c r="AO18" s="65"/>
      <c r="AP18" s="65">
        <f>AP11</f>
        <v>4487.7810361681331</v>
      </c>
      <c r="AQ18" s="65"/>
      <c r="AR18" s="65">
        <f>AR11</f>
        <v>22482.893450635387</v>
      </c>
      <c r="AS18" s="65">
        <f>AS11</f>
        <v>7000.0000000000009</v>
      </c>
      <c r="AU18" s="65"/>
      <c r="AV18" s="65"/>
      <c r="AW18" s="65"/>
      <c r="AY18" s="65">
        <f>AY11</f>
        <v>13059.628543499512</v>
      </c>
      <c r="AZ18" s="65">
        <f>AZ11</f>
        <v>4385.1417399804504</v>
      </c>
      <c r="BA18" s="65">
        <f>BA11</f>
        <v>2355.8162267839689</v>
      </c>
      <c r="BB18" s="66"/>
      <c r="BC18" s="66"/>
      <c r="BD18" s="65">
        <f>BD11</f>
        <v>10426.197458455525</v>
      </c>
      <c r="BE18" s="65">
        <f>BE11</f>
        <v>4630.4985337243406</v>
      </c>
      <c r="BF18" s="65"/>
      <c r="BG18" s="65">
        <f>BG11</f>
        <v>47254.154447702836</v>
      </c>
      <c r="BH18" s="65">
        <f>BH11</f>
        <v>10000</v>
      </c>
      <c r="BI18" s="65">
        <f>BI11</f>
        <v>1.9550342130987295</v>
      </c>
      <c r="BJ18" s="65">
        <f>BJ11</f>
        <v>130000.00000000001</v>
      </c>
      <c r="BK18" s="65"/>
      <c r="BL18" s="65">
        <f>BL11</f>
        <v>610000</v>
      </c>
      <c r="BM18" s="65"/>
      <c r="BN18" s="65">
        <f>BN11</f>
        <v>3501.4662756598245</v>
      </c>
      <c r="BO18" s="65">
        <f>BO11</f>
        <v>68721.407624633444</v>
      </c>
      <c r="BP18" s="65"/>
      <c r="BQ18" s="65"/>
      <c r="BR18" s="65">
        <f>BR11</f>
        <v>325160.3128054741</v>
      </c>
      <c r="BS18" s="65">
        <f>BS11</f>
        <v>96.774193548387103</v>
      </c>
      <c r="BT18" s="65"/>
      <c r="BV18" s="65"/>
      <c r="BW18" s="65"/>
      <c r="BY18" s="65">
        <f>BY11</f>
        <v>399.80449657869013</v>
      </c>
      <c r="BZ18" s="72">
        <f>SUM(D18:BY18)</f>
        <v>1570316.715542522</v>
      </c>
      <c r="CA18" s="76"/>
      <c r="CB18" s="65">
        <f t="shared" ref="CB18:CG18" si="19">CB11</f>
        <v>45000.000000000007</v>
      </c>
      <c r="CC18" s="65">
        <f t="shared" si="19"/>
        <v>16124.144672531771</v>
      </c>
      <c r="CD18" s="65">
        <f t="shared" si="19"/>
        <v>48875.855327468234</v>
      </c>
      <c r="CE18" s="65">
        <f t="shared" si="19"/>
        <v>25000.000000000004</v>
      </c>
      <c r="CF18" s="65">
        <f t="shared" si="19"/>
        <v>20000</v>
      </c>
      <c r="CG18" s="65">
        <f t="shared" si="19"/>
        <v>25000.000000000004</v>
      </c>
      <c r="CH18" s="121"/>
      <c r="CI18" s="65">
        <f>CI11</f>
        <v>12500.488758553276</v>
      </c>
      <c r="CJ18" s="121"/>
      <c r="CK18" s="65">
        <f>CK11</f>
        <v>10000</v>
      </c>
      <c r="CL18" s="65">
        <f>CL11</f>
        <v>399.80449657869013</v>
      </c>
      <c r="CM18" s="121"/>
      <c r="CN18" s="121"/>
      <c r="CO18" s="121"/>
      <c r="CP18" s="121"/>
      <c r="CQ18" s="65">
        <f>CQ11</f>
        <v>9530.7917888563061</v>
      </c>
      <c r="CR18" s="121"/>
      <c r="CS18" s="121"/>
      <c r="CT18" s="121"/>
      <c r="CU18" s="65">
        <f>CU11</f>
        <v>39100.684261974588</v>
      </c>
      <c r="CV18" s="121"/>
      <c r="CW18" s="65">
        <f>CW11</f>
        <v>253845.55229716521</v>
      </c>
      <c r="CX18" s="65">
        <f>CX11</f>
        <v>4703.8123167155427</v>
      </c>
      <c r="CY18" s="73">
        <f>SUM(CB18:CX18)</f>
        <v>510081.13391984365</v>
      </c>
      <c r="CZ18" s="76"/>
      <c r="DA18" s="73">
        <f>BZ18+CY18</f>
        <v>2080397.8494623657</v>
      </c>
      <c r="DB18" s="74"/>
      <c r="DC18" s="117">
        <f>MIN(MIN($CB18:$CX18),MIN($D18:$BY18))</f>
        <v>1.9550342130987295</v>
      </c>
      <c r="DD18" s="117">
        <f>MAX(MAX($CB18:$CX18),MAX($D18:$BY18))</f>
        <v>610000</v>
      </c>
      <c r="DG18" s="70" t="s">
        <v>330</v>
      </c>
      <c r="DH18" s="117"/>
      <c r="DI18" s="117">
        <f>DA104</f>
        <v>218164.36071287422</v>
      </c>
      <c r="DJ18" s="172"/>
      <c r="DK18" s="168"/>
      <c r="DL18" s="14" t="s">
        <v>612</v>
      </c>
      <c r="DM18" s="173">
        <f>(C33-750)*1000</f>
        <v>1153000</v>
      </c>
      <c r="DN18" s="133" t="s">
        <v>655</v>
      </c>
      <c r="DO18" s="89"/>
      <c r="DP18" s="89"/>
      <c r="DQ18" s="89"/>
      <c r="DR18" s="89"/>
      <c r="DS18" s="89"/>
      <c r="DT18" s="89"/>
      <c r="DU18" s="89"/>
      <c r="DV18" s="89"/>
      <c r="DW18" s="89"/>
      <c r="DX18" s="89"/>
      <c r="DY18" s="89"/>
      <c r="DZ18" s="89"/>
      <c r="EA18" s="89"/>
      <c r="EB18" s="89"/>
      <c r="EC18" s="89"/>
      <c r="ED18" s="89"/>
      <c r="EE18" s="89"/>
      <c r="EF18" s="89"/>
      <c r="EG18" s="89"/>
      <c r="EH18" s="89"/>
      <c r="EI18" s="89"/>
    </row>
    <row r="19" spans="1:139" s="69" customFormat="1" x14ac:dyDescent="0.25">
      <c r="B19" s="70"/>
      <c r="D19" s="65"/>
      <c r="E19" s="65"/>
      <c r="F19" s="65"/>
      <c r="G19" s="65"/>
      <c r="H19" s="65"/>
      <c r="I19" s="65"/>
      <c r="J19" s="65"/>
      <c r="K19" s="65"/>
      <c r="L19" s="65"/>
      <c r="M19" s="65"/>
      <c r="N19" s="65"/>
      <c r="O19" s="65"/>
      <c r="P19" s="65"/>
      <c r="Q19" s="65"/>
      <c r="R19" s="65"/>
      <c r="S19" s="65"/>
      <c r="T19" s="65"/>
      <c r="U19" s="65"/>
      <c r="V19" s="65"/>
      <c r="W19" s="65"/>
      <c r="X19" s="65"/>
      <c r="Y19" s="65"/>
      <c r="Z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6"/>
      <c r="BC19" s="66"/>
      <c r="BD19" s="66"/>
      <c r="BE19" s="65"/>
      <c r="BF19" s="65"/>
      <c r="BG19" s="65"/>
      <c r="BH19" s="65"/>
      <c r="BI19" s="65"/>
      <c r="BJ19" s="65"/>
      <c r="BK19" s="65"/>
      <c r="BL19" s="65"/>
      <c r="BM19" s="65"/>
      <c r="BN19" s="65"/>
      <c r="BO19" s="65"/>
      <c r="BP19" s="65"/>
      <c r="BQ19" s="65"/>
      <c r="BR19" s="65"/>
      <c r="BS19" s="65"/>
      <c r="BT19" s="65"/>
      <c r="BU19" s="65"/>
      <c r="BV19" s="65"/>
      <c r="BW19" s="65"/>
      <c r="BX19" s="65"/>
      <c r="BY19" s="65"/>
      <c r="BZ19" s="72"/>
      <c r="CA19" s="76"/>
      <c r="CB19" s="121"/>
      <c r="CC19" s="121"/>
      <c r="CD19" s="121"/>
      <c r="CE19" s="121"/>
      <c r="CF19" s="121"/>
      <c r="CG19" s="121"/>
      <c r="CH19" s="121"/>
      <c r="CI19" s="121"/>
      <c r="CJ19" s="121"/>
      <c r="CK19" s="121"/>
      <c r="CL19" s="121"/>
      <c r="CM19" s="121"/>
      <c r="CN19" s="121"/>
      <c r="CO19" s="121"/>
      <c r="CP19" s="121"/>
      <c r="CQ19" s="121"/>
      <c r="CR19" s="121"/>
      <c r="CS19" s="121"/>
      <c r="CT19" s="121"/>
      <c r="CU19" s="121"/>
      <c r="CV19" s="121"/>
      <c r="CW19" s="121"/>
      <c r="CX19" s="121"/>
      <c r="CY19" s="73"/>
      <c r="CZ19" s="76"/>
      <c r="DA19" s="73"/>
      <c r="DB19" s="74"/>
      <c r="DC19" s="174"/>
      <c r="DD19" s="174"/>
      <c r="DG19" s="70" t="s">
        <v>331</v>
      </c>
      <c r="DH19" s="117"/>
      <c r="DI19" s="117">
        <f>DA105</f>
        <v>222753.33932917818</v>
      </c>
      <c r="DJ19" s="222"/>
      <c r="DK19" s="220"/>
      <c r="DL19" s="220"/>
      <c r="DM19" s="246">
        <f>DL10-DM18</f>
        <v>825667.60508308932</v>
      </c>
      <c r="DN19" s="133" t="s">
        <v>654</v>
      </c>
      <c r="DO19" s="89"/>
      <c r="DP19" s="89"/>
      <c r="DQ19" s="89"/>
      <c r="DR19" s="89"/>
      <c r="DS19" s="89"/>
      <c r="DT19" s="89"/>
      <c r="DU19" s="89"/>
      <c r="DV19" s="89"/>
      <c r="DW19" s="89"/>
      <c r="DX19" s="89"/>
      <c r="DY19" s="89"/>
      <c r="DZ19" s="89"/>
      <c r="EA19" s="89"/>
      <c r="EB19" s="89"/>
      <c r="EC19" s="89"/>
      <c r="ED19" s="89"/>
      <c r="EE19" s="89"/>
      <c r="EF19" s="89"/>
      <c r="EG19" s="89"/>
      <c r="EH19" s="89"/>
      <c r="EI19" s="89"/>
    </row>
    <row r="20" spans="1:139" s="69" customFormat="1" x14ac:dyDescent="0.25">
      <c r="B20" s="71" t="s">
        <v>681</v>
      </c>
      <c r="C20" s="176">
        <f>SUMIF(D3:CX3,"FT2",D11:CX11)</f>
        <v>23409.579667644182</v>
      </c>
      <c r="D20" s="65"/>
      <c r="E20" s="65"/>
      <c r="F20" s="65"/>
      <c r="G20" s="65"/>
      <c r="H20" s="65"/>
      <c r="I20" s="65"/>
      <c r="J20" s="65"/>
      <c r="K20" s="65"/>
      <c r="L20" s="65"/>
      <c r="M20" s="65"/>
      <c r="N20" s="65"/>
      <c r="O20" s="65"/>
      <c r="P20" s="65"/>
      <c r="Q20" s="65"/>
      <c r="R20" s="65"/>
      <c r="S20" s="65"/>
      <c r="T20" s="65"/>
      <c r="U20" s="65"/>
      <c r="V20" s="65"/>
      <c r="W20" s="65"/>
      <c r="X20" s="65"/>
      <c r="Y20" s="65"/>
      <c r="Z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6"/>
      <c r="BC20" s="66"/>
      <c r="BD20" s="66"/>
      <c r="BE20" s="65"/>
      <c r="BF20" s="65"/>
      <c r="BG20" s="65"/>
      <c r="BH20" s="65"/>
      <c r="BI20" s="65"/>
      <c r="BJ20" s="65"/>
      <c r="BK20" s="65"/>
      <c r="BL20" s="65"/>
      <c r="BM20" s="65"/>
      <c r="BN20" s="65"/>
      <c r="BO20" s="65"/>
      <c r="BP20" s="65"/>
      <c r="BQ20" s="65"/>
      <c r="BR20" s="65"/>
      <c r="BS20" s="65"/>
      <c r="BT20" s="65"/>
      <c r="BU20" s="65"/>
      <c r="BV20" s="65"/>
      <c r="BW20" s="65"/>
      <c r="BX20" s="65"/>
      <c r="BY20" s="65"/>
      <c r="BZ20" s="72"/>
      <c r="CA20" s="76"/>
      <c r="CB20" s="121"/>
      <c r="CC20" s="121"/>
      <c r="CD20" s="121"/>
      <c r="CE20" s="121"/>
      <c r="CF20" s="121"/>
      <c r="CG20" s="121"/>
      <c r="CH20" s="121"/>
      <c r="CI20" s="121"/>
      <c r="CJ20" s="121"/>
      <c r="CK20" s="121"/>
      <c r="CL20" s="121"/>
      <c r="CM20" s="121"/>
      <c r="CN20" s="121"/>
      <c r="CO20" s="121"/>
      <c r="CP20" s="121"/>
      <c r="CQ20" s="121"/>
      <c r="CR20" s="121"/>
      <c r="CS20" s="121"/>
      <c r="CT20" s="121"/>
      <c r="CU20" s="121"/>
      <c r="CV20" s="121"/>
      <c r="CW20" s="121"/>
      <c r="CX20" s="121"/>
      <c r="CY20" s="73"/>
      <c r="CZ20" s="76"/>
      <c r="DA20" s="73"/>
      <c r="DB20" s="74"/>
      <c r="DC20" s="174"/>
      <c r="DD20" s="174"/>
      <c r="DJ20" s="175"/>
      <c r="DK20" s="173"/>
      <c r="DL20" s="173">
        <f>(DL10-DM18)+DH51-DL51</f>
        <v>185000.00000000035</v>
      </c>
      <c r="DM20" s="14" t="s">
        <v>613</v>
      </c>
      <c r="DN20" s="133"/>
      <c r="DO20" s="89"/>
      <c r="DP20" s="89"/>
      <c r="DQ20" s="89"/>
      <c r="DR20" s="89"/>
      <c r="DS20" s="89"/>
      <c r="DT20" s="89"/>
      <c r="DU20" s="89"/>
      <c r="DV20" s="89"/>
      <c r="DW20" s="89"/>
      <c r="DX20" s="89"/>
      <c r="DY20" s="89"/>
      <c r="DZ20" s="89"/>
      <c r="EA20" s="89"/>
      <c r="EB20" s="89"/>
      <c r="EC20" s="89"/>
      <c r="ED20" s="89"/>
      <c r="EE20" s="89"/>
      <c r="EF20" s="89"/>
      <c r="EG20" s="89"/>
      <c r="EH20" s="89"/>
      <c r="EI20" s="89"/>
    </row>
    <row r="21" spans="1:139" s="69" customFormat="1" x14ac:dyDescent="0.25">
      <c r="B21" s="70"/>
      <c r="C21" s="176"/>
      <c r="D21" s="65"/>
      <c r="E21" s="65"/>
      <c r="F21" s="65"/>
      <c r="G21" s="65"/>
      <c r="H21" s="65"/>
      <c r="I21" s="65"/>
      <c r="J21" s="65"/>
      <c r="K21" s="65"/>
      <c r="L21" s="65"/>
      <c r="M21" s="65"/>
      <c r="N21" s="65"/>
      <c r="O21" s="65"/>
      <c r="P21" s="65"/>
      <c r="Q21" s="65"/>
      <c r="R21" s="65"/>
      <c r="S21" s="65"/>
      <c r="T21" s="65"/>
      <c r="U21" s="65"/>
      <c r="V21" s="65"/>
      <c r="W21" s="65"/>
      <c r="X21" s="65"/>
      <c r="Y21" s="65"/>
      <c r="Z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6"/>
      <c r="BC21" s="66"/>
      <c r="BD21" s="66"/>
      <c r="BE21" s="65"/>
      <c r="BF21" s="65"/>
      <c r="BG21" s="65"/>
      <c r="BH21" s="65"/>
      <c r="BI21" s="65"/>
      <c r="BJ21" s="65"/>
      <c r="BK21" s="65"/>
      <c r="BL21" s="65"/>
      <c r="BM21" s="65"/>
      <c r="BN21" s="65"/>
      <c r="BO21" s="65"/>
      <c r="BP21" s="65"/>
      <c r="BQ21" s="65"/>
      <c r="BR21" s="65"/>
      <c r="BS21" s="65"/>
      <c r="BT21" s="65"/>
      <c r="BU21" s="65"/>
      <c r="BV21" s="65"/>
      <c r="BW21" s="65"/>
      <c r="BX21" s="65"/>
      <c r="BY21" s="65"/>
      <c r="BZ21" s="72"/>
      <c r="CA21" s="76"/>
      <c r="CB21" s="121"/>
      <c r="CC21" s="121"/>
      <c r="CD21" s="121"/>
      <c r="CE21" s="121"/>
      <c r="CF21" s="121"/>
      <c r="CG21" s="121"/>
      <c r="CH21" s="121"/>
      <c r="CI21" s="121"/>
      <c r="CJ21" s="121"/>
      <c r="CK21" s="121"/>
      <c r="CL21" s="121"/>
      <c r="CM21" s="121"/>
      <c r="CN21" s="121"/>
      <c r="CO21" s="121"/>
      <c r="CP21" s="121"/>
      <c r="CQ21" s="121"/>
      <c r="CR21" s="121"/>
      <c r="CS21" s="121"/>
      <c r="CT21" s="121"/>
      <c r="CU21" s="121"/>
      <c r="CV21" s="121"/>
      <c r="CW21" s="121"/>
      <c r="CX21" s="121"/>
      <c r="CY21" s="73"/>
      <c r="CZ21" s="76"/>
      <c r="DA21" s="73"/>
      <c r="DB21" s="74"/>
      <c r="DC21" s="174"/>
      <c r="DD21" s="174"/>
      <c r="DG21" s="143" t="s">
        <v>333</v>
      </c>
      <c r="DH21" s="117"/>
      <c r="DI21" s="117"/>
      <c r="DJ21" s="177"/>
      <c r="DK21" s="173"/>
      <c r="DL21" s="173">
        <f>185000</f>
        <v>185000</v>
      </c>
      <c r="DM21" s="14" t="s">
        <v>656</v>
      </c>
      <c r="DN21" s="133"/>
      <c r="DO21" s="89"/>
      <c r="DP21" s="89"/>
      <c r="DQ21" s="89"/>
      <c r="DR21" s="89"/>
      <c r="DS21" s="89"/>
      <c r="DT21" s="89"/>
      <c r="DU21" s="89"/>
      <c r="DV21" s="89"/>
      <c r="DW21" s="89"/>
      <c r="DX21" s="89"/>
      <c r="DY21" s="89"/>
      <c r="DZ21" s="89"/>
      <c r="EA21" s="89"/>
      <c r="EB21" s="89"/>
      <c r="EC21" s="89"/>
      <c r="ED21" s="89"/>
      <c r="EE21" s="89"/>
      <c r="EF21" s="89"/>
      <c r="EG21" s="89"/>
      <c r="EH21" s="89"/>
      <c r="EI21" s="89"/>
    </row>
    <row r="22" spans="1:139" s="69" customFormat="1" ht="13.8" thickBot="1" x14ac:dyDescent="0.3">
      <c r="B22" s="70"/>
      <c r="C22" s="176"/>
      <c r="D22" s="65"/>
      <c r="E22" s="65"/>
      <c r="F22" s="65"/>
      <c r="G22" s="65"/>
      <c r="H22" s="65"/>
      <c r="I22" s="65"/>
      <c r="J22" s="65"/>
      <c r="K22" s="65"/>
      <c r="L22" s="65"/>
      <c r="M22" s="65"/>
      <c r="N22" s="65"/>
      <c r="O22" s="65"/>
      <c r="P22" s="65"/>
      <c r="Q22" s="65"/>
      <c r="R22" s="65"/>
      <c r="S22" s="65"/>
      <c r="T22" s="65"/>
      <c r="U22" s="65"/>
      <c r="V22" s="65"/>
      <c r="W22" s="65"/>
      <c r="X22" s="65"/>
      <c r="Y22" s="65"/>
      <c r="Z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6"/>
      <c r="BC22" s="66"/>
      <c r="BD22" s="66"/>
      <c r="BE22" s="65"/>
      <c r="BF22" s="65"/>
      <c r="BG22" s="65"/>
      <c r="BH22" s="65"/>
      <c r="BI22" s="65"/>
      <c r="BJ22" s="65"/>
      <c r="BK22" s="65"/>
      <c r="BL22" s="65"/>
      <c r="BM22" s="65"/>
      <c r="BN22" s="65"/>
      <c r="BO22" s="65"/>
      <c r="BP22" s="65"/>
      <c r="BQ22" s="65"/>
      <c r="BR22" s="65"/>
      <c r="BS22" s="65"/>
      <c r="BT22" s="65"/>
      <c r="BU22" s="65"/>
      <c r="BV22" s="65"/>
      <c r="BW22" s="65"/>
      <c r="BX22" s="65"/>
      <c r="BY22" s="65"/>
      <c r="BZ22" s="72"/>
      <c r="CA22" s="76"/>
      <c r="CB22" s="121"/>
      <c r="CC22" s="121"/>
      <c r="CD22" s="121"/>
      <c r="CE22" s="121"/>
      <c r="CF22" s="121"/>
      <c r="CG22" s="121"/>
      <c r="CH22" s="121"/>
      <c r="CI22" s="121"/>
      <c r="CJ22" s="121"/>
      <c r="CK22" s="121"/>
      <c r="CL22" s="121"/>
      <c r="CM22" s="121"/>
      <c r="CN22" s="121"/>
      <c r="CO22" s="121"/>
      <c r="CP22" s="121"/>
      <c r="CQ22" s="121"/>
      <c r="CR22" s="121"/>
      <c r="CS22" s="121"/>
      <c r="CT22" s="121"/>
      <c r="CU22" s="121"/>
      <c r="CV22" s="121"/>
      <c r="CW22" s="121"/>
      <c r="CX22" s="121"/>
      <c r="CY22" s="73"/>
      <c r="CZ22" s="76"/>
      <c r="DA22" s="73"/>
      <c r="DB22" s="74"/>
      <c r="DC22" s="174"/>
      <c r="DD22" s="174"/>
      <c r="DG22" s="70" t="s">
        <v>326</v>
      </c>
      <c r="DH22" s="117">
        <f>DA107</f>
        <v>34265.772228134701</v>
      </c>
      <c r="DI22" s="117"/>
      <c r="DJ22" s="178"/>
      <c r="DK22" s="179">
        <f>DL20-DL21</f>
        <v>3.4924596548080444E-10</v>
      </c>
      <c r="DL22" s="180" t="s">
        <v>657</v>
      </c>
      <c r="DM22" s="181"/>
      <c r="DN22" s="182"/>
      <c r="DO22" s="89"/>
      <c r="DP22" s="89"/>
      <c r="DQ22" s="89"/>
      <c r="DR22" s="89"/>
      <c r="DS22" s="89"/>
      <c r="DT22" s="89"/>
      <c r="DU22" s="89"/>
      <c r="DV22" s="89"/>
      <c r="DW22" s="89"/>
      <c r="DX22" s="89"/>
      <c r="DY22" s="89"/>
      <c r="DZ22" s="89"/>
      <c r="EA22" s="89"/>
      <c r="EB22" s="89"/>
      <c r="EC22" s="89"/>
      <c r="ED22" s="89"/>
      <c r="EE22" s="89"/>
      <c r="EF22" s="89"/>
      <c r="EG22" s="89"/>
      <c r="EH22" s="89"/>
      <c r="EI22" s="89"/>
    </row>
    <row r="23" spans="1:139" s="69" customFormat="1" x14ac:dyDescent="0.25">
      <c r="A23" s="69" t="s">
        <v>532</v>
      </c>
      <c r="B23" s="70"/>
      <c r="C23" s="183">
        <v>4.8500000000000001E-2</v>
      </c>
      <c r="D23" s="65"/>
      <c r="E23" s="65"/>
      <c r="F23" s="65"/>
      <c r="G23" s="65"/>
      <c r="H23" s="65"/>
      <c r="I23" s="65"/>
      <c r="J23" s="65"/>
      <c r="K23" s="65"/>
      <c r="L23" s="65"/>
      <c r="M23" s="65"/>
      <c r="N23" s="65"/>
      <c r="O23" s="65"/>
      <c r="P23" s="65"/>
      <c r="Q23" s="65"/>
      <c r="R23" s="65"/>
      <c r="S23" s="65"/>
      <c r="T23" s="65"/>
      <c r="U23" s="65"/>
      <c r="V23" s="65"/>
      <c r="W23" s="65"/>
      <c r="X23" s="65"/>
      <c r="Y23" s="65"/>
      <c r="Z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6"/>
      <c r="BC23" s="66"/>
      <c r="BD23" s="66"/>
      <c r="BE23" s="65"/>
      <c r="BF23" s="65"/>
      <c r="BG23" s="65"/>
      <c r="BH23" s="65"/>
      <c r="BI23" s="65"/>
      <c r="BJ23" s="65"/>
      <c r="BK23" s="65"/>
      <c r="BL23" s="65"/>
      <c r="BM23" s="65"/>
      <c r="BN23" s="65"/>
      <c r="BO23" s="65"/>
      <c r="BP23" s="65"/>
      <c r="BQ23" s="65"/>
      <c r="BR23" s="65"/>
      <c r="BS23" s="65"/>
      <c r="BT23" s="65"/>
      <c r="BU23" s="65"/>
      <c r="BV23" s="65"/>
      <c r="BW23" s="65"/>
      <c r="BX23" s="65"/>
      <c r="BY23" s="65"/>
      <c r="BZ23" s="72"/>
      <c r="CA23" s="76"/>
      <c r="CB23" s="121"/>
      <c r="CC23" s="121"/>
      <c r="CD23" s="121"/>
      <c r="CE23" s="121"/>
      <c r="CF23" s="121"/>
      <c r="CG23" s="121"/>
      <c r="CH23" s="121"/>
      <c r="CI23" s="121"/>
      <c r="CJ23" s="121"/>
      <c r="CK23" s="121"/>
      <c r="CL23" s="121"/>
      <c r="CM23" s="121"/>
      <c r="CN23" s="121"/>
      <c r="CO23" s="121"/>
      <c r="CP23" s="121"/>
      <c r="CQ23" s="121"/>
      <c r="CR23" s="121"/>
      <c r="CS23" s="121"/>
      <c r="CT23" s="121"/>
      <c r="CU23" s="121"/>
      <c r="CV23" s="121"/>
      <c r="CW23" s="121"/>
      <c r="CX23" s="121"/>
      <c r="CY23" s="73"/>
      <c r="CZ23" s="76"/>
      <c r="DA23" s="73"/>
      <c r="DB23" s="74"/>
      <c r="DC23" s="174"/>
      <c r="DD23" s="174"/>
      <c r="DG23" s="70" t="s">
        <v>327</v>
      </c>
      <c r="DH23" s="117">
        <f>DA108</f>
        <v>13313.784444983863</v>
      </c>
      <c r="DI23" s="117"/>
      <c r="DO23" s="89"/>
      <c r="DP23" s="89"/>
      <c r="DQ23" s="89"/>
      <c r="DR23" s="89"/>
      <c r="DS23" s="89"/>
      <c r="DT23" s="89"/>
      <c r="DU23" s="89"/>
      <c r="DV23" s="89"/>
      <c r="DW23" s="89"/>
      <c r="DX23" s="89"/>
      <c r="DY23" s="89"/>
      <c r="DZ23" s="89"/>
      <c r="EA23" s="89"/>
      <c r="EB23" s="89"/>
      <c r="EC23" s="89"/>
      <c r="ED23" s="89"/>
      <c r="EE23" s="89"/>
      <c r="EF23" s="89"/>
      <c r="EG23" s="89"/>
      <c r="EH23" s="89"/>
      <c r="EI23" s="89"/>
    </row>
    <row r="24" spans="1:139" s="69" customFormat="1" x14ac:dyDescent="0.25">
      <c r="B24" s="70"/>
      <c r="C24" s="183"/>
      <c r="D24" s="65"/>
      <c r="E24" s="65"/>
      <c r="F24" s="65"/>
      <c r="G24" s="65"/>
      <c r="H24" s="65"/>
      <c r="I24" s="65"/>
      <c r="J24" s="65"/>
      <c r="K24" s="65"/>
      <c r="L24" s="65"/>
      <c r="M24" s="65"/>
      <c r="N24" s="65"/>
      <c r="O24" s="65"/>
      <c r="P24" s="65"/>
      <c r="Q24" s="65"/>
      <c r="R24" s="65"/>
      <c r="S24" s="65"/>
      <c r="T24" s="65"/>
      <c r="U24" s="65"/>
      <c r="V24" s="65"/>
      <c r="W24" s="65"/>
      <c r="X24" s="65"/>
      <c r="Y24" s="65"/>
      <c r="Z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6"/>
      <c r="BC24" s="66"/>
      <c r="BD24" s="66"/>
      <c r="BE24" s="65"/>
      <c r="BF24" s="65"/>
      <c r="BG24" s="65"/>
      <c r="BH24" s="65"/>
      <c r="BI24" s="65"/>
      <c r="BJ24" s="65"/>
      <c r="BK24" s="65"/>
      <c r="BL24" s="65"/>
      <c r="BM24" s="65"/>
      <c r="BN24" s="65"/>
      <c r="BO24" s="65"/>
      <c r="BP24" s="65"/>
      <c r="BQ24" s="65"/>
      <c r="BR24" s="65"/>
      <c r="BS24" s="65"/>
      <c r="BT24" s="65"/>
      <c r="BU24" s="65"/>
      <c r="BV24" s="65"/>
      <c r="BW24" s="65"/>
      <c r="BX24" s="65"/>
      <c r="BY24" s="65"/>
      <c r="BZ24" s="72"/>
      <c r="CA24" s="76"/>
      <c r="CB24" s="121"/>
      <c r="CC24" s="121"/>
      <c r="CD24" s="121"/>
      <c r="CE24" s="121"/>
      <c r="CF24" s="121"/>
      <c r="CG24" s="121"/>
      <c r="CH24" s="121"/>
      <c r="CI24" s="121"/>
      <c r="CJ24" s="121"/>
      <c r="CK24" s="121"/>
      <c r="CL24" s="121"/>
      <c r="CM24" s="121"/>
      <c r="CN24" s="121"/>
      <c r="CO24" s="121"/>
      <c r="CP24" s="121"/>
      <c r="CQ24" s="121"/>
      <c r="CR24" s="121"/>
      <c r="CS24" s="121"/>
      <c r="CT24" s="121"/>
      <c r="CU24" s="121"/>
      <c r="CV24" s="121"/>
      <c r="CW24" s="121"/>
      <c r="CX24" s="121"/>
      <c r="CY24" s="73"/>
      <c r="CZ24" s="76"/>
      <c r="DA24" s="73"/>
      <c r="DB24" s="74"/>
      <c r="DC24" s="174"/>
      <c r="DD24" s="174"/>
      <c r="DG24" s="70" t="s">
        <v>328</v>
      </c>
      <c r="DH24" s="117">
        <f>DA109</f>
        <v>157823.70440589538</v>
      </c>
      <c r="DI24" s="117"/>
      <c r="DK24" s="117"/>
      <c r="DL24" s="117"/>
      <c r="DM24" s="117"/>
      <c r="DO24" s="89"/>
      <c r="DP24" s="89"/>
      <c r="DQ24" s="89"/>
      <c r="DR24" s="89"/>
      <c r="DS24" s="89"/>
      <c r="DT24" s="89"/>
      <c r="DU24" s="89"/>
      <c r="DV24" s="89"/>
      <c r="DW24" s="89"/>
      <c r="DX24" s="89"/>
      <c r="DY24" s="89"/>
      <c r="DZ24" s="89"/>
      <c r="EA24" s="89"/>
      <c r="EB24" s="89"/>
      <c r="EC24" s="89"/>
      <c r="ED24" s="89"/>
      <c r="EE24" s="89"/>
      <c r="EF24" s="89"/>
      <c r="EG24" s="89"/>
      <c r="EH24" s="89"/>
      <c r="EI24" s="89"/>
    </row>
    <row r="25" spans="1:139" s="69" customFormat="1" x14ac:dyDescent="0.25">
      <c r="A25" s="69" t="s">
        <v>682</v>
      </c>
      <c r="B25" s="70"/>
      <c r="C25" s="183"/>
      <c r="D25" s="65"/>
      <c r="E25" s="65"/>
      <c r="F25" s="65"/>
      <c r="G25" s="65"/>
      <c r="H25" s="65"/>
      <c r="I25" s="65"/>
      <c r="J25" s="65"/>
      <c r="K25" s="65"/>
      <c r="L25" s="65"/>
      <c r="M25" s="65"/>
      <c r="N25" s="65"/>
      <c r="O25" s="65"/>
      <c r="P25" s="65"/>
      <c r="Q25" s="65"/>
      <c r="R25" s="65"/>
      <c r="S25" s="65"/>
      <c r="T25" s="65"/>
      <c r="U25" s="65"/>
      <c r="V25" s="65"/>
      <c r="W25" s="65"/>
      <c r="X25" s="65"/>
      <c r="Y25" s="65"/>
      <c r="Z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6"/>
      <c r="BC25" s="66"/>
      <c r="BD25" s="66"/>
      <c r="BE25" s="65"/>
      <c r="BF25" s="65"/>
      <c r="BG25" s="65"/>
      <c r="BH25" s="65"/>
      <c r="BI25" s="65"/>
      <c r="BJ25" s="65"/>
      <c r="BK25" s="65"/>
      <c r="BL25" s="65"/>
      <c r="BM25" s="65"/>
      <c r="BN25" s="65"/>
      <c r="BO25" s="65"/>
      <c r="BP25" s="65"/>
      <c r="BQ25" s="65"/>
      <c r="BR25" s="65"/>
      <c r="BS25" s="65"/>
      <c r="BT25" s="65"/>
      <c r="BU25" s="65"/>
      <c r="BV25" s="65"/>
      <c r="BW25" s="65"/>
      <c r="BX25" s="65"/>
      <c r="BY25" s="65"/>
      <c r="BZ25" s="72"/>
      <c r="CA25" s="76"/>
      <c r="CB25" s="121"/>
      <c r="CC25" s="121"/>
      <c r="CD25" s="121"/>
      <c r="CE25" s="121"/>
      <c r="CF25" s="121"/>
      <c r="CG25" s="121"/>
      <c r="CH25" s="121"/>
      <c r="CI25" s="121"/>
      <c r="CJ25" s="121"/>
      <c r="CK25" s="121"/>
      <c r="CL25" s="121"/>
      <c r="CM25" s="121"/>
      <c r="CN25" s="121"/>
      <c r="CO25" s="121"/>
      <c r="CP25" s="121"/>
      <c r="CQ25" s="121"/>
      <c r="CR25" s="121"/>
      <c r="CS25" s="121"/>
      <c r="CT25" s="121"/>
      <c r="CU25" s="121"/>
      <c r="CV25" s="121"/>
      <c r="CW25" s="121"/>
      <c r="CX25" s="121"/>
      <c r="CY25" s="73"/>
      <c r="CZ25" s="76"/>
      <c r="DA25" s="73"/>
      <c r="DB25" s="74"/>
      <c r="DC25" s="174"/>
      <c r="DD25" s="174"/>
      <c r="DG25" s="70" t="s">
        <v>329</v>
      </c>
      <c r="DH25" s="117"/>
      <c r="DI25" s="117">
        <f>DA110</f>
        <v>16614.033574912693</v>
      </c>
      <c r="DL25" s="117"/>
      <c r="DM25" s="117"/>
      <c r="DO25" s="89"/>
      <c r="DP25" s="89"/>
      <c r="DQ25" s="89"/>
      <c r="DR25" s="89"/>
      <c r="DS25" s="89"/>
      <c r="DT25" s="89"/>
      <c r="DU25" s="89"/>
      <c r="DV25" s="89"/>
      <c r="DW25" s="89"/>
      <c r="DX25" s="89"/>
      <c r="DY25" s="89"/>
      <c r="DZ25" s="89"/>
      <c r="EA25" s="89"/>
      <c r="EB25" s="89"/>
      <c r="EC25" s="89"/>
      <c r="ED25" s="89"/>
      <c r="EE25" s="89"/>
      <c r="EF25" s="89"/>
      <c r="EG25" s="89"/>
      <c r="EH25" s="89"/>
      <c r="EI25" s="89"/>
    </row>
    <row r="26" spans="1:139" s="69" customFormat="1" x14ac:dyDescent="0.25">
      <c r="B26" s="65" t="s">
        <v>627</v>
      </c>
      <c r="C26" s="70" t="s">
        <v>684</v>
      </c>
      <c r="D26" s="183" t="s">
        <v>683</v>
      </c>
      <c r="E26" s="65"/>
      <c r="F26" s="65"/>
      <c r="G26" s="65"/>
      <c r="H26" s="65"/>
      <c r="I26" s="65"/>
      <c r="J26" s="65"/>
      <c r="K26" s="65"/>
      <c r="L26" s="65"/>
      <c r="M26" s="65"/>
      <c r="N26" s="65"/>
      <c r="O26" s="65"/>
      <c r="P26" s="65"/>
      <c r="Q26" s="65"/>
      <c r="R26" s="65"/>
      <c r="S26" s="65"/>
      <c r="T26" s="65"/>
      <c r="U26" s="65"/>
      <c r="V26" s="65"/>
      <c r="W26" s="65"/>
      <c r="X26" s="65"/>
      <c r="Y26" s="65"/>
      <c r="Z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6"/>
      <c r="BC26" s="66"/>
      <c r="BD26" s="66"/>
      <c r="BE26" s="65"/>
      <c r="BF26" s="65"/>
      <c r="BG26" s="65"/>
      <c r="BH26" s="65"/>
      <c r="BI26" s="65"/>
      <c r="BJ26" s="65"/>
      <c r="BK26" s="65"/>
      <c r="BL26" s="65"/>
      <c r="BM26" s="65"/>
      <c r="BN26" s="65"/>
      <c r="BO26" s="65"/>
      <c r="BP26" s="65"/>
      <c r="BQ26" s="65"/>
      <c r="BR26" s="65"/>
      <c r="BS26" s="65"/>
      <c r="BT26" s="65"/>
      <c r="BU26" s="65"/>
      <c r="BV26" s="65"/>
      <c r="BW26" s="65"/>
      <c r="BX26" s="65"/>
      <c r="BY26" s="65"/>
      <c r="BZ26" s="72"/>
      <c r="CA26" s="76"/>
      <c r="CB26" s="121"/>
      <c r="CC26" s="121"/>
      <c r="CD26" s="121"/>
      <c r="CE26" s="121"/>
      <c r="CF26" s="121"/>
      <c r="CG26" s="121"/>
      <c r="CH26" s="121"/>
      <c r="CI26" s="121"/>
      <c r="CJ26" s="121"/>
      <c r="CK26" s="121"/>
      <c r="CL26" s="121"/>
      <c r="CM26" s="121"/>
      <c r="CN26" s="121"/>
      <c r="CO26" s="121"/>
      <c r="CP26" s="121"/>
      <c r="CQ26" s="121"/>
      <c r="CR26" s="121"/>
      <c r="CS26" s="121"/>
      <c r="CT26" s="121"/>
      <c r="CU26" s="121"/>
      <c r="CV26" s="121"/>
      <c r="CW26" s="121"/>
      <c r="CX26" s="121"/>
      <c r="CY26" s="73"/>
      <c r="CZ26" s="76"/>
      <c r="DA26" s="73"/>
      <c r="DB26" s="74"/>
      <c r="DC26" s="174"/>
      <c r="DD26" s="174"/>
      <c r="DG26" s="70" t="s">
        <v>330</v>
      </c>
      <c r="DH26" s="117"/>
      <c r="DI26" s="117">
        <f>DA111</f>
        <v>83707.749466974055</v>
      </c>
      <c r="DK26" s="117"/>
      <c r="DL26" s="184" t="s">
        <v>611</v>
      </c>
      <c r="DM26" s="117"/>
      <c r="DO26" s="89"/>
      <c r="DP26" s="89"/>
      <c r="DQ26" s="89"/>
      <c r="DR26" s="89"/>
      <c r="DS26" s="89"/>
      <c r="DT26" s="89"/>
      <c r="DU26" s="89"/>
      <c r="DV26" s="89"/>
      <c r="DW26" s="89"/>
      <c r="DX26" s="89"/>
      <c r="DY26" s="89"/>
      <c r="DZ26" s="89"/>
      <c r="EA26" s="89"/>
      <c r="EB26" s="89"/>
      <c r="EC26" s="89"/>
      <c r="ED26" s="89"/>
      <c r="EE26" s="89"/>
      <c r="EF26" s="89"/>
      <c r="EG26" s="89"/>
      <c r="EH26" s="89"/>
      <c r="EI26" s="89"/>
    </row>
    <row r="27" spans="1:139" s="69" customFormat="1" x14ac:dyDescent="0.25">
      <c r="A27" s="69" t="s">
        <v>544</v>
      </c>
      <c r="B27" s="65">
        <f>2805-55</f>
        <v>2750</v>
      </c>
      <c r="C27" s="184">
        <f t="shared" ref="C27:C33" si="20">B27*(1-C$23)</f>
        <v>2616.625</v>
      </c>
      <c r="D27" s="176">
        <f>C27*1000-$C$20</f>
        <v>2593215.4203323559</v>
      </c>
      <c r="E27" s="65"/>
      <c r="F27" s="65"/>
      <c r="G27" s="65"/>
      <c r="H27" s="65"/>
      <c r="I27" s="65"/>
      <c r="J27" s="65"/>
      <c r="K27" s="65"/>
      <c r="L27" s="65"/>
      <c r="M27" s="65"/>
      <c r="N27" s="65"/>
      <c r="O27" s="65"/>
      <c r="P27" s="65"/>
      <c r="Q27" s="65"/>
      <c r="R27" s="65"/>
      <c r="S27" s="65"/>
      <c r="T27" s="65"/>
      <c r="U27" s="65"/>
      <c r="V27" s="65"/>
      <c r="W27" s="65"/>
      <c r="X27" s="65"/>
      <c r="Y27" s="65"/>
      <c r="Z27" s="65"/>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6"/>
      <c r="BC27" s="66"/>
      <c r="BD27" s="66"/>
      <c r="BE27" s="65"/>
      <c r="BF27" s="65"/>
      <c r="BG27" s="65"/>
      <c r="BH27" s="65"/>
      <c r="BI27" s="65"/>
      <c r="BJ27" s="65"/>
      <c r="BK27" s="65"/>
      <c r="BL27" s="65"/>
      <c r="BM27" s="65"/>
      <c r="BN27" s="65"/>
      <c r="BO27" s="65"/>
      <c r="BP27" s="65"/>
      <c r="BQ27" s="65"/>
      <c r="BR27" s="65"/>
      <c r="BS27" s="65"/>
      <c r="BT27" s="65"/>
      <c r="BU27" s="65"/>
      <c r="BV27" s="65"/>
      <c r="BW27" s="65"/>
      <c r="BX27" s="65"/>
      <c r="BY27" s="65"/>
      <c r="BZ27" s="72"/>
      <c r="CA27" s="76"/>
      <c r="CB27" s="121"/>
      <c r="CC27" s="121"/>
      <c r="CD27" s="121"/>
      <c r="CE27" s="121"/>
      <c r="CF27" s="121"/>
      <c r="CG27" s="121"/>
      <c r="CH27" s="121"/>
      <c r="CI27" s="121"/>
      <c r="CJ27" s="121"/>
      <c r="CK27" s="121"/>
      <c r="CL27" s="121"/>
      <c r="CM27" s="121"/>
      <c r="CN27" s="121"/>
      <c r="CO27" s="121"/>
      <c r="CP27" s="121"/>
      <c r="CQ27" s="121"/>
      <c r="CR27" s="121"/>
      <c r="CS27" s="121"/>
      <c r="CT27" s="121"/>
      <c r="CU27" s="121"/>
      <c r="CV27" s="121"/>
      <c r="CW27" s="121"/>
      <c r="CX27" s="121"/>
      <c r="CY27" s="73"/>
      <c r="CZ27" s="76"/>
      <c r="DA27" s="73"/>
      <c r="DB27" s="74"/>
      <c r="DC27" s="174"/>
      <c r="DD27" s="174"/>
      <c r="DG27" s="70" t="s">
        <v>331</v>
      </c>
      <c r="DH27" s="117"/>
      <c r="DI27" s="117">
        <f>DA112</f>
        <v>85468.500265443989</v>
      </c>
      <c r="DK27" s="215" t="s">
        <v>652</v>
      </c>
      <c r="DL27" s="185">
        <f>SUMIF($D$1:$BY$1,"FR",D11:BY11)</f>
        <v>772831.86705767363</v>
      </c>
      <c r="DO27" s="89"/>
      <c r="DP27" s="89"/>
      <c r="DQ27" s="89"/>
      <c r="DR27" s="89"/>
      <c r="DS27" s="89"/>
      <c r="DT27" s="89"/>
      <c r="DU27" s="89"/>
      <c r="DV27" s="89"/>
      <c r="DW27" s="89"/>
      <c r="DX27" s="89"/>
      <c r="DY27" s="89"/>
      <c r="DZ27" s="89"/>
      <c r="EA27" s="89"/>
      <c r="EB27" s="89"/>
      <c r="EC27" s="89"/>
      <c r="ED27" s="89"/>
      <c r="EE27" s="89"/>
      <c r="EF27" s="89"/>
      <c r="EG27" s="89"/>
      <c r="EH27" s="89"/>
      <c r="EI27" s="89"/>
    </row>
    <row r="28" spans="1:139" s="69" customFormat="1" x14ac:dyDescent="0.25">
      <c r="A28" s="69" t="s">
        <v>81</v>
      </c>
      <c r="B28" s="65">
        <v>475</v>
      </c>
      <c r="C28" s="184">
        <f t="shared" si="20"/>
        <v>451.96250000000003</v>
      </c>
      <c r="D28" s="176">
        <f t="shared" ref="D28:D33" si="21">C28*1000-$C$20</f>
        <v>428552.92033235589</v>
      </c>
      <c r="E28" s="65"/>
      <c r="F28" s="65"/>
      <c r="G28" s="65"/>
      <c r="H28" s="65"/>
      <c r="I28" s="65"/>
      <c r="J28" s="65"/>
      <c r="K28" s="65"/>
      <c r="L28" s="65"/>
      <c r="M28" s="65"/>
      <c r="N28" s="65"/>
      <c r="O28" s="65"/>
      <c r="P28" s="65"/>
      <c r="Q28" s="65"/>
      <c r="R28" s="65"/>
      <c r="S28" s="65"/>
      <c r="T28" s="65"/>
      <c r="U28" s="65"/>
      <c r="V28" s="65"/>
      <c r="W28" s="65"/>
      <c r="X28" s="65"/>
      <c r="Y28" s="65"/>
      <c r="Z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6"/>
      <c r="BC28" s="66"/>
      <c r="BD28" s="66"/>
      <c r="BE28" s="65"/>
      <c r="BF28" s="65"/>
      <c r="BG28" s="65"/>
      <c r="BH28" s="65"/>
      <c r="BI28" s="65"/>
      <c r="BJ28" s="65"/>
      <c r="BK28" s="65"/>
      <c r="BL28" s="65"/>
      <c r="BM28" s="65"/>
      <c r="BN28" s="65"/>
      <c r="BO28" s="65"/>
      <c r="BP28" s="65"/>
      <c r="BQ28" s="65"/>
      <c r="BR28" s="65"/>
      <c r="BS28" s="65"/>
      <c r="BT28" s="65"/>
      <c r="BU28" s="65"/>
      <c r="BV28" s="65"/>
      <c r="BW28" s="65"/>
      <c r="BX28" s="65"/>
      <c r="BY28" s="65"/>
      <c r="BZ28" s="72"/>
      <c r="CA28" s="76"/>
      <c r="CB28" s="121"/>
      <c r="CC28" s="121"/>
      <c r="CD28" s="121"/>
      <c r="CE28" s="121"/>
      <c r="CF28" s="121"/>
      <c r="CG28" s="121"/>
      <c r="CH28" s="121"/>
      <c r="CI28" s="121"/>
      <c r="CJ28" s="121"/>
      <c r="CK28" s="121"/>
      <c r="CL28" s="121"/>
      <c r="CM28" s="121"/>
      <c r="CN28" s="121"/>
      <c r="CO28" s="121"/>
      <c r="CP28" s="121"/>
      <c r="CQ28" s="121"/>
      <c r="CR28" s="121"/>
      <c r="CS28" s="121"/>
      <c r="CT28" s="121"/>
      <c r="CU28" s="121"/>
      <c r="CV28" s="121"/>
      <c r="CW28" s="121"/>
      <c r="CX28" s="121"/>
      <c r="CY28" s="73"/>
      <c r="CZ28" s="76"/>
      <c r="DA28" s="73"/>
      <c r="DB28" s="74"/>
      <c r="DC28" s="174"/>
      <c r="DD28" s="174"/>
      <c r="DK28" s="119"/>
      <c r="DN28" s="117"/>
      <c r="DO28" s="89"/>
      <c r="DP28" s="89"/>
      <c r="DQ28" s="89"/>
      <c r="DR28" s="89"/>
      <c r="DS28" s="89"/>
      <c r="DT28" s="89"/>
      <c r="DU28" s="89"/>
      <c r="DV28" s="89"/>
      <c r="DW28" s="89"/>
      <c r="DX28" s="89"/>
      <c r="DY28" s="89"/>
      <c r="DZ28" s="89"/>
      <c r="EA28" s="89"/>
      <c r="EB28" s="89"/>
      <c r="EC28" s="89"/>
      <c r="ED28" s="89"/>
      <c r="EE28" s="89"/>
      <c r="EF28" s="89"/>
      <c r="EG28" s="89"/>
      <c r="EH28" s="89"/>
      <c r="EI28" s="89"/>
    </row>
    <row r="29" spans="1:139" s="69" customFormat="1" x14ac:dyDescent="0.25">
      <c r="A29" s="69" t="s">
        <v>561</v>
      </c>
      <c r="B29" s="65">
        <v>650</v>
      </c>
      <c r="C29" s="184">
        <f t="shared" si="20"/>
        <v>618.47500000000002</v>
      </c>
      <c r="D29" s="176">
        <f t="shared" si="21"/>
        <v>595065.42033235577</v>
      </c>
      <c r="E29" s="65"/>
      <c r="F29" s="65"/>
      <c r="G29" s="65"/>
      <c r="H29" s="65"/>
      <c r="I29" s="65"/>
      <c r="J29" s="65"/>
      <c r="K29" s="65"/>
      <c r="L29" s="65"/>
      <c r="M29" s="65"/>
      <c r="N29" s="65"/>
      <c r="O29" s="65"/>
      <c r="P29" s="65"/>
      <c r="Q29" s="65"/>
      <c r="R29" s="65"/>
      <c r="S29" s="65"/>
      <c r="T29" s="65"/>
      <c r="U29" s="65"/>
      <c r="V29" s="65"/>
      <c r="W29" s="65"/>
      <c r="X29" s="65"/>
      <c r="Y29" s="65"/>
      <c r="Z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6"/>
      <c r="BC29" s="66"/>
      <c r="BD29" s="66"/>
      <c r="BE29" s="65"/>
      <c r="BF29" s="65"/>
      <c r="BG29" s="65"/>
      <c r="BH29" s="65"/>
      <c r="BI29" s="65"/>
      <c r="BJ29" s="65"/>
      <c r="BK29" s="65"/>
      <c r="BL29" s="65"/>
      <c r="BM29" s="65"/>
      <c r="BN29" s="65"/>
      <c r="BO29" s="65"/>
      <c r="BP29" s="65"/>
      <c r="BQ29" s="65"/>
      <c r="BR29" s="65"/>
      <c r="BS29" s="65"/>
      <c r="BT29" s="65"/>
      <c r="BU29" s="65"/>
      <c r="BV29" s="65"/>
      <c r="BW29" s="65"/>
      <c r="BX29" s="65"/>
      <c r="BY29" s="65"/>
      <c r="BZ29" s="72"/>
      <c r="CA29" s="76"/>
      <c r="CB29" s="121"/>
      <c r="CC29" s="121"/>
      <c r="CD29" s="121"/>
      <c r="CE29" s="121"/>
      <c r="CF29" s="121"/>
      <c r="CG29" s="121"/>
      <c r="CH29" s="121"/>
      <c r="CI29" s="121"/>
      <c r="CJ29" s="121"/>
      <c r="CK29" s="121"/>
      <c r="CL29" s="121"/>
      <c r="CM29" s="121"/>
      <c r="CN29" s="121"/>
      <c r="CO29" s="121"/>
      <c r="CP29" s="121"/>
      <c r="CQ29" s="121"/>
      <c r="CR29" s="121"/>
      <c r="CS29" s="121"/>
      <c r="CT29" s="121"/>
      <c r="CU29" s="121"/>
      <c r="CV29" s="121"/>
      <c r="CW29" s="121"/>
      <c r="CX29" s="121"/>
      <c r="CY29" s="73"/>
      <c r="CZ29" s="76"/>
      <c r="DA29" s="73"/>
      <c r="DB29" s="74"/>
      <c r="DC29" s="174"/>
      <c r="DD29" s="174"/>
      <c r="DG29" s="147" t="s">
        <v>569</v>
      </c>
      <c r="DH29" s="117"/>
      <c r="DI29" s="117"/>
      <c r="DK29" s="70" t="s">
        <v>637</v>
      </c>
      <c r="DL29" s="174">
        <f>C20</f>
        <v>23409.579667644182</v>
      </c>
      <c r="DN29" s="117"/>
      <c r="DO29" s="89"/>
      <c r="DP29" s="89"/>
      <c r="DQ29" s="89"/>
      <c r="DR29" s="89"/>
      <c r="DS29" s="89"/>
      <c r="DT29" s="89"/>
      <c r="DU29" s="89"/>
      <c r="DV29" s="89"/>
      <c r="DW29" s="89"/>
      <c r="DX29" s="89"/>
      <c r="DY29" s="89"/>
      <c r="DZ29" s="89"/>
      <c r="EA29" s="89"/>
      <c r="EB29" s="89"/>
      <c r="EC29" s="89"/>
      <c r="ED29" s="89"/>
      <c r="EE29" s="89"/>
      <c r="EF29" s="89"/>
      <c r="EG29" s="89"/>
      <c r="EH29" s="89"/>
      <c r="EI29" s="89"/>
    </row>
    <row r="30" spans="1:139" s="69" customFormat="1" x14ac:dyDescent="0.25">
      <c r="A30" s="146" t="s">
        <v>533</v>
      </c>
      <c r="B30" s="65">
        <v>320</v>
      </c>
      <c r="C30" s="117">
        <f t="shared" si="20"/>
        <v>304.48</v>
      </c>
      <c r="D30" s="176">
        <f t="shared" si="21"/>
        <v>281070.42033235583</v>
      </c>
      <c r="E30" s="65"/>
      <c r="F30" s="65"/>
      <c r="G30" s="65"/>
      <c r="H30" s="65"/>
      <c r="I30" s="65"/>
      <c r="J30" s="65"/>
      <c r="K30" s="65"/>
      <c r="L30" s="65"/>
      <c r="M30" s="65"/>
      <c r="N30" s="65"/>
      <c r="O30" s="65"/>
      <c r="P30" s="65"/>
      <c r="Q30" s="65"/>
      <c r="R30" s="65"/>
      <c r="S30" s="65"/>
      <c r="T30" s="65"/>
      <c r="U30" s="65"/>
      <c r="V30" s="65"/>
      <c r="W30" s="65"/>
      <c r="X30" s="65"/>
      <c r="Y30" s="65"/>
      <c r="Z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6"/>
      <c r="BC30" s="66"/>
      <c r="BD30" s="66"/>
      <c r="BE30" s="65"/>
      <c r="BF30" s="65"/>
      <c r="BG30" s="65"/>
      <c r="BH30" s="65"/>
      <c r="BI30" s="65"/>
      <c r="BJ30" s="65"/>
      <c r="BK30" s="65"/>
      <c r="BL30" s="65"/>
      <c r="BM30" s="65"/>
      <c r="BN30" s="65"/>
      <c r="BO30" s="65"/>
      <c r="BP30" s="65"/>
      <c r="BQ30" s="65"/>
      <c r="BR30" s="65"/>
      <c r="BS30" s="65"/>
      <c r="BT30" s="65"/>
      <c r="BU30" s="65"/>
      <c r="BV30" s="65"/>
      <c r="BW30" s="65"/>
      <c r="BX30" s="65"/>
      <c r="BY30" s="65"/>
      <c r="BZ30" s="72"/>
      <c r="CA30" s="76"/>
      <c r="CB30" s="121"/>
      <c r="CC30" s="121"/>
      <c r="CD30" s="121"/>
      <c r="CE30" s="121"/>
      <c r="CF30" s="121"/>
      <c r="CG30" s="121"/>
      <c r="CH30" s="121"/>
      <c r="CI30" s="121"/>
      <c r="CJ30" s="121"/>
      <c r="CK30" s="121"/>
      <c r="CL30" s="121"/>
      <c r="CM30" s="121"/>
      <c r="CN30" s="121"/>
      <c r="CO30" s="121"/>
      <c r="CP30" s="121"/>
      <c r="CQ30" s="121"/>
      <c r="CR30" s="121"/>
      <c r="CS30" s="121"/>
      <c r="CT30" s="121"/>
      <c r="CU30" s="121"/>
      <c r="CV30" s="121"/>
      <c r="CW30" s="121"/>
      <c r="CX30" s="121"/>
      <c r="CY30" s="73"/>
      <c r="CZ30" s="76"/>
      <c r="DA30" s="73"/>
      <c r="DB30" s="74"/>
      <c r="DC30" s="174"/>
      <c r="DD30" s="174"/>
      <c r="DG30" s="70" t="s">
        <v>326</v>
      </c>
      <c r="DH30" s="117">
        <f>DA115-DH22-DH14-DH5</f>
        <v>240561.58582046381</v>
      </c>
      <c r="DI30" s="117"/>
      <c r="DK30" s="70" t="s">
        <v>635</v>
      </c>
      <c r="DL30" s="123">
        <f>SUMIF($D$1:$BY$1,"FR",D59:BY59)</f>
        <v>612094</v>
      </c>
      <c r="DN30" s="117"/>
      <c r="DO30" s="89"/>
      <c r="DP30" s="89"/>
      <c r="DQ30" s="89"/>
      <c r="DR30" s="89"/>
      <c r="DS30" s="89"/>
      <c r="DT30" s="89"/>
      <c r="DU30" s="89"/>
      <c r="DV30" s="89"/>
      <c r="DW30" s="89"/>
      <c r="DX30" s="89"/>
      <c r="DY30" s="89"/>
      <c r="DZ30" s="89"/>
      <c r="EA30" s="89"/>
      <c r="EB30" s="89"/>
      <c r="EC30" s="89"/>
      <c r="ED30" s="89"/>
      <c r="EE30" s="89"/>
      <c r="EF30" s="89"/>
      <c r="EG30" s="89"/>
      <c r="EH30" s="89"/>
      <c r="EI30" s="89"/>
    </row>
    <row r="31" spans="1:139" s="69" customFormat="1" x14ac:dyDescent="0.25">
      <c r="A31" s="146" t="s">
        <v>633</v>
      </c>
      <c r="B31" s="117">
        <v>450</v>
      </c>
      <c r="C31" s="117">
        <f t="shared" si="20"/>
        <v>428.17500000000001</v>
      </c>
      <c r="D31" s="176">
        <f t="shared" si="21"/>
        <v>404765.42033235583</v>
      </c>
      <c r="E31" s="65"/>
      <c r="F31" s="65"/>
      <c r="G31" s="65"/>
      <c r="H31" s="65"/>
      <c r="I31" s="65"/>
      <c r="J31" s="65"/>
      <c r="K31" s="65"/>
      <c r="L31" s="65"/>
      <c r="M31" s="65"/>
      <c r="N31" s="65"/>
      <c r="O31" s="65"/>
      <c r="P31" s="65"/>
      <c r="Q31" s="65"/>
      <c r="R31" s="65"/>
      <c r="S31" s="65"/>
      <c r="T31" s="65"/>
      <c r="U31" s="65"/>
      <c r="V31" s="65"/>
      <c r="W31" s="65"/>
      <c r="X31" s="65"/>
      <c r="Y31" s="65"/>
      <c r="Z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6"/>
      <c r="BC31" s="66"/>
      <c r="BD31" s="66"/>
      <c r="BE31" s="65"/>
      <c r="BF31" s="65"/>
      <c r="BG31" s="65"/>
      <c r="BH31" s="65"/>
      <c r="BI31" s="65"/>
      <c r="BJ31" s="65"/>
      <c r="BK31" s="65"/>
      <c r="BL31" s="65"/>
      <c r="BM31" s="65"/>
      <c r="BN31" s="65"/>
      <c r="BO31" s="65"/>
      <c r="BP31" s="65"/>
      <c r="BQ31" s="65"/>
      <c r="BR31" s="65"/>
      <c r="BS31" s="65"/>
      <c r="BT31" s="65"/>
      <c r="BU31" s="65"/>
      <c r="BV31" s="65"/>
      <c r="BW31" s="65"/>
      <c r="BX31" s="65"/>
      <c r="BY31" s="65"/>
      <c r="BZ31" s="72"/>
      <c r="CA31" s="76"/>
      <c r="CB31" s="121"/>
      <c r="CC31" s="121"/>
      <c r="CD31" s="121"/>
      <c r="CE31" s="121"/>
      <c r="CF31" s="121"/>
      <c r="CG31" s="121"/>
      <c r="CH31" s="121"/>
      <c r="CI31" s="121"/>
      <c r="CJ31" s="121"/>
      <c r="CK31" s="121"/>
      <c r="CL31" s="121"/>
      <c r="CM31" s="121"/>
      <c r="CN31" s="121"/>
      <c r="CO31" s="121"/>
      <c r="CP31" s="121"/>
      <c r="CQ31" s="121"/>
      <c r="CR31" s="121"/>
      <c r="CS31" s="121"/>
      <c r="CT31" s="121"/>
      <c r="CU31" s="121"/>
      <c r="CV31" s="121"/>
      <c r="CW31" s="121"/>
      <c r="CX31" s="121"/>
      <c r="CY31" s="73"/>
      <c r="CZ31" s="76"/>
      <c r="DA31" s="73"/>
      <c r="DB31" s="74"/>
      <c r="DC31" s="174"/>
      <c r="DD31" s="174"/>
      <c r="DG31" s="70" t="s">
        <v>327</v>
      </c>
      <c r="DH31" s="117">
        <f>DA116-DH23-DH15-DH6</f>
        <v>93468.930979685349</v>
      </c>
      <c r="DI31" s="117"/>
      <c r="DK31" s="70" t="s">
        <v>636</v>
      </c>
      <c r="DL31" s="123">
        <f>SUMIF($D$1:$BY$1,"FR",D76:BY76)</f>
        <v>137328.28739002944</v>
      </c>
      <c r="DN31" s="117"/>
      <c r="DO31" s="89"/>
      <c r="DP31" s="89"/>
      <c r="DQ31" s="89"/>
      <c r="DR31" s="89"/>
      <c r="DS31" s="89"/>
      <c r="DT31" s="89"/>
      <c r="DU31" s="89"/>
      <c r="DV31" s="89"/>
      <c r="DW31" s="89"/>
      <c r="DX31" s="89"/>
      <c r="DY31" s="89"/>
      <c r="DZ31" s="89"/>
      <c r="EA31" s="89"/>
      <c r="EB31" s="89"/>
      <c r="EC31" s="89"/>
      <c r="ED31" s="89"/>
      <c r="EE31" s="89"/>
      <c r="EF31" s="89"/>
      <c r="EG31" s="89"/>
      <c r="EH31" s="89"/>
      <c r="EI31" s="89"/>
    </row>
    <row r="32" spans="1:139" s="69" customFormat="1" ht="13.8" thickBot="1" x14ac:dyDescent="0.3">
      <c r="A32" s="146" t="s">
        <v>534</v>
      </c>
      <c r="B32" s="65">
        <v>2320</v>
      </c>
      <c r="C32" s="117">
        <f t="shared" si="20"/>
        <v>2207.48</v>
      </c>
      <c r="D32" s="176">
        <f t="shared" si="21"/>
        <v>2184070.4203323559</v>
      </c>
      <c r="E32" s="65"/>
      <c r="F32" s="65"/>
      <c r="G32" s="65"/>
      <c r="H32" s="65"/>
      <c r="I32" s="65"/>
      <c r="J32" s="65"/>
      <c r="K32" s="65"/>
      <c r="L32" s="65"/>
      <c r="M32" s="65"/>
      <c r="N32" s="65"/>
      <c r="O32" s="65"/>
      <c r="P32" s="65"/>
      <c r="Q32" s="65"/>
      <c r="R32" s="65"/>
      <c r="S32" s="65"/>
      <c r="T32" s="65"/>
      <c r="U32" s="65"/>
      <c r="V32" s="65"/>
      <c r="W32" s="65"/>
      <c r="X32" s="65"/>
      <c r="Y32" s="65"/>
      <c r="Z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6"/>
      <c r="BC32" s="66"/>
      <c r="BD32" s="66"/>
      <c r="BE32" s="65"/>
      <c r="BF32" s="65"/>
      <c r="BG32" s="65"/>
      <c r="BH32" s="65"/>
      <c r="BI32" s="65"/>
      <c r="BJ32" s="65"/>
      <c r="BK32" s="65"/>
      <c r="BL32" s="65"/>
      <c r="BM32" s="65"/>
      <c r="BN32" s="65"/>
      <c r="BO32" s="65"/>
      <c r="BP32" s="65"/>
      <c r="BQ32" s="65"/>
      <c r="BR32" s="65"/>
      <c r="BS32" s="65"/>
      <c r="BT32" s="65"/>
      <c r="BU32" s="65"/>
      <c r="BV32" s="65"/>
      <c r="BW32" s="65"/>
      <c r="BX32" s="65"/>
      <c r="BY32" s="65"/>
      <c r="BZ32" s="72"/>
      <c r="CA32" s="76"/>
      <c r="CB32" s="121"/>
      <c r="CC32" s="121"/>
      <c r="CD32" s="121"/>
      <c r="CE32" s="121"/>
      <c r="CF32" s="121"/>
      <c r="CG32" s="121"/>
      <c r="CH32" s="121"/>
      <c r="CI32" s="121"/>
      <c r="CJ32" s="121"/>
      <c r="CK32" s="121"/>
      <c r="CL32" s="121"/>
      <c r="CM32" s="121"/>
      <c r="CN32" s="121"/>
      <c r="CO32" s="121"/>
      <c r="CP32" s="121"/>
      <c r="CQ32" s="121"/>
      <c r="CR32" s="121"/>
      <c r="CS32" s="121"/>
      <c r="CT32" s="121"/>
      <c r="CU32" s="121"/>
      <c r="CV32" s="121"/>
      <c r="CW32" s="121"/>
      <c r="CX32" s="121"/>
      <c r="CY32" s="73"/>
      <c r="CZ32" s="76"/>
      <c r="DA32" s="73"/>
      <c r="DB32" s="74"/>
      <c r="DC32" s="174"/>
      <c r="DD32" s="174"/>
      <c r="DG32" s="70" t="s">
        <v>328</v>
      </c>
      <c r="DH32" s="117">
        <f>DA117-DH24-DH16-DH7</f>
        <v>1132285.9189343904</v>
      </c>
      <c r="DI32" s="117"/>
      <c r="DK32" s="70" t="s">
        <v>639</v>
      </c>
      <c r="DL32" s="186">
        <f>SUM(DL29:DL31)</f>
        <v>772831.86705767363</v>
      </c>
      <c r="DM32" s="69" t="str">
        <f>IF(DL32=DL27,"OKAY","Check Full Requirements")</f>
        <v>OKAY</v>
      </c>
      <c r="DN32" s="117"/>
      <c r="DO32" s="89"/>
      <c r="DP32" s="89"/>
      <c r="DQ32" s="89"/>
      <c r="DR32" s="89"/>
      <c r="DS32" s="89"/>
      <c r="DT32" s="89"/>
      <c r="DU32" s="89"/>
      <c r="DV32" s="89"/>
      <c r="DW32" s="89"/>
      <c r="DX32" s="89"/>
      <c r="DY32" s="89"/>
      <c r="DZ32" s="89"/>
      <c r="EA32" s="89"/>
      <c r="EB32" s="89"/>
      <c r="EC32" s="89"/>
      <c r="ED32" s="89"/>
      <c r="EE32" s="89"/>
      <c r="EF32" s="89"/>
      <c r="EG32" s="89"/>
      <c r="EH32" s="89"/>
      <c r="EI32" s="89"/>
    </row>
    <row r="33" spans="1:139" s="69" customFormat="1" ht="13.8" thickTop="1" x14ac:dyDescent="0.25">
      <c r="A33" s="146" t="s">
        <v>535</v>
      </c>
      <c r="B33" s="65">
        <v>2000</v>
      </c>
      <c r="C33" s="117">
        <f t="shared" si="20"/>
        <v>1903</v>
      </c>
      <c r="D33" s="176">
        <f t="shared" si="21"/>
        <v>1879590.4203323559</v>
      </c>
      <c r="E33" s="65"/>
      <c r="F33" s="65"/>
      <c r="G33" s="65"/>
      <c r="H33" s="65"/>
      <c r="I33" s="65"/>
      <c r="J33" s="65"/>
      <c r="K33" s="65"/>
      <c r="L33" s="65"/>
      <c r="M33" s="65"/>
      <c r="N33" s="65"/>
      <c r="O33" s="65"/>
      <c r="P33" s="65"/>
      <c r="Q33" s="65"/>
      <c r="R33" s="65"/>
      <c r="S33" s="65"/>
      <c r="T33" s="65"/>
      <c r="U33" s="65"/>
      <c r="V33" s="65"/>
      <c r="W33" s="65"/>
      <c r="X33" s="65"/>
      <c r="Y33" s="65"/>
      <c r="Z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6"/>
      <c r="BC33" s="66"/>
      <c r="BD33" s="66"/>
      <c r="BE33" s="65"/>
      <c r="BF33" s="65"/>
      <c r="BG33" s="65"/>
      <c r="BH33" s="65"/>
      <c r="BI33" s="65"/>
      <c r="BJ33" s="65"/>
      <c r="BK33" s="65"/>
      <c r="BL33" s="65"/>
      <c r="BM33" s="65"/>
      <c r="BN33" s="65"/>
      <c r="BO33" s="65"/>
      <c r="BP33" s="65"/>
      <c r="BQ33" s="65"/>
      <c r="BR33" s="65"/>
      <c r="BS33" s="65"/>
      <c r="BT33" s="65"/>
      <c r="BU33" s="65"/>
      <c r="BV33" s="65"/>
      <c r="BW33" s="65"/>
      <c r="BX33" s="65"/>
      <c r="BY33" s="65"/>
      <c r="BZ33" s="72"/>
      <c r="CA33" s="76"/>
      <c r="CB33" s="121"/>
      <c r="CC33" s="121"/>
      <c r="CD33" s="121"/>
      <c r="CE33" s="121"/>
      <c r="CF33" s="121"/>
      <c r="CG33" s="121"/>
      <c r="CH33" s="121"/>
      <c r="CI33" s="121"/>
      <c r="CJ33" s="121"/>
      <c r="CK33" s="121"/>
      <c r="CL33" s="121"/>
      <c r="CM33" s="121"/>
      <c r="CN33" s="121"/>
      <c r="CO33" s="121"/>
      <c r="CP33" s="121"/>
      <c r="CQ33" s="121"/>
      <c r="CR33" s="121"/>
      <c r="CS33" s="121"/>
      <c r="CT33" s="121"/>
      <c r="CU33" s="121"/>
      <c r="CV33" s="121"/>
      <c r="CW33" s="121"/>
      <c r="CX33" s="121"/>
      <c r="CY33" s="73"/>
      <c r="CZ33" s="76"/>
      <c r="DA33" s="73"/>
      <c r="DB33" s="74"/>
      <c r="DC33" s="174"/>
      <c r="DD33" s="174"/>
      <c r="DG33" s="70" t="s">
        <v>329</v>
      </c>
      <c r="DH33" s="117"/>
      <c r="DI33" s="117">
        <f>DA118-DI25-DI17-DI8</f>
        <v>77426.340846261679</v>
      </c>
      <c r="DN33" s="117"/>
      <c r="DO33" s="89"/>
      <c r="DP33" s="89"/>
      <c r="DQ33" s="89"/>
      <c r="DR33" s="89"/>
      <c r="DS33" s="89"/>
      <c r="DT33" s="89"/>
      <c r="DU33" s="89"/>
      <c r="DV33" s="89"/>
      <c r="DW33" s="89"/>
      <c r="DX33" s="89"/>
      <c r="DY33" s="89"/>
      <c r="DZ33" s="89"/>
      <c r="EA33" s="89"/>
      <c r="EB33" s="89"/>
      <c r="EC33" s="89"/>
      <c r="ED33" s="89"/>
      <c r="EE33" s="89"/>
      <c r="EF33" s="89"/>
      <c r="EG33" s="89"/>
      <c r="EH33" s="89"/>
      <c r="EI33" s="89"/>
    </row>
    <row r="34" spans="1:139" s="69" customFormat="1" ht="13.8" thickBot="1" x14ac:dyDescent="0.3">
      <c r="E34" s="65"/>
      <c r="F34" s="65"/>
      <c r="G34" s="65"/>
      <c r="H34" s="65"/>
      <c r="I34" s="65"/>
      <c r="J34" s="65"/>
      <c r="K34" s="65"/>
      <c r="L34" s="65"/>
      <c r="M34" s="65"/>
      <c r="N34" s="65"/>
      <c r="O34" s="65"/>
      <c r="P34" s="65"/>
      <c r="Q34" s="65"/>
      <c r="R34" s="65"/>
      <c r="S34" s="65"/>
      <c r="T34" s="65"/>
      <c r="U34" s="65"/>
      <c r="V34" s="65"/>
      <c r="W34" s="65"/>
      <c r="X34" s="65"/>
      <c r="Y34" s="65"/>
      <c r="Z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6"/>
      <c r="BC34" s="66"/>
      <c r="BD34" s="66"/>
      <c r="BE34" s="65"/>
      <c r="BF34" s="65"/>
      <c r="BG34" s="65"/>
      <c r="BH34" s="65"/>
      <c r="BI34" s="65"/>
      <c r="BJ34" s="65"/>
      <c r="BK34" s="65"/>
      <c r="BL34" s="65"/>
      <c r="BM34" s="65"/>
      <c r="BN34" s="65"/>
      <c r="BO34" s="65"/>
      <c r="BP34" s="65"/>
      <c r="BQ34" s="65"/>
      <c r="BR34" s="65"/>
      <c r="BS34" s="65"/>
      <c r="BT34" s="65"/>
      <c r="BU34" s="65"/>
      <c r="BV34" s="65"/>
      <c r="BW34" s="65"/>
      <c r="BX34" s="65"/>
      <c r="BY34" s="65"/>
      <c r="BZ34" s="72"/>
      <c r="CA34" s="76"/>
      <c r="CB34" s="121"/>
      <c r="CC34" s="121"/>
      <c r="CD34" s="121"/>
      <c r="CE34" s="121"/>
      <c r="CF34" s="121"/>
      <c r="CG34" s="121"/>
      <c r="CH34" s="121"/>
      <c r="CI34" s="121"/>
      <c r="CJ34" s="121"/>
      <c r="CK34" s="121"/>
      <c r="CL34" s="121"/>
      <c r="CM34" s="121"/>
      <c r="CN34" s="121"/>
      <c r="CO34" s="121"/>
      <c r="CP34" s="121"/>
      <c r="CQ34" s="121"/>
      <c r="CR34" s="121"/>
      <c r="CS34" s="121"/>
      <c r="CT34" s="121"/>
      <c r="CU34" s="121"/>
      <c r="CV34" s="121"/>
      <c r="CW34" s="121"/>
      <c r="CX34" s="121"/>
      <c r="CY34" s="73"/>
      <c r="CZ34" s="76"/>
      <c r="DA34" s="73"/>
      <c r="DB34" s="74"/>
      <c r="DC34" s="174"/>
      <c r="DD34" s="174"/>
      <c r="DG34" s="70" t="s">
        <v>330</v>
      </c>
      <c r="DH34" s="117"/>
      <c r="DI34" s="117">
        <f>DA119-DI26-DI18-DI9</f>
        <v>390103.02419817256</v>
      </c>
      <c r="DN34" s="117"/>
      <c r="DO34" s="89"/>
      <c r="DP34" s="89"/>
      <c r="DQ34" s="89"/>
      <c r="DR34" s="89"/>
      <c r="DS34" s="89"/>
      <c r="DT34" s="89"/>
      <c r="DU34" s="89"/>
      <c r="DV34" s="89"/>
      <c r="DW34" s="89"/>
      <c r="DX34" s="89"/>
      <c r="DY34" s="89"/>
      <c r="DZ34" s="89"/>
      <c r="EA34" s="89"/>
      <c r="EB34" s="89"/>
      <c r="EC34" s="89"/>
      <c r="ED34" s="89"/>
      <c r="EE34" s="89"/>
      <c r="EF34" s="89"/>
      <c r="EG34" s="89"/>
      <c r="EH34" s="89"/>
      <c r="EI34" s="89"/>
    </row>
    <row r="35" spans="1:139" s="69" customFormat="1" x14ac:dyDescent="0.25">
      <c r="B35" s="70"/>
      <c r="C35" s="71"/>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c r="BP35" s="65"/>
      <c r="BQ35" s="65"/>
      <c r="BR35" s="65"/>
      <c r="BS35" s="65"/>
      <c r="BT35" s="65"/>
      <c r="BU35" s="65"/>
      <c r="BV35" s="65"/>
      <c r="BW35" s="65"/>
      <c r="BX35" s="65"/>
      <c r="BY35" s="65"/>
      <c r="BZ35" s="72"/>
      <c r="CA35" s="76"/>
      <c r="CB35" s="67"/>
      <c r="CC35" s="67"/>
      <c r="CD35" s="67"/>
      <c r="CE35" s="67"/>
      <c r="CF35" s="67"/>
      <c r="CG35" s="67"/>
      <c r="CH35" s="67"/>
      <c r="CI35" s="67"/>
      <c r="CJ35" s="67"/>
      <c r="CK35" s="67"/>
      <c r="CL35" s="67"/>
      <c r="CM35" s="67"/>
      <c r="CN35" s="67"/>
      <c r="CO35" s="67"/>
      <c r="CP35" s="67"/>
      <c r="CQ35" s="67"/>
      <c r="CR35" s="67"/>
      <c r="CS35" s="67"/>
      <c r="CT35" s="67"/>
      <c r="CU35" s="67"/>
      <c r="CV35" s="67"/>
      <c r="CW35" s="67"/>
      <c r="CX35" s="67"/>
      <c r="CY35" s="73"/>
      <c r="CZ35" s="76"/>
      <c r="DA35" s="121"/>
      <c r="DB35" s="74"/>
      <c r="DG35" s="70" t="s">
        <v>331</v>
      </c>
      <c r="DH35" s="117"/>
      <c r="DI35" s="117">
        <f>DA120-DI27-DI19-DI10</f>
        <v>398308.64692386135</v>
      </c>
      <c r="DK35" s="216" t="s">
        <v>667</v>
      </c>
      <c r="DL35" s="217"/>
      <c r="DM35" s="218"/>
      <c r="DN35" s="117"/>
      <c r="DO35" s="89"/>
      <c r="DP35" s="89"/>
      <c r="DQ35" s="89"/>
      <c r="DR35" s="89"/>
      <c r="DS35" s="89"/>
      <c r="DT35" s="89"/>
      <c r="DU35" s="89"/>
      <c r="DV35" s="89"/>
      <c r="DW35" s="89"/>
      <c r="DX35" s="89"/>
      <c r="DY35" s="89"/>
      <c r="DZ35" s="89"/>
      <c r="EA35" s="89"/>
      <c r="EB35" s="89"/>
      <c r="EC35" s="89"/>
      <c r="ED35" s="89"/>
      <c r="EE35" s="89"/>
      <c r="EF35" s="89"/>
      <c r="EG35" s="89"/>
      <c r="EH35" s="89"/>
      <c r="EI35" s="89"/>
    </row>
    <row r="36" spans="1:139" s="69" customFormat="1" ht="25.95" customHeight="1" x14ac:dyDescent="0.25">
      <c r="B36" s="253" t="s">
        <v>600</v>
      </c>
      <c r="C36" s="253"/>
      <c r="D36" s="77">
        <f t="shared" ref="D36:AD36" si="22">D13/$DA$13</f>
        <v>5.4092382174577205E-3</v>
      </c>
      <c r="E36" s="77">
        <f t="shared" si="22"/>
        <v>1.0818476434915441E-2</v>
      </c>
      <c r="F36" s="77">
        <f t="shared" si="22"/>
        <v>0</v>
      </c>
      <c r="G36" s="77">
        <f t="shared" si="22"/>
        <v>4.7271348645231701E-3</v>
      </c>
      <c r="H36" s="77">
        <f t="shared" si="22"/>
        <v>1.7460259548257223E-2</v>
      </c>
      <c r="I36" s="77">
        <f t="shared" si="22"/>
        <v>1.5762403837968199E-3</v>
      </c>
      <c r="J36" s="77">
        <f t="shared" si="22"/>
        <v>7.9129276563298916E-4</v>
      </c>
      <c r="K36" s="77">
        <f t="shared" si="22"/>
        <v>3.4916817760490774E-3</v>
      </c>
      <c r="L36" s="77">
        <f t="shared" si="22"/>
        <v>0</v>
      </c>
      <c r="M36" s="77">
        <f t="shared" si="22"/>
        <v>2.2448338602449543E-2</v>
      </c>
      <c r="N36" s="77">
        <f t="shared" si="22"/>
        <v>2.7046191087288608E-2</v>
      </c>
      <c r="O36" s="77">
        <f t="shared" si="22"/>
        <v>5.5731545270776522E-4</v>
      </c>
      <c r="P36" s="77">
        <f t="shared" si="22"/>
        <v>9.584080871019543E-3</v>
      </c>
      <c r="Q36" s="77">
        <f t="shared" si="22"/>
        <v>3.5955835658565494E-4</v>
      </c>
      <c r="R36" s="77">
        <f t="shared" si="22"/>
        <v>0</v>
      </c>
      <c r="S36" s="77">
        <f t="shared" si="22"/>
        <v>0</v>
      </c>
      <c r="T36" s="77">
        <f t="shared" si="22"/>
        <v>0</v>
      </c>
      <c r="U36" s="77">
        <f t="shared" si="22"/>
        <v>0</v>
      </c>
      <c r="V36" s="77">
        <f t="shared" si="22"/>
        <v>0</v>
      </c>
      <c r="W36" s="77">
        <f t="shared" si="22"/>
        <v>3.3523529128721358E-3</v>
      </c>
      <c r="X36" s="77">
        <f t="shared" si="22"/>
        <v>2.101830099158792E-4</v>
      </c>
      <c r="Y36" s="77">
        <f t="shared" si="22"/>
        <v>9.7366287914238975E-3</v>
      </c>
      <c r="Z36" s="77">
        <f t="shared" si="22"/>
        <v>3.7666381663792842E-3</v>
      </c>
      <c r="AA36" s="77">
        <f t="shared" si="22"/>
        <v>0</v>
      </c>
      <c r="AB36" s="77">
        <f t="shared" si="22"/>
        <v>0</v>
      </c>
      <c r="AC36" s="77">
        <f t="shared" si="22"/>
        <v>0</v>
      </c>
      <c r="AD36" s="77">
        <f t="shared" si="22"/>
        <v>0</v>
      </c>
      <c r="AE36" s="77">
        <f t="shared" ref="AE36:BK36" si="23">AE13/$DA$13</f>
        <v>0</v>
      </c>
      <c r="AF36" s="77">
        <f t="shared" si="23"/>
        <v>0</v>
      </c>
      <c r="AG36" s="77">
        <f t="shared" si="23"/>
        <v>0</v>
      </c>
      <c r="AH36" s="77">
        <f t="shared" si="23"/>
        <v>0</v>
      </c>
      <c r="AI36" s="77">
        <f t="shared" si="23"/>
        <v>1.1106651882473062E-3</v>
      </c>
      <c r="AJ36" s="77">
        <f t="shared" si="23"/>
        <v>0</v>
      </c>
      <c r="AK36" s="77">
        <f t="shared" si="23"/>
        <v>0</v>
      </c>
      <c r="AL36" s="77">
        <f t="shared" si="23"/>
        <v>9.4315329506151867E-3</v>
      </c>
      <c r="AM36" s="77">
        <f t="shared" si="23"/>
        <v>0</v>
      </c>
      <c r="AN36" s="77">
        <f t="shared" si="23"/>
        <v>0</v>
      </c>
      <c r="AO36" s="77">
        <f t="shared" si="23"/>
        <v>6.9000834915654476E-3</v>
      </c>
      <c r="AP36" s="77">
        <f t="shared" si="23"/>
        <v>1.2137738346211337E-3</v>
      </c>
      <c r="AQ36" s="77">
        <f t="shared" si="23"/>
        <v>0</v>
      </c>
      <c r="AR36" s="77">
        <f t="shared" si="23"/>
        <v>6.0807663246103408E-3</v>
      </c>
      <c r="AS36" s="77">
        <f t="shared" si="23"/>
        <v>1.8932333761102025E-3</v>
      </c>
      <c r="AT36" s="77">
        <f t="shared" si="23"/>
        <v>0</v>
      </c>
      <c r="AU36" s="77">
        <f t="shared" si="23"/>
        <v>0</v>
      </c>
      <c r="AV36" s="77">
        <f t="shared" si="23"/>
        <v>1.4080939758641165E-3</v>
      </c>
      <c r="AW36" s="77">
        <f t="shared" si="23"/>
        <v>1.8752554582809197E-3</v>
      </c>
      <c r="AX36" s="77">
        <f t="shared" si="23"/>
        <v>0</v>
      </c>
      <c r="AY36" s="77">
        <f t="shared" si="23"/>
        <v>3.5321320911649631E-3</v>
      </c>
      <c r="AZ36" s="77">
        <f t="shared" si="23"/>
        <v>1.186013814443565E-3</v>
      </c>
      <c r="BA36" s="77">
        <f>BA13/$DA$13</f>
        <v>6.3715855836134444E-4</v>
      </c>
      <c r="BB36" s="77">
        <f t="shared" si="23"/>
        <v>8.4152518309716154E-4</v>
      </c>
      <c r="BC36" s="77">
        <f t="shared" si="23"/>
        <v>5.1200052453219073E-3</v>
      </c>
      <c r="BD36" s="77">
        <f t="shared" si="23"/>
        <v>2.819889287751909E-3</v>
      </c>
      <c r="BE36" s="77">
        <f t="shared" si="23"/>
        <v>0</v>
      </c>
      <c r="BF36" s="77">
        <f t="shared" si="23"/>
        <v>5.4092382174577205E-3</v>
      </c>
      <c r="BG36" s="77">
        <f t="shared" si="23"/>
        <v>1.2780448908608195E-2</v>
      </c>
      <c r="BH36" s="77">
        <f t="shared" si="23"/>
        <v>2.7046191087288602E-3</v>
      </c>
      <c r="BI36" s="77">
        <f t="shared" si="23"/>
        <v>5.287622890965514E-7</v>
      </c>
      <c r="BJ36" s="77">
        <f t="shared" si="23"/>
        <v>3.5160048413475184E-2</v>
      </c>
      <c r="BK36" s="77">
        <f t="shared" si="23"/>
        <v>0.14604943187135846</v>
      </c>
      <c r="BL36" s="77">
        <f t="shared" ref="BL36:BY36" si="24">BL13/$DA$13</f>
        <v>0.16498176563246048</v>
      </c>
      <c r="BM36" s="77">
        <f t="shared" si="24"/>
        <v>1.2700870184099164E-3</v>
      </c>
      <c r="BN36" s="77">
        <f t="shared" si="24"/>
        <v>9.4701325977192361E-4</v>
      </c>
      <c r="BO36" s="77">
        <f t="shared" si="24"/>
        <v>1.858652322403288E-2</v>
      </c>
      <c r="BP36" s="77">
        <f t="shared" si="24"/>
        <v>4.0569286630932906E-2</v>
      </c>
      <c r="BQ36" s="77">
        <f t="shared" si="24"/>
        <v>1.2423269982323477E-3</v>
      </c>
      <c r="BR36" s="77">
        <f t="shared" si="24"/>
        <v>8.7943479541393879E-2</v>
      </c>
      <c r="BS36" s="77">
        <f t="shared" si="24"/>
        <v>0</v>
      </c>
      <c r="BT36" s="77">
        <f t="shared" si="24"/>
        <v>4.7330834402755061E-2</v>
      </c>
      <c r="BU36" s="77">
        <f t="shared" si="24"/>
        <v>0</v>
      </c>
      <c r="BV36" s="77">
        <f t="shared" si="24"/>
        <v>0</v>
      </c>
      <c r="BW36" s="77">
        <f t="shared" si="24"/>
        <v>5.1387763065848342E-3</v>
      </c>
      <c r="BX36" s="77">
        <f t="shared" si="24"/>
        <v>3.9392790537693084E-4</v>
      </c>
      <c r="BY36" s="77">
        <f t="shared" si="24"/>
        <v>0</v>
      </c>
      <c r="BZ36" s="187">
        <f>SUM(D36:BY36)</f>
        <v>0.73589407622319913</v>
      </c>
      <c r="CA36" s="76"/>
      <c r="CB36" s="77">
        <f t="shared" ref="CB36:CX36" si="25">CB13/$DA$13</f>
        <v>0</v>
      </c>
      <c r="CC36" s="77">
        <f t="shared" si="25"/>
        <v>0</v>
      </c>
      <c r="CD36" s="77">
        <f t="shared" si="25"/>
        <v>0</v>
      </c>
      <c r="CE36" s="77">
        <f t="shared" si="25"/>
        <v>0</v>
      </c>
      <c r="CF36" s="77">
        <f t="shared" si="25"/>
        <v>0</v>
      </c>
      <c r="CG36" s="77">
        <f t="shared" si="25"/>
        <v>0</v>
      </c>
      <c r="CH36" s="77">
        <f t="shared" si="25"/>
        <v>3.3806416953388015E-3</v>
      </c>
      <c r="CI36" s="77">
        <f t="shared" si="25"/>
        <v>3.38090607648335E-3</v>
      </c>
      <c r="CJ36" s="77">
        <f t="shared" si="25"/>
        <v>2.7046191087288602E-3</v>
      </c>
      <c r="CK36" s="77">
        <f t="shared" si="25"/>
        <v>2.7046191087288602E-3</v>
      </c>
      <c r="CL36" s="77">
        <f t="shared" si="25"/>
        <v>1.0813188812024476E-4</v>
      </c>
      <c r="CM36" s="77">
        <f t="shared" si="25"/>
        <v>3.9657171682241357E-3</v>
      </c>
      <c r="CN36" s="77">
        <f t="shared" si="25"/>
        <v>2.6857158568936588E-2</v>
      </c>
      <c r="CO36" s="77">
        <f t="shared" si="25"/>
        <v>1.2172107895002614E-3</v>
      </c>
      <c r="CP36" s="77">
        <f t="shared" si="25"/>
        <v>5.1145589937442129E-2</v>
      </c>
      <c r="CQ36" s="77">
        <f t="shared" si="25"/>
        <v>2.5777161593456884E-3</v>
      </c>
      <c r="CR36" s="77">
        <f t="shared" si="25"/>
        <v>0.15681027321676239</v>
      </c>
      <c r="CS36" s="77">
        <f t="shared" si="25"/>
        <v>9.2533400591896502E-3</v>
      </c>
      <c r="CT36" s="77">
        <f t="shared" si="25"/>
        <v>0</v>
      </c>
      <c r="CU36" s="77">
        <f t="shared" si="25"/>
        <v>0</v>
      </c>
      <c r="CV36" s="77">
        <f t="shared" si="25"/>
        <v>0</v>
      </c>
      <c r="CW36" s="77">
        <f t="shared" si="25"/>
        <v>0</v>
      </c>
      <c r="CX36" s="77">
        <f t="shared" si="25"/>
        <v>0</v>
      </c>
      <c r="CY36" s="188">
        <f>SUM(CB36:CX36)</f>
        <v>0.26410592377680098</v>
      </c>
      <c r="CZ36" s="76"/>
      <c r="DA36" s="187">
        <f>BZ36+CY36</f>
        <v>1</v>
      </c>
      <c r="DC36" s="189">
        <f>MIN(MIN($CB36:$CX36),MIN($D36:$BY36))</f>
        <v>0</v>
      </c>
      <c r="DD36" s="189">
        <f>MAX(MAX($CB36:$CX36),MAX($D36:$BY36))</f>
        <v>0.16498176563246048</v>
      </c>
      <c r="DG36" s="190" t="s">
        <v>25</v>
      </c>
      <c r="DH36" s="191">
        <f>SUM(DH5:DH35)</f>
        <v>2593215.3789409334</v>
      </c>
      <c r="DI36" s="191">
        <f>SUM(DI5:DI35)</f>
        <v>1786663.4089378552</v>
      </c>
      <c r="DK36" s="219" t="s">
        <v>662</v>
      </c>
      <c r="DL36" s="220"/>
      <c r="DM36" s="221">
        <f>'[2]Consolidated Results'!$D$8+'[2]Consolidated Results'!$E$8/1.023</f>
        <v>60786.208993157386</v>
      </c>
      <c r="DN36" s="117"/>
      <c r="DO36" s="89"/>
      <c r="DP36" s="89"/>
      <c r="DQ36" s="89"/>
      <c r="DR36" s="89"/>
      <c r="DS36" s="89"/>
      <c r="DT36" s="89"/>
      <c r="DU36" s="89"/>
      <c r="DV36" s="89"/>
      <c r="DW36" s="89"/>
      <c r="DX36" s="89"/>
      <c r="DY36" s="89"/>
      <c r="DZ36" s="89"/>
      <c r="EA36" s="89"/>
      <c r="EB36" s="89"/>
      <c r="EC36" s="89"/>
      <c r="ED36" s="89"/>
      <c r="EE36" s="89"/>
      <c r="EF36" s="89"/>
      <c r="EG36" s="89"/>
      <c r="EH36" s="89"/>
      <c r="EI36" s="89"/>
    </row>
    <row r="37" spans="1:139" s="69" customFormat="1" x14ac:dyDescent="0.25">
      <c r="C37" s="70"/>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2"/>
      <c r="CA37" s="76"/>
      <c r="CB37" s="77"/>
      <c r="CC37" s="77"/>
      <c r="CD37" s="77"/>
      <c r="CE37" s="77"/>
      <c r="CF37" s="77"/>
      <c r="CG37" s="77"/>
      <c r="CH37" s="77"/>
      <c r="CI37" s="77"/>
      <c r="CJ37" s="77"/>
      <c r="CK37" s="77"/>
      <c r="CL37" s="77"/>
      <c r="CM37" s="77"/>
      <c r="CN37" s="77"/>
      <c r="CO37" s="77"/>
      <c r="CP37" s="77"/>
      <c r="CQ37" s="77"/>
      <c r="CR37" s="77"/>
      <c r="CS37" s="77"/>
      <c r="CT37" s="77"/>
      <c r="CU37" s="77"/>
      <c r="CV37" s="77"/>
      <c r="CW37" s="77"/>
      <c r="CX37" s="77"/>
      <c r="CY37" s="188"/>
      <c r="CZ37" s="76"/>
      <c r="DA37" s="72"/>
      <c r="DC37" s="192"/>
      <c r="DD37" s="192"/>
      <c r="DK37" s="222" t="s">
        <v>664</v>
      </c>
      <c r="DL37" s="113"/>
      <c r="DM37" s="223">
        <f>'[2]Consolidated Results'!$N$8+'[2]Consolidated Results'!$O$8/1.023</f>
        <v>300690</v>
      </c>
      <c r="DN37" s="117"/>
      <c r="DO37" s="89"/>
      <c r="DP37" s="89"/>
      <c r="DQ37" s="89"/>
      <c r="DR37" s="89"/>
      <c r="DS37" s="89"/>
      <c r="DT37" s="89"/>
      <c r="DU37" s="89"/>
      <c r="DV37" s="89"/>
      <c r="DW37" s="89"/>
      <c r="DX37" s="89"/>
      <c r="DY37" s="89"/>
      <c r="DZ37" s="89"/>
      <c r="EA37" s="89"/>
      <c r="EB37" s="89"/>
      <c r="EC37" s="89"/>
      <c r="ED37" s="89"/>
      <c r="EE37" s="89"/>
      <c r="EF37" s="89"/>
      <c r="EG37" s="89"/>
      <c r="EH37" s="89"/>
      <c r="EI37" s="89"/>
    </row>
    <row r="38" spans="1:139" ht="13.8" thickBot="1" x14ac:dyDescent="0.3">
      <c r="A38" s="69"/>
      <c r="B38" s="70"/>
      <c r="C38" s="176"/>
      <c r="D38" s="193"/>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c r="BL38" s="65"/>
      <c r="BM38" s="65"/>
      <c r="BN38" s="65"/>
      <c r="BO38" s="65"/>
      <c r="BP38" s="65"/>
      <c r="BQ38" s="65"/>
      <c r="BR38" s="65"/>
      <c r="BS38" s="65"/>
      <c r="BT38" s="65"/>
      <c r="BU38" s="65"/>
      <c r="BV38" s="65"/>
      <c r="BW38" s="65"/>
      <c r="BX38" s="65"/>
      <c r="BY38" s="65"/>
      <c r="BZ38" s="72"/>
      <c r="CA38" s="76"/>
      <c r="CB38" s="65"/>
      <c r="CC38" s="65"/>
      <c r="CD38" s="65"/>
      <c r="CE38" s="65"/>
      <c r="CF38" s="65"/>
      <c r="CG38" s="65"/>
      <c r="CH38" s="65"/>
      <c r="CI38" s="65"/>
      <c r="CJ38" s="65"/>
      <c r="CK38" s="65"/>
      <c r="CL38" s="65"/>
      <c r="CM38" s="65"/>
      <c r="CN38" s="65"/>
      <c r="CO38" s="65"/>
      <c r="CP38" s="65"/>
      <c r="CQ38" s="65"/>
      <c r="CR38" s="65"/>
      <c r="CS38" s="65"/>
      <c r="CT38" s="65"/>
      <c r="CU38" s="65"/>
      <c r="CV38" s="65"/>
      <c r="CW38" s="65"/>
      <c r="CX38" s="65"/>
      <c r="CY38" s="72"/>
      <c r="CZ38" s="76"/>
      <c r="DA38" s="72"/>
      <c r="DB38" s="74"/>
      <c r="DC38" s="69"/>
      <c r="DD38" s="69"/>
      <c r="DE38" s="69"/>
      <c r="DF38" s="69"/>
      <c r="DG38" s="70" t="s">
        <v>554</v>
      </c>
      <c r="DH38" s="194">
        <f>DA53</f>
        <v>1306911.6879782991</v>
      </c>
      <c r="DI38" s="117">
        <f>DA73</f>
        <v>1007883.0334293259</v>
      </c>
      <c r="DK38" s="219" t="s">
        <v>663</v>
      </c>
      <c r="DL38" s="113"/>
      <c r="DM38" s="224">
        <f>SUM(DM36:DM37)</f>
        <v>361476.20899315737</v>
      </c>
    </row>
    <row r="39" spans="1:139" ht="13.8" thickTop="1" x14ac:dyDescent="0.25">
      <c r="A39" s="125" t="s">
        <v>685</v>
      </c>
      <c r="B39" s="69"/>
      <c r="C39" s="69"/>
      <c r="D39" s="193"/>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c r="BV39" s="65"/>
      <c r="BW39" s="65"/>
      <c r="BX39" s="65"/>
      <c r="BY39" s="65"/>
      <c r="BZ39" s="72"/>
      <c r="CA39" s="76"/>
      <c r="CB39" s="65"/>
      <c r="CC39" s="65"/>
      <c r="CD39" s="65"/>
      <c r="CE39" s="65"/>
      <c r="CF39" s="65"/>
      <c r="CG39" s="65"/>
      <c r="CH39" s="65"/>
      <c r="CI39" s="65"/>
      <c r="CJ39" s="65"/>
      <c r="CK39" s="65"/>
      <c r="CL39" s="65"/>
      <c r="CM39" s="65"/>
      <c r="CN39" s="65"/>
      <c r="CO39" s="65"/>
      <c r="CP39" s="65"/>
      <c r="CQ39" s="65"/>
      <c r="CR39" s="65"/>
      <c r="CS39" s="65"/>
      <c r="CT39" s="65"/>
      <c r="CU39" s="65"/>
      <c r="CV39" s="65"/>
      <c r="CW39" s="65"/>
      <c r="CX39" s="65"/>
      <c r="CY39" s="72"/>
      <c r="CZ39" s="76"/>
      <c r="DA39" s="72"/>
      <c r="DB39" s="74"/>
      <c r="DC39" s="69"/>
      <c r="DD39" s="69"/>
      <c r="DE39" s="69"/>
      <c r="DF39" s="69"/>
      <c r="DG39" s="70" t="s">
        <v>557</v>
      </c>
      <c r="DH39" s="194">
        <f>SUM(DH5:DH27)</f>
        <v>1126898.9432063939</v>
      </c>
      <c r="DI39" s="194">
        <f>SUM(DI5:DI27)</f>
        <v>920825.39696955937</v>
      </c>
      <c r="DK39" s="219" t="s">
        <v>665</v>
      </c>
      <c r="DL39" s="113"/>
      <c r="DM39" s="225">
        <f>SUM(CB11:CG11)</f>
        <v>180000.00000000003</v>
      </c>
    </row>
    <row r="40" spans="1:139" x14ac:dyDescent="0.25">
      <c r="A40" s="69" t="s">
        <v>562</v>
      </c>
      <c r="B40" s="70"/>
      <c r="C40" s="214">
        <v>0.60922734435256798</v>
      </c>
      <c r="D40" s="193"/>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c r="BF40" s="65"/>
      <c r="BG40" s="65"/>
      <c r="BH40" s="65"/>
      <c r="BI40" s="65"/>
      <c r="BJ40" s="65"/>
      <c r="BK40" s="65"/>
      <c r="BL40" s="65"/>
      <c r="BM40" s="65"/>
      <c r="BN40" s="65"/>
      <c r="BO40" s="65"/>
      <c r="BP40" s="65"/>
      <c r="BQ40" s="65"/>
      <c r="BR40" s="65"/>
      <c r="BS40" s="65"/>
      <c r="BT40" s="65"/>
      <c r="BU40" s="65"/>
      <c r="BV40" s="65"/>
      <c r="BW40" s="65"/>
      <c r="BX40" s="65"/>
      <c r="BY40" s="65"/>
      <c r="BZ40" s="72"/>
      <c r="CA40" s="76"/>
      <c r="CB40" s="65"/>
      <c r="CC40" s="65"/>
      <c r="CD40" s="65"/>
      <c r="CE40" s="65"/>
      <c r="CF40" s="65"/>
      <c r="CG40" s="65"/>
      <c r="CH40" s="65"/>
      <c r="CI40" s="65"/>
      <c r="CJ40" s="65"/>
      <c r="CK40" s="65"/>
      <c r="CL40" s="65"/>
      <c r="CM40" s="65"/>
      <c r="CN40" s="65"/>
      <c r="CO40" s="65"/>
      <c r="CP40" s="65"/>
      <c r="CQ40" s="65"/>
      <c r="CR40" s="65"/>
      <c r="CS40" s="65"/>
      <c r="CT40" s="65"/>
      <c r="CU40" s="65"/>
      <c r="CV40" s="65"/>
      <c r="CW40" s="65"/>
      <c r="CX40" s="65"/>
      <c r="CY40" s="72"/>
      <c r="CZ40" s="76"/>
      <c r="DA40" s="72"/>
      <c r="DB40" s="74"/>
      <c r="DC40" s="69"/>
      <c r="DD40" s="69"/>
      <c r="DE40" s="69"/>
      <c r="DF40" s="69"/>
      <c r="DG40" s="70"/>
      <c r="DH40" s="194"/>
      <c r="DI40" s="194"/>
      <c r="DK40" s="219" t="s">
        <v>666</v>
      </c>
      <c r="DL40" s="113"/>
      <c r="DM40" s="229">
        <f>DM38-DM39</f>
        <v>181476.20899315734</v>
      </c>
    </row>
    <row r="41" spans="1:139" x14ac:dyDescent="0.25">
      <c r="A41" s="69" t="s">
        <v>567</v>
      </c>
      <c r="B41" s="70"/>
      <c r="C41" s="214">
        <v>0.72185682059553014</v>
      </c>
      <c r="D41" s="193"/>
      <c r="E41" s="65"/>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c r="BF41" s="65"/>
      <c r="BG41" s="65"/>
      <c r="BH41" s="65"/>
      <c r="BI41" s="65"/>
      <c r="BJ41" s="65"/>
      <c r="BK41" s="65"/>
      <c r="BL41" s="65"/>
      <c r="BM41" s="65"/>
      <c r="BN41" s="65"/>
      <c r="BO41" s="65"/>
      <c r="BP41" s="65"/>
      <c r="BQ41" s="65"/>
      <c r="BR41" s="65"/>
      <c r="BS41" s="65"/>
      <c r="BT41" s="65"/>
      <c r="BU41" s="65"/>
      <c r="BV41" s="65"/>
      <c r="BW41" s="65"/>
      <c r="BX41" s="65"/>
      <c r="BY41" s="65"/>
      <c r="BZ41" s="72"/>
      <c r="CA41" s="76"/>
      <c r="CB41" s="65"/>
      <c r="CC41" s="65"/>
      <c r="CD41" s="65"/>
      <c r="CE41" s="65"/>
      <c r="CF41" s="65"/>
      <c r="CG41" s="65"/>
      <c r="CH41" s="65"/>
      <c r="CI41" s="65"/>
      <c r="CJ41" s="65"/>
      <c r="CK41" s="65"/>
      <c r="CL41" s="65"/>
      <c r="CM41" s="65"/>
      <c r="CN41" s="65"/>
      <c r="CO41" s="65"/>
      <c r="CP41" s="65"/>
      <c r="CQ41" s="65"/>
      <c r="CR41" s="65"/>
      <c r="CS41" s="65"/>
      <c r="CT41" s="65"/>
      <c r="CU41" s="65"/>
      <c r="CV41" s="65"/>
      <c r="CW41" s="65"/>
      <c r="CX41" s="65"/>
      <c r="CY41" s="72"/>
      <c r="CZ41" s="76"/>
      <c r="DA41" s="72"/>
      <c r="DB41" s="74"/>
      <c r="DC41" s="69"/>
      <c r="DD41" s="69"/>
      <c r="DE41" s="69"/>
      <c r="DF41" s="69"/>
      <c r="DG41" s="184" t="s">
        <v>553</v>
      </c>
      <c r="DH41" s="117">
        <f>DA48</f>
        <v>1286303.6909626345</v>
      </c>
      <c r="DI41" s="121">
        <f>DA68</f>
        <v>778780.37550852902</v>
      </c>
      <c r="DK41" s="219" t="s">
        <v>668</v>
      </c>
      <c r="DL41" s="113"/>
      <c r="DM41" s="223">
        <v>430617.89012271707</v>
      </c>
    </row>
    <row r="42" spans="1:139" ht="13.8" thickBot="1" x14ac:dyDescent="0.3">
      <c r="A42" s="69" t="s">
        <v>563</v>
      </c>
      <c r="B42" s="70"/>
      <c r="C42" s="214">
        <v>0.97566286417067416</v>
      </c>
      <c r="D42" s="193"/>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5"/>
      <c r="BK42" s="65"/>
      <c r="BL42" s="65"/>
      <c r="BM42" s="65"/>
      <c r="BN42" s="65"/>
      <c r="BO42" s="65"/>
      <c r="BP42" s="65"/>
      <c r="BQ42" s="65"/>
      <c r="BR42" s="65"/>
      <c r="BS42" s="65"/>
      <c r="BT42" s="65"/>
      <c r="BU42" s="65"/>
      <c r="BV42" s="65"/>
      <c r="BW42" s="65"/>
      <c r="BX42" s="65"/>
      <c r="BY42" s="65"/>
      <c r="BZ42" s="72"/>
      <c r="CA42" s="76"/>
      <c r="CB42" s="65"/>
      <c r="CC42" s="65"/>
      <c r="CD42" s="65"/>
      <c r="CE42" s="65"/>
      <c r="CF42" s="65"/>
      <c r="CG42" s="65"/>
      <c r="CH42" s="65"/>
      <c r="CI42" s="65"/>
      <c r="CJ42" s="65"/>
      <c r="CK42" s="65"/>
      <c r="CL42" s="65"/>
      <c r="CM42" s="65"/>
      <c r="CN42" s="65"/>
      <c r="CO42" s="65"/>
      <c r="CP42" s="65"/>
      <c r="CQ42" s="65"/>
      <c r="CR42" s="65"/>
      <c r="CS42" s="65"/>
      <c r="CT42" s="65"/>
      <c r="CU42" s="65"/>
      <c r="CV42" s="65"/>
      <c r="CW42" s="65"/>
      <c r="CX42" s="65"/>
      <c r="CY42" s="72"/>
      <c r="CZ42" s="76"/>
      <c r="DA42" s="72"/>
      <c r="DB42" s="74"/>
      <c r="DC42" s="69"/>
      <c r="DD42" s="69"/>
      <c r="DE42" s="69"/>
      <c r="DF42" s="69"/>
      <c r="DG42" s="184" t="s">
        <v>573</v>
      </c>
      <c r="DH42" s="117"/>
      <c r="DI42" s="121">
        <f>DA65</f>
        <v>69641.334712746495</v>
      </c>
      <c r="DK42" s="226" t="s">
        <v>669</v>
      </c>
      <c r="DL42" s="227"/>
      <c r="DM42" s="228">
        <f>DM41+DM40</f>
        <v>612094.09911587439</v>
      </c>
    </row>
    <row r="43" spans="1:139" x14ac:dyDescent="0.25">
      <c r="A43" s="53" t="s">
        <v>661</v>
      </c>
      <c r="B43" s="54"/>
      <c r="C43" s="214">
        <v>1.3405309161224999</v>
      </c>
      <c r="D43" s="193"/>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c r="BK43" s="65"/>
      <c r="BL43" s="65"/>
      <c r="BM43" s="65"/>
      <c r="BN43" s="65"/>
      <c r="BO43" s="65"/>
      <c r="BP43" s="65"/>
      <c r="BQ43" s="65"/>
      <c r="BR43" s="65"/>
      <c r="BS43" s="65"/>
      <c r="BT43" s="65"/>
      <c r="BU43" s="65"/>
      <c r="BV43" s="65"/>
      <c r="BW43" s="65"/>
      <c r="BX43" s="65"/>
      <c r="BY43" s="65"/>
      <c r="BZ43" s="72"/>
      <c r="CA43" s="76"/>
      <c r="CB43" s="65"/>
      <c r="CC43" s="65"/>
      <c r="CD43" s="65"/>
      <c r="CE43" s="65"/>
      <c r="CF43" s="65"/>
      <c r="CG43" s="65"/>
      <c r="CH43" s="65"/>
      <c r="CI43" s="65"/>
      <c r="CJ43" s="65"/>
      <c r="CK43" s="65"/>
      <c r="CL43" s="65"/>
      <c r="CM43" s="65"/>
      <c r="CN43" s="65"/>
      <c r="CO43" s="65"/>
      <c r="CP43" s="65"/>
      <c r="CQ43" s="65"/>
      <c r="CR43" s="65"/>
      <c r="CS43" s="65"/>
      <c r="CT43" s="65"/>
      <c r="CU43" s="65"/>
      <c r="CV43" s="65"/>
      <c r="CW43" s="65"/>
      <c r="CX43" s="65"/>
      <c r="CY43" s="72"/>
      <c r="CZ43" s="76"/>
      <c r="DA43" s="72"/>
      <c r="DB43" s="74"/>
      <c r="DC43" s="69"/>
      <c r="DD43" s="69"/>
      <c r="DE43" s="69"/>
      <c r="DF43" s="69"/>
      <c r="DG43" s="69"/>
      <c r="DH43" s="69"/>
      <c r="DI43" s="69"/>
    </row>
    <row r="44" spans="1:139" x14ac:dyDescent="0.25">
      <c r="A44" s="69"/>
      <c r="B44" s="70"/>
      <c r="C44" s="99"/>
      <c r="D44" s="193"/>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65"/>
      <c r="AW44" s="65"/>
      <c r="AX44" s="65"/>
      <c r="AY44" s="65"/>
      <c r="AZ44" s="65"/>
      <c r="BA44" s="65"/>
      <c r="BB44" s="65"/>
      <c r="BC44" s="65"/>
      <c r="BD44" s="65"/>
      <c r="BE44" s="65"/>
      <c r="BF44" s="65"/>
      <c r="BG44" s="65"/>
      <c r="BH44" s="65"/>
      <c r="BI44" s="65"/>
      <c r="BJ44" s="65"/>
      <c r="BK44" s="65"/>
      <c r="BL44" s="65"/>
      <c r="BM44" s="65"/>
      <c r="BN44" s="65"/>
      <c r="BO44" s="65"/>
      <c r="BP44" s="65"/>
      <c r="BQ44" s="65"/>
      <c r="BR44" s="65"/>
      <c r="BS44" s="65"/>
      <c r="BT44" s="65"/>
      <c r="BU44" s="65"/>
      <c r="BV44" s="65"/>
      <c r="BW44" s="65"/>
      <c r="BX44" s="65"/>
      <c r="BY44" s="65"/>
      <c r="BZ44" s="72"/>
      <c r="CA44" s="76"/>
      <c r="CB44" s="65"/>
      <c r="CC44" s="65"/>
      <c r="CD44" s="65"/>
      <c r="CE44" s="65"/>
      <c r="CF44" s="65"/>
      <c r="CG44" s="65"/>
      <c r="CH44" s="65"/>
      <c r="CI44" s="65"/>
      <c r="CJ44" s="65"/>
      <c r="CK44" s="65"/>
      <c r="CL44" s="65"/>
      <c r="CM44" s="65"/>
      <c r="CN44" s="65"/>
      <c r="CO44" s="65"/>
      <c r="CP44" s="65"/>
      <c r="CQ44" s="65"/>
      <c r="CR44" s="65"/>
      <c r="CS44" s="65"/>
      <c r="CT44" s="65"/>
      <c r="CU44" s="65"/>
      <c r="CV44" s="65"/>
      <c r="CW44" s="65"/>
      <c r="CX44" s="65"/>
      <c r="CY44" s="72"/>
      <c r="CZ44" s="76"/>
      <c r="DA44" s="72"/>
      <c r="DB44" s="74"/>
      <c r="DC44" s="69"/>
      <c r="DD44" s="69"/>
      <c r="DE44" s="69"/>
      <c r="DF44" s="69"/>
      <c r="DK44" s="119" t="s">
        <v>634</v>
      </c>
    </row>
    <row r="45" spans="1:139" x14ac:dyDescent="0.25">
      <c r="A45" s="69" t="s">
        <v>545</v>
      </c>
      <c r="B45" s="70"/>
      <c r="C45" s="176"/>
      <c r="D45" s="115">
        <f>IF(D18&lt;1,0,IF(D$6="System",D$36*'Basin Allocations'!$J$6*$D$27,IF(D$6="SJ",D$11*'Basin Allocations'!$J$6,0)))*$C40*IF(D$1="FR",$C$43,1)</f>
        <v>0</v>
      </c>
      <c r="E45" s="115">
        <f>IF(E18&lt;1,0,IF(E$6="System",E$36*'Basin Allocations'!$J$6*$D$27,IF(E$6="SJ",E$11*'Basin Allocations'!$J$6,0)))*$C40*IF(E$1="FR",$C$43,1)</f>
        <v>4065.6301093867901</v>
      </c>
      <c r="F45" s="115">
        <f>IF(F18&lt;1,0,IF(F$6="System",F$36*'Basin Allocations'!$J$6*$D$27,IF(F$6="SJ",F$11*'Basin Allocations'!$J$6,0)))*$C40*IF(F$1="FR",$C$43,1)</f>
        <v>0</v>
      </c>
      <c r="G45" s="115">
        <f>IF(G18&lt;1,0,IF(G$6="System",G$36*'Basin Allocations'!$J$6*$D$27,IF(G$6="SJ",G$11*'Basin Allocations'!$J$6,0)))*$C40*IF(G$1="FR",$C$43,1)</f>
        <v>2381.4232416937616</v>
      </c>
      <c r="H45" s="115">
        <f>IF(H18&lt;1,0,IF(H$6="System",H$36*'Basin Allocations'!$J$6*$D$27,IF(H$6="SJ",H$11*'Basin Allocations'!$J$6,0)))*$C40*IF(H$1="FR",$C$43,1)</f>
        <v>8796.0824232628293</v>
      </c>
      <c r="I45" s="115">
        <f>IF(I18&lt;1,0,IF(I$6="System",I$36*'Basin Allocations'!$J$6*$D$27,IF(I$6="SJ",I$11*'Basin Allocations'!$J$6,0)))*$C40*IF(I$1="FR",$C$43,1)</f>
        <v>794.07412566992195</v>
      </c>
      <c r="J45" s="115">
        <f>IF(J18&lt;1,0,IF(J$6="System",J$36*'Basin Allocations'!$J$6*$D$27,IF(J$6="SJ",J$11*'Basin Allocations'!$J$6,0)))*$C40*IF(J$1="FR",$C$43,1)</f>
        <v>398.63533346697017</v>
      </c>
      <c r="K45" s="115">
        <f>IF(K18&lt;1,0,IF(K$6="System",K$36*'Basin Allocations'!$J$6*$D$27,IF(K$6="SJ",K$11*'Basin Allocations'!$J$6,0)))*$C40*IF(K$1="FR",$C$43,1)</f>
        <v>1759.0300197454976</v>
      </c>
      <c r="L45" s="115">
        <f>IF(L18&lt;1,0,IF(L$6="System",L$36*'Basin Allocations'!$J$6*$D$27,IF(L$6="SJ",L$11*'Basin Allocations'!$J$6,0)))*$C40*IF(L$1="FR",$C$43,1)</f>
        <v>0</v>
      </c>
      <c r="M45" s="115">
        <f>IF(M18&lt;1,0,IF(M$6="System",M$36*'Basin Allocations'!$J$6*$D$27,IF(M$6="SJ",M$11*'Basin Allocations'!$J$6,0)))*$C40*IF(M$1="FR",$C$43,1)</f>
        <v>8436.1824769775903</v>
      </c>
      <c r="N45" s="115">
        <f>IF(N18&lt;1,0,IF(N$6="System",N$36*'Basin Allocations'!$J$6*$D$27,IF(N$6="SJ",N$11*'Basin Allocations'!$J$6,0)))*$C40*IF(N$1="FR",$C$43,1)</f>
        <v>0</v>
      </c>
      <c r="O45" s="115">
        <f>IF(O18&lt;1,0,IF(O$6="System",O$36*'Basin Allocations'!$J$6*$D$27,IF(O$6="SJ",O$11*'Basin Allocations'!$J$6,0)))*$C40*IF(O$1="FR",$C$43,1)</f>
        <v>280.7628743562891</v>
      </c>
      <c r="P45" s="115">
        <f>IF(P18&lt;1,0,IF(P$6="System",P$36*'Basin Allocations'!$J$6*$D$27,IF(P$6="SJ",P$11*'Basin Allocations'!$J$6,0)))*$C40*IF(P$1="FR",$C$43,1)</f>
        <v>0</v>
      </c>
      <c r="Q45" s="115">
        <f>IF(Q18&lt;1,0,IF(Q$6="System",Q$36*'Basin Allocations'!$J$6*$D$27,IF(Q$6="SJ",Q$11*'Basin Allocations'!$J$6,0)))*$C40*IF(Q$1="FR",$C$43,1)</f>
        <v>181.13733829438004</v>
      </c>
      <c r="R45" s="115">
        <f>IF(R18&lt;1,0,IF(R$6="System",R$36*'Basin Allocations'!$J$6*$D$27,IF(R$6="SJ",R$11*'Basin Allocations'!$J$6,0)))*$C40*IF(R$1="FR",$C$43,1)</f>
        <v>0</v>
      </c>
      <c r="S45" s="115">
        <f>IF(S18&lt;1,0,IF(S$6="System",S$36*'Basin Allocations'!$J$6*$D$27,IF(S$6="SJ",S$11*'Basin Allocations'!$J$6,0)))*$C40*IF(S$1="FR",$C$43,1)</f>
        <v>0</v>
      </c>
      <c r="T45" s="115">
        <f>IF(T18&lt;1,0,IF(T$6="System",T$36*'Basin Allocations'!$J$6*$D$27,IF(T$6="SJ",T$11*'Basin Allocations'!$J$6,0)))*$C40*IF(T$1="FR",$C$43,1)</f>
        <v>0</v>
      </c>
      <c r="U45" s="115">
        <f>IF(U18&lt;1,0,IF(U$6="System",U$36*'Basin Allocations'!$J$6*$D$27,IF(U$6="SJ",U$11*'Basin Allocations'!$J$6,0)))*$C40*IF(U$1="FR",$C$43,1)</f>
        <v>0</v>
      </c>
      <c r="V45" s="115">
        <f>IF(V18&lt;1,0,IF(V$6="System",V$36*'Basin Allocations'!$J$6*$D$27,IF(V$6="SJ",V$11*'Basin Allocations'!$J$6,0)))*$C40*IF(V$1="FR",$C$43,1)</f>
        <v>0</v>
      </c>
      <c r="W45" s="115">
        <f>IF(W18&lt;1,0,IF(W$6="System",W$36*'Basin Allocations'!$J$6*$D$27,IF(W$6="SJ",W$11*'Basin Allocations'!$J$6,0)))*$C40*IF(W$1="FR",$C$43,1)</f>
        <v>1688.8393011564256</v>
      </c>
      <c r="X45" s="115">
        <f>IF(X18&lt;1,0,IF(X$6="System",X$36*'Basin Allocations'!$J$6*$D$27,IF(X$6="SJ",X$11*'Basin Allocations'!$J$6,0)))*$C40*IF(X$1="FR",$C$43,1)</f>
        <v>105.88542937061187</v>
      </c>
      <c r="Y45" s="115">
        <f>IF(Y18&lt;1,0,IF(Y$6="System",Y$36*'Basin Allocations'!$J$6*$D$27,IF(Y$6="SJ",Y$11*'Basin Allocations'!$J$6,0)))*$C40*IF(Y$1="FR",$C$43,1)</f>
        <v>0</v>
      </c>
      <c r="Z45" s="115">
        <f>IF(Z18&lt;1,0,IF(Z$6="System",Z$36*'Basin Allocations'!$J$6*$D$27,IF(Z$6="SJ",Z$11*'Basin Allocations'!$J$6,0)))*$C40*IF(Z$1="FR",$C$43,1)</f>
        <v>1897.5468078529652</v>
      </c>
      <c r="AA45" s="115">
        <f>IF(AA18&lt;1,0,IF(AA$6="System",AA$36*'Basin Allocations'!$J$6*$D$27,IF(AA$6="SJ",AA$11*'Basin Allocations'!$J$6,0)))*$C40*IF(AA$1="FR",$C$43,1)</f>
        <v>0</v>
      </c>
      <c r="AB45" s="115">
        <f>IF(AB18&lt;1,0,IF(AB$6="System",AB$36*'Basin Allocations'!$J$6*$D$27,IF(AB$6="SJ",AB$11*'Basin Allocations'!$J$6,0)))*$C40*IF(AB$1="FR",$C$43,1)</f>
        <v>0</v>
      </c>
      <c r="AC45" s="115">
        <f>IF(AC18&lt;1,0,IF(AC$6="System",AC$36*'Basin Allocations'!$J$6*$D$27,IF(AC$6="SJ",AC$11*'Basin Allocations'!$J$6,0)))*$C40*IF(AC$1="FR",$C$43,1)</f>
        <v>0</v>
      </c>
      <c r="AD45" s="115">
        <f>IF(AD18&lt;1,0,IF(AD$6="System",AD$36*'Basin Allocations'!$J$6*$D$27,IF(AD$6="SJ",AD$11*'Basin Allocations'!$J$6,0)))*$C40*IF(AD$1="FR",$C$43,1)</f>
        <v>0</v>
      </c>
      <c r="AE45" s="115">
        <f>IF(AE18&lt;1,0,IF(AE$6="System",AE$36*'Basin Allocations'!$J$6*$D$27,IF(AE$6="SJ",AE$11*'Basin Allocations'!$J$6,0)))*$C40*IF(AE$1="FR",$C$43,1)</f>
        <v>0</v>
      </c>
      <c r="AF45" s="115">
        <f>IF(AF18&lt;1,0,IF(AF$6="System",AF$36*'Basin Allocations'!$J$6*$D$27,IF(AF$6="SJ",AF$11*'Basin Allocations'!$J$6,0)))*$C40*IF(AF$1="FR",$C$43,1)</f>
        <v>0</v>
      </c>
      <c r="AG45" s="115">
        <f>IF(AG18&lt;1,0,IF(AG$6="System",AG$36*'Basin Allocations'!$J$6*$D$27,IF(AG$6="SJ",AG$11*'Basin Allocations'!$J$6,0)))*$C40*IF(AG$1="FR",$C$43,1)</f>
        <v>0</v>
      </c>
      <c r="AH45" s="115">
        <f>IF(AH18&lt;1,0,IF(AH$6="System",AH$36*'Basin Allocations'!$J$6*$D$27,IF(AH$6="SJ",AH$11*'Basin Allocations'!$J$6,0)))*$C40*IF(AH$1="FR",$C$43,1)</f>
        <v>0</v>
      </c>
      <c r="AI45" s="115">
        <f>IF(AI18&lt;1,0,IF(AI$6="System",AI$36*'Basin Allocations'!$J$6*$D$27,IF(AI$6="SJ",AI$11*'Basin Allocations'!$J$6,0)))*$C40*IF(AI$1="FR",$C$43,1)</f>
        <v>559.52791042256661</v>
      </c>
      <c r="AJ45" s="115">
        <f>IF(AJ18&lt;1,0,IF(AJ$6="System",AJ$36*'Basin Allocations'!$J$6*$D$27,IF(AJ$6="SJ",AJ$11*'Basin Allocations'!$J$6,0)))*$C40*IF(AJ$1="FR",$C$43,1)</f>
        <v>0</v>
      </c>
      <c r="AK45" s="115">
        <f>IF(AK18&lt;1,0,IF(AK$6="System",AK$36*'Basin Allocations'!$J$6*$D$27,IF(AK$6="SJ",AK$11*'Basin Allocations'!$J$6,0)))*$C40*IF(AK$1="FR",$C$43,1)</f>
        <v>0</v>
      </c>
      <c r="AL45" s="115">
        <f>IF(AL18&lt;1,0,IF(AL$6="System",AL$36*'Basin Allocations'!$J$6*$D$27,IF(AL$6="SJ",AL$11*'Basin Allocations'!$J$6,0)))*$C40*IF(AL$1="FR",$C$43,1)</f>
        <v>4751.3922105247884</v>
      </c>
      <c r="AM45" s="115">
        <f>IF(AM18&lt;1,0,IF(AM$6="System",AM$36*'Basin Allocations'!$J$6*$D$27,IF(AM$6="SJ",AM$11*'Basin Allocations'!$J$6,0)))*$C40*IF(AM$1="FR",$C$43,1)</f>
        <v>0</v>
      </c>
      <c r="AN45" s="115">
        <f>IF(AN18&lt;1,0,IF(AN$6="System",AN$36*'Basin Allocations'!$J$6*$D$27,IF(AN$6="SJ",AN$11*'Basin Allocations'!$J$6,0)))*$C40*IF(AN$1="FR",$C$43,1)</f>
        <v>0</v>
      </c>
      <c r="AO45" s="115">
        <f>IF(AO18&lt;1,0,IF(AO$6="System",AO$36*'Basin Allocations'!$J$6*$D$27,IF(AO$6="SJ",AO$11*'Basin Allocations'!$J$6,0)))*$C40*IF(AO$1="FR",$C$43,1)</f>
        <v>0</v>
      </c>
      <c r="AP45" s="115">
        <f>IF(AP18&lt;1,0,IF(AP$6="System",AP$36*'Basin Allocations'!$J$6*$D$27,IF(AP$6="SJ",AP$11*'Basin Allocations'!$J$6,0)))*$C40*IF(AP$1="FR",$C$43,1)</f>
        <v>456.14144262450526</v>
      </c>
      <c r="AQ45" s="115">
        <f>IF(AQ18&lt;1,0,IF(AQ$6="System",AQ$36*'Basin Allocations'!$J$6*$D$27,IF(AQ$6="SJ",AQ$11*'Basin Allocations'!$J$6,0)))*$C40*IF(AQ$1="FR",$C$43,1)</f>
        <v>0</v>
      </c>
      <c r="AR45" s="115">
        <f>IF(AR18&lt;1,0,IF(AR$6="System",AR$36*'Basin Allocations'!$J$6*$D$27,IF(AR$6="SJ",AR$11*'Basin Allocations'!$J$6,0)))*$C40*IF(AR$1="FR",$C$43,1)</f>
        <v>3063.3520446843686</v>
      </c>
      <c r="AS45" s="115">
        <f>IF(AS18&lt;1,0,IF(AS$6="System",AS$36*'Basin Allocations'!$J$6*$D$27,IF(AS$6="SJ",AS$11*'Basin Allocations'!$J$6,0)))*$C40*IF(AS$1="FR",$C$43,1)</f>
        <v>711.48526914268837</v>
      </c>
      <c r="AT45" s="115">
        <f>IF(AT18&lt;1,0,IF(AT$6="System",AT$36*'Basin Allocations'!$J$6*$D$27,IF(AT$6="SJ",AT$11*'Basin Allocations'!$J$6,0)))*$C40*IF(AT$1="FR",$C$43,1)</f>
        <v>0</v>
      </c>
      <c r="AU45" s="115">
        <f>IF(AU18&lt;1,0,IF(AU$6="System",AU$36*'Basin Allocations'!$J$6*$D$27,IF(AU$6="SJ",AU$11*'Basin Allocations'!$J$6,0)))*$C40*IF(AU$1="FR",$C$43,1)</f>
        <v>0</v>
      </c>
      <c r="AV45" s="115">
        <f>IF(AV18&lt;1,0,IF(AV$6="System",AV$36*'Basin Allocations'!$J$6*$D$27,IF(AV$6="SJ",AV$11*'Basin Allocations'!$J$6,0)))*$C40*IF(AV$1="FR",$C$43,1)</f>
        <v>0</v>
      </c>
      <c r="AW45" s="115">
        <f>IF(AW18&lt;1,0,IF(AW$6="System",AW$36*'Basin Allocations'!$J$6*$D$27,IF(AW$6="SJ",AW$11*'Basin Allocations'!$J$6,0)))*$C40*IF(AW$1="FR",$C$43,1)</f>
        <v>0</v>
      </c>
      <c r="AX45" s="115">
        <f>IF(AX18&lt;1,0,IF(AX$6="System",AX$36*'Basin Allocations'!$J$6*$D$27,IF(AX$6="SJ",AX$11*'Basin Allocations'!$J$6,0)))*$C40*IF(AX$1="FR",$C$43,1)</f>
        <v>0</v>
      </c>
      <c r="AY45" s="115">
        <f>IF(AY18&lt;1,0,IF(AY$6="System",AY$36*'Basin Allocations'!$J$6*$D$27,IF(AY$6="SJ",AY$11*'Basin Allocations'!$J$6,0)))*$C40*IF(AY$1="FR",$C$43,1)</f>
        <v>1779.4079703036155</v>
      </c>
      <c r="AZ45" s="115">
        <f>IF(AZ18&lt;1,0,IF(AZ$6="System",AZ$36*'Basin Allocations'!$J$6*$D$27,IF(AZ$6="SJ",AZ$11*'Basin Allocations'!$J$6,0)))*$C40*IF(AZ$1="FR",$C$43,1)</f>
        <v>597.48683793278599</v>
      </c>
      <c r="BA45" s="115">
        <f>IF(BA18&lt;1,0,IF(BA$6="System",BA$36*'Basin Allocations'!$J$6*$D$27,IF(BA$6="SJ",BA$11*'Basin Allocations'!$J$6,0)))*$C40*IF(BA$1="FR",$C$43,1)</f>
        <v>320.98601859518817</v>
      </c>
      <c r="BB45" s="115">
        <f>IF(BB18&lt;1,0,IF(BB$6="System",BB$36*'Basin Allocations'!$J$6*$D$27,IF(BB$6="SJ",BB$11*'Basin Allocations'!$J$6,0)))*$C40*IF(BB$1="FR",$C$43,1)</f>
        <v>0</v>
      </c>
      <c r="BC45" s="115">
        <f>IF(BC18&lt;1,0,IF(BC$6="System",BC$36*'Basin Allocations'!$J$6*$D$27,IF(BC$6="SJ",BC$11*'Basin Allocations'!$J$6,0)))*$C40*IF(BC$1="FR",$C$43,1)</f>
        <v>0</v>
      </c>
      <c r="BD45" s="115">
        <f>IF(BD18&lt;1,0,IF(BD$6="System",BD$36*'Basin Allocations'!$J$6*$D$27,IF(BD$6="SJ",BD$11*'Basin Allocations'!$J$6,0)))*$C40*IF(BD$1="FR",$C$43,1)</f>
        <v>1420.5962134175425</v>
      </c>
      <c r="BE45" s="115">
        <f>IF(BE18&lt;1,0,IF(BE$6="System",BE$36*'Basin Allocations'!$J$6*$D$27,IF(BE$6="SJ",BE$11*'Basin Allocations'!$J$6,0)))*$C40*IF(BE$1="FR",$C$43,1)</f>
        <v>0</v>
      </c>
      <c r="BF45" s="115">
        <f>IF(BF18&lt;1,0,IF(BF$6="System",BF$36*'Basin Allocations'!$J$6*$D$27,IF(BF$6="SJ",BF$11*'Basin Allocations'!$J$6,0)))*$C40*IF(BF$1="FR",$C$43,1)</f>
        <v>0</v>
      </c>
      <c r="BG45" s="115">
        <f>IF(BG18&lt;1,0,IF(BG$6="System",BG$36*'Basin Allocations'!$J$6*$D$27,IF(BG$6="SJ",BG$11*'Basin Allocations'!$J$6,0)))*$C40*IF(BG$1="FR",$C$43,1)</f>
        <v>6438.5000518298702</v>
      </c>
      <c r="BH45" s="115">
        <f>IF(BH18&lt;1,0,IF(BH$6="System",BH$36*'Basin Allocations'!$J$6*$D$27,IF(BH$6="SJ",BH$11*'Basin Allocations'!$J$6,0)))*$C40*IF(BH$1="FR",$C$43,1)</f>
        <v>1016.4075273466975</v>
      </c>
      <c r="BI45" s="115">
        <f>IF(BI18&lt;1,0,IF(BI$6="System",BI$36*'Basin Allocations'!$J$6*$D$27,IF(BI$6="SJ",BI$11*'Basin Allocations'!$J$6,0)))*$C40*IF(BI$1="FR",$C$43,1)</f>
        <v>0.26637843866820593</v>
      </c>
      <c r="BJ45" s="115">
        <f>IF(BJ18&lt;1,0,IF(BJ$6="System",BJ$36*'Basin Allocations'!$J$6*$D$27,IF(BJ$6="SJ",BJ$11*'Basin Allocations'!$J$6,0)))*$C40*IF(BJ$1="FR",$C$43,1)</f>
        <v>13213.297855507066</v>
      </c>
      <c r="BK45" s="115">
        <f>IF(BK18&lt;1,0,IF(BK$6="System",BK$36*'Basin Allocations'!$J$6*$D$27,IF(BK$6="SJ",BK$11*'Basin Allocations'!$J$6,0)))*$C40*IF(BK$1="FR",$C$43,1)</f>
        <v>0</v>
      </c>
      <c r="BL45" s="115">
        <f>IF(BL18&lt;1,0,IF(BL$6="System",BL$36*'Basin Allocations'!$J$6*$D$27,IF(BL$6="SJ",BL$11*'Basin Allocations'!$J$6,0)))*$C40*IF(BL$1="FR",$C$43,1)</f>
        <v>62000.859168148549</v>
      </c>
      <c r="BM45" s="115">
        <f>IF(BM18&lt;1,0,IF(BM$6="System",BM$36*'Basin Allocations'!$J$6*$D$27,IF(BM$6="SJ",BM$11*'Basin Allocations'!$J$6,0)))*$C40*IF(BM$1="FR",$C$43,1)</f>
        <v>0</v>
      </c>
      <c r="BN45" s="115">
        <f>IF(BN18&lt;1,0,IF(BN$6="System",BN$36*'Basin Allocations'!$J$6*$D$27,IF(BN$6="SJ",BN$11*'Basin Allocations'!$J$6,0)))*$C40*IF(BN$1="FR",$C$43,1)</f>
        <v>477.08378365475687</v>
      </c>
      <c r="BO45" s="115">
        <f>IF(BO18&lt;1,0,IF(BO$6="System",BO$36*'Basin Allocations'!$J$6*$D$27,IF(BO$6="SJ",BO$11*'Basin Allocations'!$J$6,0)))*$C40*IF(BO$1="FR",$C$43,1)</f>
        <v>9363.4684976261087</v>
      </c>
      <c r="BP45" s="115">
        <f>IF(BP18&lt;1,0,IF(BP$6="System",BP$36*'Basin Allocations'!$J$6*$D$27,IF(BP$6="SJ",BP$11*'Basin Allocations'!$J$6,0)))*$C40*IF(BP$1="FR",$C$43,1)</f>
        <v>0</v>
      </c>
      <c r="BQ45" s="115">
        <f>IF(BQ18&lt;1,0,IF(BQ$6="System",BQ$36*'Basin Allocations'!$J$6*$D$27,IF(BQ$6="SJ",BQ$11*'Basin Allocations'!$J$6,0)))*$C40*IF(BQ$1="FR",$C$43,1)</f>
        <v>0</v>
      </c>
      <c r="BR45" s="115">
        <f>IF(BR18&lt;1,0,IF(BR$6="System",BR$36*'Basin Allocations'!$J$6*$D$27,IF(BR$6="SJ",BR$11*'Basin Allocations'!$J$6,0)))*$C40*IF(BR$1="FR",$C$43,1)</f>
        <v>44303.928730076681</v>
      </c>
      <c r="BS45" s="115">
        <f>IF(BS18&lt;1,0,IF(BS$6="System",BS$36*'Basin Allocations'!$J$6*$D$27,IF(BS$6="SJ",BS$11*'Basin Allocations'!$J$6,0)))*$C40*IF(BS$1="FR",$C$43,1)</f>
        <v>0</v>
      </c>
      <c r="BT45" s="115">
        <f>IF(BT18&lt;1,0,IF(BT$6="System",BT$36*'Basin Allocations'!$J$6*$D$27,IF(BT$6="SJ",BT$11*'Basin Allocations'!$J$6,0)))*$C40*IF(BT$1="FR",$C$43,1)</f>
        <v>0</v>
      </c>
      <c r="BU45" s="115">
        <f>IF(BU18&lt;1,0,IF(BU$6="System",BU$36*'Basin Allocations'!$J$6*$D$27,IF(BU$6="SJ",BU$11*'Basin Allocations'!$J$6,0)))*$C40*IF(BU$1="FR",$C$43,1)</f>
        <v>0</v>
      </c>
      <c r="BV45" s="115">
        <f>IF(BV18&lt;1,0,IF(BV$6="System",BV$36*'Basin Allocations'!$J$6*$D$27,IF(BV$6="SJ",BV$11*'Basin Allocations'!$J$6,0)))*$C40*IF(BV$1="FR",$C$43,1)</f>
        <v>0</v>
      </c>
      <c r="BW45" s="115">
        <f>IF(BW18&lt;1,0,IF(BW$6="System",BW$36*'Basin Allocations'!$J$6*$D$27,IF(BW$6="SJ",BW$11*'Basin Allocations'!$J$6,0)))*$C40*IF(BW$1="FR",$C$43,1)</f>
        <v>0</v>
      </c>
      <c r="BX45" s="115">
        <f>IF(BX18&lt;1,0,IF(BX$6="System",BX$36*'Basin Allocations'!$J$6*$D$27,IF(BX$6="SJ",BX$11*'Basin Allocations'!$J$6,0)))*$C40*IF(BX$1="FR",$C$43,1)</f>
        <v>0</v>
      </c>
      <c r="BY45" s="115">
        <f>IF(BY18&lt;1,0,IF(BY$6="System",BY$36*'Basin Allocations'!$J$6*$D$27,IF(BY$6="SJ",BY$11*'Basin Allocations'!$J$6,0)))*$C40*IF(BY$1="FR",$C$43,1)</f>
        <v>0</v>
      </c>
      <c r="BZ45" s="78">
        <f t="shared" ref="BZ45:BZ53" si="26">SUM(D45:BY45)</f>
        <v>181259.41739151048</v>
      </c>
      <c r="CA45" s="76"/>
      <c r="CB45" s="115">
        <f>IF(CB18&lt;1,0,IF(CB$6="System",CB$36*'Basin Allocations'!$J$6*$D$27,IF(CB$6="SJ",CB$11*'Basin Allocations'!$J$6,0)))*$C40</f>
        <v>6521.3225146818759</v>
      </c>
      <c r="CC45" s="115">
        <f>IF(CC18&lt;1,0,IF(CC$6="System",CC$36*'Basin Allocations'!$J$6*$D$27,IF(CC$6="SJ",CC$11*'Basin Allocations'!$J$6,0)))*$C40</f>
        <v>2336.6832818437611</v>
      </c>
      <c r="CD45" s="115">
        <f>IF(CD18&lt;1,0,IF(CD$6="System",CD$36*'Basin Allocations'!$J$6*$D$27,IF(CD$6="SJ",CD$11*'Basin Allocations'!$J$6,0)))*$C40</f>
        <v>7083.0047949189484</v>
      </c>
      <c r="CE45" s="115">
        <f>IF(CE18&lt;1,0,IF(CE$6="System",CE$36*'Basin Allocations'!$J$6*$D$27,IF(CE$6="SJ",CE$11*'Basin Allocations'!$J$6,0)))*$C40</f>
        <v>3622.9569526010418</v>
      </c>
      <c r="CF45" s="115">
        <f>IF(CF18&lt;1,0,IF(CF$6="System",CF$36*'Basin Allocations'!$J$6*$D$27,IF(CF$6="SJ",CF$11*'Basin Allocations'!$J$6,0)))*$C40</f>
        <v>2898.3655620808336</v>
      </c>
      <c r="CG45" s="115">
        <f>IF(CG18&lt;1,0,IF(CG$6="System",CG$36*'Basin Allocations'!$J$6*$D$27,IF(CG$6="SJ",CG$11*'Basin Allocations'!$J$6,0)))*$C40</f>
        <v>3622.9569526010418</v>
      </c>
      <c r="CH45" s="115">
        <f>IF(CH18&lt;1,0,IF(CH$6="System",CH$36*'Basin Allocations'!$J$6*$D$27,IF(CH$6="SJ",CH$11*'Basin Allocations'!$J$6,0)))*$C40</f>
        <v>0</v>
      </c>
      <c r="CI45" s="115">
        <f>IF(CI18&lt;1,0,IF(CI$6="System",CI$36*'Basin Allocations'!$J$6*$D$27,IF(CI$6="SJ",CI$11*'Basin Allocations'!$J$6,0)))*$C40</f>
        <v>1270.5590869706323</v>
      </c>
      <c r="CJ45" s="115">
        <f>IF(CJ18&lt;1,0,IF(CJ$6="System",CJ$36*'Basin Allocations'!$J$6*$D$27,IF(CJ$6="SJ",CJ$11*'Basin Allocations'!$J$6,0)))*$C40</f>
        <v>0</v>
      </c>
      <c r="CK45" s="115">
        <f>IF(CK18&lt;1,0,IF(CK$6="System",CK$36*'Basin Allocations'!$J$6*$D$27,IF(CK$6="SJ",CK$11*'Basin Allocations'!$J$6,0)))*$C40</f>
        <v>1016.4075273466975</v>
      </c>
      <c r="CL45" s="115">
        <f>IF(CL18&lt;1,0,IF(CL$6="System",CL$36*'Basin Allocations'!$J$6*$D$27,IF(CL$6="SJ",CL$11*'Basin Allocations'!$J$6,0)))*$C40</f>
        <v>40.636429978963768</v>
      </c>
      <c r="CM45" s="115">
        <f>IF(CM18&lt;1,0,IF(CM$6="System",CM$36*'Basin Allocations'!$J$6*$D$27,IF(CM$6="SJ",CM$11*'Basin Allocations'!$J$6,0)))*$C40</f>
        <v>0</v>
      </c>
      <c r="CN45" s="115">
        <f>IF(CN18&lt;1,0,IF(CN$6="System",CN$36*'Basin Allocations'!$J$6*$D$27,IF(CN$6="SJ",CN$11*'Basin Allocations'!$J$6,0)))*$C40</f>
        <v>0</v>
      </c>
      <c r="CO45" s="115">
        <f>IF(CO18&lt;1,0,IF(CO$6="System",CO$36*'Basin Allocations'!$J$6*$D$27,IF(CO$6="SJ",CO$11*'Basin Allocations'!$J$6,0)))*$C40</f>
        <v>0</v>
      </c>
      <c r="CP45" s="115">
        <f>IF(CP18&lt;1,0,IF(CP$6="System",CP$36*'Basin Allocations'!$J$6*$D$27,IF(CP$6="SJ",CP$11*'Basin Allocations'!$J$6,0)))*$C40</f>
        <v>0</v>
      </c>
      <c r="CQ45" s="115">
        <f>IF(CQ18&lt;1,0,IF(CQ$6="System",CQ$36*'Basin Allocations'!$J$6*$D$27,IF(CQ$6="SJ",CQ$11*'Basin Allocations'!$J$6,0)))*$C40</f>
        <v>968.71685157676472</v>
      </c>
      <c r="CR45" s="115">
        <f>IF(CR18&lt;1,0,IF(CR$6="System",CR$36*'Basin Allocations'!$J$6*$D$27,IF(CR$6="SJ",CR$11*'Basin Allocations'!$J$6,0)))*$C40</f>
        <v>0</v>
      </c>
      <c r="CS45" s="115">
        <f>IF(CS18&lt;1,0,IF(CS$6="System",CS$36*'Basin Allocations'!$J$6*$D$27,IF(CS$6="SJ",CS$11*'Basin Allocations'!$J$6,0)))*$C40</f>
        <v>0</v>
      </c>
      <c r="CT45" s="115">
        <f>IF(CT18&lt;1,0,IF(CT$6="System",CT$36*'Basin Allocations'!$J$6*$D$27,IF(CT$6="SJ",CT$11*'Basin Allocations'!$J$6,0)))*$C40</f>
        <v>0</v>
      </c>
      <c r="CU45" s="115">
        <f>IF(CU18&lt;1,0,IF(CU$6="System",CU$36*'Basin Allocations'!$J$6*$D$27,IF(CU$6="SJ",CU$11*'Basin Allocations'!$J$6,0)))*$C40</f>
        <v>0</v>
      </c>
      <c r="CV45" s="115">
        <f>IF(CV18&lt;1,0,IF(CV$6="System",CV$36*'Basin Allocations'!$J$6*$D$27,IF(CV$6="SJ",CV$11*'Basin Allocations'!$J$6,0)))*$C40</f>
        <v>0</v>
      </c>
      <c r="CW45" s="115">
        <f>IF(CW18&lt;1,0,IF(CW$6="System",CW$36*'Basin Allocations'!$J$6*$D$27,IF(CW$6="SJ",CW$11*'Basin Allocations'!$J$6,0)))*$C40</f>
        <v>0</v>
      </c>
      <c r="CX45" s="115">
        <f>IF(CX18&lt;1,0,IF(CX$6="System",CX$36*'Basin Allocations'!$J$6*$D$27,IF(CX$6="SJ",CX$11*'Basin Allocations'!$J$6,0)))*$C40</f>
        <v>0</v>
      </c>
      <c r="CY45" s="72">
        <f>SUM(CB45:CX45)</f>
        <v>29381.609954600564</v>
      </c>
      <c r="CZ45" s="76"/>
      <c r="DA45" s="72">
        <f>BZ45+CY45</f>
        <v>210641.02734611105</v>
      </c>
      <c r="DB45" s="74"/>
      <c r="DC45" s="117">
        <f>MIN(MIN($CB45:$CX45),MIN($D45:$BY45))</f>
        <v>0</v>
      </c>
      <c r="DD45" s="117">
        <f>MAX(MAX($CB45:$CX45),MAX($D45:$BY45))</f>
        <v>62000.859168148549</v>
      </c>
      <c r="DE45" s="69"/>
      <c r="DF45" s="69"/>
      <c r="DG45" s="89"/>
      <c r="DH45" s="143" t="s">
        <v>611</v>
      </c>
      <c r="DI45" s="89"/>
      <c r="DK45" s="89"/>
      <c r="DL45" s="143" t="s">
        <v>611</v>
      </c>
      <c r="DM45"/>
    </row>
    <row r="46" spans="1:139" x14ac:dyDescent="0.25">
      <c r="A46" s="69" t="s">
        <v>546</v>
      </c>
      <c r="B46" s="70"/>
      <c r="C46" s="176"/>
      <c r="D46" s="115">
        <f>IF(D18&lt;1,0,IF(D$6="System",D$36*'Basin Allocations'!$J$7*$D$27,IF(D$6="SJ",D$11*'Basin Allocations'!$J$7,0)))*$C41*IF(D$1="FR",$C$43,1)</f>
        <v>0</v>
      </c>
      <c r="E46" s="115">
        <f>IF(E18&lt;1,0,IF(E$6="System",E$36*'Basin Allocations'!$J$7*$D$27,IF(E$6="SJ",E$11*'Basin Allocations'!$J$7,0)))*$C41*IF(E$1="FR",$C$43,1)</f>
        <v>1579.6790613394694</v>
      </c>
      <c r="F46" s="115">
        <f>IF(F18&lt;1,0,IF(F$6="System",F$36*'Basin Allocations'!$J$7*$D$27,IF(F$6="SJ",F$11*'Basin Allocations'!$J$7,0)))*$C41*IF(F$1="FR",$C$43,1)</f>
        <v>0</v>
      </c>
      <c r="G46" s="115">
        <f>IF(G18&lt;1,0,IF(G$6="System",G$36*'Basin Allocations'!$J$7*$D$27,IF(G$6="SJ",G$11*'Basin Allocations'!$J$7,0)))*$C41*IF(G$1="FR",$C$43,1)</f>
        <v>925.28939669285205</v>
      </c>
      <c r="H46" s="115">
        <f>IF(H18&lt;1,0,IF(H$6="System",H$36*'Basin Allocations'!$J$7*$D$27,IF(H$6="SJ",H$11*'Basin Allocations'!$J$7,0)))*$C41*IF(H$1="FR",$C$43,1)</f>
        <v>3417.6712716101415</v>
      </c>
      <c r="I46" s="115">
        <f>IF(I18&lt;1,0,IF(I$6="System",I$36*'Basin Allocations'!$J$7*$D$27,IF(I$6="SJ",I$11*'Basin Allocations'!$J$7,0)))*$C41*IF(I$1="FR",$C$43,1)</f>
        <v>308.53329883013333</v>
      </c>
      <c r="J46" s="115">
        <f>IF(J18&lt;1,0,IF(J$6="System",J$36*'Basin Allocations'!$J$7*$D$27,IF(J$6="SJ",J$11*'Basin Allocations'!$J$7,0)))*$C41*IF(J$1="FR",$C$43,1)</f>
        <v>154.88764901016253</v>
      </c>
      <c r="K46" s="115">
        <f>IF(K18&lt;1,0,IF(K$6="System",K$36*'Basin Allocations'!$J$7*$D$27,IF(K$6="SJ",K$11*'Basin Allocations'!$J$7,0)))*$C41*IF(K$1="FR",$C$43,1)</f>
        <v>683.46180436926716</v>
      </c>
      <c r="L46" s="115">
        <f>IF(L18&lt;1,0,IF(L$6="System",L$36*'Basin Allocations'!$J$7*$D$27,IF(L$6="SJ",L$11*'Basin Allocations'!$J$7,0)))*$C41*IF(L$1="FR",$C$43,1)</f>
        <v>0</v>
      </c>
      <c r="M46" s="115">
        <f>IF(M18&lt;1,0,IF(M$6="System",M$36*'Basin Allocations'!$J$7*$D$27,IF(M$6="SJ",M$11*'Basin Allocations'!$J$7,0)))*$C41*IF(M$1="FR",$C$43,1)</f>
        <v>3277.8340522793997</v>
      </c>
      <c r="N46" s="115">
        <f>IF(N18&lt;1,0,IF(N$6="System",N$36*'Basin Allocations'!$J$7*$D$27,IF(N$6="SJ",N$11*'Basin Allocations'!$J$7,0)))*$C41*IF(N$1="FR",$C$43,1)</f>
        <v>0</v>
      </c>
      <c r="O46" s="115">
        <f>IF(O18&lt;1,0,IF(O$6="System",O$36*'Basin Allocations'!$J$7*$D$27,IF(O$6="SJ",O$11*'Basin Allocations'!$J$7,0)))*$C41*IF(O$1="FR",$C$43,1)</f>
        <v>109.08892887184183</v>
      </c>
      <c r="P46" s="115">
        <f>IF(P18&lt;1,0,IF(P$6="System",P$36*'Basin Allocations'!$J$7*$D$27,IF(P$6="SJ",P$11*'Basin Allocations'!$J$7,0)))*$C41*IF(P$1="FR",$C$43,1)</f>
        <v>0</v>
      </c>
      <c r="Q46" s="115">
        <f>IF(Q18&lt;1,0,IF(Q$6="System",Q$36*'Basin Allocations'!$J$7*$D$27,IF(Q$6="SJ",Q$11*'Basin Allocations'!$J$7,0)))*$C41*IF(Q$1="FR",$C$43,1)</f>
        <v>70.379954110865697</v>
      </c>
      <c r="R46" s="115">
        <f>IF(R18&lt;1,0,IF(R$6="System",R$36*'Basin Allocations'!$J$7*$D$27,IF(R$6="SJ",R$11*'Basin Allocations'!$J$7,0)))*$C41*IF(R$1="FR",$C$43,1)</f>
        <v>0</v>
      </c>
      <c r="S46" s="115">
        <f>IF(S18&lt;1,0,IF(S$6="System",S$36*'Basin Allocations'!$J$7*$D$27,IF(S$6="SJ",S$11*'Basin Allocations'!$J$7,0)))*$C41*IF(S$1="FR",$C$43,1)</f>
        <v>0</v>
      </c>
      <c r="T46" s="115">
        <f>IF(T18&lt;1,0,IF(T$6="System",T$36*'Basin Allocations'!$J$7*$D$27,IF(T$6="SJ",T$11*'Basin Allocations'!$J$7,0)))*$C41*IF(T$1="FR",$C$43,1)</f>
        <v>0</v>
      </c>
      <c r="U46" s="115">
        <f>IF(U18&lt;1,0,IF(U$6="System",U$36*'Basin Allocations'!$J$7*$D$27,IF(U$6="SJ",U$11*'Basin Allocations'!$J$7,0)))*$C41*IF(U$1="FR",$C$43,1)</f>
        <v>0</v>
      </c>
      <c r="V46" s="115">
        <f>IF(V18&lt;1,0,IF(V$6="System",V$36*'Basin Allocations'!$J$7*$D$27,IF(V$6="SJ",V$11*'Basin Allocations'!$J$7,0)))*$C41*IF(V$1="FR",$C$43,1)</f>
        <v>0</v>
      </c>
      <c r="W46" s="115">
        <f>IF(W18&lt;1,0,IF(W$6="System",W$36*'Basin Allocations'!$J$7*$D$27,IF(W$6="SJ",W$11*'Basin Allocations'!$J$7,0)))*$C41*IF(W$1="FR",$C$43,1)</f>
        <v>656.18957215130672</v>
      </c>
      <c r="X46" s="115">
        <f>IF(X18&lt;1,0,IF(X$6="System",X$36*'Basin Allocations'!$J$7*$D$27,IF(X$6="SJ",X$11*'Basin Allocations'!$J$7,0)))*$C41*IF(X$1="FR",$C$43,1)</f>
        <v>41.141223175101651</v>
      </c>
      <c r="Y46" s="115">
        <f>IF(Y18&lt;1,0,IF(Y$6="System",Y$36*'Basin Allocations'!$J$7*$D$27,IF(Y$6="SJ",Y$11*'Basin Allocations'!$J$7,0)))*$C41*IF(Y$1="FR",$C$43,1)</f>
        <v>0</v>
      </c>
      <c r="Z46" s="115">
        <f>IF(Z18&lt;1,0,IF(Z$6="System",Z$36*'Basin Allocations'!$J$7*$D$27,IF(Z$6="SJ",Z$11*'Basin Allocations'!$J$7,0)))*$C41*IF(Z$1="FR",$C$43,1)</f>
        <v>737.28176927757636</v>
      </c>
      <c r="AA46" s="115">
        <f>IF(AA18&lt;1,0,IF(AA$6="System",AA$36*'Basin Allocations'!$J$7*$D$27,IF(AA$6="SJ",AA$11*'Basin Allocations'!$J$7,0)))*$C41*IF(AA$1="FR",$C$43,1)</f>
        <v>0</v>
      </c>
      <c r="AB46" s="115">
        <f>IF(AB18&lt;1,0,IF(AB$6="System",AB$36*'Basin Allocations'!$J$7*$D$27,IF(AB$6="SJ",AB$11*'Basin Allocations'!$J$7,0)))*$C41*IF(AB$1="FR",$C$43,1)</f>
        <v>0</v>
      </c>
      <c r="AC46" s="115">
        <f>IF(AC18&lt;1,0,IF(AC$6="System",AC$36*'Basin Allocations'!$J$7*$D$27,IF(AC$6="SJ",AC$11*'Basin Allocations'!$J$7,0)))*$C41*IF(AC$1="FR",$C$43,1)</f>
        <v>0</v>
      </c>
      <c r="AD46" s="115">
        <f>IF(AD18&lt;1,0,IF(AD$6="System",AD$36*'Basin Allocations'!$J$7*$D$27,IF(AD$6="SJ",AD$11*'Basin Allocations'!$J$7,0)))*$C41*IF(AD$1="FR",$C$43,1)</f>
        <v>0</v>
      </c>
      <c r="AE46" s="115">
        <f>IF(AE18&lt;1,0,IF(AE$6="System",AE$36*'Basin Allocations'!$J$7*$D$27,IF(AE$6="SJ",AE$11*'Basin Allocations'!$J$7,0)))*$C41*IF(AE$1="FR",$C$43,1)</f>
        <v>0</v>
      </c>
      <c r="AF46" s="115">
        <f>IF(AF18&lt;1,0,IF(AF$6="System",AF$36*'Basin Allocations'!$J$7*$D$27,IF(AF$6="SJ",AF$11*'Basin Allocations'!$J$7,0)))*$C41*IF(AF$1="FR",$C$43,1)</f>
        <v>0</v>
      </c>
      <c r="AG46" s="115">
        <f>IF(AG18&lt;1,0,IF(AG$6="System",AG$36*'Basin Allocations'!$J$7*$D$27,IF(AG$6="SJ",AG$11*'Basin Allocations'!$J$7,0)))*$C41*IF(AG$1="FR",$C$43,1)</f>
        <v>0</v>
      </c>
      <c r="AH46" s="115">
        <f>IF(AH18&lt;1,0,IF(AH$6="System",AH$36*'Basin Allocations'!$J$7*$D$27,IF(AH$6="SJ",AH$11*'Basin Allocations'!$J$7,0)))*$C41*IF(AH$1="FR",$C$43,1)</f>
        <v>0</v>
      </c>
      <c r="AI46" s="115">
        <f>IF(AI18&lt;1,0,IF(AI$6="System",AI$36*'Basin Allocations'!$J$7*$D$27,IF(AI$6="SJ",AI$11*'Basin Allocations'!$J$7,0)))*$C41*IF(AI$1="FR",$C$43,1)</f>
        <v>217.40160824981382</v>
      </c>
      <c r="AJ46" s="115">
        <f>IF(AJ18&lt;1,0,IF(AJ$6="System",AJ$36*'Basin Allocations'!$J$7*$D$27,IF(AJ$6="SJ",AJ$11*'Basin Allocations'!$J$7,0)))*$C41*IF(AJ$1="FR",$C$43,1)</f>
        <v>0</v>
      </c>
      <c r="AK46" s="115">
        <f>IF(AK18&lt;1,0,IF(AK$6="System",AK$36*'Basin Allocations'!$J$7*$D$27,IF(AK$6="SJ",AK$11*'Basin Allocations'!$J$7,0)))*$C41*IF(AK$1="FR",$C$43,1)</f>
        <v>0</v>
      </c>
      <c r="AL46" s="115">
        <f>IF(AL18&lt;1,0,IF(AL$6="System",AL$36*'Basin Allocations'!$J$7*$D$27,IF(AL$6="SJ",AL$11*'Basin Allocations'!$J$7,0)))*$C41*IF(AL$1="FR",$C$43,1)</f>
        <v>1846.1282962875168</v>
      </c>
      <c r="AM46" s="115">
        <f>IF(AM18&lt;1,0,IF(AM$6="System",AM$36*'Basin Allocations'!$J$7*$D$27,IF(AM$6="SJ",AM$11*'Basin Allocations'!$J$7,0)))*$C41*IF(AM$1="FR",$C$43,1)</f>
        <v>0</v>
      </c>
      <c r="AN46" s="115">
        <f>IF(AN18&lt;1,0,IF(AN$6="System",AN$36*'Basin Allocations'!$J$7*$D$27,IF(AN$6="SJ",AN$11*'Basin Allocations'!$J$7,0)))*$C41*IF(AN$1="FR",$C$43,1)</f>
        <v>0</v>
      </c>
      <c r="AO46" s="115">
        <f>IF(AO18&lt;1,0,IF(AO$6="System",AO$36*'Basin Allocations'!$J$7*$D$27,IF(AO$6="SJ",AO$11*'Basin Allocations'!$J$7,0)))*$C41*IF(AO$1="FR",$C$43,1)</f>
        <v>0</v>
      </c>
      <c r="AP46" s="115">
        <f>IF(AP18&lt;1,0,IF(AP$6="System",AP$36*'Basin Allocations'!$J$7*$D$27,IF(AP$6="SJ",AP$11*'Basin Allocations'!$J$7,0)))*$C41*IF(AP$1="FR",$C$43,1)</f>
        <v>177.23134336777872</v>
      </c>
      <c r="AQ46" s="115">
        <f>IF(AQ18&lt;1,0,IF(AQ$6="System",AQ$36*'Basin Allocations'!$J$7*$D$27,IF(AQ$6="SJ",AQ$11*'Basin Allocations'!$J$7,0)))*$C41*IF(AQ$1="FR",$C$43,1)</f>
        <v>0</v>
      </c>
      <c r="AR46" s="115">
        <f>IF(AR18&lt;1,0,IF(AR$6="System",AR$36*'Basin Allocations'!$J$7*$D$27,IF(AR$6="SJ",AR$11*'Basin Allocations'!$J$7,0)))*$C41*IF(AR$1="FR",$C$43,1)</f>
        <v>1190.2492239337582</v>
      </c>
      <c r="AS46" s="115">
        <f>IF(AS18&lt;1,0,IF(AS$6="System",AS$36*'Basin Allocations'!$J$7*$D$27,IF(AS$6="SJ",AS$11*'Basin Allocations'!$J$7,0)))*$C41*IF(AS$1="FR",$C$43,1)</f>
        <v>276.44383573440717</v>
      </c>
      <c r="AT46" s="115">
        <f>IF(AT18&lt;1,0,IF(AT$6="System",AT$36*'Basin Allocations'!$J$7*$D$27,IF(AT$6="SJ",AT$11*'Basin Allocations'!$J$7,0)))*$C41*IF(AT$1="FR",$C$43,1)</f>
        <v>0</v>
      </c>
      <c r="AU46" s="115">
        <f>IF(AU18&lt;1,0,IF(AU$6="System",AU$36*'Basin Allocations'!$J$7*$D$27,IF(AU$6="SJ",AU$11*'Basin Allocations'!$J$7,0)))*$C41*IF(AU$1="FR",$C$43,1)</f>
        <v>0</v>
      </c>
      <c r="AV46" s="115">
        <f>IF(AV18&lt;1,0,IF(AV$6="System",AV$36*'Basin Allocations'!$J$7*$D$27,IF(AV$6="SJ",AV$11*'Basin Allocations'!$J$7,0)))*$C41*IF(AV$1="FR",$C$43,1)</f>
        <v>0</v>
      </c>
      <c r="AW46" s="115">
        <f>IF(AW18&lt;1,0,IF(AW$6="System",AW$36*'Basin Allocations'!$J$7*$D$27,IF(AW$6="SJ",AW$11*'Basin Allocations'!$J$7,0)))*$C41*IF(AW$1="FR",$C$43,1)</f>
        <v>0</v>
      </c>
      <c r="AX46" s="115">
        <f>IF(AX18&lt;1,0,IF(AX$6="System",AX$36*'Basin Allocations'!$J$7*$D$27,IF(AX$6="SJ",AX$11*'Basin Allocations'!$J$7,0)))*$C41*IF(AX$1="FR",$C$43,1)</f>
        <v>0</v>
      </c>
      <c r="AY46" s="115">
        <f>IF(AY18&lt;1,0,IF(AY$6="System",AY$36*'Basin Allocations'!$J$7*$D$27,IF(AY$6="SJ",AY$11*'Basin Allocations'!$J$7,0)))*$C41*IF(AY$1="FR",$C$43,1)</f>
        <v>691.37954920673963</v>
      </c>
      <c r="AZ46" s="115">
        <f>IF(AZ18&lt;1,0,IF(AZ$6="System",AZ$36*'Basin Allocations'!$J$7*$D$27,IF(AZ$6="SJ",AZ$11*'Basin Allocations'!$J$7,0)))*$C41*IF(AZ$1="FR",$C$43,1)</f>
        <v>232.15034863334091</v>
      </c>
      <c r="BA46" s="115">
        <f>IF(BA18&lt;1,0,IF(BA$6="System",BA$36*'Basin Allocations'!$J$7*$D$27,IF(BA$6="SJ",BA$11*'Basin Allocations'!$J$7,0)))*$C41*IF(BA$1="FR",$C$43,1)</f>
        <v>124.71741868175465</v>
      </c>
      <c r="BB46" s="115">
        <f>IF(BB18&lt;1,0,IF(BB$6="System",BB$36*'Basin Allocations'!$J$7*$D$27,IF(BB$6="SJ",BB$11*'Basin Allocations'!$J$7,0)))*$C41*IF(BB$1="FR",$C$43,1)</f>
        <v>0</v>
      </c>
      <c r="BC46" s="115">
        <f>IF(BC18&lt;1,0,IF(BC$6="System",BC$36*'Basin Allocations'!$J$7*$D$27,IF(BC$6="SJ",BC$11*'Basin Allocations'!$J$7,0)))*$C41*IF(BC$1="FR",$C$43,1)</f>
        <v>0</v>
      </c>
      <c r="BD46" s="115">
        <f>IF(BD18&lt;1,0,IF(BD$6="System",BD$36*'Basin Allocations'!$J$7*$D$27,IF(BD$6="SJ",BD$11*'Basin Allocations'!$J$7,0)))*$C41*IF(BD$1="FR",$C$43,1)</f>
        <v>551.96514010771591</v>
      </c>
      <c r="BE46" s="115">
        <f>IF(BE18&lt;1,0,IF(BE$6="System",BE$36*'Basin Allocations'!$J$7*$D$27,IF(BE$6="SJ",BE$11*'Basin Allocations'!$J$7,0)))*$C41*IF(BE$1="FR",$C$43,1)</f>
        <v>0</v>
      </c>
      <c r="BF46" s="115">
        <f>IF(BF18&lt;1,0,IF(BF$6="System",BF$36*'Basin Allocations'!$J$7*$D$27,IF(BF$6="SJ",BF$11*'Basin Allocations'!$J$7,0)))*$C41*IF(BF$1="FR",$C$43,1)</f>
        <v>0</v>
      </c>
      <c r="BG46" s="115">
        <f>IF(BG18&lt;1,0,IF(BG$6="System",BG$36*'Basin Allocations'!$J$7*$D$27,IF(BG$6="SJ",BG$11*'Basin Allocations'!$J$7,0)))*$C41*IF(BG$1="FR",$C$43,1)</f>
        <v>2501.6451188774695</v>
      </c>
      <c r="BH46" s="115">
        <f>IF(BH18&lt;1,0,IF(BH$6="System",BH$36*'Basin Allocations'!$J$7*$D$27,IF(BH$6="SJ",BH$11*'Basin Allocations'!$J$7,0)))*$C41*IF(BH$1="FR",$C$43,1)</f>
        <v>394.91976533486735</v>
      </c>
      <c r="BI46" s="115">
        <f>IF(BI18&lt;1,0,IF(BI$6="System",BI$36*'Basin Allocations'!$J$7*$D$27,IF(BI$6="SJ",BI$11*'Basin Allocations'!$J$7,0)))*$C41*IF(BI$1="FR",$C$43,1)</f>
        <v>0.10349993251597898</v>
      </c>
      <c r="BJ46" s="115">
        <f>IF(BJ18&lt;1,0,IF(BJ$6="System",BJ$36*'Basin Allocations'!$J$7*$D$27,IF(BJ$6="SJ",BJ$11*'Basin Allocations'!$J$7,0)))*$C41*IF(BJ$1="FR",$C$43,1)</f>
        <v>5133.9569493532763</v>
      </c>
      <c r="BK46" s="115">
        <f>IF(BK18&lt;1,0,IF(BK$6="System",BK$36*'Basin Allocations'!$J$7*$D$27,IF(BK$6="SJ",BK$11*'Basin Allocations'!$J$7,0)))*$C41*IF(BK$1="FR",$C$43,1)</f>
        <v>0</v>
      </c>
      <c r="BL46" s="115">
        <f>IF(BL18&lt;1,0,IF(BL$6="System",BL$36*'Basin Allocations'!$J$7*$D$27,IF(BL$6="SJ",BL$11*'Basin Allocations'!$J$7,0)))*$C41*IF(BL$1="FR",$C$43,1)</f>
        <v>24090.105685426905</v>
      </c>
      <c r="BM46" s="115">
        <f>IF(BM18&lt;1,0,IF(BM$6="System",BM$36*'Basin Allocations'!$J$7*$D$27,IF(BM$6="SJ",BM$11*'Basin Allocations'!$J$7,0)))*$C41*IF(BM$1="FR",$C$43,1)</f>
        <v>0</v>
      </c>
      <c r="BN46" s="115">
        <f>IF(BN18&lt;1,0,IF(BN$6="System",BN$36*'Basin Allocations'!$J$7*$D$27,IF(BN$6="SJ",BN$11*'Basin Allocations'!$J$7,0)))*$C41*IF(BN$1="FR",$C$43,1)</f>
        <v>185.36837913611831</v>
      </c>
      <c r="BO46" s="115">
        <f>IF(BO18&lt;1,0,IF(BO$6="System",BO$36*'Basin Allocations'!$J$7*$D$27,IF(BO$6="SJ",BO$11*'Basin Allocations'!$J$7,0)))*$C41*IF(BO$1="FR",$C$43,1)</f>
        <v>3638.1261278691773</v>
      </c>
      <c r="BP46" s="115">
        <f>IF(BP18&lt;1,0,IF(BP$6="System",BP$36*'Basin Allocations'!$J$7*$D$27,IF(BP$6="SJ",BP$11*'Basin Allocations'!$J$7,0)))*$C41*IF(BP$1="FR",$C$43,1)</f>
        <v>0</v>
      </c>
      <c r="BQ46" s="115">
        <f>IF(BQ18&lt;1,0,IF(BQ$6="System",BQ$36*'Basin Allocations'!$J$7*$D$27,IF(BQ$6="SJ",BQ$11*'Basin Allocations'!$J$7,0)))*$C41*IF(BQ$1="FR",$C$43,1)</f>
        <v>0</v>
      </c>
      <c r="BR46" s="115">
        <f>IF(BR18&lt;1,0,IF(BR$6="System",BR$36*'Basin Allocations'!$J$7*$D$27,IF(BR$6="SJ",BR$11*'Basin Allocations'!$J$7,0)))*$C41*IF(BR$1="FR",$C$43,1)</f>
        <v>17214.057026091363</v>
      </c>
      <c r="BS46" s="115">
        <f>IF(BS18&lt;1,0,IF(BS$6="System",BS$36*'Basin Allocations'!$J$7*$D$27,IF(BS$6="SJ",BS$11*'Basin Allocations'!$J$7,0)))*$C41*IF(BS$1="FR",$C$43,1)</f>
        <v>0</v>
      </c>
      <c r="BT46" s="115">
        <f>IF(BT18&lt;1,0,IF(BT$6="System",BT$36*'Basin Allocations'!$J$7*$D$27,IF(BT$6="SJ",BT$11*'Basin Allocations'!$J$7,0)))*$C41*IF(BT$1="FR",$C$43,1)</f>
        <v>0</v>
      </c>
      <c r="BU46" s="115">
        <f>IF(BU18&lt;1,0,IF(BU$6="System",BU$36*'Basin Allocations'!$J$7*$D$27,IF(BU$6="SJ",BU$11*'Basin Allocations'!$J$7,0)))*$C41*IF(BU$1="FR",$C$43,1)</f>
        <v>0</v>
      </c>
      <c r="BV46" s="115">
        <f>IF(BV18&lt;1,0,IF(BV$6="System",BV$36*'Basin Allocations'!$J$7*$D$27,IF(BV$6="SJ",BV$11*'Basin Allocations'!$J$7,0)))*$C41*IF(BV$1="FR",$C$43,1)</f>
        <v>0</v>
      </c>
      <c r="BW46" s="115">
        <f>IF(BW18&lt;1,0,IF(BW$6="System",BW$36*'Basin Allocations'!$J$7*$D$27,IF(BW$6="SJ",BW$11*'Basin Allocations'!$J$7,0)))*$C41*IF(BW$1="FR",$C$43,1)</f>
        <v>0</v>
      </c>
      <c r="BX46" s="115">
        <f>IF(BX18&lt;1,0,IF(BX$6="System",BX$36*'Basin Allocations'!$J$7*$D$27,IF(BX$6="SJ",BX$11*'Basin Allocations'!$J$7,0)))*$C41*IF(BX$1="FR",$C$43,1)</f>
        <v>0</v>
      </c>
      <c r="BY46" s="115">
        <f>IF(BY18&lt;1,0,IF(BY$6="System",BY$36*'Basin Allocations'!$J$7*$D$27,IF(BY$6="SJ",BY$11*'Basin Allocations'!$J$7,0)))*$C41*IF(BY$1="FR",$C$43,1)</f>
        <v>0</v>
      </c>
      <c r="BZ46" s="78">
        <f t="shared" si="26"/>
        <v>70427.387297942638</v>
      </c>
      <c r="CA46" s="76"/>
      <c r="CB46" s="115">
        <f>IF(CB18&lt;1,0,IF(CB$6="System",CB$36*'Basin Allocations'!$J$7*$D$27,IF(CB$6="SJ",CB$11*'Basin Allocations'!$J$7,0)))*$C41</f>
        <v>2533.8253484743059</v>
      </c>
      <c r="CC46" s="115">
        <f>IF(CC18&lt;1,0,IF(CC$6="System",CC$36*'Basin Allocations'!$J$7*$D$27,IF(CC$6="SJ",CC$11*'Basin Allocations'!$J$7,0)))*$C41</f>
        <v>907.90592208284306</v>
      </c>
      <c r="CD46" s="115">
        <f>IF(CD18&lt;1,0,IF(CD$6="System",CD$36*'Basin Allocations'!$J$7*$D$27,IF(CD$6="SJ",CD$11*'Basin Allocations'!$J$7,0)))*$C41</f>
        <v>2752.0640257133769</v>
      </c>
      <c r="CE46" s="115">
        <f>IF(CE18&lt;1,0,IF(CE$6="System",CE$36*'Basin Allocations'!$J$7*$D$27,IF(CE$6="SJ",CE$11*'Basin Allocations'!$J$7,0)))*$C41</f>
        <v>1407.6807491523923</v>
      </c>
      <c r="CF46" s="115">
        <f>IF(CF18&lt;1,0,IF(CF$6="System",CF$36*'Basin Allocations'!$J$7*$D$27,IF(CF$6="SJ",CF$11*'Basin Allocations'!$J$7,0)))*$C41</f>
        <v>1126.1445993219136</v>
      </c>
      <c r="CG46" s="115">
        <f>IF(CG18&lt;1,0,IF(CG$6="System",CG$36*'Basin Allocations'!$J$7*$D$27,IF(CG$6="SJ",CG$11*'Basin Allocations'!$J$7,0)))*$C41</f>
        <v>1407.6807491523923</v>
      </c>
      <c r="CH46" s="115">
        <f>IF(CH18&lt;1,0,IF(CH$6="System",CH$36*'Basin Allocations'!$J$7*$D$27,IF(CH$6="SJ",CH$11*'Basin Allocations'!$J$7,0)))*$C41</f>
        <v>0</v>
      </c>
      <c r="CI46" s="115">
        <f>IF(CI18&lt;1,0,IF(CI$6="System",CI$36*'Basin Allocations'!$J$7*$D$27,IF(CI$6="SJ",CI$11*'Basin Allocations'!$J$7,0)))*$C41</f>
        <v>493.66900870990071</v>
      </c>
      <c r="CJ46" s="115">
        <f>IF(CJ18&lt;1,0,IF(CJ$6="System",CJ$36*'Basin Allocations'!$J$7*$D$27,IF(CJ$6="SJ",CJ$11*'Basin Allocations'!$J$7,0)))*$C41</f>
        <v>0</v>
      </c>
      <c r="CK46" s="115">
        <f>IF(CK18&lt;1,0,IF(CK$6="System",CK$36*'Basin Allocations'!$J$7*$D$27,IF(CK$6="SJ",CK$11*'Basin Allocations'!$J$7,0)))*$C41</f>
        <v>394.91976533486735</v>
      </c>
      <c r="CL46" s="115">
        <f>IF(CL18&lt;1,0,IF(CL$6="System",CL$36*'Basin Allocations'!$J$7*$D$27,IF(CL$6="SJ",CL$11*'Basin Allocations'!$J$7,0)))*$C41</f>
        <v>15.789069796868109</v>
      </c>
      <c r="CM46" s="115">
        <f>IF(CM18&lt;1,0,IF(CM$6="System",CM$36*'Basin Allocations'!$J$7*$D$27,IF(CM$6="SJ",CM$11*'Basin Allocations'!$J$7,0)))*$C41</f>
        <v>0</v>
      </c>
      <c r="CN46" s="115">
        <f>IF(CN18&lt;1,0,IF(CN$6="System",CN$36*'Basin Allocations'!$J$7*$D$27,IF(CN$6="SJ",CN$11*'Basin Allocations'!$J$7,0)))*$C41</f>
        <v>0</v>
      </c>
      <c r="CO46" s="115">
        <f>IF(CO18&lt;1,0,IF(CO$6="System",CO$36*'Basin Allocations'!$J$7*$D$27,IF(CO$6="SJ",CO$11*'Basin Allocations'!$J$7,0)))*$C41</f>
        <v>0</v>
      </c>
      <c r="CP46" s="115">
        <f>IF(CP18&lt;1,0,IF(CP$6="System",CP$36*'Basin Allocations'!$J$7*$D$27,IF(CP$6="SJ",CP$11*'Basin Allocations'!$J$7,0)))*$C41</f>
        <v>0</v>
      </c>
      <c r="CQ46" s="115">
        <f>IF(CQ18&lt;1,0,IF(CQ$6="System",CQ$36*'Basin Allocations'!$J$7*$D$27,IF(CQ$6="SJ",CQ$11*'Basin Allocations'!$J$7,0)))*$C41</f>
        <v>376.38980567106137</v>
      </c>
      <c r="CR46" s="115">
        <f>IF(CR18&lt;1,0,IF(CR$6="System",CR$36*'Basin Allocations'!$J$7*$D$27,IF(CR$6="SJ",CR$11*'Basin Allocations'!$J$7,0)))*$C41</f>
        <v>0</v>
      </c>
      <c r="CS46" s="115">
        <f>IF(CS18&lt;1,0,IF(CS$6="System",CS$36*'Basin Allocations'!$J$7*$D$27,IF(CS$6="SJ",CS$11*'Basin Allocations'!$J$7,0)))*$C41</f>
        <v>0</v>
      </c>
      <c r="CT46" s="115">
        <f>IF(CT18&lt;1,0,IF(CT$6="System",CT$36*'Basin Allocations'!$J$7*$D$27,IF(CT$6="SJ",CT$11*'Basin Allocations'!$J$7,0)))*$C41</f>
        <v>0</v>
      </c>
      <c r="CU46" s="115">
        <f>IF(CU18&lt;1,0,IF(CU$6="System",CU$36*'Basin Allocations'!$J$7*$D$27,IF(CU$6="SJ",CU$11*'Basin Allocations'!$J$7,0)))*$C41</f>
        <v>0</v>
      </c>
      <c r="CV46" s="115">
        <f>IF(CV18&lt;1,0,IF(CV$6="System",CV$36*'Basin Allocations'!$J$7*$D$27,IF(CV$6="SJ",CV$11*'Basin Allocations'!$J$7,0)))*$C41</f>
        <v>0</v>
      </c>
      <c r="CW46" s="115">
        <f>IF(CW18&lt;1,0,IF(CW$6="System",CW$36*'Basin Allocations'!$J$7*$D$27,IF(CW$6="SJ",CW$11*'Basin Allocations'!$J$7,0)))*$C41</f>
        <v>0</v>
      </c>
      <c r="CX46" s="115">
        <f>IF(CX18&lt;1,0,IF(CX$6="System",CX$36*'Basin Allocations'!$J$7*$D$27,IF(CX$6="SJ",CX$11*'Basin Allocations'!$J$7,0)))*$C41</f>
        <v>0</v>
      </c>
      <c r="CY46" s="72">
        <f t="shared" ref="CY46:CY53" si="27">SUM(CB46:CX46)</f>
        <v>11416.069043409923</v>
      </c>
      <c r="CZ46" s="76"/>
      <c r="DA46" s="72">
        <f>BZ46+CY46</f>
        <v>81843.456341352561</v>
      </c>
      <c r="DB46" s="74"/>
      <c r="DC46" s="117">
        <f>MIN(MIN($CB46:$CX46),MIN($D46:$BY46))</f>
        <v>0</v>
      </c>
      <c r="DD46" s="117">
        <f>MAX(MAX($CB46:$CX46),MAX($D46:$BY46))</f>
        <v>24090.105685426905</v>
      </c>
      <c r="DE46" s="69"/>
      <c r="DF46" s="117"/>
      <c r="DG46" s="143" t="s">
        <v>589</v>
      </c>
      <c r="DH46" s="132">
        <f>SUMIF(D16:CX16,"&gt;1",D81:CX81)-BZ81</f>
        <v>2047724.3401759523</v>
      </c>
      <c r="DI46" s="89"/>
      <c r="DK46" s="89" t="s">
        <v>81</v>
      </c>
      <c r="DL46" s="149">
        <f>DH5+DH14+DH22+DH30</f>
        <v>428553.0632156647</v>
      </c>
      <c r="DM46"/>
    </row>
    <row r="47" spans="1:139" x14ac:dyDescent="0.25">
      <c r="A47" s="69" t="s">
        <v>547</v>
      </c>
      <c r="B47" s="70"/>
      <c r="C47" s="176"/>
      <c r="D47" s="115">
        <f>IF(D18&lt;1,0,IF(D$6="System",D$36*'Basin Allocations'!$J$8*$D$27,IF(D$6="SJ",(D$11-D46-D45),0)))*$C42/IF(D$6="SJ",$C42,1)*IF(D$1="FR",$C$43,1)</f>
        <v>0</v>
      </c>
      <c r="E47" s="115">
        <f>IF(E18&lt;1,0,IF(E$6="System",E$36*'Basin Allocations'!$J$8*$D$27,IF(E$6="SJ",(E$11-E46-E45),0)))*$C42/IF(E$6="SJ",$C42,1)*IF(E$1="FR",$C$43,1)</f>
        <v>18725.765184440377</v>
      </c>
      <c r="F47" s="115">
        <f>IF(F18&lt;1,0,IF(F$6="System",F$36*'Basin Allocations'!$J$8*$D$27,IF(F$6="SJ",(F$11-F46-F45),0)))*$C42/IF(F$6="SJ",$C42,1)*IF(F$1="FR",$C$43,1)</f>
        <v>0</v>
      </c>
      <c r="G47" s="115">
        <f>IF(G18&lt;1,0,IF(G$6="System",G$36*'Basin Allocations'!$J$8*$D$27,IF(G$6="SJ",(G$11-G46-G45),0)))*$C42/IF(G$6="SJ",$C42,1)*IF(G$1="FR",$C$43,1)</f>
        <v>10968.526705311171</v>
      </c>
      <c r="H47" s="115">
        <f>IF(H18&lt;1,0,IF(H$6="System",H$36*'Basin Allocations'!$J$8*$D$27,IF(H$6="SJ",(H$11-H46-H45),0)))*$C42/IF(H$6="SJ",$C42,1)*IF(H$1="FR",$C$43,1)</f>
        <v>40513.61525012082</v>
      </c>
      <c r="I47" s="115">
        <f>IF(I18&lt;1,0,IF(I$6="System",I$36*'Basin Allocations'!$J$8*$D$27,IF(I$6="SJ",(I$11-I46-I45),0)))*$C42/IF(I$6="SJ",$C42,1)*IF(I$1="FR",$C$43,1)</f>
        <v>3657.4024729902239</v>
      </c>
      <c r="J47" s="115">
        <f>IF(J18&lt;1,0,IF(J$6="System",J$36*'Basin Allocations'!$J$8*$D$27,IF(J$6="SJ",(J$11-J46-J45),0)))*$C42/IF(J$6="SJ",$C42,1)*IF(J$1="FR",$C$43,1)</f>
        <v>1836.0626638141125</v>
      </c>
      <c r="K47" s="115">
        <f>IF(K18&lt;1,0,IF(K$6="System",K$36*'Basin Allocations'!$J$8*$D$27,IF(K$6="SJ",(K$11-K46-K45),0)))*$C42/IF(K$6="SJ",$C42,1)*IF(K$1="FR",$C$43,1)</f>
        <v>8101.864216836947</v>
      </c>
      <c r="L47" s="115">
        <f>IF(L18&lt;1,0,IF(L$6="System",L$36*'Basin Allocations'!$J$8*$D$27,IF(L$6="SJ",(L$11-L46-L45),0)))*$C42/IF(L$6="SJ",$C42,1)*IF(L$1="FR",$C$43,1)</f>
        <v>0</v>
      </c>
      <c r="M47" s="115">
        <f>IF(M18&lt;1,0,IF(M$6="System",M$36*'Basin Allocations'!$J$8*$D$27,IF(M$6="SJ",(M$11-M46-M45),0)))*$C42/IF(M$6="SJ",$C42,1)*IF(M$1="FR",$C$43,1)</f>
        <v>38855.962757713794</v>
      </c>
      <c r="N47" s="115">
        <f>IF(N18&lt;1,0,IF(N$6="System",N$36*'Basin Allocations'!$J$8*$D$27,IF(N$6="SJ",(N$11-N46-N45),0)))*$C42/IF(N$6="SJ",$C42,1)*IF(N$1="FR",$C$43,1)</f>
        <v>0</v>
      </c>
      <c r="O47" s="115">
        <f>IF(O18&lt;1,0,IF(O$6="System",O$36*'Basin Allocations'!$J$8*$D$27,IF(O$6="SJ",(O$11-O46-O45),0)))*$C42/IF(O$6="SJ",$C42,1)*IF(O$1="FR",$C$43,1)</f>
        <v>1293.1573990378045</v>
      </c>
      <c r="P47" s="115">
        <f>IF(P18&lt;1,0,IF(P$6="System",P$36*'Basin Allocations'!$J$8*$D$27,IF(P$6="SJ",(P$11-P46-P45),0)))*$C42/IF(P$6="SJ",$C42,1)*IF(P$1="FR",$C$43,1)</f>
        <v>0</v>
      </c>
      <c r="Q47" s="115">
        <f>IF(Q18&lt;1,0,IF(Q$6="System",Q$36*'Basin Allocations'!$J$8*$D$27,IF(Q$6="SJ",(Q$11-Q46-Q45),0)))*$C42/IF(Q$6="SJ",$C42,1)*IF(Q$1="FR",$C$43,1)</f>
        <v>834.29509615342204</v>
      </c>
      <c r="R47" s="115">
        <f>IF(R18&lt;1,0,IF(R$6="System",R$36*'Basin Allocations'!$J$8*$D$27,IF(R$6="SJ",(R$11-R46-R45),0)))*$C42/IF(R$6="SJ",$C42,1)*IF(R$1="FR",$C$43,1)</f>
        <v>0</v>
      </c>
      <c r="S47" s="115">
        <f>IF(S18&lt;1,0,IF(S$6="System",S$36*'Basin Allocations'!$J$8*$D$27,IF(S$6="SJ",(S$11-S46-S45),0)))*$C42/IF(S$6="SJ",$C42,1)*IF(S$1="FR",$C$43,1)</f>
        <v>0</v>
      </c>
      <c r="T47" s="115">
        <f>IF(T18&lt;1,0,IF(T$6="System",T$36*'Basin Allocations'!$J$8*$D$27,IF(T$6="SJ",(T$11-T46-T45),0)))*$C42/IF(T$6="SJ",$C42,1)*IF(T$1="FR",$C$43,1)</f>
        <v>0</v>
      </c>
      <c r="U47" s="115">
        <f>IF(U18&lt;1,0,IF(U$6="System",U$36*'Basin Allocations'!$J$8*$D$27,IF(U$6="SJ",(U$11-U46-U45),0)))*$C42/IF(U$6="SJ",$C42,1)*IF(U$1="FR",$C$43,1)</f>
        <v>0</v>
      </c>
      <c r="V47" s="115">
        <f>IF(V18&lt;1,0,IF(V$6="System",V$36*'Basin Allocations'!$J$8*$D$27,IF(V$6="SJ",(V$11-V46-V45),0)))*$C42/IF(V$6="SJ",$C42,1)*IF(V$1="FR",$C$43,1)</f>
        <v>0</v>
      </c>
      <c r="W47" s="115">
        <f>IF(W18&lt;1,0,IF(W$6="System",W$36*'Basin Allocations'!$J$8*$D$27,IF(W$6="SJ",(W$11-W46-W45),0)))*$C42/IF(W$6="SJ",$C42,1)*IF(W$1="FR",$C$43,1)</f>
        <v>7778.5748670774956</v>
      </c>
      <c r="X47" s="115">
        <f>IF(X18&lt;1,0,IF(X$6="System",X$36*'Basin Allocations'!$J$8*$D$27,IF(X$6="SJ",(X$11-X46-X45),0)))*$C42/IF(X$6="SJ",$C42,1)*IF(X$1="FR",$C$43,1)</f>
        <v>487.69455988380196</v>
      </c>
      <c r="Y47" s="115">
        <f>IF(Y18&lt;1,0,IF(Y$6="System",Y$36*'Basin Allocations'!$J$8*$D$27,IF(Y$6="SJ",(Y$11-Y46-Y45),0)))*$C42/IF(Y$6="SJ",$C42,1)*IF(Y$1="FR",$C$43,1)</f>
        <v>0</v>
      </c>
      <c r="Z47" s="115">
        <f>IF(Z18&lt;1,0,IF(Z$6="System",Z$36*'Basin Allocations'!$J$8*$D$27,IF(Z$6="SJ",(Z$11-Z46-Z45),0)))*$C42/IF(Z$6="SJ",$C42,1)*IF(Z$1="FR",$C$43,1)</f>
        <v>8739.8545844836826</v>
      </c>
      <c r="AA47" s="115">
        <f>IF(AA18&lt;1,0,IF(AA$6="System",AA$36*'Basin Allocations'!$J$8*$D$27,IF(AA$6="SJ",(AA$11-AA46-AA45),0)))*$C42/IF(AA$6="SJ",$C42,1)*IF(AA$1="FR",$C$43,1)</f>
        <v>0</v>
      </c>
      <c r="AB47" s="115">
        <f>IF(AB18&lt;1,0,IF(AB$6="System",AB$36*'Basin Allocations'!$J$8*$D$27,IF(AB$6="SJ",(AB$11-AB46-AB45),0)))*$C42/IF(AB$6="SJ",$C42,1)*IF(AB$1="FR",$C$43,1)</f>
        <v>0</v>
      </c>
      <c r="AC47" s="115">
        <f>IF(AC18&lt;1,0,IF(AC$6="System",AC$36*'Basin Allocations'!$J$8*$D$27,IF(AC$6="SJ",(AC$11-AC46-AC45),0)))*$C42/IF(AC$6="SJ",$C42,1)*IF(AC$1="FR",$C$43,1)</f>
        <v>0</v>
      </c>
      <c r="AD47" s="115">
        <f>IF(AD18&lt;1,0,IF(AD$6="System",AD$36*'Basin Allocations'!$J$8*$D$27,IF(AD$6="SJ",(AD$11-AD46-AD45),0)))*$C42/IF(AD$6="SJ",$C42,1)*IF(AD$1="FR",$C$43,1)</f>
        <v>0</v>
      </c>
      <c r="AE47" s="115">
        <f>IF(AE18&lt;1,0,IF(AE$6="System",AE$36*'Basin Allocations'!$J$8*$D$27,IF(AE$6="SJ",(AE$11-AE46-AE45),0)))*$C42/IF(AE$6="SJ",$C42,1)*IF(AE$1="FR",$C$43,1)</f>
        <v>0</v>
      </c>
      <c r="AF47" s="115">
        <f>IF(AF18&lt;1,0,IF(AF$6="System",AF$36*'Basin Allocations'!$J$8*$D$27,IF(AF$6="SJ",(AF$11-AF46-AF45),0)))*$C42/IF(AF$6="SJ",$C42,1)*IF(AF$1="FR",$C$43,1)</f>
        <v>0</v>
      </c>
      <c r="AG47" s="115">
        <f>IF(AG18&lt;1,0,IF(AG$6="System",AG$36*'Basin Allocations'!$J$8*$D$27,IF(AG$6="SJ",(AG$11-AG46-AG45),0)))*$C42/IF(AG$6="SJ",$C42,1)*IF(AG$1="FR",$C$43,1)</f>
        <v>0</v>
      </c>
      <c r="AH47" s="115">
        <f>IF(AH18&lt;1,0,IF(AH$6="System",AH$36*'Basin Allocations'!$J$8*$D$27,IF(AH$6="SJ",(AH$11-AH46-AH45),0)))*$C42/IF(AH$6="SJ",$C42,1)*IF(AH$1="FR",$C$43,1)</f>
        <v>0</v>
      </c>
      <c r="AI47" s="115">
        <f>IF(AI18&lt;1,0,IF(AI$6="System",AI$36*'Basin Allocations'!$J$8*$D$27,IF(AI$6="SJ",(AI$11-AI46-AI45),0)))*$C42/IF(AI$6="SJ",$C42,1)*IF(AI$1="FR",$C$43,1)</f>
        <v>2577.1130139268585</v>
      </c>
      <c r="AJ47" s="115">
        <f>IF(AJ18&lt;1,0,IF(AJ$6="System",AJ$36*'Basin Allocations'!$J$8*$D$27,IF(AJ$6="SJ",(AJ$11-AJ46-AJ45),0)))*$C42/IF(AJ$6="SJ",$C42,1)*IF(AJ$1="FR",$C$43,1)</f>
        <v>0</v>
      </c>
      <c r="AK47" s="115">
        <f>IF(AK18&lt;1,0,IF(AK$6="System",AK$36*'Basin Allocations'!$J$8*$D$27,IF(AK$6="SJ",(AK$11-AK46-AK45),0)))*$C42/IF(AK$6="SJ",$C42,1)*IF(AK$1="FR",$C$43,1)</f>
        <v>0</v>
      </c>
      <c r="AL47" s="115">
        <f>IF(AL18&lt;1,0,IF(AL$6="System",AL$36*'Basin Allocations'!$J$8*$D$27,IF(AL$6="SJ",(AL$11-AL46-AL45),0)))*$C42/IF(AL$6="SJ",$C42,1)*IF(AL$1="FR",$C$43,1)</f>
        <v>21884.296514836162</v>
      </c>
      <c r="AM47" s="115">
        <f>IF(AM18&lt;1,0,IF(AM$6="System",AM$36*'Basin Allocations'!$J$8*$D$27,IF(AM$6="SJ",(AM$11-AM46-AM45),0)))*$C42/IF(AM$6="SJ",$C42,1)*IF(AM$1="FR",$C$43,1)</f>
        <v>0</v>
      </c>
      <c r="AN47" s="115">
        <f>IF(AN18&lt;1,0,IF(AN$6="System",AN$36*'Basin Allocations'!$J$8*$D$27,IF(AN$6="SJ",(AN$11-AN46-AN45),0)))*$C42/IF(AN$6="SJ",$C42,1)*IF(AN$1="FR",$C$43,1)</f>
        <v>0</v>
      </c>
      <c r="AO47" s="115">
        <f>IF(AO18&lt;1,0,IF(AO$6="System",AO$36*'Basin Allocations'!$J$8*$D$27,IF(AO$6="SJ",(AO$11-AO46-AO45),0)))*$C42/IF(AO$6="SJ",$C42,1)*IF(AO$1="FR",$C$43,1)</f>
        <v>0</v>
      </c>
      <c r="AP47" s="115">
        <f>IF(AP18&lt;1,0,IF(AP$6="System",AP$36*'Basin Allocations'!$J$8*$D$27,IF(AP$6="SJ",(AP$11-AP46-AP45),0)))*$C42/IF(AP$6="SJ",$C42,1)*IF(AP$1="FR",$C$43,1)</f>
        <v>2100.9283470617247</v>
      </c>
      <c r="AQ47" s="115">
        <f>IF(AQ18&lt;1,0,IF(AQ$6="System",AQ$36*'Basin Allocations'!$J$8*$D$27,IF(AQ$6="SJ",(AQ$11-AQ46-AQ45),0)))*$C42/IF(AQ$6="SJ",$C42,1)*IF(AQ$1="FR",$C$43,1)</f>
        <v>0</v>
      </c>
      <c r="AR47" s="115">
        <f>IF(AR18&lt;1,0,IF(AR$6="System",AR$36*'Basin Allocations'!$J$8*$D$27,IF(AR$6="SJ",(AR$11-AR46-AR45),0)))*$C42/IF(AR$6="SJ",$C42,1)*IF(AR$1="FR",$C$43,1)</f>
        <v>14109.40236141817</v>
      </c>
      <c r="AS47" s="115">
        <f>IF(AS18&lt;1,0,IF(AS$6="System",AS$36*'Basin Allocations'!$J$8*$D$27,IF(AS$6="SJ",(AS$11-AS46-AS45),0)))*$C42/IF(AS$6="SJ",$C42,1)*IF(AS$1="FR",$C$43,1)</f>
        <v>3277.008907277067</v>
      </c>
      <c r="AT47" s="115">
        <f>IF(AT18&lt;1,0,IF(AT$6="System",AT$36*'Basin Allocations'!$J$8*$D$27,IF(AT$6="SJ",(AT$11-AT46-AT45),0)))*$C42/IF(AT$6="SJ",$C42,1)*IF(AT$1="FR",$C$43,1)</f>
        <v>0</v>
      </c>
      <c r="AU47" s="115">
        <f>IF(AU18&lt;1,0,IF(AU$6="System",AU$36*'Basin Allocations'!$J$8*$D$27,IF(AU$6="SJ",(AU$11-AU46-AU45),0)))*$C42/IF(AU$6="SJ",$C42,1)*IF(AU$1="FR",$C$43,1)</f>
        <v>0</v>
      </c>
      <c r="AV47" s="115">
        <f>IF(AV18&lt;1,0,IF(AV$6="System",AV$36*'Basin Allocations'!$J$8*$D$27,IF(AV$6="SJ",(AV$11-AV46-AV45),0)))*$C42/IF(AV$6="SJ",$C42,1)*IF(AV$1="FR",$C$43,1)</f>
        <v>0</v>
      </c>
      <c r="AW47" s="115">
        <f>IF(AW18&lt;1,0,IF(AW$6="System",AW$36*'Basin Allocations'!$J$8*$D$27,IF(AW$6="SJ",(AW$11-AW46-AW45),0)))*$C42/IF(AW$6="SJ",$C42,1)*IF(AW$1="FR",$C$43,1)</f>
        <v>0</v>
      </c>
      <c r="AX47" s="115">
        <f>IF(AX18&lt;1,0,IF(AX$6="System",AX$36*'Basin Allocations'!$J$8*$D$27,IF(AX$6="SJ",(AX$11-AX46-AX45),0)))*$C42/IF(AX$6="SJ",$C42,1)*IF(AX$1="FR",$C$43,1)</f>
        <v>0</v>
      </c>
      <c r="AY47" s="115">
        <f>IF(AY18&lt;1,0,IF(AY$6="System",AY$36*'Basin Allocations'!$J$8*$D$27,IF(AY$6="SJ",(AY$11-AY46-AY45),0)))*$C42/IF(AY$6="SJ",$C42,1)*IF(AY$1="FR",$C$43,1)</f>
        <v>8195.7224151542068</v>
      </c>
      <c r="AZ47" s="115">
        <f>IF(AZ18&lt;1,0,IF(AZ$6="System",AZ$36*'Basin Allocations'!$J$8*$D$27,IF(AZ$6="SJ",(AZ$11-AZ46-AZ45),0)))*$C42/IF(AZ$6="SJ",$C42,1)*IF(AZ$1="FR",$C$43,1)</f>
        <v>2751.946912753127</v>
      </c>
      <c r="BA47" s="115">
        <f>IF(BA18&lt;1,0,IF(BA$6="System",BA$36*'Basin Allocations'!$J$8*$D$27,IF(BA$6="SJ",(BA$11-BA46-BA45),0)))*$C42/IF(BA$6="SJ",$C42,1)*IF(BA$1="FR",$C$43,1)</f>
        <v>1478.4199865659909</v>
      </c>
      <c r="BB47" s="115">
        <f>IF(BB18&lt;1,0,IF(BB$6="System",BB$36*'Basin Allocations'!$J$8*$D$27,IF(BB$6="SJ",(BB$11-BB46-BB45),0)))*$C42/IF(BB$6="SJ",$C42,1)*IF(BB$1="FR",$C$43,1)</f>
        <v>0</v>
      </c>
      <c r="BC47" s="115">
        <f>IF(BC18&lt;1,0,IF(BC$6="System",BC$36*'Basin Allocations'!$J$8*$D$27,IF(BC$6="SJ",(BC$11-BC46-BC45),0)))*$C42/IF(BC$6="SJ",$C42,1)*IF(BC$1="FR",$C$43,1)</f>
        <v>0</v>
      </c>
      <c r="BD47" s="115">
        <f>IF(BD18&lt;1,0,IF(BD$6="System",BD$36*'Basin Allocations'!$J$8*$D$27,IF(BD$6="SJ",(BD$11-BD46-BD45),0)))*$C42/IF(BD$6="SJ",$C42,1)*IF(BD$1="FR",$C$43,1)</f>
        <v>6543.0819820385323</v>
      </c>
      <c r="BE47" s="115">
        <f>IF(BE18&lt;1,0,IF(BE$6="System",BE$36*'Basin Allocations'!$J$8*$D$27,IF(BE$6="SJ",(BE$11-BE46-BE45),0)))*$C42/IF(BE$6="SJ",$C42,1)*IF(BE$1="FR",$C$43,1)</f>
        <v>0</v>
      </c>
      <c r="BF47" s="115">
        <f>IF(BF18&lt;1,0,IF(BF$6="System",BF$36*'Basin Allocations'!$J$8*$D$27,IF(BF$6="SJ",(BF$11-BF46-BF45),0)))*$C42/IF(BF$6="SJ",$C42,1)*IF(BF$1="FR",$C$43,1)</f>
        <v>0</v>
      </c>
      <c r="BG47" s="115">
        <f>IF(BG18&lt;1,0,IF(BG$6="System",BG$36*'Basin Allocations'!$J$8*$D$27,IF(BG$6="SJ",(BG$11-BG46-BG45),0)))*$C42/IF(BG$6="SJ",$C42,1)*IF(BG$1="FR",$C$43,1)</f>
        <v>29654.896502318075</v>
      </c>
      <c r="BH47" s="115">
        <f>IF(BH18&lt;1,0,IF(BH$6="System",BH$36*'Basin Allocations'!$J$8*$D$27,IF(BH$6="SJ",(BH$11-BH46-BH45),0)))*$C42/IF(BH$6="SJ",$C42,1)*IF(BH$1="FR",$C$43,1)</f>
        <v>4681.4412961100943</v>
      </c>
      <c r="BI47" s="115">
        <f>IF(BI18&lt;1,0,IF(BI$6="System",BI$36*'Basin Allocations'!$J$8*$D$27,IF(BI$6="SJ",(BI$11-BI46-BI45),0)))*$C42/IF(BI$6="SJ",$C42,1)*IF(BI$1="FR",$C$43,1)</f>
        <v>1.2269045531667975</v>
      </c>
      <c r="BJ47" s="115">
        <f>IF(BJ18&lt;1,0,IF(BJ$6="System",BJ$36*'Basin Allocations'!$J$8*$D$27,IF(BJ$6="SJ",(BJ$11-BJ46-BJ45),0)))*$C42/IF(BJ$6="SJ",$C42,1)*IF(BJ$1="FR",$C$43,1)</f>
        <v>60858.73684943124</v>
      </c>
      <c r="BK47" s="115">
        <f>IF(BK18&lt;1,0,IF(BK$6="System",BK$36*'Basin Allocations'!$J$8*$D$27,IF(BK$6="SJ",(BK$11-BK46-BK45),0)))*$C42/IF(BK$6="SJ",$C42,1)*IF(BK$1="FR",$C$43,1)</f>
        <v>0</v>
      </c>
      <c r="BL47" s="115">
        <f>IF(BL18&lt;1,0,IF(BL$6="System",BL$36*'Basin Allocations'!$J$8*$D$27,IF(BL$6="SJ",(BL$11-BL46-BL45),0)))*$C42/IF(BL$6="SJ",$C42,1)*IF(BL$1="FR",$C$43,1)</f>
        <v>285567.91906271584</v>
      </c>
      <c r="BM47" s="115">
        <f>IF(BM18&lt;1,0,IF(BM$6="System",BM$36*'Basin Allocations'!$J$8*$D$27,IF(BM$6="SJ",(BM$11-BM46-BM45),0)))*$C42/IF(BM$6="SJ",$C42,1)*IF(BM$1="FR",$C$43,1)</f>
        <v>0</v>
      </c>
      <c r="BN47" s="115">
        <f>IF(BN18&lt;1,0,IF(BN$6="System",BN$36*'Basin Allocations'!$J$8*$D$27,IF(BN$6="SJ",(BN$11-BN46-BN45),0)))*$C42/IF(BN$6="SJ",$C42,1)*IF(BN$1="FR",$C$43,1)</f>
        <v>2197.3860547217341</v>
      </c>
      <c r="BO47" s="115">
        <f>IF(BO18&lt;1,0,IF(BO$6="System",BO$36*'Basin Allocations'!$J$8*$D$27,IF(BO$6="SJ",(BO$11-BO46-BO45),0)))*$C42/IF(BO$6="SJ",$C42,1)*IF(BO$1="FR",$C$43,1)</f>
        <v>43126.9219483661</v>
      </c>
      <c r="BP47" s="115">
        <f>IF(BP18&lt;1,0,IF(BP$6="System",BP$36*'Basin Allocations'!$J$8*$D$27,IF(BP$6="SJ",(BP$11-BP46-BP45),0)))*$C42/IF(BP$6="SJ",$C42,1)*IF(BP$1="FR",$C$43,1)</f>
        <v>0</v>
      </c>
      <c r="BQ47" s="115">
        <f>IF(BQ18&lt;1,0,IF(BQ$6="System",BQ$36*'Basin Allocations'!$J$8*$D$27,IF(BQ$6="SJ",(BQ$11-BQ46-BQ45),0)))*$C42/IF(BQ$6="SJ",$C42,1)*IF(BQ$1="FR",$C$43,1)</f>
        <v>0</v>
      </c>
      <c r="BR47" s="115">
        <f>IF(BR18&lt;1,0,IF(BR$6="System",BR$36*'Basin Allocations'!$J$8*$D$27,IF(BR$6="SJ",(BR$11-BR46-BR45),0)))*$C42/IF(BR$6="SJ",$C42,1)*IF(BR$1="FR",$C$43,1)</f>
        <v>204058.15183042519</v>
      </c>
      <c r="BS47" s="115">
        <f>IF(BS18&lt;1,0,IF(BS$6="System",BS$36*'Basin Allocations'!$J$8*$D$27,IF(BS$6="SJ",(BS$11-BS46-BS45),0)))*$C42/IF(BS$6="SJ",$C42,1)*IF(BS$1="FR",$C$43,1)</f>
        <v>0</v>
      </c>
      <c r="BT47" s="115">
        <f>IF(BT18&lt;1,0,IF(BT$6="System",BT$36*'Basin Allocations'!$J$8*$D$27,IF(BT$6="SJ",(BT$11-BT46-BT45),0)))*$C42/IF(BT$6="SJ",$C42,1)*IF(BT$1="FR",$C$43,1)</f>
        <v>0</v>
      </c>
      <c r="BU47" s="115">
        <f>IF(BU18&lt;1,0,IF(BU$6="System",BU$36*'Basin Allocations'!$J$8*$D$27,IF(BU$6="SJ",(BU$11-BU46-BU45),0)))*$C42/IF(BU$6="SJ",$C42,1)*IF(BU$1="FR",$C$43,1)</f>
        <v>0</v>
      </c>
      <c r="BV47" s="115">
        <f>IF(BV18&lt;1,0,IF(BV$6="System",BV$36*'Basin Allocations'!$J$8*$D$27,IF(BV$6="SJ",(BV$11-BV46-BV45),0)))*$C42/IF(BV$6="SJ",$C42,1)*IF(BV$1="FR",$C$43,1)</f>
        <v>0</v>
      </c>
      <c r="BW47" s="115">
        <f>IF(BW18&lt;1,0,IF(BW$6="System",BW$36*'Basin Allocations'!$J$8*$D$27,IF(BW$6="SJ",(BW$11-BW46-BW45),0)))*$C42/IF(BW$6="SJ",$C42,1)*IF(BW$1="FR",$C$43,1)</f>
        <v>0</v>
      </c>
      <c r="BX47" s="115">
        <f>IF(BX18&lt;1,0,IF(BX$6="System",BX$36*'Basin Allocations'!$J$8*$D$27,IF(BX$6="SJ",(BX$11-BX46-BX45),0)))*$C42/IF(BX$6="SJ",$C42,1)*IF(BX$1="FR",$C$43,1)</f>
        <v>0</v>
      </c>
      <c r="BY47" s="115">
        <f>IF(BY18&lt;1,0,IF(BY$6="System",BY$36*'Basin Allocations'!$J$8*$D$27,IF(BY$6="SJ",(BY$11-BY46-BY45),0)))*$C42/IF(BY$6="SJ",$C42,1)*IF(BY$1="FR",$C$43,1)</f>
        <v>0</v>
      </c>
      <c r="BZ47" s="78">
        <f t="shared" si="26"/>
        <v>834857.37664753711</v>
      </c>
      <c r="CA47" s="76"/>
      <c r="CB47" s="115">
        <f>IF(CB18&lt;1,0,IF(CB$6="System",CB$36*'Basin Allocations'!$J$8*$D$27,IF(CB$6="SJ",(CB$11-CB46-CB45),0)))*$C42/IF(CB$6="SJ",$C42,1)</f>
        <v>35944.852136843831</v>
      </c>
      <c r="CC47" s="115">
        <f>IF(CC18&lt;1,0,IF(CC$6="System",CC$36*'Basin Allocations'!$J$8*$D$27,IF(CC$6="SJ",(CC$11-CC46-CC45),0)))*$C42/IF(CC$6="SJ",$C42,1)</f>
        <v>12879.555468605166</v>
      </c>
      <c r="CD47" s="115">
        <f>IF(CD18&lt;1,0,IF(CD$6="System",CD$36*'Basin Allocations'!$J$8*$D$27,IF(CD$6="SJ",(CD$11-CD46-CD45),0)))*$C42/IF(CD$6="SJ",$C42,1)</f>
        <v>39040.78650683591</v>
      </c>
      <c r="CE47" s="115">
        <f>IF(CE18&lt;1,0,IF(CE$6="System",CE$36*'Basin Allocations'!$J$8*$D$27,IF(CE$6="SJ",(CE$11-CE46-CE45),0)))*$C42/IF(CE$6="SJ",$C42,1)</f>
        <v>19969.362298246571</v>
      </c>
      <c r="CF47" s="115">
        <f>IF(CF18&lt;1,0,IF(CF$6="System",CF$36*'Basin Allocations'!$J$8*$D$27,IF(CF$6="SJ",(CF$11-CF46-CF45),0)))*$C42/IF(CF$6="SJ",$C42,1)</f>
        <v>15975.489838597254</v>
      </c>
      <c r="CG47" s="115">
        <f>IF(CG18&lt;1,0,IF(CG$6="System",CG$36*'Basin Allocations'!$J$8*$D$27,IF(CG$6="SJ",(CG$11-CG46-CG45),0)))*$C42/IF(CG$6="SJ",$C42,1)</f>
        <v>19969.362298246571</v>
      </c>
      <c r="CH47" s="115">
        <f>IF(CH18&lt;1,0,IF(CH$6="System",CH$36*'Basin Allocations'!$J$8*$D$27,IF(CH$6="SJ",(CH$11-CH46-CH45),0)))*$C42/IF(CH$6="SJ",$C42,1)</f>
        <v>0</v>
      </c>
      <c r="CI47" s="115">
        <f>IF(CI18&lt;1,0,IF(CI$6="System",CI$36*'Basin Allocations'!$J$8*$D$27,IF(CI$6="SJ",(CI$11-CI46-CI45),0)))*$C42/IF(CI$6="SJ",$C42,1)</f>
        <v>5852.030429585132</v>
      </c>
      <c r="CJ47" s="115">
        <f>IF(CJ18&lt;1,0,IF(CJ$6="System",CJ$36*'Basin Allocations'!$J$8*$D$27,IF(CJ$6="SJ",(CJ$11-CJ46-CJ45),0)))*$C42/IF(CJ$6="SJ",$C42,1)</f>
        <v>0</v>
      </c>
      <c r="CK47" s="115">
        <f>IF(CK18&lt;1,0,IF(CK$6="System",CK$36*'Basin Allocations'!$J$8*$D$27,IF(CK$6="SJ",(CK$11-CK46-CK45),0)))*$C42/IF(CK$6="SJ",$C42,1)</f>
        <v>4681.4412961100943</v>
      </c>
      <c r="CL47" s="115">
        <f>IF(CL18&lt;1,0,IF(CL$6="System",CL$36*'Basin Allocations'!$J$8*$D$27,IF(CL$6="SJ",(CL$11-CL46-CL45),0)))*$C42/IF(CL$6="SJ",$C42,1)</f>
        <v>187.16612806539871</v>
      </c>
      <c r="CM47" s="115">
        <f>IF(CM18&lt;1,0,IF(CM$6="System",CM$36*'Basin Allocations'!$J$8*$D$27,IF(CM$6="SJ",(CM$11-CM46-CM45),0)))*$C42/IF(CM$6="SJ",$C42,1)</f>
        <v>0</v>
      </c>
      <c r="CN47" s="115">
        <f>IF(CN18&lt;1,0,IF(CN$6="System",CN$36*'Basin Allocations'!$J$8*$D$27,IF(CN$6="SJ",(CN$11-CN46-CN45),0)))*$C42/IF(CN$6="SJ",$C42,1)</f>
        <v>0</v>
      </c>
      <c r="CO47" s="115">
        <f>IF(CO18&lt;1,0,IF(CO$6="System",CO$36*'Basin Allocations'!$J$8*$D$27,IF(CO$6="SJ",(CO$11-CO46-CO45),0)))*$C42/IF(CO$6="SJ",$C42,1)</f>
        <v>0</v>
      </c>
      <c r="CP47" s="115">
        <f>IF(CP18&lt;1,0,IF(CP$6="System",CP$36*'Basin Allocations'!$J$8*$D$27,IF(CP$6="SJ",(CP$11-CP46-CP45),0)))*$C42/IF(CP$6="SJ",$C42,1)</f>
        <v>0</v>
      </c>
      <c r="CQ47" s="115">
        <f>IF(CQ18&lt;1,0,IF(CQ$6="System",CQ$36*'Basin Allocations'!$J$8*$D$27,IF(CQ$6="SJ",(CQ$11-CQ46-CQ45),0)))*$C42/IF(CQ$6="SJ",$C42,1)</f>
        <v>4461.7842264978917</v>
      </c>
      <c r="CR47" s="115">
        <f>IF(CR18&lt;1,0,IF(CR$6="System",CR$36*'Basin Allocations'!$J$8*$D$27,IF(CR$6="SJ",(CR$11-CR46-CR45),0)))*$C42/IF(CR$6="SJ",$C42,1)</f>
        <v>0</v>
      </c>
      <c r="CS47" s="115">
        <f>IF(CS18&lt;1,0,IF(CS$6="System",CS$36*'Basin Allocations'!$J$8*$D$27,IF(CS$6="SJ",(CS$11-CS46-CS45),0)))*$C42/IF(CS$6="SJ",$C42,1)</f>
        <v>0</v>
      </c>
      <c r="CT47" s="115">
        <f>IF(CT18&lt;1,0,IF(CT$6="System",CT$36*'Basin Allocations'!$J$8*$D$27,IF(CT$6="SJ",(CT$11-CT46-CT45),0)))*$C42/IF(CT$6="SJ",$C42,1)</f>
        <v>0</v>
      </c>
      <c r="CU47" s="115">
        <f>IF(CU18&lt;1,0,IF(CU$6="System",CU$36*'Basin Allocations'!$J$8*$D$27,IF(CU$6="SJ",(CU$11-CU46-CU45),0)))*$C42/IF(CU$6="SJ",$C42,1)</f>
        <v>0</v>
      </c>
      <c r="CV47" s="115">
        <f>IF(CV18&lt;1,0,IF(CV$6="System",CV$36*'Basin Allocations'!$J$8*$D$27,IF(CV$6="SJ",(CV$11-CV46-CV45),0)))*$C42/IF(CV$6="SJ",$C42,1)</f>
        <v>0</v>
      </c>
      <c r="CW47" s="115">
        <f>IF(CW18&lt;1,0,IF(CW$6="System",CW$36*'Basin Allocations'!$J$8*$D$27,IF(CW$6="SJ",(CW$11-CW46-CW45),0)))*$C42/IF(CW$6="SJ",$C42,1)</f>
        <v>0</v>
      </c>
      <c r="CX47" s="115">
        <f>IF(CX18&lt;1,0,IF(CX$6="System",CX$36*'Basin Allocations'!$J$8*$D$27,IF(CX$6="SJ",(CX$11-CX46-CX45),0)))*$C42/IF(CX$6="SJ",$C42,1)</f>
        <v>0</v>
      </c>
      <c r="CY47" s="72">
        <f t="shared" si="27"/>
        <v>158961.83062763384</v>
      </c>
      <c r="CZ47" s="76"/>
      <c r="DA47" s="72">
        <f>BZ47+CY47</f>
        <v>993819.20727517095</v>
      </c>
      <c r="DB47" s="74"/>
      <c r="DC47" s="117">
        <f>MIN(MIN($CB47:$CX47),MIN($D47:$BY47))</f>
        <v>0</v>
      </c>
      <c r="DD47" s="117">
        <f>MAX(MAX($CB47:$CX47),MAX($D47:$BY47))</f>
        <v>285567.91906271584</v>
      </c>
      <c r="DE47" s="69"/>
      <c r="DF47" s="117"/>
      <c r="DG47" s="143" t="s">
        <v>590</v>
      </c>
      <c r="DH47" s="132">
        <f>SUMIF(D7:CX7,"DSCALEHR",D81:CX81)</f>
        <v>1130580.6451612902</v>
      </c>
      <c r="DI47" s="89"/>
      <c r="DK47" s="89" t="s">
        <v>560</v>
      </c>
      <c r="DL47" s="149">
        <f>DH6+DH15+DH23+DH31</f>
        <v>166512.02456211206</v>
      </c>
      <c r="DM47"/>
    </row>
    <row r="48" spans="1:139" x14ac:dyDescent="0.25">
      <c r="A48" s="69" t="s">
        <v>548</v>
      </c>
      <c r="B48" s="70"/>
      <c r="C48" s="176"/>
      <c r="D48" s="115">
        <f>SUM(D45:D47)</f>
        <v>0</v>
      </c>
      <c r="E48" s="115">
        <f t="shared" ref="E48:BO48" si="28">SUM(E45:E47)</f>
        <v>24371.074355166638</v>
      </c>
      <c r="F48" s="115">
        <f t="shared" si="28"/>
        <v>0</v>
      </c>
      <c r="G48" s="115">
        <f t="shared" si="28"/>
        <v>14275.239343697784</v>
      </c>
      <c r="H48" s="115">
        <f t="shared" si="28"/>
        <v>52727.368944993788</v>
      </c>
      <c r="I48" s="115">
        <f t="shared" si="28"/>
        <v>4760.0098974902794</v>
      </c>
      <c r="J48" s="115">
        <f t="shared" si="28"/>
        <v>2389.5856462912452</v>
      </c>
      <c r="K48" s="115">
        <f t="shared" si="28"/>
        <v>10544.356040951712</v>
      </c>
      <c r="L48" s="115">
        <f t="shared" si="28"/>
        <v>0</v>
      </c>
      <c r="M48" s="115">
        <f t="shared" si="28"/>
        <v>50569.979286970789</v>
      </c>
      <c r="N48" s="115">
        <f t="shared" si="28"/>
        <v>0</v>
      </c>
      <c r="O48" s="115">
        <f t="shared" si="28"/>
        <v>1683.0092022659355</v>
      </c>
      <c r="P48" s="115">
        <f t="shared" si="28"/>
        <v>0</v>
      </c>
      <c r="Q48" s="115">
        <f t="shared" si="28"/>
        <v>1085.8123885586679</v>
      </c>
      <c r="R48" s="115">
        <f t="shared" si="28"/>
        <v>0</v>
      </c>
      <c r="S48" s="115">
        <f t="shared" si="28"/>
        <v>0</v>
      </c>
      <c r="T48" s="115">
        <f t="shared" si="28"/>
        <v>0</v>
      </c>
      <c r="U48" s="115">
        <f t="shared" si="28"/>
        <v>0</v>
      </c>
      <c r="V48" s="115">
        <f t="shared" si="28"/>
        <v>0</v>
      </c>
      <c r="W48" s="115">
        <f t="shared" si="28"/>
        <v>10123.603740385228</v>
      </c>
      <c r="X48" s="115">
        <f t="shared" si="28"/>
        <v>634.7212124295155</v>
      </c>
      <c r="Y48" s="115">
        <f t="shared" si="28"/>
        <v>0</v>
      </c>
      <c r="Z48" s="115">
        <f t="shared" si="28"/>
        <v>11374.683161614224</v>
      </c>
      <c r="AA48" s="115">
        <f t="shared" si="28"/>
        <v>0</v>
      </c>
      <c r="AB48" s="115">
        <f t="shared" si="28"/>
        <v>0</v>
      </c>
      <c r="AC48" s="115">
        <f t="shared" si="28"/>
        <v>0</v>
      </c>
      <c r="AD48" s="115">
        <f t="shared" si="28"/>
        <v>0</v>
      </c>
      <c r="AE48" s="115">
        <f t="shared" si="28"/>
        <v>0</v>
      </c>
      <c r="AF48" s="115">
        <f t="shared" si="28"/>
        <v>0</v>
      </c>
      <c r="AG48" s="115">
        <f t="shared" si="28"/>
        <v>0</v>
      </c>
      <c r="AH48" s="115">
        <f t="shared" si="28"/>
        <v>0</v>
      </c>
      <c r="AI48" s="115">
        <f t="shared" si="28"/>
        <v>3354.0425325992392</v>
      </c>
      <c r="AJ48" s="115">
        <f t="shared" si="28"/>
        <v>0</v>
      </c>
      <c r="AK48" s="115">
        <f t="shared" si="28"/>
        <v>0</v>
      </c>
      <c r="AL48" s="115">
        <f t="shared" si="28"/>
        <v>28481.817021648465</v>
      </c>
      <c r="AM48" s="115">
        <f t="shared" si="28"/>
        <v>0</v>
      </c>
      <c r="AN48" s="115">
        <f t="shared" si="28"/>
        <v>0</v>
      </c>
      <c r="AO48" s="115">
        <f t="shared" si="28"/>
        <v>0</v>
      </c>
      <c r="AP48" s="115">
        <f t="shared" si="28"/>
        <v>2734.3011330540085</v>
      </c>
      <c r="AQ48" s="115">
        <f t="shared" si="28"/>
        <v>0</v>
      </c>
      <c r="AR48" s="115">
        <f t="shared" si="28"/>
        <v>18363.003630036295</v>
      </c>
      <c r="AS48" s="115">
        <f t="shared" si="28"/>
        <v>4264.9380121541626</v>
      </c>
      <c r="AT48" s="115">
        <f t="shared" si="28"/>
        <v>0</v>
      </c>
      <c r="AU48" s="115">
        <f t="shared" si="28"/>
        <v>0</v>
      </c>
      <c r="AV48" s="115">
        <f t="shared" si="28"/>
        <v>0</v>
      </c>
      <c r="AW48" s="115">
        <f t="shared" si="28"/>
        <v>0</v>
      </c>
      <c r="AX48" s="115">
        <f t="shared" si="28"/>
        <v>0</v>
      </c>
      <c r="AY48" s="115">
        <f t="shared" si="28"/>
        <v>10666.509934664562</v>
      </c>
      <c r="AZ48" s="115">
        <f t="shared" si="28"/>
        <v>3581.5840993192542</v>
      </c>
      <c r="BA48" s="115">
        <f t="shared" si="28"/>
        <v>1924.1234238429338</v>
      </c>
      <c r="BB48" s="115">
        <f t="shared" si="28"/>
        <v>0</v>
      </c>
      <c r="BC48" s="115">
        <f t="shared" si="28"/>
        <v>0</v>
      </c>
      <c r="BD48" s="115">
        <f t="shared" si="28"/>
        <v>8515.643335563791</v>
      </c>
      <c r="BE48" s="115">
        <f t="shared" si="28"/>
        <v>0</v>
      </c>
      <c r="BF48" s="115">
        <f t="shared" si="28"/>
        <v>0</v>
      </c>
      <c r="BG48" s="115">
        <f t="shared" si="28"/>
        <v>38595.041673025415</v>
      </c>
      <c r="BH48" s="115">
        <f t="shared" si="28"/>
        <v>6092.7685887916596</v>
      </c>
      <c r="BI48" s="115">
        <f t="shared" si="28"/>
        <v>1.5967829243509823</v>
      </c>
      <c r="BJ48" s="115">
        <f t="shared" si="28"/>
        <v>79205.991654291574</v>
      </c>
      <c r="BK48" s="115">
        <f t="shared" si="28"/>
        <v>0</v>
      </c>
      <c r="BL48" s="115">
        <f t="shared" si="28"/>
        <v>371658.88391629129</v>
      </c>
      <c r="BM48" s="115">
        <f t="shared" si="28"/>
        <v>0</v>
      </c>
      <c r="BN48" s="115">
        <f t="shared" si="28"/>
        <v>2859.8382175126094</v>
      </c>
      <c r="BO48" s="115">
        <f t="shared" si="28"/>
        <v>56128.516573861387</v>
      </c>
      <c r="BP48" s="115">
        <f t="shared" ref="BP48:BY48" si="29">SUM(BP45:BP47)</f>
        <v>0</v>
      </c>
      <c r="BQ48" s="115">
        <f t="shared" si="29"/>
        <v>0</v>
      </c>
      <c r="BR48" s="115">
        <f t="shared" si="29"/>
        <v>265576.13758659322</v>
      </c>
      <c r="BS48" s="115">
        <f t="shared" si="29"/>
        <v>0</v>
      </c>
      <c r="BT48" s="115">
        <f t="shared" si="29"/>
        <v>0</v>
      </c>
      <c r="BU48" s="115">
        <f t="shared" si="29"/>
        <v>0</v>
      </c>
      <c r="BV48" s="115">
        <f t="shared" si="29"/>
        <v>0</v>
      </c>
      <c r="BW48" s="115">
        <f t="shared" si="29"/>
        <v>0</v>
      </c>
      <c r="BX48" s="115">
        <f t="shared" si="29"/>
        <v>0</v>
      </c>
      <c r="BY48" s="115">
        <f t="shared" si="29"/>
        <v>0</v>
      </c>
      <c r="BZ48" s="78">
        <f t="shared" si="26"/>
        <v>1086544.1813369901</v>
      </c>
      <c r="CA48" s="76"/>
      <c r="CB48" s="115">
        <f t="shared" ref="CB48:CX48" si="30">SUM(CB45:CB47)</f>
        <v>45000.000000000015</v>
      </c>
      <c r="CC48" s="115">
        <f t="shared" si="30"/>
        <v>16124.144672531769</v>
      </c>
      <c r="CD48" s="115">
        <f t="shared" si="30"/>
        <v>48875.855327468234</v>
      </c>
      <c r="CE48" s="115">
        <f t="shared" si="30"/>
        <v>25000.000000000007</v>
      </c>
      <c r="CF48" s="115">
        <f t="shared" si="30"/>
        <v>20000</v>
      </c>
      <c r="CG48" s="115">
        <f t="shared" si="30"/>
        <v>25000.000000000007</v>
      </c>
      <c r="CH48" s="115">
        <f t="shared" si="30"/>
        <v>0</v>
      </c>
      <c r="CI48" s="115">
        <f t="shared" si="30"/>
        <v>7616.2585252656645</v>
      </c>
      <c r="CJ48" s="115">
        <f t="shared" si="30"/>
        <v>0</v>
      </c>
      <c r="CK48" s="115">
        <f t="shared" si="30"/>
        <v>6092.7685887916596</v>
      </c>
      <c r="CL48" s="115">
        <f t="shared" si="30"/>
        <v>243.5916278412306</v>
      </c>
      <c r="CM48" s="115">
        <f t="shared" si="30"/>
        <v>0</v>
      </c>
      <c r="CN48" s="115">
        <f t="shared" si="30"/>
        <v>0</v>
      </c>
      <c r="CO48" s="115">
        <f t="shared" si="30"/>
        <v>0</v>
      </c>
      <c r="CP48" s="115">
        <f t="shared" si="30"/>
        <v>0</v>
      </c>
      <c r="CQ48" s="115">
        <f t="shared" si="30"/>
        <v>5806.8908837457184</v>
      </c>
      <c r="CR48" s="115">
        <f t="shared" si="30"/>
        <v>0</v>
      </c>
      <c r="CS48" s="115">
        <f t="shared" si="30"/>
        <v>0</v>
      </c>
      <c r="CT48" s="115">
        <f t="shared" si="30"/>
        <v>0</v>
      </c>
      <c r="CU48" s="115">
        <f t="shared" si="30"/>
        <v>0</v>
      </c>
      <c r="CV48" s="115">
        <f t="shared" si="30"/>
        <v>0</v>
      </c>
      <c r="CW48" s="115">
        <f t="shared" si="30"/>
        <v>0</v>
      </c>
      <c r="CX48" s="115">
        <f t="shared" si="30"/>
        <v>0</v>
      </c>
      <c r="CY48" s="124">
        <f t="shared" si="27"/>
        <v>199759.50962564431</v>
      </c>
      <c r="CZ48" s="76"/>
      <c r="DA48" s="124">
        <f>BZ48+CY48</f>
        <v>1286303.6909626345</v>
      </c>
      <c r="DB48" s="74"/>
      <c r="DC48" s="117">
        <f>MIN(MIN($CB48:$CX48),MIN($D48:$BY48))</f>
        <v>0</v>
      </c>
      <c r="DD48" s="117">
        <f>MAX(MAX($CB48:$CX48),MAX($D48:$BY48))</f>
        <v>371658.88391629129</v>
      </c>
      <c r="DE48" s="69"/>
      <c r="DF48" s="117"/>
      <c r="DG48" s="143" t="s">
        <v>591</v>
      </c>
      <c r="DH48" s="132">
        <f>SUMIF(D8:CX8,"CA",D81:CX81)</f>
        <v>3178304.9853372439</v>
      </c>
      <c r="DI48" s="89" t="str">
        <f>IF(ABS(DH48-DH47-DH46)&lt;1,"OKAY","ERROR")</f>
        <v>OKAY</v>
      </c>
      <c r="DK48" s="89" t="s">
        <v>26</v>
      </c>
      <c r="DL48" s="149">
        <f>DH7+DH16+DH24+DH32</f>
        <v>1998150.2911631567</v>
      </c>
      <c r="DM48"/>
    </row>
    <row r="49" spans="1:139" s="69" customFormat="1" x14ac:dyDescent="0.25">
      <c r="B49" s="70"/>
      <c r="C49" s="176"/>
      <c r="D49" s="115"/>
      <c r="E49" s="115"/>
      <c r="F49" s="115"/>
      <c r="G49" s="115"/>
      <c r="H49" s="115"/>
      <c r="I49" s="115"/>
      <c r="J49" s="115"/>
      <c r="K49" s="115"/>
      <c r="L49" s="115"/>
      <c r="M49" s="115"/>
      <c r="N49" s="115"/>
      <c r="O49" s="115"/>
      <c r="P49" s="115"/>
      <c r="Q49" s="115"/>
      <c r="R49" s="115"/>
      <c r="S49" s="115"/>
      <c r="T49" s="115"/>
      <c r="U49" s="115"/>
      <c r="V49" s="115"/>
      <c r="W49" s="115"/>
      <c r="X49" s="115"/>
      <c r="Y49" s="115"/>
      <c r="Z49" s="115"/>
      <c r="AA49" s="115"/>
      <c r="AB49" s="115"/>
      <c r="AC49" s="115"/>
      <c r="AD49" s="115"/>
      <c r="AE49" s="115"/>
      <c r="AF49" s="115"/>
      <c r="AG49" s="115"/>
      <c r="AH49" s="115"/>
      <c r="AI49" s="115"/>
      <c r="AJ49" s="115"/>
      <c r="AK49" s="115"/>
      <c r="AL49" s="115"/>
      <c r="AM49" s="115"/>
      <c r="AN49" s="115"/>
      <c r="AO49" s="115"/>
      <c r="AP49" s="115"/>
      <c r="AQ49" s="115"/>
      <c r="AR49" s="115"/>
      <c r="AS49" s="115"/>
      <c r="AT49" s="115"/>
      <c r="AU49" s="115"/>
      <c r="AV49" s="115"/>
      <c r="AW49" s="115"/>
      <c r="AX49" s="115"/>
      <c r="AY49" s="115"/>
      <c r="AZ49" s="115"/>
      <c r="BA49" s="115"/>
      <c r="BB49" s="115"/>
      <c r="BC49" s="115"/>
      <c r="BD49" s="115"/>
      <c r="BE49" s="115"/>
      <c r="BF49" s="115"/>
      <c r="BG49" s="115"/>
      <c r="BH49" s="115"/>
      <c r="BI49" s="115"/>
      <c r="BJ49" s="115"/>
      <c r="BK49" s="115"/>
      <c r="BL49" s="115"/>
      <c r="BM49" s="115"/>
      <c r="BN49" s="115"/>
      <c r="BO49" s="115"/>
      <c r="BP49" s="115"/>
      <c r="BQ49" s="115"/>
      <c r="BR49" s="115"/>
      <c r="BS49" s="115"/>
      <c r="BT49" s="115"/>
      <c r="BU49" s="115"/>
      <c r="BV49" s="115"/>
      <c r="BW49" s="115"/>
      <c r="BX49" s="115"/>
      <c r="BY49" s="115"/>
      <c r="BZ49" s="78"/>
      <c r="CA49" s="76"/>
      <c r="CB49" s="115"/>
      <c r="CC49" s="115"/>
      <c r="CD49" s="115"/>
      <c r="CE49" s="115"/>
      <c r="CF49" s="115"/>
      <c r="CG49" s="115"/>
      <c r="CH49" s="115"/>
      <c r="CI49" s="115"/>
      <c r="CJ49" s="115"/>
      <c r="CK49" s="115"/>
      <c r="CL49" s="115"/>
      <c r="CM49" s="115"/>
      <c r="CN49" s="115"/>
      <c r="CO49" s="115"/>
      <c r="CP49" s="115"/>
      <c r="CQ49" s="115"/>
      <c r="CR49" s="115"/>
      <c r="CS49" s="115"/>
      <c r="CT49" s="115"/>
      <c r="CU49" s="115"/>
      <c r="CV49" s="115"/>
      <c r="CW49" s="115"/>
      <c r="CX49" s="115"/>
      <c r="CY49" s="124"/>
      <c r="CZ49" s="76"/>
      <c r="DA49" s="124"/>
      <c r="DB49" s="74"/>
      <c r="DF49" s="117"/>
      <c r="DG49" s="89"/>
      <c r="DH49" s="89"/>
      <c r="DI49" s="89"/>
      <c r="DK49" s="89" t="s">
        <v>27</v>
      </c>
      <c r="DL49" s="149">
        <f>DI9+DI18+DI26+DI34</f>
        <v>804980.5961584358</v>
      </c>
      <c r="DM49"/>
      <c r="DN49" s="89"/>
      <c r="DO49" s="89"/>
      <c r="DP49" s="89"/>
      <c r="DQ49" s="89"/>
      <c r="DR49" s="89"/>
      <c r="DS49" s="89"/>
      <c r="DT49" s="89"/>
      <c r="DU49" s="89"/>
      <c r="DV49" s="89"/>
      <c r="DW49" s="89"/>
      <c r="DX49" s="89"/>
      <c r="DY49" s="89"/>
      <c r="DZ49" s="89"/>
      <c r="EA49" s="89"/>
      <c r="EB49" s="89"/>
      <c r="EC49" s="89"/>
      <c r="ED49" s="89"/>
      <c r="EE49" s="89"/>
      <c r="EF49" s="89"/>
      <c r="EG49" s="89"/>
      <c r="EH49" s="89"/>
      <c r="EI49" s="89"/>
    </row>
    <row r="50" spans="1:139" s="69" customFormat="1" x14ac:dyDescent="0.25">
      <c r="A50" s="69" t="s">
        <v>549</v>
      </c>
      <c r="B50" s="70"/>
      <c r="C50" s="176"/>
      <c r="D50" s="115">
        <f>IF(D17&lt;1,0,IF(D$6="System",D$36*'Basin Allocations'!$J$6*$D$27,IF(D$6="SJ",D$11*'Basin Allocations'!$J$6,0)))*$C40*IF(D$1="FR",$C$43,1)</f>
        <v>2032.815054693395</v>
      </c>
      <c r="E50" s="115">
        <f>IF(E17&lt;1,0,IF(E$6="System",E$36*'Basin Allocations'!$J$6*$D$27,IF(E$6="SJ",E$11*'Basin Allocations'!$J$6,0)))*$C40*IF(E$1="FR",$C$43,1)</f>
        <v>0</v>
      </c>
      <c r="F50" s="115">
        <f>IF(F17&lt;1,0,IF(F$6="System",F$36*'Basin Allocations'!$J$6*$D$27,IF(F$6="SJ",F$11*'Basin Allocations'!$J$6,0)))*$C40*IF(F$1="FR",$C$43,1)</f>
        <v>0</v>
      </c>
      <c r="G50" s="115">
        <f>IF(G17&lt;1,0,IF(G$6="System",G$36*'Basin Allocations'!$J$6*$D$27,IF(G$6="SJ",G$11*'Basin Allocations'!$J$6,0)))*$C40*IF(G$1="FR",$C$43,1)</f>
        <v>0</v>
      </c>
      <c r="H50" s="115">
        <f>IF(H17&lt;1,0,IF(H$6="System",H$36*'Basin Allocations'!$J$6*$D$27,IF(H$6="SJ",H$11*'Basin Allocations'!$J$6,0)))*$C40*IF(H$1="FR",$C$43,1)</f>
        <v>0</v>
      </c>
      <c r="I50" s="115">
        <f>IF(I17&lt;1,0,IF(I$6="System",I$36*'Basin Allocations'!$J$6*$D$27,IF(I$6="SJ",I$11*'Basin Allocations'!$J$6,0)))*$C40*IF(I$1="FR",$C$43,1)</f>
        <v>0</v>
      </c>
      <c r="J50" s="115">
        <f>IF(J17&lt;1,0,IF(J$6="System",J$36*'Basin Allocations'!$J$6*$D$27,IF(J$6="SJ",J$11*'Basin Allocations'!$J$6,0)))*$C40*IF(J$1="FR",$C$43,1)</f>
        <v>0</v>
      </c>
      <c r="K50" s="115">
        <f>IF(K17&lt;1,0,IF(K$6="System",K$36*'Basin Allocations'!$J$6*$D$27,IF(K$6="SJ",K$11*'Basin Allocations'!$J$6,0)))*$C40*IF(K$1="FR",$C$43,1)</f>
        <v>0</v>
      </c>
      <c r="L50" s="115">
        <f>IF(L17&lt;1,0,IF(L$6="System",L$36*'Basin Allocations'!$J$6*$D$27,IF(L$6="SJ",L$11*'Basin Allocations'!$J$6,0)))*$C40*IF(L$1="FR",$C$43,1)</f>
        <v>0</v>
      </c>
      <c r="M50" s="115">
        <f>IF(M17&lt;1,0,IF(M$6="System",M$36*'Basin Allocations'!$J$6*$D$27,IF(M$6="SJ",M$11*'Basin Allocations'!$J$6,0)))*$C40*IF(M$1="FR",$C$43,1)</f>
        <v>0</v>
      </c>
      <c r="N50" s="115">
        <f>IF(N17&lt;1,0,IF(N$6="System",N$36*'Basin Allocations'!$J$6*$D$27,IF(N$6="SJ",N$11*'Basin Allocations'!$J$6,0)))*$C40*IF(N$1="FR",$C$43,1)</f>
        <v>10164.075273466977</v>
      </c>
      <c r="O50" s="115">
        <f>IF(O17&lt;1,0,IF(O$6="System",O$36*'Basin Allocations'!$J$6*$D$27,IF(O$6="SJ",O$11*'Basin Allocations'!$J$6,0)))*$C40*IF(O$1="FR",$C$43,1)</f>
        <v>0</v>
      </c>
      <c r="P50" s="115">
        <f>IF(P17&lt;1,0,IF(P$6="System",P$36*'Basin Allocations'!$J$6*$D$27,IF(P$6="SJ",P$11*'Basin Allocations'!$J$6,0)))*$C40*IF(P$1="FR",$C$43,1)</f>
        <v>4828.242390080567</v>
      </c>
      <c r="Q50" s="115">
        <f>IF(Q17&lt;1,0,IF(Q$6="System",Q$36*'Basin Allocations'!$J$6*$D$27,IF(Q$6="SJ",Q$11*'Basin Allocations'!$J$6,0)))*$C40*IF(Q$1="FR",$C$43,1)</f>
        <v>0</v>
      </c>
      <c r="R50" s="115">
        <f>IF(R17&lt;1,0,IF(R$6="System",R$36*'Basin Allocations'!$J$6*$D$27,IF(R$6="SJ",R$11*'Basin Allocations'!$J$6,0)))*$C40*IF(R$1="FR",$C$43,1)</f>
        <v>0</v>
      </c>
      <c r="S50" s="115">
        <f>IF(S17&lt;1,0,IF(S$6="System",S$36*'Basin Allocations'!$J$6*$D$27,IF(S$6="SJ",S$11*'Basin Allocations'!$J$6,0)))*$C40*IF(S$1="FR",$C$43,1)</f>
        <v>0</v>
      </c>
      <c r="T50" s="115">
        <f>IF(T17&lt;1,0,IF(T$6="System",T$36*'Basin Allocations'!$J$6*$D$27,IF(T$6="SJ",T$11*'Basin Allocations'!$J$6,0)))*$C40*IF(T$1="FR",$C$43,1)</f>
        <v>0</v>
      </c>
      <c r="U50" s="115">
        <f>IF(U17&lt;1,0,IF(U$6="System",U$36*'Basin Allocations'!$J$6*$D$27,IF(U$6="SJ",U$11*'Basin Allocations'!$J$6,0)))*$C40*IF(U$1="FR",$C$43,1)</f>
        <v>0</v>
      </c>
      <c r="V50" s="115">
        <f>IF(V17&lt;1,0,IF(V$6="System",V$36*'Basin Allocations'!$J$6*$D$27,IF(V$6="SJ",V$11*'Basin Allocations'!$J$6,0)))*$C40*IF(V$1="FR",$C$43,1)</f>
        <v>0</v>
      </c>
      <c r="W50" s="115">
        <f>IF(W17&lt;1,0,IF(W$6="System",W$36*'Basin Allocations'!$J$6*$D$27,IF(W$6="SJ",W$11*'Basin Allocations'!$J$6,0)))*$C40*IF(W$1="FR",$C$43,1)</f>
        <v>0</v>
      </c>
      <c r="X50" s="115">
        <f>IF(X17&lt;1,0,IF(X$6="System",X$36*'Basin Allocations'!$J$6*$D$27,IF(X$6="SJ",X$11*'Basin Allocations'!$J$6,0)))*$C40*IF(X$1="FR",$C$43,1)</f>
        <v>0</v>
      </c>
      <c r="Y50" s="115">
        <f>IF(Y17&lt;1,0,IF(Y$6="System",Y$36*'Basin Allocations'!$J$6*$D$27,IF(Y$6="SJ",Y$11*'Basin Allocations'!$J$6,0)))*$C40*IF(Y$1="FR",$C$43,1)</f>
        <v>3659.0670984481117</v>
      </c>
      <c r="Z50" s="115">
        <f>IF(Z17&lt;1,0,IF(Z$6="System",Z$36*'Basin Allocations'!$J$6*$D$27,IF(Z$6="SJ",Z$11*'Basin Allocations'!$J$6,0)))*$C40*IF(Z$1="FR",$C$43,1)</f>
        <v>0</v>
      </c>
      <c r="AA50" s="115">
        <f>IF(AA17&lt;1,0,IF(AA$6="System",AA$36*'Basin Allocations'!$J$6*$D$27,IF(AA$6="SJ",AA$11*'Basin Allocations'!$J$6,0)))*$C40*IF(AA$1="FR",$C$43,1)</f>
        <v>0</v>
      </c>
      <c r="AB50" s="115">
        <f>IF(AB17&lt;1,0,IF(AB$6="System",AB$36*'Basin Allocations'!$J$6*$D$27,IF(AB$6="SJ",AB$11*'Basin Allocations'!$J$6,0)))*$C40*IF(AB$1="FR",$C$43,1)</f>
        <v>0</v>
      </c>
      <c r="AC50" s="115">
        <f>IF(AC17&lt;1,0,IF(AC$6="System",AC$36*'Basin Allocations'!$J$6*$D$27,IF(AC$6="SJ",AC$11*'Basin Allocations'!$J$6,0)))*$C40*IF(AC$1="FR",$C$43,1)</f>
        <v>0</v>
      </c>
      <c r="AD50" s="115">
        <f>IF(AD17&lt;1,0,IF(AD$6="System",AD$36*'Basin Allocations'!$J$6*$D$27,IF(AD$6="SJ",AD$11*'Basin Allocations'!$J$6,0)))*$C40*IF(AD$1="FR",$C$43,1)</f>
        <v>0</v>
      </c>
      <c r="AE50" s="115">
        <f>IF(AE17&lt;1,0,IF(AE$6="System",AE$36*'Basin Allocations'!$J$6*$D$27,IF(AE$6="SJ",AE$11*'Basin Allocations'!$J$6,0)))*$C40*IF(AE$1="FR",$C$43,1)</f>
        <v>0</v>
      </c>
      <c r="AF50" s="115">
        <f>IF(AF17&lt;1,0,IF(AF$6="System",AF$36*'Basin Allocations'!$J$6*$D$27,IF(AF$6="SJ",AF$11*'Basin Allocations'!$J$6,0)))*$C40*IF(AF$1="FR",$C$43,1)</f>
        <v>0</v>
      </c>
      <c r="AG50" s="115">
        <f>IF(AG17&lt;1,0,IF(AG$6="System",AG$36*'Basin Allocations'!$J$6*$D$27,IF(AG$6="SJ",AG$11*'Basin Allocations'!$J$6,0)))*$C40*IF(AG$1="FR",$C$43,1)</f>
        <v>0</v>
      </c>
      <c r="AH50" s="115">
        <f>IF(AH17&lt;1,0,IF(AH$6="System",AH$36*'Basin Allocations'!$J$6*$D$27,IF(AH$6="SJ",AH$11*'Basin Allocations'!$J$6,0)))*$C40*IF(AH$1="FR",$C$43,1)</f>
        <v>0</v>
      </c>
      <c r="AI50" s="115">
        <f>IF(AI17&lt;1,0,IF(AI$6="System",AI$36*'Basin Allocations'!$J$6*$D$27,IF(AI$6="SJ",AI$11*'Basin Allocations'!$J$6,0)))*$C40*IF(AI$1="FR",$C$43,1)</f>
        <v>0</v>
      </c>
      <c r="AJ50" s="115">
        <f>IF(AJ17&lt;1,0,IF(AJ$6="System",AJ$36*'Basin Allocations'!$J$6*$D$27,IF(AJ$6="SJ",AJ$11*'Basin Allocations'!$J$6,0)))*$C40*IF(AJ$1="FR",$C$43,1)</f>
        <v>0</v>
      </c>
      <c r="AK50" s="115">
        <f>IF(AK17&lt;1,0,IF(AK$6="System",AK$36*'Basin Allocations'!$J$6*$D$27,IF(AK$6="SJ",AK$11*'Basin Allocations'!$J$6,0)))*$C40*IF(AK$1="FR",$C$43,1)</f>
        <v>0</v>
      </c>
      <c r="AL50" s="115">
        <f>IF(AL17&lt;1,0,IF(AL$6="System",AL$36*'Basin Allocations'!$J$6*$D$27,IF(AL$6="SJ",AL$11*'Basin Allocations'!$J$6,0)))*$C40*IF(AL$1="FR",$C$43,1)</f>
        <v>0</v>
      </c>
      <c r="AM50" s="115">
        <f>IF(AM17&lt;1,0,IF(AM$6="System",AM$36*'Basin Allocations'!$J$6*$D$27,IF(AM$6="SJ",AM$11*'Basin Allocations'!$J$6,0)))*$C40*IF(AM$1="FR",$C$43,1)</f>
        <v>0</v>
      </c>
      <c r="AN50" s="115">
        <f>IF(AN17&lt;1,0,IF(AN$6="System",AN$36*'Basin Allocations'!$J$6*$D$27,IF(AN$6="SJ",AN$11*'Basin Allocations'!$J$6,0)))*$C40*IF(AN$1="FR",$C$43,1)</f>
        <v>0</v>
      </c>
      <c r="AO50" s="115">
        <f>IF(AO17&lt;1,0,IF(AO$6="System",AO$36*'Basin Allocations'!$J$6*$D$27,IF(AO$6="SJ",AO$11*'Basin Allocations'!$J$6,0)))*$C40*IF(AO$1="FR",$C$43,1)</f>
        <v>2593.0811394155876</v>
      </c>
      <c r="AP50" s="115">
        <f>IF(AP17&lt;1,0,IF(AP$6="System",AP$36*'Basin Allocations'!$J$6*$D$27,IF(AP$6="SJ",AP$11*'Basin Allocations'!$J$6,0)))*$C40*IF(AP$1="FR",$C$43,1)</f>
        <v>0</v>
      </c>
      <c r="AQ50" s="115">
        <f>IF(AQ17&lt;1,0,IF(AQ$6="System",AQ$36*'Basin Allocations'!$J$6*$D$27,IF(AQ$6="SJ",AQ$11*'Basin Allocations'!$J$6,0)))*$C40*IF(AQ$1="FR",$C$43,1)</f>
        <v>0</v>
      </c>
      <c r="AR50" s="115">
        <f>IF(AR17&lt;1,0,IF(AR$6="System",AR$36*'Basin Allocations'!$J$6*$D$27,IF(AR$6="SJ",AR$11*'Basin Allocations'!$J$6,0)))*$C40*IF(AR$1="FR",$C$43,1)</f>
        <v>0</v>
      </c>
      <c r="AS50" s="115">
        <f>IF(AS17&lt;1,0,IF(AS$6="System",AS$36*'Basin Allocations'!$J$6*$D$27,IF(AS$6="SJ",AS$11*'Basin Allocations'!$J$6,0)))*$C40*IF(AS$1="FR",$C$43,1)</f>
        <v>0</v>
      </c>
      <c r="AT50" s="115">
        <f>IF(AT17&lt;1,0,IF(AT$6="System",AT$36*'Basin Allocations'!$J$6*$D$27,IF(AT$6="SJ",AT$11*'Basin Allocations'!$J$6,0)))*$C40*IF(AT$1="FR",$C$43,1)</f>
        <v>724.59139052020839</v>
      </c>
      <c r="AU50" s="115">
        <f>IF(AU17&lt;1,0,IF(AU$6="System",AU$36*'Basin Allocations'!$J$6*$D$27,IF(AU$6="SJ",AU$11*'Basin Allocations'!$J$6,0)))*$C40*IF(AU$1="FR",$C$43,1)</f>
        <v>0</v>
      </c>
      <c r="AV50" s="115">
        <f>IF(AV17&lt;1,0,IF(AV$6="System",AV$36*'Basin Allocations'!$J$6*$D$27,IF(AV$6="SJ",AV$11*'Basin Allocations'!$J$6,0)))*$C40*IF(AV$1="FR",$C$43,1)</f>
        <v>709.36578217343242</v>
      </c>
      <c r="AW50" s="115">
        <f>IF(AW17&lt;1,0,IF(AW$6="System",AW$36*'Basin Allocations'!$J$6*$D$27,IF(AW$6="SJ",AW$11*'Basin Allocations'!$J$6,0)))*$C40*IF(AW$1="FR",$C$43,1)</f>
        <v>944.71113273679236</v>
      </c>
      <c r="AX50" s="115">
        <f>IF(AX17&lt;1,0,IF(AX$6="System",AX$36*'Basin Allocations'!$J$6*$D$27,IF(AX$6="SJ",AX$11*'Basin Allocations'!$J$6,0)))*$C40*IF(AX$1="FR",$C$43,1)</f>
        <v>0</v>
      </c>
      <c r="AY50" s="115">
        <f>IF(AY17&lt;1,0,IF(AY$6="System",AY$36*'Basin Allocations'!$J$6*$D$27,IF(AY$6="SJ",AY$11*'Basin Allocations'!$J$6,0)))*$C40*IF(AY$1="FR",$C$43,1)</f>
        <v>0</v>
      </c>
      <c r="AZ50" s="115">
        <f>IF(AZ17&lt;1,0,IF(AZ$6="System",AZ$36*'Basin Allocations'!$J$6*$D$27,IF(AZ$6="SJ",AZ$11*'Basin Allocations'!$J$6,0)))*$C40*IF(AZ$1="FR",$C$43,1)</f>
        <v>0</v>
      </c>
      <c r="BA50" s="115">
        <f>IF(BA17&lt;1,0,IF(BA$6="System",BA$36*'Basin Allocations'!$J$6*$D$27,IF(BA$6="SJ",BA$11*'Basin Allocations'!$J$6,0)))*$C40*IF(BA$1="FR",$C$43,1)</f>
        <v>0</v>
      </c>
      <c r="BB50" s="115">
        <f>IF(BB17&lt;1,0,IF(BB$6="System",BB$36*'Basin Allocations'!$J$6*$D$27,IF(BB$6="SJ",BB$11*'Basin Allocations'!$J$6,0)))*$C40*IF(BB$1="FR",$C$43,1)</f>
        <v>423.94128514044974</v>
      </c>
      <c r="BC50" s="115">
        <f>IF(BC17&lt;1,0,IF(BC$6="System",BC$36*'Basin Allocations'!$J$6*$D$27,IF(BC$6="SJ",BC$11*'Basin Allocations'!$J$6,0)))*$C40*IF(BC$1="FR",$C$43,1)</f>
        <v>2579.3424216242383</v>
      </c>
      <c r="BD50" s="115">
        <f>IF(BD17&lt;1,0,IF(BD$6="System",BD$36*'Basin Allocations'!$J$6*$D$27,IF(BD$6="SJ",BD$11*'Basin Allocations'!$J$6,0)))*$C40*IF(BD$1="FR",$C$43,1)</f>
        <v>0</v>
      </c>
      <c r="BE50" s="115">
        <f>IF(BE17&lt;1,0,IF(BE$6="System",BE$36*'Basin Allocations'!$J$6*$D$27,IF(BE$6="SJ",BE$11*'Basin Allocations'!$J$6,0)))*$C40*IF(BE$1="FR",$C$43,1)</f>
        <v>0</v>
      </c>
      <c r="BF50" s="115">
        <f>IF(BF17&lt;1,0,IF(BF$6="System",BF$36*'Basin Allocations'!$J$6*$D$27,IF(BF$6="SJ",BF$11*'Basin Allocations'!$J$6,0)))*$C40*IF(BF$1="FR",$C$43,1)</f>
        <v>2032.815054693395</v>
      </c>
      <c r="BG50" s="115">
        <f>IF(BG17&lt;1,0,IF(BG$6="System",BG$36*'Basin Allocations'!$J$6*$D$27,IF(BG$6="SJ",BG$11*'Basin Allocations'!$J$6,0)))*$C40*IF(BG$1="FR",$C$43,1)</f>
        <v>0</v>
      </c>
      <c r="BH50" s="115">
        <f>IF(BH17&lt;1,0,IF(BH$6="System",BH$36*'Basin Allocations'!$J$6*$D$27,IF(BH$6="SJ",BH$11*'Basin Allocations'!$J$6,0)))*$C40*IF(BH$1="FR",$C$43,1)</f>
        <v>0</v>
      </c>
      <c r="BI50" s="115">
        <f>IF(BI17&lt;1,0,IF(BI$6="System",BI$36*'Basin Allocations'!$J$6*$D$27,IF(BI$6="SJ",BI$11*'Basin Allocations'!$J$6,0)))*$C40*IF(BI$1="FR",$C$43,1)</f>
        <v>0</v>
      </c>
      <c r="BJ50" s="115">
        <f>IF(BJ17&lt;1,0,IF(BJ$6="System",BJ$36*'Basin Allocations'!$J$6*$D$27,IF(BJ$6="SJ",BJ$11*'Basin Allocations'!$J$6,0)))*$C40*IF(BJ$1="FR",$C$43,1)</f>
        <v>0</v>
      </c>
      <c r="BK50" s="115">
        <f>IF(BK17&lt;1,0,IF(BK$6="System",BK$36*'Basin Allocations'!$J$6*$D$27,IF(BK$6="SJ",BK$11*'Basin Allocations'!$J$6,0)))*$C40*IF(BK$1="FR",$C$43,1)</f>
        <v>54886.006476721668</v>
      </c>
      <c r="BL50" s="115">
        <f>IF(BL17&lt;1,0,IF(BL$6="System",BL$36*'Basin Allocations'!$J$6*$D$27,IF(BL$6="SJ",BL$11*'Basin Allocations'!$J$6,0)))*$C40*IF(BL$1="FR",$C$43,1)</f>
        <v>0</v>
      </c>
      <c r="BM50" s="115">
        <f>IF(BM17&lt;1,0,IF(BM$6="System",BM$36*'Basin Allocations'!$J$6*$D$27,IF(BM$6="SJ",BM$11*'Basin Allocations'!$J$6,0)))*$C40*IF(BM$1="FR",$C$43,1)</f>
        <v>639.84100968103064</v>
      </c>
      <c r="BN50" s="115">
        <f>IF(BN17&lt;1,0,IF(BN$6="System",BN$36*'Basin Allocations'!$J$6*$D$27,IF(BN$6="SJ",BN$11*'Basin Allocations'!$J$6,0)))*$C40*IF(BN$1="FR",$C$43,1)</f>
        <v>0</v>
      </c>
      <c r="BO50" s="115">
        <f>IF(BO17&lt;1,0,IF(BO$6="System",BO$36*'Basin Allocations'!$J$6*$D$27,IF(BO$6="SJ",BO$11*'Basin Allocations'!$J$6,0)))*$C40*IF(BO$1="FR",$C$43,1)</f>
        <v>0</v>
      </c>
      <c r="BP50" s="115">
        <f>IF(BP17&lt;1,0,IF(BP$6="System",BP$36*'Basin Allocations'!$J$6*$D$27,IF(BP$6="SJ",BP$11*'Basin Allocations'!$J$6,0)))*$C40*IF(BP$1="FR",$C$43,1)</f>
        <v>15246.112910200462</v>
      </c>
      <c r="BQ50" s="115">
        <f>IF(BQ17&lt;1,0,IF(BQ$6="System",BQ$36*'Basin Allocations'!$J$6*$D$27,IF(BQ$6="SJ",BQ$11*'Basin Allocations'!$J$6,0)))*$C40*IF(BQ$1="FR",$C$43,1)</f>
        <v>625.85614165095001</v>
      </c>
      <c r="BR50" s="115">
        <f>IF(BR17&lt;1,0,IF(BR$6="System",BR$36*'Basin Allocations'!$J$6*$D$27,IF(BR$6="SJ",BR$11*'Basin Allocations'!$J$6,0)))*$C40*IF(BR$1="FR",$C$43,1)</f>
        <v>0</v>
      </c>
      <c r="BS50" s="115">
        <f>IF(BS17&lt;1,0,IF(BS$6="System",BS$36*'Basin Allocations'!$J$6*$D$27,IF(BS$6="SJ",BS$11*'Basin Allocations'!$J$6,0)))*$C40*IF(BS$1="FR",$C$43,1)</f>
        <v>0</v>
      </c>
      <c r="BT50" s="115">
        <f>IF(BT17&lt;1,0,IF(BT$6="System",BT$36*'Basin Allocations'!$J$6*$D$27,IF(BT$6="SJ",BT$11*'Basin Allocations'!$J$6,0)))*$C40*IF(BT$1="FR",$C$43,1)</f>
        <v>17787.131728567212</v>
      </c>
      <c r="BU50" s="115">
        <f>IF(BU17&lt;1,0,IF(BU$6="System",BU$36*'Basin Allocations'!$J$6*$D$27,IF(BU$6="SJ",BU$11*'Basin Allocations'!$J$6,0)))*$C40*IF(BU$1="FR",$C$43,1)</f>
        <v>0</v>
      </c>
      <c r="BV50" s="115">
        <f>IF(BV17&lt;1,0,IF(BV$6="System",BV$36*'Basin Allocations'!$J$6*$D$27,IF(BV$6="SJ",BV$11*'Basin Allocations'!$J$6,0)))*$C40*IF(BV$1="FR",$C$43,1)</f>
        <v>0</v>
      </c>
      <c r="BW50" s="115">
        <f>IF(BW17&lt;1,0,IF(BW$6="System",BW$36*'Basin Allocations'!$J$6*$D$27,IF(BW$6="SJ",BW$11*'Basin Allocations'!$J$6,0)))*$C40*IF(BW$1="FR",$C$43,1)</f>
        <v>1931.1743019587252</v>
      </c>
      <c r="BX50" s="115">
        <f>IF(BX17&lt;1,0,IF(BX$6="System",BX$36*'Basin Allocations'!$J$6*$D$27,IF(BX$6="SJ",BX$11*'Basin Allocations'!$J$6,0)))*$C40*IF(BX$1="FR",$C$43,1)</f>
        <v>148.03980603583378</v>
      </c>
      <c r="BY50" s="115">
        <f>IF(BY17&lt;1,0,IF(BY$6="System",BY$36*'Basin Allocations'!$J$6*$D$27,IF(BY$6="SJ",BY$11*'Basin Allocations'!$J$6,0)))*$C40*IF(BY$1="FR",$C$43,1)</f>
        <v>0</v>
      </c>
      <c r="BZ50" s="78">
        <f t="shared" si="26"/>
        <v>121956.21039780903</v>
      </c>
      <c r="CA50" s="76"/>
      <c r="CB50" s="115">
        <f>IF(CB17&lt;1,0,IF(CB$6="System",CB$36*'Basin Allocations'!$J$6*$D$27,IF(CB$6="SJ",CB$11*'Basin Allocations'!$J$6,0)))*$C40</f>
        <v>0</v>
      </c>
      <c r="CC50" s="115">
        <f>IF(CC17&lt;1,0,IF(CC$6="System",CC$36*'Basin Allocations'!$J$6*$D$27,IF(CC$6="SJ",CC$11*'Basin Allocations'!$J$6,0)))*$C40</f>
        <v>0</v>
      </c>
      <c r="CD50" s="115">
        <f>IF(CD17&lt;1,0,IF(CD$6="System",CD$36*'Basin Allocations'!$J$6*$D$27,IF(CD$6="SJ",CD$11*'Basin Allocations'!$J$6,0)))*$C40</f>
        <v>0</v>
      </c>
      <c r="CE50" s="115">
        <f>IF(CE17&lt;1,0,IF(CE$6="System",CE$36*'Basin Allocations'!$J$6*$D$27,IF(CE$6="SJ",CE$11*'Basin Allocations'!$J$6,0)))*$C40</f>
        <v>0</v>
      </c>
      <c r="CF50" s="115">
        <f>IF(CF17&lt;1,0,IF(CF$6="System",CF$36*'Basin Allocations'!$J$6*$D$27,IF(CF$6="SJ",CF$11*'Basin Allocations'!$J$6,0)))*$C40</f>
        <v>0</v>
      </c>
      <c r="CG50" s="115">
        <f>IF(CG17&lt;1,0,IF(CG$6="System",CG$36*'Basin Allocations'!$J$6*$D$27,IF(CG$6="SJ",CG$11*'Basin Allocations'!$J$6,0)))*$C40</f>
        <v>0</v>
      </c>
      <c r="CH50" s="115">
        <f>IF(CH17&lt;1,0,IF(CH$6="System",CH$36*'Basin Allocations'!$J$6*$D$27,IF(CH$6="SJ",CH$11*'Basin Allocations'!$J$6,0)))*$C40</f>
        <v>1270.4597313961117</v>
      </c>
      <c r="CI50" s="115">
        <f>IF(CI17&lt;1,0,IF(CI$6="System",CI$36*'Basin Allocations'!$J$6*$D$27,IF(CI$6="SJ",CI$11*'Basin Allocations'!$J$6,0)))*$C40</f>
        <v>0</v>
      </c>
      <c r="CJ50" s="115">
        <f>IF(CJ17&lt;1,0,IF(CJ$6="System",CJ$36*'Basin Allocations'!$J$6*$D$27,IF(CJ$6="SJ",CJ$11*'Basin Allocations'!$J$6,0)))*$C40</f>
        <v>1016.4075273466975</v>
      </c>
      <c r="CK50" s="115">
        <f>IF(CK17&lt;1,0,IF(CK$6="System",CK$36*'Basin Allocations'!$J$6*$D$27,IF(CK$6="SJ",CK$11*'Basin Allocations'!$J$6,0)))*$C40</f>
        <v>0</v>
      </c>
      <c r="CL50" s="115">
        <f>IF(CL17&lt;1,0,IF(CL$6="System",CL$36*'Basin Allocations'!$J$6*$D$27,IF(CL$6="SJ",CL$11*'Basin Allocations'!$J$6,0)))*$C40</f>
        <v>0</v>
      </c>
      <c r="CM50" s="115">
        <f>IF(CM17&lt;1,0,IF(CM$6="System",CM$36*'Basin Allocations'!$J$6*$D$27,IF(CM$6="SJ",CM$11*'Basin Allocations'!$J$6,0)))*$C40</f>
        <v>1490.3336178104073</v>
      </c>
      <c r="CN50" s="115">
        <f>IF(CN17&lt;1,0,IF(CN$6="System",CN$36*'Basin Allocations'!$J$6*$D$27,IF(CN$6="SJ",CN$11*'Basin Allocations'!$J$6,0)))*$C40</f>
        <v>10093.03603768468</v>
      </c>
      <c r="CO50" s="115">
        <f>IF(CO17&lt;1,0,IF(CO$6="System",CO$36*'Basin Allocations'!$J$6*$D$27,IF(CO$6="SJ",CO$11*'Basin Allocations'!$J$6,0)))*$C40</f>
        <v>457.43306509327431</v>
      </c>
      <c r="CP50" s="115">
        <f>IF(CP17&lt;1,0,IF(CP$6="System",CP$36*'Basin Allocations'!$J$6*$D$27,IF(CP$6="SJ",CP$11*'Basin Allocations'!$J$6,0)))*$C40</f>
        <v>19220.733313326302</v>
      </c>
      <c r="CQ50" s="115">
        <f>IF(CQ17&lt;1,0,IF(CQ$6="System",CQ$36*'Basin Allocations'!$J$6*$D$27,IF(CQ$6="SJ",CQ$11*'Basin Allocations'!$J$6,0)))*$C40</f>
        <v>0</v>
      </c>
      <c r="CR50" s="115">
        <f>IF(CR17&lt;1,0,IF(CR$6="System",CR$36*'Basin Allocations'!$J$6*$D$27,IF(CR$6="SJ",CR$11*'Basin Allocations'!$J$6,0)))*$C40</f>
        <v>58929.977070862951</v>
      </c>
      <c r="CS50" s="115">
        <f>IF(CS17&lt;1,0,IF(CS$6="System",CS$36*'Basin Allocations'!$J$6*$D$27,IF(CS$6="SJ",CS$11*'Basin Allocations'!$J$6,0)))*$C40</f>
        <v>3477.4451082242836</v>
      </c>
      <c r="CT50" s="115">
        <f>IF(CT17&lt;1,0,IF(CT$6="System",CT$36*'Basin Allocations'!$J$6*$D$27,IF(CT$6="SJ",CT$11*'Basin Allocations'!$J$6,0)))*$C40</f>
        <v>0</v>
      </c>
      <c r="CU50" s="115">
        <f>IF(CU17&lt;1,0,IF(CU$6="System",CU$36*'Basin Allocations'!$J$6*$D$27,IF(CU$6="SJ",CU$11*'Basin Allocations'!$J$6,0)))*$C40</f>
        <v>0</v>
      </c>
      <c r="CV50" s="115">
        <f>IF(CV17&lt;1,0,IF(CV$6="System",CV$36*'Basin Allocations'!$J$6*$D$27,IF(CV$6="SJ",CV$11*'Basin Allocations'!$J$6,0)))*$C40</f>
        <v>0</v>
      </c>
      <c r="CW50" s="115">
        <f>IF(CW17&lt;1,0,IF(CW$6="System",CW$36*'Basin Allocations'!$J$6*$D$27,IF(CW$6="SJ",CW$11*'Basin Allocations'!$J$6,0)))*$C40</f>
        <v>0</v>
      </c>
      <c r="CX50" s="115">
        <f>IF(CX17&lt;1,0,IF(CX$6="System",CX$36*'Basin Allocations'!$J$6*$D$27,IF(CX$6="SJ",CX$11*'Basin Allocations'!$J$6,0)))*$C40</f>
        <v>0</v>
      </c>
      <c r="CY50" s="72">
        <f t="shared" si="27"/>
        <v>95955.825471744713</v>
      </c>
      <c r="CZ50" s="76"/>
      <c r="DA50" s="72">
        <f>BZ50+CY50</f>
        <v>217912.03586955374</v>
      </c>
      <c r="DB50" s="74"/>
      <c r="DC50" s="117">
        <f>MIN(MIN($CB50:$CX50),MIN($D50:$BY50))</f>
        <v>0</v>
      </c>
      <c r="DD50" s="117">
        <f>MAX(MAX($CB50:$CX50),MAX($D50:$BY50))</f>
        <v>58929.977070862951</v>
      </c>
      <c r="DF50" s="89"/>
      <c r="DG50" s="143" t="s">
        <v>592</v>
      </c>
      <c r="DH50" s="149">
        <f>BP81</f>
        <v>150000</v>
      </c>
      <c r="DI50" s="89"/>
      <c r="DK50" s="89" t="s">
        <v>28</v>
      </c>
      <c r="DL50" s="149">
        <f>DI8+DI17+DI25+DI33</f>
        <v>159769.85090258619</v>
      </c>
      <c r="DM50"/>
      <c r="DN50" s="89"/>
      <c r="DO50" s="89"/>
      <c r="DP50" s="89"/>
      <c r="DQ50" s="89"/>
      <c r="DR50" s="89"/>
      <c r="DS50" s="89"/>
      <c r="DT50" s="89"/>
      <c r="DU50" s="89"/>
      <c r="DV50" s="89"/>
      <c r="DW50" s="89"/>
      <c r="DX50" s="89"/>
      <c r="DY50" s="89"/>
      <c r="DZ50" s="89"/>
      <c r="EA50" s="89"/>
      <c r="EB50" s="89"/>
      <c r="EC50" s="89"/>
      <c r="ED50" s="89"/>
      <c r="EE50" s="89"/>
      <c r="EF50" s="89"/>
      <c r="EG50" s="89"/>
      <c r="EH50" s="89"/>
      <c r="EI50" s="89"/>
    </row>
    <row r="51" spans="1:139" s="69" customFormat="1" x14ac:dyDescent="0.25">
      <c r="A51" s="69" t="s">
        <v>550</v>
      </c>
      <c r="B51" s="70"/>
      <c r="C51" s="176"/>
      <c r="D51" s="115">
        <f>IF(D17&lt;1,0,IF(D$6="System",D$36*'Basin Allocations'!$J$7*$D$27,IF(D$6="SJ",D$11*'Basin Allocations'!$J$7,0)))*$C41*IF(D$1="FR",$C$43,1)</f>
        <v>789.8395306697347</v>
      </c>
      <c r="E51" s="115">
        <f>IF(E17&lt;1,0,IF(E$6="System",E$36*'Basin Allocations'!$J$7*$D$27,IF(E$6="SJ",E$11*'Basin Allocations'!$J$7,0)))*$C41*IF(E$1="FR",$C$43,1)</f>
        <v>0</v>
      </c>
      <c r="F51" s="115">
        <f>IF(F17&lt;1,0,IF(F$6="System",F$36*'Basin Allocations'!$J$7*$D$27,IF(F$6="SJ",F$11*'Basin Allocations'!$J$7,0)))*$C41*IF(F$1="FR",$C$43,1)</f>
        <v>0</v>
      </c>
      <c r="G51" s="115">
        <f>IF(G17&lt;1,0,IF(G$6="System",G$36*'Basin Allocations'!$J$7*$D$27,IF(G$6="SJ",G$11*'Basin Allocations'!$J$7,0)))*$C41*IF(G$1="FR",$C$43,1)</f>
        <v>0</v>
      </c>
      <c r="H51" s="115">
        <f>IF(H17&lt;1,0,IF(H$6="System",H$36*'Basin Allocations'!$J$7*$D$27,IF(H$6="SJ",H$11*'Basin Allocations'!$J$7,0)))*$C41*IF(H$1="FR",$C$43,1)</f>
        <v>0</v>
      </c>
      <c r="I51" s="115">
        <f>IF(I17&lt;1,0,IF(I$6="System",I$36*'Basin Allocations'!$J$7*$D$27,IF(I$6="SJ",I$11*'Basin Allocations'!$J$7,0)))*$C41*IF(I$1="FR",$C$43,1)</f>
        <v>0</v>
      </c>
      <c r="J51" s="115">
        <f>IF(J17&lt;1,0,IF(J$6="System",J$36*'Basin Allocations'!$J$7*$D$27,IF(J$6="SJ",J$11*'Basin Allocations'!$J$7,0)))*$C41*IF(J$1="FR",$C$43,1)</f>
        <v>0</v>
      </c>
      <c r="K51" s="115">
        <f>IF(K17&lt;1,0,IF(K$6="System",K$36*'Basin Allocations'!$J$7*$D$27,IF(K$6="SJ",K$11*'Basin Allocations'!$J$7,0)))*$C41*IF(K$1="FR",$C$43,1)</f>
        <v>0</v>
      </c>
      <c r="L51" s="115">
        <f>IF(L17&lt;1,0,IF(L$6="System",L$36*'Basin Allocations'!$J$7*$D$27,IF(L$6="SJ",L$11*'Basin Allocations'!$J$7,0)))*$C41*IF(L$1="FR",$C$43,1)</f>
        <v>0</v>
      </c>
      <c r="M51" s="115">
        <f>IF(M17&lt;1,0,IF(M$6="System",M$36*'Basin Allocations'!$J$7*$D$27,IF(M$6="SJ",M$11*'Basin Allocations'!$J$7,0)))*$C41*IF(M$1="FR",$C$43,1)</f>
        <v>0</v>
      </c>
      <c r="N51" s="115">
        <f>IF(N17&lt;1,0,IF(N$6="System",N$36*'Basin Allocations'!$J$7*$D$27,IF(N$6="SJ",N$11*'Basin Allocations'!$J$7,0)))*$C41*IF(N$1="FR",$C$43,1)</f>
        <v>3949.1976533486745</v>
      </c>
      <c r="O51" s="115">
        <f>IF(O17&lt;1,0,IF(O$6="System",O$36*'Basin Allocations'!$J$7*$D$27,IF(O$6="SJ",O$11*'Basin Allocations'!$J$7,0)))*$C41*IF(O$1="FR",$C$43,1)</f>
        <v>0</v>
      </c>
      <c r="P51" s="115">
        <f>IF(P17&lt;1,0,IF(P$6="System",P$36*'Basin Allocations'!$J$7*$D$27,IF(P$6="SJ",P$11*'Basin Allocations'!$J$7,0)))*$C41*IF(P$1="FR",$C$43,1)</f>
        <v>1875.988026818377</v>
      </c>
      <c r="Q51" s="115">
        <f>IF(Q17&lt;1,0,IF(Q$6="System",Q$36*'Basin Allocations'!$J$7*$D$27,IF(Q$6="SJ",Q$11*'Basin Allocations'!$J$7,0)))*$C41*IF(Q$1="FR",$C$43,1)</f>
        <v>0</v>
      </c>
      <c r="R51" s="115">
        <f>IF(R17&lt;1,0,IF(R$6="System",R$36*'Basin Allocations'!$J$7*$D$27,IF(R$6="SJ",R$11*'Basin Allocations'!$J$7,0)))*$C41*IF(R$1="FR",$C$43,1)</f>
        <v>0</v>
      </c>
      <c r="S51" s="115">
        <f>IF(S17&lt;1,0,IF(S$6="System",S$36*'Basin Allocations'!$J$7*$D$27,IF(S$6="SJ",S$11*'Basin Allocations'!$J$7,0)))*$C41*IF(S$1="FR",$C$43,1)</f>
        <v>0</v>
      </c>
      <c r="T51" s="115">
        <f>IF(T17&lt;1,0,IF(T$6="System",T$36*'Basin Allocations'!$J$7*$D$27,IF(T$6="SJ",T$11*'Basin Allocations'!$J$7,0)))*$C41*IF(T$1="FR",$C$43,1)</f>
        <v>0</v>
      </c>
      <c r="U51" s="115">
        <f>IF(U17&lt;1,0,IF(U$6="System",U$36*'Basin Allocations'!$J$7*$D$27,IF(U$6="SJ",U$11*'Basin Allocations'!$J$7,0)))*$C41*IF(U$1="FR",$C$43,1)</f>
        <v>0</v>
      </c>
      <c r="V51" s="115">
        <f>IF(V17&lt;1,0,IF(V$6="System",V$36*'Basin Allocations'!$J$7*$D$27,IF(V$6="SJ",V$11*'Basin Allocations'!$J$7,0)))*$C41*IF(V$1="FR",$C$43,1)</f>
        <v>0</v>
      </c>
      <c r="W51" s="115">
        <f>IF(W17&lt;1,0,IF(W$6="System",W$36*'Basin Allocations'!$J$7*$D$27,IF(W$6="SJ",W$11*'Basin Allocations'!$J$7,0)))*$C41*IF(W$1="FR",$C$43,1)</f>
        <v>0</v>
      </c>
      <c r="X51" s="115">
        <f>IF(X17&lt;1,0,IF(X$6="System",X$36*'Basin Allocations'!$J$7*$D$27,IF(X$6="SJ",X$11*'Basin Allocations'!$J$7,0)))*$C41*IF(X$1="FR",$C$43,1)</f>
        <v>0</v>
      </c>
      <c r="Y51" s="115">
        <f>IF(Y17&lt;1,0,IF(Y$6="System",Y$36*'Basin Allocations'!$J$7*$D$27,IF(Y$6="SJ",Y$11*'Basin Allocations'!$J$7,0)))*$C41*IF(Y$1="FR",$C$43,1)</f>
        <v>1421.7111552055226</v>
      </c>
      <c r="Z51" s="115">
        <f>IF(Z17&lt;1,0,IF(Z$6="System",Z$36*'Basin Allocations'!$J$7*$D$27,IF(Z$6="SJ",Z$11*'Basin Allocations'!$J$7,0)))*$C41*IF(Z$1="FR",$C$43,1)</f>
        <v>0</v>
      </c>
      <c r="AA51" s="115">
        <f>IF(AA17&lt;1,0,IF(AA$6="System",AA$36*'Basin Allocations'!$J$7*$D$27,IF(AA$6="SJ",AA$11*'Basin Allocations'!$J$7,0)))*$C41*IF(AA$1="FR",$C$43,1)</f>
        <v>0</v>
      </c>
      <c r="AB51" s="115">
        <f>IF(AB17&lt;1,0,IF(AB$6="System",AB$36*'Basin Allocations'!$J$7*$D$27,IF(AB$6="SJ",AB$11*'Basin Allocations'!$J$7,0)))*$C41*IF(AB$1="FR",$C$43,1)</f>
        <v>0</v>
      </c>
      <c r="AC51" s="115">
        <f>IF(AC17&lt;1,0,IF(AC$6="System",AC$36*'Basin Allocations'!$J$7*$D$27,IF(AC$6="SJ",AC$11*'Basin Allocations'!$J$7,0)))*$C41*IF(AC$1="FR",$C$43,1)</f>
        <v>0</v>
      </c>
      <c r="AD51" s="115">
        <f>IF(AD17&lt;1,0,IF(AD$6="System",AD$36*'Basin Allocations'!$J$7*$D$27,IF(AD$6="SJ",AD$11*'Basin Allocations'!$J$7,0)))*$C41*IF(AD$1="FR",$C$43,1)</f>
        <v>0</v>
      </c>
      <c r="AE51" s="115">
        <f>IF(AE17&lt;1,0,IF(AE$6="System",AE$36*'Basin Allocations'!$J$7*$D$27,IF(AE$6="SJ",AE$11*'Basin Allocations'!$J$7,0)))*$C41*IF(AE$1="FR",$C$43,1)</f>
        <v>0</v>
      </c>
      <c r="AF51" s="115">
        <f>IF(AF17&lt;1,0,IF(AF$6="System",AF$36*'Basin Allocations'!$J$7*$D$27,IF(AF$6="SJ",AF$11*'Basin Allocations'!$J$7,0)))*$C41*IF(AF$1="FR",$C$43,1)</f>
        <v>0</v>
      </c>
      <c r="AG51" s="115">
        <f>IF(AG17&lt;1,0,IF(AG$6="System",AG$36*'Basin Allocations'!$J$7*$D$27,IF(AG$6="SJ",AG$11*'Basin Allocations'!$J$7,0)))*$C41*IF(AG$1="FR",$C$43,1)</f>
        <v>0</v>
      </c>
      <c r="AH51" s="115">
        <f>IF(AH17&lt;1,0,IF(AH$6="System",AH$36*'Basin Allocations'!$J$7*$D$27,IF(AH$6="SJ",AH$11*'Basin Allocations'!$J$7,0)))*$C41*IF(AH$1="FR",$C$43,1)</f>
        <v>0</v>
      </c>
      <c r="AI51" s="115">
        <f>IF(AI17&lt;1,0,IF(AI$6="System",AI$36*'Basin Allocations'!$J$7*$D$27,IF(AI$6="SJ",AI$11*'Basin Allocations'!$J$7,0)))*$C41*IF(AI$1="FR",$C$43,1)</f>
        <v>0</v>
      </c>
      <c r="AJ51" s="115">
        <f>IF(AJ17&lt;1,0,IF(AJ$6="System",AJ$36*'Basin Allocations'!$J$7*$D$27,IF(AJ$6="SJ",AJ$11*'Basin Allocations'!$J$7,0)))*$C41*IF(AJ$1="FR",$C$43,1)</f>
        <v>0</v>
      </c>
      <c r="AK51" s="115">
        <f>IF(AK17&lt;1,0,IF(AK$6="System",AK$36*'Basin Allocations'!$J$7*$D$27,IF(AK$6="SJ",AK$11*'Basin Allocations'!$J$7,0)))*$C41*IF(AK$1="FR",$C$43,1)</f>
        <v>0</v>
      </c>
      <c r="AL51" s="115">
        <f>IF(AL17&lt;1,0,IF(AL$6="System",AL$36*'Basin Allocations'!$J$7*$D$27,IF(AL$6="SJ",AL$11*'Basin Allocations'!$J$7,0)))*$C41*IF(AL$1="FR",$C$43,1)</f>
        <v>0</v>
      </c>
      <c r="AM51" s="115">
        <f>IF(AM17&lt;1,0,IF(AM$6="System",AM$36*'Basin Allocations'!$J$7*$D$27,IF(AM$6="SJ",AM$11*'Basin Allocations'!$J$7,0)))*$C41*IF(AM$1="FR",$C$43,1)</f>
        <v>0</v>
      </c>
      <c r="AN51" s="115">
        <f>IF(AN17&lt;1,0,IF(AN$6="System",AN$36*'Basin Allocations'!$J$7*$D$27,IF(AN$6="SJ",AN$11*'Basin Allocations'!$J$7,0)))*$C41*IF(AN$1="FR",$C$43,1)</f>
        <v>0</v>
      </c>
      <c r="AO51" s="115">
        <f>IF(AO17&lt;1,0,IF(AO$6="System",AO$36*'Basin Allocations'!$J$7*$D$27,IF(AO$6="SJ",AO$11*'Basin Allocations'!$J$7,0)))*$C41*IF(AO$1="FR",$C$43,1)</f>
        <v>1007.5279526368234</v>
      </c>
      <c r="AP51" s="115">
        <f>IF(AP17&lt;1,0,IF(AP$6="System",AP$36*'Basin Allocations'!$J$7*$D$27,IF(AP$6="SJ",AP$11*'Basin Allocations'!$J$7,0)))*$C41*IF(AP$1="FR",$C$43,1)</f>
        <v>0</v>
      </c>
      <c r="AQ51" s="115">
        <f>IF(AQ17&lt;1,0,IF(AQ$6="System",AQ$36*'Basin Allocations'!$J$7*$D$27,IF(AQ$6="SJ",AQ$11*'Basin Allocations'!$J$7,0)))*$C41*IF(AQ$1="FR",$C$43,1)</f>
        <v>0</v>
      </c>
      <c r="AR51" s="115">
        <f>IF(AR17&lt;1,0,IF(AR$6="System",AR$36*'Basin Allocations'!$J$7*$D$27,IF(AR$6="SJ",AR$11*'Basin Allocations'!$J$7,0)))*$C41*IF(AR$1="FR",$C$43,1)</f>
        <v>0</v>
      </c>
      <c r="AS51" s="115">
        <f>IF(AS17&lt;1,0,IF(AS$6="System",AS$36*'Basin Allocations'!$J$7*$D$27,IF(AS$6="SJ",AS$11*'Basin Allocations'!$J$7,0)))*$C41*IF(AS$1="FR",$C$43,1)</f>
        <v>0</v>
      </c>
      <c r="AT51" s="115">
        <f>IF(AT17&lt;1,0,IF(AT$6="System",AT$36*'Basin Allocations'!$J$7*$D$27,IF(AT$6="SJ",AT$11*'Basin Allocations'!$J$7,0)))*$C41*IF(AT$1="FR",$C$43,1)</f>
        <v>281.53614983047839</v>
      </c>
      <c r="AU51" s="115">
        <f>IF(AU17&lt;1,0,IF(AU$6="System",AU$36*'Basin Allocations'!$J$7*$D$27,IF(AU$6="SJ",AU$11*'Basin Allocations'!$J$7,0)))*$C41*IF(AU$1="FR",$C$43,1)</f>
        <v>0</v>
      </c>
      <c r="AV51" s="115">
        <f>IF(AV17&lt;1,0,IF(AV$6="System",AV$36*'Basin Allocations'!$J$7*$D$27,IF(AV$6="SJ",AV$11*'Basin Allocations'!$J$7,0)))*$C41*IF(AV$1="FR",$C$43,1)</f>
        <v>275.62032029005201</v>
      </c>
      <c r="AW51" s="115">
        <f>IF(AW17&lt;1,0,IF(AW$6="System",AW$36*'Basin Allocations'!$J$7*$D$27,IF(AW$6="SJ",AW$11*'Basin Allocations'!$J$7,0)))*$C41*IF(AW$1="FR",$C$43,1)</f>
        <v>367.06251066791941</v>
      </c>
      <c r="AX51" s="115">
        <f>IF(AX17&lt;1,0,IF(AX$6="System",AX$36*'Basin Allocations'!$J$7*$D$27,IF(AX$6="SJ",AX$11*'Basin Allocations'!$J$7,0)))*$C41*IF(AX$1="FR",$C$43,1)</f>
        <v>0</v>
      </c>
      <c r="AY51" s="115">
        <f>IF(AY17&lt;1,0,IF(AY$6="System",AY$36*'Basin Allocations'!$J$7*$D$27,IF(AY$6="SJ",AY$11*'Basin Allocations'!$J$7,0)))*$C41*IF(AY$1="FR",$C$43,1)</f>
        <v>0</v>
      </c>
      <c r="AZ51" s="115">
        <f>IF(AZ17&lt;1,0,IF(AZ$6="System",AZ$36*'Basin Allocations'!$J$7*$D$27,IF(AZ$6="SJ",AZ$11*'Basin Allocations'!$J$7,0)))*$C41*IF(AZ$1="FR",$C$43,1)</f>
        <v>0</v>
      </c>
      <c r="BA51" s="115">
        <f>IF(BA17&lt;1,0,IF(BA$6="System",BA$36*'Basin Allocations'!$J$7*$D$27,IF(BA$6="SJ",BA$11*'Basin Allocations'!$J$7,0)))*$C41*IF(BA$1="FR",$C$43,1)</f>
        <v>0</v>
      </c>
      <c r="BB51" s="115">
        <f>IF(BB17&lt;1,0,IF(BB$6="System",BB$36*'Basin Allocations'!$J$7*$D$27,IF(BB$6="SJ",BB$11*'Basin Allocations'!$J$7,0)))*$C41*IF(BB$1="FR",$C$43,1)</f>
        <v>164.72014259918052</v>
      </c>
      <c r="BC51" s="115">
        <f>IF(BC17&lt;1,0,IF(BC$6="System",BC$36*'Basin Allocations'!$J$7*$D$27,IF(BC$6="SJ",BC$11*'Basin Allocations'!$J$7,0)))*$C41*IF(BC$1="FR",$C$43,1)</f>
        <v>1002.1898465522244</v>
      </c>
      <c r="BD51" s="115">
        <f>IF(BD17&lt;1,0,IF(BD$6="System",BD$36*'Basin Allocations'!$J$7*$D$27,IF(BD$6="SJ",BD$11*'Basin Allocations'!$J$7,0)))*$C41*IF(BD$1="FR",$C$43,1)</f>
        <v>0</v>
      </c>
      <c r="BE51" s="115">
        <f>IF(BE17&lt;1,0,IF(BE$6="System",BE$36*'Basin Allocations'!$J$7*$D$27,IF(BE$6="SJ",BE$11*'Basin Allocations'!$J$7,0)))*$C41*IF(BE$1="FR",$C$43,1)</f>
        <v>0</v>
      </c>
      <c r="BF51" s="115">
        <f>IF(BF17&lt;1,0,IF(BF$6="System",BF$36*'Basin Allocations'!$J$7*$D$27,IF(BF$6="SJ",BF$11*'Basin Allocations'!$J$7,0)))*$C41*IF(BF$1="FR",$C$43,1)</f>
        <v>789.8395306697347</v>
      </c>
      <c r="BG51" s="115">
        <f>IF(BG17&lt;1,0,IF(BG$6="System",BG$36*'Basin Allocations'!$J$7*$D$27,IF(BG$6="SJ",BG$11*'Basin Allocations'!$J$7,0)))*$C41*IF(BG$1="FR",$C$43,1)</f>
        <v>0</v>
      </c>
      <c r="BH51" s="115">
        <f>IF(BH17&lt;1,0,IF(BH$6="System",BH$36*'Basin Allocations'!$J$7*$D$27,IF(BH$6="SJ",BH$11*'Basin Allocations'!$J$7,0)))*$C41*IF(BH$1="FR",$C$43,1)</f>
        <v>0</v>
      </c>
      <c r="BI51" s="115">
        <f>IF(BI17&lt;1,0,IF(BI$6="System",BI$36*'Basin Allocations'!$J$7*$D$27,IF(BI$6="SJ",BI$11*'Basin Allocations'!$J$7,0)))*$C41*IF(BI$1="FR",$C$43,1)</f>
        <v>0</v>
      </c>
      <c r="BJ51" s="115">
        <f>IF(BJ17&lt;1,0,IF(BJ$6="System",BJ$36*'Basin Allocations'!$J$7*$D$27,IF(BJ$6="SJ",BJ$11*'Basin Allocations'!$J$7,0)))*$C41*IF(BJ$1="FR",$C$43,1)</f>
        <v>0</v>
      </c>
      <c r="BK51" s="115">
        <f>IF(BK17&lt;1,0,IF(BK$6="System",BK$36*'Basin Allocations'!$J$7*$D$27,IF(BK$6="SJ",BK$11*'Basin Allocations'!$J$7,0)))*$C41*IF(BK$1="FR",$C$43,1)</f>
        <v>21325.66732808284</v>
      </c>
      <c r="BL51" s="115">
        <f>IF(BL17&lt;1,0,IF(BL$6="System",BL$36*'Basin Allocations'!$J$7*$D$27,IF(BL$6="SJ",BL$11*'Basin Allocations'!$J$7,0)))*$C41*IF(BL$1="FR",$C$43,1)</f>
        <v>0</v>
      </c>
      <c r="BM51" s="115">
        <f>IF(BM17&lt;1,0,IF(BM$6="System",BM$36*'Basin Allocations'!$J$7*$D$27,IF(BM$6="SJ",BM$11*'Basin Allocations'!$J$7,0)))*$C41*IF(BM$1="FR",$C$43,1)</f>
        <v>248.60683790338149</v>
      </c>
      <c r="BN51" s="115">
        <f>IF(BN17&lt;1,0,IF(BN$6="System",BN$36*'Basin Allocations'!$J$7*$D$27,IF(BN$6="SJ",BN$11*'Basin Allocations'!$J$7,0)))*$C41*IF(BN$1="FR",$C$43,1)</f>
        <v>0</v>
      </c>
      <c r="BO51" s="115">
        <f>IF(BO17&lt;1,0,IF(BO$6="System",BO$36*'Basin Allocations'!$J$7*$D$27,IF(BO$6="SJ",BO$11*'Basin Allocations'!$J$7,0)))*$C41*IF(BO$1="FR",$C$43,1)</f>
        <v>0</v>
      </c>
      <c r="BP51" s="115">
        <f>IF(BP17&lt;1,0,IF(BP$6="System",BP$36*'Basin Allocations'!$J$7*$D$27,IF(BP$6="SJ",BP$11*'Basin Allocations'!$J$7,0)))*$C41*IF(BP$1="FR",$C$43,1)</f>
        <v>5923.7964800230111</v>
      </c>
      <c r="BQ51" s="115">
        <f>IF(BQ17&lt;1,0,IF(BQ$6="System",BQ$36*'Basin Allocations'!$J$7*$D$27,IF(BQ$6="SJ",BQ$11*'Basin Allocations'!$J$7,0)))*$C41*IF(BQ$1="FR",$C$43,1)</f>
        <v>243.17309144629263</v>
      </c>
      <c r="BR51" s="115">
        <f>IF(BR17&lt;1,0,IF(BR$6="System",BR$36*'Basin Allocations'!$J$7*$D$27,IF(BR$6="SJ",BR$11*'Basin Allocations'!$J$7,0)))*$C41*IF(BR$1="FR",$C$43,1)</f>
        <v>0</v>
      </c>
      <c r="BS51" s="115">
        <f>IF(BS17&lt;1,0,IF(BS$6="System",BS$36*'Basin Allocations'!$J$7*$D$27,IF(BS$6="SJ",BS$11*'Basin Allocations'!$J$7,0)))*$C41*IF(BS$1="FR",$C$43,1)</f>
        <v>0</v>
      </c>
      <c r="BT51" s="115">
        <f>IF(BT17&lt;1,0,IF(BT$6="System",BT$36*'Basin Allocations'!$J$7*$D$27,IF(BT$6="SJ",BT$11*'Basin Allocations'!$J$7,0)))*$C41*IF(BT$1="FR",$C$43,1)</f>
        <v>6911.0958933601796</v>
      </c>
      <c r="BU51" s="115">
        <f>IF(BU17&lt;1,0,IF(BU$6="System",BU$36*'Basin Allocations'!$J$7*$D$27,IF(BU$6="SJ",BU$11*'Basin Allocations'!$J$7,0)))*$C41*IF(BU$1="FR",$C$43,1)</f>
        <v>0</v>
      </c>
      <c r="BV51" s="115">
        <f>IF(BV17&lt;1,0,IF(BV$6="System",BV$36*'Basin Allocations'!$J$7*$D$27,IF(BV$6="SJ",BV$11*'Basin Allocations'!$J$7,0)))*$C41*IF(BV$1="FR",$C$43,1)</f>
        <v>0</v>
      </c>
      <c r="BW51" s="115">
        <f>IF(BW17&lt;1,0,IF(BW$6="System",BW$36*'Basin Allocations'!$J$7*$D$27,IF(BW$6="SJ",BW$11*'Basin Allocations'!$J$7,0)))*$C41*IF(BW$1="FR",$C$43,1)</f>
        <v>750.34755413624782</v>
      </c>
      <c r="BX51" s="115">
        <f>IF(BX17&lt;1,0,IF(BX$6="System",BX$36*'Basin Allocations'!$J$7*$D$27,IF(BX$6="SJ",BX$11*'Basin Allocations'!$J$7,0)))*$C41*IF(BX$1="FR",$C$43,1)</f>
        <v>57.520083123064751</v>
      </c>
      <c r="BY51" s="115">
        <f>IF(BY17&lt;1,0,IF(BY$6="System",BY$36*'Basin Allocations'!$J$7*$D$27,IF(BY$6="SJ",BY$11*'Basin Allocations'!$J$7,0)))*$C41*IF(BY$1="FR",$C$43,1)</f>
        <v>0</v>
      </c>
      <c r="BZ51" s="78">
        <f t="shared" si="26"/>
        <v>47385.440087363735</v>
      </c>
      <c r="CA51" s="76"/>
      <c r="CB51" s="115">
        <f>IF(CB17&lt;1,0,IF(CB$6="System",CB$36*'Basin Allocations'!$J$7*$D$27,IF(CB$6="SJ",CB$11*'Basin Allocations'!$J$7,0)))*$C41</f>
        <v>0</v>
      </c>
      <c r="CC51" s="115">
        <f>IF(CC17&lt;1,0,IF(CC$6="System",CC$36*'Basin Allocations'!$J$7*$D$27,IF(CC$6="SJ",CC$11*'Basin Allocations'!$J$7,0)))*$C41</f>
        <v>0</v>
      </c>
      <c r="CD51" s="115">
        <f>IF(CD17&lt;1,0,IF(CD$6="System",CD$36*'Basin Allocations'!$J$7*$D$27,IF(CD$6="SJ",CD$11*'Basin Allocations'!$J$7,0)))*$C41</f>
        <v>0</v>
      </c>
      <c r="CE51" s="115">
        <f>IF(CE17&lt;1,0,IF(CE$6="System",CE$36*'Basin Allocations'!$J$7*$D$27,IF(CE$6="SJ",CE$11*'Basin Allocations'!$J$7,0)))*$C41</f>
        <v>0</v>
      </c>
      <c r="CF51" s="115">
        <f>IF(CF17&lt;1,0,IF(CF$6="System",CF$36*'Basin Allocations'!$J$7*$D$27,IF(CF$6="SJ",CF$11*'Basin Allocations'!$J$7,0)))*$C41</f>
        <v>0</v>
      </c>
      <c r="CG51" s="115">
        <f>IF(CG17&lt;1,0,IF(CG$6="System",CG$36*'Basin Allocations'!$J$7*$D$27,IF(CG$6="SJ",CG$11*'Basin Allocations'!$J$7,0)))*$C41</f>
        <v>0</v>
      </c>
      <c r="CH51" s="115">
        <f>IF(CH17&lt;1,0,IF(CH$6="System",CH$36*'Basin Allocations'!$J$7*$D$27,IF(CH$6="SJ",CH$11*'Basin Allocations'!$J$7,0)))*$C41</f>
        <v>493.63040462726781</v>
      </c>
      <c r="CI51" s="115">
        <f>IF(CI17&lt;1,0,IF(CI$6="System",CI$36*'Basin Allocations'!$J$7*$D$27,IF(CI$6="SJ",CI$11*'Basin Allocations'!$J$7,0)))*$C41</f>
        <v>0</v>
      </c>
      <c r="CJ51" s="115">
        <f>IF(CJ17&lt;1,0,IF(CJ$6="System",CJ$36*'Basin Allocations'!$J$7*$D$27,IF(CJ$6="SJ",CJ$11*'Basin Allocations'!$J$7,0)))*$C41</f>
        <v>394.91976533486735</v>
      </c>
      <c r="CK51" s="115">
        <f>IF(CK17&lt;1,0,IF(CK$6="System",CK$36*'Basin Allocations'!$J$7*$D$27,IF(CK$6="SJ",CK$11*'Basin Allocations'!$J$7,0)))*$C41</f>
        <v>0</v>
      </c>
      <c r="CL51" s="115">
        <f>IF(CL17&lt;1,0,IF(CL$6="System",CL$36*'Basin Allocations'!$J$7*$D$27,IF(CL$6="SJ",CL$11*'Basin Allocations'!$J$7,0)))*$C41</f>
        <v>0</v>
      </c>
      <c r="CM51" s="115">
        <f>IF(CM17&lt;1,0,IF(CM$6="System",CM$36*'Basin Allocations'!$J$7*$D$27,IF(CM$6="SJ",CM$11*'Basin Allocations'!$J$7,0)))*$C41</f>
        <v>579.06123949394043</v>
      </c>
      <c r="CN51" s="115">
        <f>IF(CN17&lt;1,0,IF(CN$6="System",CN$36*'Basin Allocations'!$J$7*$D$27,IF(CN$6="SJ",CN$11*'Basin Allocations'!$J$7,0)))*$C41</f>
        <v>3921.59573426613</v>
      </c>
      <c r="CO51" s="115">
        <f>IF(CO17&lt;1,0,IF(CO$6="System",CO$36*'Basin Allocations'!$J$7*$D$27,IF(CO$6="SJ",CO$11*'Basin Allocations'!$J$7,0)))*$C41</f>
        <v>177.7331964420068</v>
      </c>
      <c r="CP51" s="115">
        <f>IF(CP17&lt;1,0,IF(CP$6="System",CP$36*'Basin Allocations'!$J$7*$D$27,IF(CP$6="SJ",CP$11*'Basin Allocations'!$J$7,0)))*$C41</f>
        <v>7468.1142016707172</v>
      </c>
      <c r="CQ51" s="115">
        <f>IF(CQ17&lt;1,0,IF(CQ$6="System",CQ$36*'Basin Allocations'!$J$7*$D$27,IF(CQ$6="SJ",CQ$11*'Basin Allocations'!$J$7,0)))*$C41</f>
        <v>0</v>
      </c>
      <c r="CR51" s="115">
        <f>IF(CR17&lt;1,0,IF(CR$6="System",CR$36*'Basin Allocations'!$J$7*$D$27,IF(CR$6="SJ",CR$11*'Basin Allocations'!$J$7,0)))*$C41</f>
        <v>22896.930699408331</v>
      </c>
      <c r="CS51" s="115">
        <f>IF(CS17&lt;1,0,IF(CS$6="System",CS$36*'Basin Allocations'!$J$7*$D$27,IF(CS$6="SJ",CS$11*'Basin Allocations'!$J$7,0)))*$C41</f>
        <v>1351.142892152528</v>
      </c>
      <c r="CT51" s="115">
        <f>IF(CT17&lt;1,0,IF(CT$6="System",CT$36*'Basin Allocations'!$J$7*$D$27,IF(CT$6="SJ",CT$11*'Basin Allocations'!$J$7,0)))*$C41</f>
        <v>0</v>
      </c>
      <c r="CU51" s="115">
        <f>IF(CU17&lt;1,0,IF(CU$6="System",CU$36*'Basin Allocations'!$J$7*$D$27,IF(CU$6="SJ",CU$11*'Basin Allocations'!$J$7,0)))*$C41</f>
        <v>0</v>
      </c>
      <c r="CV51" s="115">
        <f>IF(CV17&lt;1,0,IF(CV$6="System",CV$36*'Basin Allocations'!$J$7*$D$27,IF(CV$6="SJ",CV$11*'Basin Allocations'!$J$7,0)))*$C41</f>
        <v>0</v>
      </c>
      <c r="CW51" s="115">
        <f>IF(CW17&lt;1,0,IF(CW$6="System",CW$36*'Basin Allocations'!$J$7*$D$27,IF(CW$6="SJ",CW$11*'Basin Allocations'!$J$7,0)))*$C41</f>
        <v>0</v>
      </c>
      <c r="CX51" s="115">
        <f>IF(CX17&lt;1,0,IF(CX$6="System",CX$36*'Basin Allocations'!$J$7*$D$27,IF(CX$6="SJ",CX$11*'Basin Allocations'!$J$7,0)))*$C41</f>
        <v>0</v>
      </c>
      <c r="CY51" s="72">
        <f t="shared" si="27"/>
        <v>37283.128133395789</v>
      </c>
      <c r="CZ51" s="76"/>
      <c r="DA51" s="72">
        <f>BZ51+CY51</f>
        <v>84668.568220759524</v>
      </c>
      <c r="DB51" s="74"/>
      <c r="DC51" s="117">
        <f>MIN(MIN($CB51:$CX51),MIN($D51:$BY51))</f>
        <v>0</v>
      </c>
      <c r="DD51" s="117">
        <f>MAX(MAX($CB51:$CX51),MAX($D51:$BY51))</f>
        <v>22896.930699408331</v>
      </c>
      <c r="DF51" s="89"/>
      <c r="DG51" s="143" t="s">
        <v>595</v>
      </c>
      <c r="DH51" s="132">
        <f>SUMIF($D$9:$CX$9,"EOCSMLEE",$D$81:$CX$81)</f>
        <v>181245.35679374391</v>
      </c>
      <c r="DI51" s="89" t="s">
        <v>658</v>
      </c>
      <c r="DK51" s="89" t="s">
        <v>29</v>
      </c>
      <c r="DL51" s="149">
        <f>DI10+DI19+DI27+DI35</f>
        <v>821912.96187683288</v>
      </c>
      <c r="DM51"/>
      <c r="DN51" s="119"/>
      <c r="DO51" s="89"/>
      <c r="DP51" s="89"/>
      <c r="DQ51" s="89"/>
      <c r="DR51" s="89"/>
      <c r="DS51" s="89"/>
      <c r="DT51" s="89"/>
      <c r="DU51" s="89"/>
      <c r="DV51" s="89"/>
      <c r="DW51" s="89"/>
      <c r="DX51" s="89"/>
      <c r="DY51" s="89"/>
      <c r="DZ51" s="89"/>
      <c r="EA51" s="89"/>
      <c r="EB51" s="89"/>
      <c r="EC51" s="89"/>
      <c r="ED51" s="89"/>
      <c r="EE51" s="89"/>
      <c r="EF51" s="89"/>
      <c r="EG51" s="89"/>
      <c r="EH51" s="89"/>
      <c r="EI51" s="89"/>
    </row>
    <row r="52" spans="1:139" s="69" customFormat="1" ht="13.8" thickBot="1" x14ac:dyDescent="0.3">
      <c r="A52" s="69" t="s">
        <v>551</v>
      </c>
      <c r="B52" s="70"/>
      <c r="C52" s="176"/>
      <c r="D52" s="115">
        <f>IF(D17&lt;1,0,IF(D$6="System",D$36*'Basin Allocations'!$J$8*$D$27,IF(D$6="SJ",(D$11-D51-D50),0)))*$C42/IF(D$6="SJ",$C42,1)*IF(D$1="FR",$C$43,1)</f>
        <v>9362.8825922201886</v>
      </c>
      <c r="E52" s="115">
        <f>IF(E17&lt;1,0,IF(E$6="System",E$36*'Basin Allocations'!$J$8*$D$27,IF(E$6="SJ",(E$11-E51-E50),0)))*$C42/IF(E$6="SJ",$C42,1)*IF(E$1="FR",$C$43,1)</f>
        <v>0</v>
      </c>
      <c r="F52" s="115">
        <f>IF(F17&lt;1,0,IF(F$6="System",F$36*'Basin Allocations'!$J$8*$D$27,IF(F$6="SJ",(F$11-F51-F50),0)))*$C42/IF(F$6="SJ",$C42,1)*IF(F$1="FR",$C$43,1)</f>
        <v>0</v>
      </c>
      <c r="G52" s="115">
        <f>IF(G17&lt;1,0,IF(G$6="System",G$36*'Basin Allocations'!$J$8*$D$27,IF(G$6="SJ",(G$11-G51-G50),0)))*$C42/IF(G$6="SJ",$C42,1)*IF(G$1="FR",$C$43,1)</f>
        <v>0</v>
      </c>
      <c r="H52" s="115">
        <f>IF(H17&lt;1,0,IF(H$6="System",H$36*'Basin Allocations'!$J$8*$D$27,IF(H$6="SJ",(H$11-H51-H50),0)))*$C42/IF(H$6="SJ",$C42,1)*IF(H$1="FR",$C$43,1)</f>
        <v>0</v>
      </c>
      <c r="I52" s="115">
        <f>IF(I17&lt;1,0,IF(I$6="System",I$36*'Basin Allocations'!$J$8*$D$27,IF(I$6="SJ",(I$11-I51-I50),0)))*$C42/IF(I$6="SJ",$C42,1)*IF(I$1="FR",$C$43,1)</f>
        <v>0</v>
      </c>
      <c r="J52" s="115">
        <f>IF(J17&lt;1,0,IF(J$6="System",J$36*'Basin Allocations'!$J$8*$D$27,IF(J$6="SJ",(J$11-J51-J50),0)))*$C42/IF(J$6="SJ",$C42,1)*IF(J$1="FR",$C$43,1)</f>
        <v>0</v>
      </c>
      <c r="K52" s="115">
        <f>IF(K17&lt;1,0,IF(K$6="System",K$36*'Basin Allocations'!$J$8*$D$27,IF(K$6="SJ",(K$11-K51-K50),0)))*$C42/IF(K$6="SJ",$C42,1)*IF(K$1="FR",$C$43,1)</f>
        <v>0</v>
      </c>
      <c r="L52" s="115">
        <f>IF(L17&lt;1,0,IF(L$6="System",L$36*'Basin Allocations'!$J$8*$D$27,IF(L$6="SJ",(L$11-L51-L50),0)))*$C42/IF(L$6="SJ",$C42,1)*IF(L$1="FR",$C$43,1)</f>
        <v>0</v>
      </c>
      <c r="M52" s="115">
        <f>IF(M17&lt;1,0,IF(M$6="System",M$36*'Basin Allocations'!$J$8*$D$27,IF(M$6="SJ",(M$11-M51-M50),0)))*$C42/IF(M$6="SJ",$C42,1)*IF(M$1="FR",$C$43,1)</f>
        <v>0</v>
      </c>
      <c r="N52" s="115">
        <f>IF(N17&lt;1,0,IF(N$6="System",N$36*'Basin Allocations'!$J$8*$D$27,IF(N$6="SJ",(N$11-N51-N50),0)))*$C42/IF(N$6="SJ",$C42,1)*IF(N$1="FR",$C$43,1)</f>
        <v>46814.412961100956</v>
      </c>
      <c r="O52" s="115">
        <f>IF(O17&lt;1,0,IF(O$6="System",O$36*'Basin Allocations'!$J$8*$D$27,IF(O$6="SJ",(O$11-O51-O50),0)))*$C42/IF(O$6="SJ",$C42,1)*IF(O$1="FR",$C$43,1)</f>
        <v>0</v>
      </c>
      <c r="P52" s="115">
        <f>IF(P17&lt;1,0,IF(P$6="System",P$36*'Basin Allocations'!$J$8*$D$27,IF(P$6="SJ",(P$11-P51-P50),0)))*$C42/IF(P$6="SJ",$C42,1)*IF(P$1="FR",$C$43,1)</f>
        <v>22238.258478424792</v>
      </c>
      <c r="Q52" s="115">
        <f>IF(Q17&lt;1,0,IF(Q$6="System",Q$36*'Basin Allocations'!$J$8*$D$27,IF(Q$6="SJ",(Q$11-Q51-Q50),0)))*$C42/IF(Q$6="SJ",$C42,1)*IF(Q$1="FR",$C$43,1)</f>
        <v>0</v>
      </c>
      <c r="R52" s="115">
        <f>IF(R17&lt;1,0,IF(R$6="System",R$36*'Basin Allocations'!$J$8*$D$27,IF(R$6="SJ",(R$11-R51-R50),0)))*$C42/IF(R$6="SJ",$C42,1)*IF(R$1="FR",$C$43,1)</f>
        <v>0</v>
      </c>
      <c r="S52" s="115">
        <f>IF(S17&lt;1,0,IF(S$6="System",S$36*'Basin Allocations'!$J$8*$D$27,IF(S$6="SJ",(S$11-S51-S50),0)))*$C42/IF(S$6="SJ",$C42,1)*IF(S$1="FR",$C$43,1)</f>
        <v>0</v>
      </c>
      <c r="T52" s="115">
        <f>IF(T17&lt;1,0,IF(T$6="System",T$36*'Basin Allocations'!$J$8*$D$27,IF(T$6="SJ",(T$11-T51-T50),0)))*$C42/IF(T$6="SJ",$C42,1)*IF(T$1="FR",$C$43,1)</f>
        <v>0</v>
      </c>
      <c r="U52" s="115">
        <f>IF(U17&lt;1,0,IF(U$6="System",U$36*'Basin Allocations'!$J$8*$D$27,IF(U$6="SJ",(U$11-U51-U50),0)))*$C42/IF(U$6="SJ",$C42,1)*IF(U$1="FR",$C$43,1)</f>
        <v>0</v>
      </c>
      <c r="V52" s="115">
        <f>IF(V17&lt;1,0,IF(V$6="System",V$36*'Basin Allocations'!$J$8*$D$27,IF(V$6="SJ",(V$11-V51-V50),0)))*$C42/IF(V$6="SJ",$C42,1)*IF(V$1="FR",$C$43,1)</f>
        <v>0</v>
      </c>
      <c r="W52" s="115">
        <f>IF(W17&lt;1,0,IF(W$6="System",W$36*'Basin Allocations'!$J$8*$D$27,IF(W$6="SJ",(W$11-W51-W50),0)))*$C42/IF(W$6="SJ",$C42,1)*IF(W$1="FR",$C$43,1)</f>
        <v>0</v>
      </c>
      <c r="X52" s="115">
        <f>IF(X17&lt;1,0,IF(X$6="System",X$36*'Basin Allocations'!$J$8*$D$27,IF(X$6="SJ",(X$11-X51-X50),0)))*$C42/IF(X$6="SJ",$C42,1)*IF(X$1="FR",$C$43,1)</f>
        <v>0</v>
      </c>
      <c r="Y52" s="115">
        <f>IF(Y17&lt;1,0,IF(Y$6="System",Y$36*'Basin Allocations'!$J$8*$D$27,IF(Y$6="SJ",(Y$11-Y51-Y50),0)))*$C42/IF(Y$6="SJ",$C42,1)*IF(Y$1="FR",$C$43,1)</f>
        <v>16853.188665996342</v>
      </c>
      <c r="Z52" s="115">
        <f>IF(Z17&lt;1,0,IF(Z$6="System",Z$36*'Basin Allocations'!$J$8*$D$27,IF(Z$6="SJ",(Z$11-Z51-Z50),0)))*$C42/IF(Z$6="SJ",$C42,1)*IF(Z$1="FR",$C$43,1)</f>
        <v>0</v>
      </c>
      <c r="AA52" s="115">
        <f>IF(AA17&lt;1,0,IF(AA$6="System",AA$36*'Basin Allocations'!$J$8*$D$27,IF(AA$6="SJ",(AA$11-AA51-AA50),0)))*$C42/IF(AA$6="SJ",$C42,1)*IF(AA$1="FR",$C$43,1)</f>
        <v>0</v>
      </c>
      <c r="AB52" s="115">
        <f>IF(AB17&lt;1,0,IF(AB$6="System",AB$36*'Basin Allocations'!$J$8*$D$27,IF(AB$6="SJ",(AB$11-AB51-AB50),0)))*$C42/IF(AB$6="SJ",$C42,1)*IF(AB$1="FR",$C$43,1)</f>
        <v>0</v>
      </c>
      <c r="AC52" s="115">
        <f>IF(AC17&lt;1,0,IF(AC$6="System",AC$36*'Basin Allocations'!$J$8*$D$27,IF(AC$6="SJ",(AC$11-AC51-AC50),0)))*$C42/IF(AC$6="SJ",$C42,1)*IF(AC$1="FR",$C$43,1)</f>
        <v>0</v>
      </c>
      <c r="AD52" s="115">
        <f>IF(AD17&lt;1,0,IF(AD$6="System",AD$36*'Basin Allocations'!$J$8*$D$27,IF(AD$6="SJ",(AD$11-AD51-AD50),0)))*$C42/IF(AD$6="SJ",$C42,1)*IF(AD$1="FR",$C$43,1)</f>
        <v>0</v>
      </c>
      <c r="AE52" s="115">
        <f>IF(AE17&lt;1,0,IF(AE$6="System",AE$36*'Basin Allocations'!$J$8*$D$27,IF(AE$6="SJ",(AE$11-AE51-AE50),0)))*$C42/IF(AE$6="SJ",$C42,1)*IF(AE$1="FR",$C$43,1)</f>
        <v>0</v>
      </c>
      <c r="AF52" s="115">
        <f>IF(AF17&lt;1,0,IF(AF$6="System",AF$36*'Basin Allocations'!$J$8*$D$27,IF(AF$6="SJ",(AF$11-AF51-AF50),0)))*$C42/IF(AF$6="SJ",$C42,1)*IF(AF$1="FR",$C$43,1)</f>
        <v>0</v>
      </c>
      <c r="AG52" s="115">
        <f>IF(AG17&lt;1,0,IF(AG$6="System",AG$36*'Basin Allocations'!$J$8*$D$27,IF(AG$6="SJ",(AG$11-AG51-AG50),0)))*$C42/IF(AG$6="SJ",$C42,1)*IF(AG$1="FR",$C$43,1)</f>
        <v>0</v>
      </c>
      <c r="AH52" s="115">
        <f>IF(AH17&lt;1,0,IF(AH$6="System",AH$36*'Basin Allocations'!$J$8*$D$27,IF(AH$6="SJ",(AH$11-AH51-AH50),0)))*$C42/IF(AH$6="SJ",$C42,1)*IF(AH$1="FR",$C$43,1)</f>
        <v>0</v>
      </c>
      <c r="AI52" s="115">
        <f>IF(AI17&lt;1,0,IF(AI$6="System",AI$36*'Basin Allocations'!$J$8*$D$27,IF(AI$6="SJ",(AI$11-AI51-AI50),0)))*$C42/IF(AI$6="SJ",$C42,1)*IF(AI$1="FR",$C$43,1)</f>
        <v>0</v>
      </c>
      <c r="AJ52" s="115">
        <f>IF(AJ17&lt;1,0,IF(AJ$6="System",AJ$36*'Basin Allocations'!$J$8*$D$27,IF(AJ$6="SJ",(AJ$11-AJ51-AJ50),0)))*$C42/IF(AJ$6="SJ",$C42,1)*IF(AJ$1="FR",$C$43,1)</f>
        <v>0</v>
      </c>
      <c r="AK52" s="115">
        <f>IF(AK17&lt;1,0,IF(AK$6="System",AK$36*'Basin Allocations'!$J$8*$D$27,IF(AK$6="SJ",(AK$11-AK51-AK50),0)))*$C42/IF(AK$6="SJ",$C42,1)*IF(AK$1="FR",$C$43,1)</f>
        <v>0</v>
      </c>
      <c r="AL52" s="115">
        <f>IF(AL17&lt;1,0,IF(AL$6="System",AL$36*'Basin Allocations'!$J$8*$D$27,IF(AL$6="SJ",(AL$11-AL51-AL50),0)))*$C42/IF(AL$6="SJ",$C42,1)*IF(AL$1="FR",$C$43,1)</f>
        <v>0</v>
      </c>
      <c r="AM52" s="115">
        <f>IF(AM17&lt;1,0,IF(AM$6="System",AM$36*'Basin Allocations'!$J$8*$D$27,IF(AM$6="SJ",(AM$11-AM51-AM50),0)))*$C42/IF(AM$6="SJ",$C42,1)*IF(AM$1="FR",$C$43,1)</f>
        <v>0</v>
      </c>
      <c r="AN52" s="115">
        <f>IF(AN17&lt;1,0,IF(AN$6="System",AN$36*'Basin Allocations'!$J$8*$D$27,IF(AN$6="SJ",(AN$11-AN51-AN50),0)))*$C42/IF(AN$6="SJ",$C42,1)*IF(AN$1="FR",$C$43,1)</f>
        <v>0</v>
      </c>
      <c r="AO52" s="115">
        <f>IF(AO17&lt;1,0,IF(AO$6="System",AO$36*'Basin Allocations'!$J$8*$D$27,IF(AO$6="SJ",(AO$11-AO51-AO50),0)))*$C42/IF(AO$6="SJ",$C42,1)*IF(AO$1="FR",$C$43,1)</f>
        <v>11943.395541268561</v>
      </c>
      <c r="AP52" s="115">
        <f>IF(AP17&lt;1,0,IF(AP$6="System",AP$36*'Basin Allocations'!$J$8*$D$27,IF(AP$6="SJ",(AP$11-AP51-AP50),0)))*$C42/IF(AP$6="SJ",$C42,1)*IF(AP$1="FR",$C$43,1)</f>
        <v>0</v>
      </c>
      <c r="AQ52" s="115">
        <f>IF(AQ17&lt;1,0,IF(AQ$6="System",AQ$36*'Basin Allocations'!$J$8*$D$27,IF(AQ$6="SJ",(AQ$11-AQ51-AQ50),0)))*$C42/IF(AQ$6="SJ",$C42,1)*IF(AQ$1="FR",$C$43,1)</f>
        <v>0</v>
      </c>
      <c r="AR52" s="115">
        <f>IF(AR17&lt;1,0,IF(AR$6="System",AR$36*'Basin Allocations'!$J$8*$D$27,IF(AR$6="SJ",(AR$11-AR51-AR50),0)))*$C42/IF(AR$6="SJ",$C42,1)*IF(AR$1="FR",$C$43,1)</f>
        <v>0</v>
      </c>
      <c r="AS52" s="115">
        <f>IF(AS17&lt;1,0,IF(AS$6="System",AS$36*'Basin Allocations'!$J$8*$D$27,IF(AS$6="SJ",(AS$11-AS51-AS50),0)))*$C42/IF(AS$6="SJ",$C42,1)*IF(AS$1="FR",$C$43,1)</f>
        <v>0</v>
      </c>
      <c r="AT52" s="115">
        <f>IF(AT17&lt;1,0,IF(AT$6="System",AT$36*'Basin Allocations'!$J$8*$D$27,IF(AT$6="SJ",(AT$11-AT51-AT50),0)))*$C42/IF(AT$6="SJ",$C42,1)*IF(AT$1="FR",$C$43,1)</f>
        <v>3993.8724596493134</v>
      </c>
      <c r="AU52" s="115">
        <f>IF(AU17&lt;1,0,IF(AU$6="System",AU$36*'Basin Allocations'!$J$8*$D$27,IF(AU$6="SJ",(AU$11-AU51-AU50),0)))*$C42/IF(AU$6="SJ",$C42,1)*IF(AU$1="FR",$C$43,1)</f>
        <v>0</v>
      </c>
      <c r="AV52" s="115">
        <f>IF(AV17&lt;1,0,IF(AV$6="System",AV$36*'Basin Allocations'!$J$8*$D$27,IF(AV$6="SJ",(AV$11-AV51-AV50),0)))*$C42/IF(AV$6="SJ",$C42,1)*IF(AV$1="FR",$C$43,1)</f>
        <v>3267.2468250831816</v>
      </c>
      <c r="AW52" s="115">
        <f>IF(AW17&lt;1,0,IF(AW$6="System",AW$36*'Basin Allocations'!$J$8*$D$27,IF(AW$6="SJ",(AW$11-AW51-AW50),0)))*$C42/IF(AW$6="SJ",$C42,1)*IF(AW$1="FR",$C$43,1)</f>
        <v>4351.2169978060483</v>
      </c>
      <c r="AX52" s="115">
        <f>IF(AX17&lt;1,0,IF(AX$6="System",AX$36*'Basin Allocations'!$J$8*$D$27,IF(AX$6="SJ",(AX$11-AX51-AX50),0)))*$C42/IF(AX$6="SJ",$C42,1)*IF(AX$1="FR",$C$43,1)</f>
        <v>0</v>
      </c>
      <c r="AY52" s="115">
        <f>IF(AY17&lt;1,0,IF(AY$6="System",AY$36*'Basin Allocations'!$J$8*$D$27,IF(AY$6="SJ",(AY$11-AY51-AY50),0)))*$C42/IF(AY$6="SJ",$C42,1)*IF(AY$1="FR",$C$43,1)</f>
        <v>0</v>
      </c>
      <c r="AZ52" s="115">
        <f>IF(AZ17&lt;1,0,IF(AZ$6="System",AZ$36*'Basin Allocations'!$J$8*$D$27,IF(AZ$6="SJ",(AZ$11-AZ51-AZ50),0)))*$C42/IF(AZ$6="SJ",$C42,1)*IF(AZ$1="FR",$C$43,1)</f>
        <v>0</v>
      </c>
      <c r="BA52" s="115">
        <f>IF(BA17&lt;1,0,IF(BA$6="System",BA$36*'Basin Allocations'!$J$8*$D$27,IF(BA$6="SJ",(BA$11-BA51-BA50),0)))*$C42/IF(BA$6="SJ",$C42,1)*IF(BA$1="FR",$C$43,1)</f>
        <v>0</v>
      </c>
      <c r="BB52" s="115">
        <f>IF(BB17&lt;1,0,IF(BB$6="System",BB$36*'Basin Allocations'!$J$8*$D$27,IF(BB$6="SJ",(BB$11-BB51-BB50),0)))*$C42/IF(BB$6="SJ",$C42,1)*IF(BB$1="FR",$C$43,1)</f>
        <v>1952.618596364958</v>
      </c>
      <c r="BC52" s="115">
        <f>IF(BC17&lt;1,0,IF(BC$6="System",BC$36*'Basin Allocations'!$J$8*$D$27,IF(BC$6="SJ",(BC$11-BC51-BC50),0)))*$C42/IF(BC$6="SJ",$C42,1)*IF(BC$1="FR",$C$43,1)</f>
        <v>11880.116788314101</v>
      </c>
      <c r="BD52" s="115">
        <f>IF(BD17&lt;1,0,IF(BD$6="System",BD$36*'Basin Allocations'!$J$8*$D$27,IF(BD$6="SJ",(BD$11-BD51-BD50),0)))*$C42/IF(BD$6="SJ",$C42,1)*IF(BD$1="FR",$C$43,1)</f>
        <v>0</v>
      </c>
      <c r="BE52" s="115">
        <f>IF(BE17&lt;1,0,IF(BE$6="System",BE$36*'Basin Allocations'!$J$8*$D$27,IF(BE$6="SJ",(BE$11-BE51-BE50),0)))*$C42/IF(BE$6="SJ",$C42,1)*IF(BE$1="FR",$C$43,1)</f>
        <v>0</v>
      </c>
      <c r="BF52" s="115">
        <f>IF(BF17&lt;1,0,IF(BF$6="System",BF$36*'Basin Allocations'!$J$8*$D$27,IF(BF$6="SJ",(BF$11-BF51-BF50),0)))*$C42/IF(BF$6="SJ",$C42,1)*IF(BF$1="FR",$C$43,1)</f>
        <v>9362.8825922201886</v>
      </c>
      <c r="BG52" s="115">
        <f>IF(BG17&lt;1,0,IF(BG$6="System",BG$36*'Basin Allocations'!$J$8*$D$27,IF(BG$6="SJ",(BG$11-BG51-BG50),0)))*$C42/IF(BG$6="SJ",$C42,1)*IF(BG$1="FR",$C$43,1)</f>
        <v>0</v>
      </c>
      <c r="BH52" s="115">
        <f>IF(BH17&lt;1,0,IF(BH$6="System",BH$36*'Basin Allocations'!$J$8*$D$27,IF(BH$6="SJ",(BH$11-BH51-BH50),0)))*$C42/IF(BH$6="SJ",$C42,1)*IF(BH$1="FR",$C$43,1)</f>
        <v>0</v>
      </c>
      <c r="BI52" s="115">
        <f>IF(BI17&lt;1,0,IF(BI$6="System",BI$36*'Basin Allocations'!$J$8*$D$27,IF(BI$6="SJ",(BI$11-BI51-BI50),0)))*$C42/IF(BI$6="SJ",$C42,1)*IF(BI$1="FR",$C$43,1)</f>
        <v>0</v>
      </c>
      <c r="BJ52" s="115">
        <f>IF(BJ17&lt;1,0,IF(BJ$6="System",BJ$36*'Basin Allocations'!$J$8*$D$27,IF(BJ$6="SJ",(BJ$11-BJ51-BJ50),0)))*$C42/IF(BJ$6="SJ",$C42,1)*IF(BJ$1="FR",$C$43,1)</f>
        <v>0</v>
      </c>
      <c r="BK52" s="115">
        <f>IF(BK17&lt;1,0,IF(BK$6="System",BK$36*'Basin Allocations'!$J$8*$D$27,IF(BK$6="SJ",(BK$11-BK51-BK50),0)))*$C42/IF(BK$6="SJ",$C42,1)*IF(BK$1="FR",$C$43,1)</f>
        <v>252797.82998994514</v>
      </c>
      <c r="BL52" s="115">
        <f>IF(BL17&lt;1,0,IF(BL$6="System",BL$36*'Basin Allocations'!$J$8*$D$27,IF(BL$6="SJ",(BL$11-BL51-BL50),0)))*$C42/IF(BL$6="SJ",$C42,1)*IF(BL$1="FR",$C$43,1)</f>
        <v>0</v>
      </c>
      <c r="BM52" s="115">
        <f>IF(BM17&lt;1,0,IF(BM$6="System",BM$36*'Basin Allocations'!$J$8*$D$27,IF(BM$6="SJ",(BM$11-BM51-BM50),0)))*$C42/IF(BM$6="SJ",$C42,1)*IF(BM$1="FR",$C$43,1)</f>
        <v>2947.0247367066472</v>
      </c>
      <c r="BN52" s="115">
        <f>IF(BN17&lt;1,0,IF(BN$6="System",BN$36*'Basin Allocations'!$J$8*$D$27,IF(BN$6="SJ",(BN$11-BN51-BN50),0)))*$C42/IF(BN$6="SJ",$C42,1)*IF(BN$1="FR",$C$43,1)</f>
        <v>0</v>
      </c>
      <c r="BO52" s="115">
        <f>IF(BO17&lt;1,0,IF(BO$6="System",BO$36*'Basin Allocations'!$J$8*$D$27,IF(BO$6="SJ",(BO$11-BO51-BO50),0)))*$C42/IF(BO$6="SJ",$C42,1)*IF(BO$1="FR",$C$43,1)</f>
        <v>0</v>
      </c>
      <c r="BP52" s="115">
        <f>IF(BP17&lt;1,0,IF(BP$6="System",BP$36*'Basin Allocations'!$J$8*$D$27,IF(BP$6="SJ",(BP$11-BP51-BP50),0)))*$C42/IF(BP$6="SJ",$C42,1)*IF(BP$1="FR",$C$43,1)</f>
        <v>70221.619441651419</v>
      </c>
      <c r="BQ52" s="115">
        <f>IF(BQ17&lt;1,0,IF(BQ$6="System",BQ$36*'Basin Allocations'!$J$8*$D$27,IF(BQ$6="SJ",(BQ$11-BQ51-BQ50),0)))*$C42/IF(BQ$6="SJ",$C42,1)*IF(BQ$1="FR",$C$43,1)</f>
        <v>2882.6122476653909</v>
      </c>
      <c r="BR52" s="115">
        <f>IF(BR17&lt;1,0,IF(BR$6="System",BR$36*'Basin Allocations'!$J$8*$D$27,IF(BR$6="SJ",(BR$11-BR51-BR50),0)))*$C42/IF(BR$6="SJ",$C42,1)*IF(BR$1="FR",$C$43,1)</f>
        <v>0</v>
      </c>
      <c r="BS52" s="115">
        <f>IF(BS17&lt;1,0,IF(BS$6="System",BS$36*'Basin Allocations'!$J$8*$D$27,IF(BS$6="SJ",(BS$11-BS51-BS50),0)))*$C42/IF(BS$6="SJ",$C42,1)*IF(BS$1="FR",$C$43,1)</f>
        <v>0</v>
      </c>
      <c r="BT52" s="115">
        <f>IF(BT17&lt;1,0,IF(BT$6="System",BT$36*'Basin Allocations'!$J$8*$D$27,IF(BT$6="SJ",(BT$11-BT51-BT50),0)))*$C42/IF(BT$6="SJ",$C42,1)*IF(BT$1="FR",$C$43,1)</f>
        <v>81925.222681926665</v>
      </c>
      <c r="BU52" s="115">
        <f>IF(BU17&lt;1,0,IF(BU$6="System",BU$36*'Basin Allocations'!$J$8*$D$27,IF(BU$6="SJ",(BU$11-BU51-BU50),0)))*$C42/IF(BU$6="SJ",$C42,1)*IF(BU$1="FR",$C$43,1)</f>
        <v>0</v>
      </c>
      <c r="BV52" s="115">
        <f>IF(BV17&lt;1,0,IF(BV$6="System",BV$36*'Basin Allocations'!$J$8*$D$27,IF(BV$6="SJ",(BV$11-BV51-BV50),0)))*$C42/IF(BV$6="SJ",$C42,1)*IF(BV$1="FR",$C$43,1)</f>
        <v>0</v>
      </c>
      <c r="BW52" s="115">
        <f>IF(BW17&lt;1,0,IF(BW$6="System",BW$36*'Basin Allocations'!$J$8*$D$27,IF(BW$6="SJ",(BW$11-BW51-BW50),0)))*$C42/IF(BW$6="SJ",$C42,1)*IF(BW$1="FR",$C$43,1)</f>
        <v>8894.7384626091807</v>
      </c>
      <c r="BX52" s="115">
        <f>IF(BX17&lt;1,0,IF(BX$6="System",BX$36*'Basin Allocations'!$J$8*$D$27,IF(BX$6="SJ",(BX$11-BX51-BX50),0)))*$C42/IF(BX$6="SJ",$C42,1)*IF(BX$1="FR",$C$43,1)</f>
        <v>681.85215358788298</v>
      </c>
      <c r="BY52" s="115">
        <f>IF(BY17&lt;1,0,IF(BY$6="System",BY$36*'Basin Allocations'!$J$8*$D$27,IF(BY$6="SJ",(BY$11-BY51-BY50),0)))*$C42/IF(BY$6="SJ",$C42,1)*IF(BY$1="FR",$C$43,1)</f>
        <v>0</v>
      </c>
      <c r="BZ52" s="78">
        <f t="shared" si="26"/>
        <v>562370.99221254094</v>
      </c>
      <c r="CA52" s="76"/>
      <c r="CB52" s="115">
        <f>IF(CB17&lt;1,0,IF(CB$6="System",CB$36*'Basin Allocations'!$J$8*$D$27,IF(CB$6="SJ",(CB$11-CB51-CB50),0)))*$C42/IF(CB$6="SJ",$C42,1)</f>
        <v>0</v>
      </c>
      <c r="CC52" s="115">
        <f>IF(CC17&lt;1,0,IF(CC$6="System",CC$36*'Basin Allocations'!$J$8*$D$27,IF(CC$6="SJ",(CC$11-CC51-CC50),0)))*$C42/IF(CC$6="SJ",$C42,1)</f>
        <v>0</v>
      </c>
      <c r="CD52" s="115">
        <f>IF(CD17&lt;1,0,IF(CD$6="System",CD$36*'Basin Allocations'!$J$8*$D$27,IF(CD$6="SJ",(CD$11-CD51-CD50),0)))*$C42/IF(CD$6="SJ",$C42,1)</f>
        <v>0</v>
      </c>
      <c r="CE52" s="115">
        <f>IF(CE17&lt;1,0,IF(CE$6="System",CE$36*'Basin Allocations'!$J$8*$D$27,IF(CE$6="SJ",(CE$11-CE51-CE50),0)))*$C42/IF(CE$6="SJ",$C42,1)</f>
        <v>0</v>
      </c>
      <c r="CF52" s="115">
        <f>IF(CF17&lt;1,0,IF(CF$6="System",CF$36*'Basin Allocations'!$J$8*$D$27,IF(CF$6="SJ",(CF$11-CF51-CF50),0)))*$C42/IF(CF$6="SJ",$C42,1)</f>
        <v>0</v>
      </c>
      <c r="CG52" s="115">
        <f>IF(CG17&lt;1,0,IF(CG$6="System",CG$36*'Basin Allocations'!$J$8*$D$27,IF(CG$6="SJ",(CG$11-CG51-CG50),0)))*$C42/IF(CG$6="SJ",$C42,1)</f>
        <v>0</v>
      </c>
      <c r="CH52" s="115">
        <f>IF(CH17&lt;1,0,IF(CH$6="System",CH$36*'Basin Allocations'!$J$8*$D$27,IF(CH$6="SJ",(CH$11-CH51-CH50),0)))*$C42/IF(CH$6="SJ",$C42,1)</f>
        <v>5851.5728106901061</v>
      </c>
      <c r="CI52" s="115">
        <f>IF(CI17&lt;1,0,IF(CI$6="System",CI$36*'Basin Allocations'!$J$8*$D$27,IF(CI$6="SJ",(CI$11-CI51-CI50),0)))*$C42/IF(CI$6="SJ",$C42,1)</f>
        <v>0</v>
      </c>
      <c r="CJ52" s="115">
        <f>IF(CJ17&lt;1,0,IF(CJ$6="System",CJ$36*'Basin Allocations'!$J$8*$D$27,IF(CJ$6="SJ",(CJ$11-CJ51-CJ50),0)))*$C42/IF(CJ$6="SJ",$C42,1)</f>
        <v>4681.4412961100943</v>
      </c>
      <c r="CK52" s="115">
        <f>IF(CK17&lt;1,0,IF(CK$6="System",CK$36*'Basin Allocations'!$J$8*$D$27,IF(CK$6="SJ",(CK$11-CK51-CK50),0)))*$C42/IF(CK$6="SJ",$C42,1)</f>
        <v>0</v>
      </c>
      <c r="CL52" s="115">
        <f>IF(CL17&lt;1,0,IF(CL$6="System",CL$36*'Basin Allocations'!$J$8*$D$27,IF(CL$6="SJ",(CL$11-CL51-CL50),0)))*$C42/IF(CL$6="SJ",$C42,1)</f>
        <v>0</v>
      </c>
      <c r="CM52" s="115">
        <f>IF(CM17&lt;1,0,IF(CM$6="System",CM$36*'Basin Allocations'!$J$8*$D$27,IF(CM$6="SJ",(CM$11-CM51-CM50),0)))*$C42/IF(CM$6="SJ",$C42,1)</f>
        <v>6864.2834253813717</v>
      </c>
      <c r="CN52" s="115">
        <f>IF(CN17&lt;1,0,IF(CN$6="System",CN$36*'Basin Allocations'!$J$8*$D$27,IF(CN$6="SJ",(CN$11-CN51-CN50),0)))*$C42/IF(CN$6="SJ",$C42,1)</f>
        <v>46487.215451157776</v>
      </c>
      <c r="CO52" s="115">
        <f>IF(CO17&lt;1,0,IF(CO$6="System",CO$36*'Basin Allocations'!$J$8*$D$27,IF(CO$6="SJ",(CO$11-CO51-CO50),0)))*$C42/IF(CO$6="SJ",$C42,1)</f>
        <v>2106.8773926970557</v>
      </c>
      <c r="CP52" s="115">
        <f>IF(CP17&lt;1,0,IF(CP$6="System",CP$36*'Basin Allocations'!$J$8*$D$27,IF(CP$6="SJ",(CP$11-CP51-CP50),0)))*$C42/IF(CP$6="SJ",$C42,1)</f>
        <v>88528.205718248515</v>
      </c>
      <c r="CQ52" s="115">
        <f>IF(CQ17&lt;1,0,IF(CQ$6="System",CQ$36*'Basin Allocations'!$J$8*$D$27,IF(CQ$6="SJ",(CQ$11-CQ51-CQ50),0)))*$C42/IF(CQ$6="SJ",$C42,1)</f>
        <v>0</v>
      </c>
      <c r="CR52" s="115">
        <f>IF(CR17&lt;1,0,IF(CR$6="System",CR$36*'Basin Allocations'!$J$8*$D$27,IF(CR$6="SJ",(CR$11-CR51-CR50),0)))*$C42/IF(CR$6="SJ",$C42,1)</f>
        <v>271423.83425526996</v>
      </c>
      <c r="CS52" s="115">
        <f>IF(CS17&lt;1,0,IF(CS$6="System",CS$36*'Basin Allocations'!$J$8*$D$27,IF(CS$6="SJ",(CS$11-CS51-CS50),0)))*$C42/IF(CS$6="SJ",$C42,1)</f>
        <v>16016.661325889869</v>
      </c>
      <c r="CT52" s="115">
        <f>IF(CT17&lt;1,0,IF(CT$6="System",CT$36*'Basin Allocations'!$J$8*$D$27,IF(CT$6="SJ",(CT$11-CT51-CT50),0)))*$C42/IF(CT$6="SJ",$C42,1)</f>
        <v>0</v>
      </c>
      <c r="CU52" s="115">
        <f>IF(CU17&lt;1,0,IF(CU$6="System",CU$36*'Basin Allocations'!$J$8*$D$27,IF(CU$6="SJ",(CU$11-CU51-CU50),0)))*$C42/IF(CU$6="SJ",$C42,1)</f>
        <v>0</v>
      </c>
      <c r="CV52" s="115">
        <f>IF(CV17&lt;1,0,IF(CV$6="System",CV$36*'Basin Allocations'!$J$8*$D$27,IF(CV$6="SJ",(CV$11-CV51-CV50),0)))*$C42/IF(CV$6="SJ",$C42,1)</f>
        <v>0</v>
      </c>
      <c r="CW52" s="115">
        <f>IF(CW17&lt;1,0,IF(CW$6="System",CW$36*'Basin Allocations'!$J$8*$D$27,IF(CW$6="SJ",(CW$11-CW51-CW50),0)))*$C42/IF(CW$6="SJ",$C42,1)</f>
        <v>0</v>
      </c>
      <c r="CX52" s="115">
        <f>IF(CX17&lt;1,0,IF(CX$6="System",CX$36*'Basin Allocations'!$J$8*$D$27,IF(CX$6="SJ",(CX$11-CX51-CX50),0)))*$C42/IF(CX$6="SJ",$C42,1)</f>
        <v>0</v>
      </c>
      <c r="CY52" s="72">
        <f t="shared" si="27"/>
        <v>441960.09167544474</v>
      </c>
      <c r="CZ52" s="76"/>
      <c r="DA52" s="72">
        <f>BZ52+CY52</f>
        <v>1004331.0838879857</v>
      </c>
      <c r="DB52" s="74"/>
      <c r="DC52" s="117">
        <f>MIN(MIN($CB52:$CX52),MIN($D52:$BY52))</f>
        <v>0</v>
      </c>
      <c r="DD52" s="117">
        <f>MAX(MAX($CB52:$CX52),MAX($D52:$BY52))</f>
        <v>271423.83425526996</v>
      </c>
      <c r="DF52" s="89"/>
      <c r="DG52" s="143" t="s">
        <v>593</v>
      </c>
      <c r="DH52" s="132">
        <f>SUMIF(D$9:CX$9,"EOCSML",D$81:CX$81)</f>
        <v>768571.84750733129</v>
      </c>
      <c r="DI52" s="89" t="s">
        <v>695</v>
      </c>
      <c r="DK52" s="143" t="s">
        <v>25</v>
      </c>
      <c r="DL52" s="195">
        <f>SUM(DL46:DL51)</f>
        <v>4379878.7878787881</v>
      </c>
      <c r="DM52"/>
      <c r="DN52" s="119"/>
      <c r="DO52" s="89"/>
      <c r="DP52" s="89"/>
      <c r="DQ52" s="89"/>
      <c r="DR52" s="89"/>
      <c r="DS52" s="89"/>
      <c r="DT52" s="89"/>
      <c r="DU52" s="89"/>
      <c r="DV52" s="89"/>
      <c r="DW52" s="89"/>
      <c r="DX52" s="89"/>
      <c r="DY52" s="89"/>
      <c r="DZ52" s="89"/>
      <c r="EA52" s="89"/>
      <c r="EB52" s="89"/>
      <c r="EC52" s="89"/>
      <c r="ED52" s="89"/>
      <c r="EE52" s="89"/>
      <c r="EF52" s="89"/>
      <c r="EG52" s="89"/>
      <c r="EH52" s="89"/>
      <c r="EI52" s="89"/>
    </row>
    <row r="53" spans="1:139" s="69" customFormat="1" ht="13.8" thickTop="1" x14ac:dyDescent="0.25">
      <c r="A53" s="69" t="s">
        <v>552</v>
      </c>
      <c r="B53" s="89"/>
      <c r="C53" s="89"/>
      <c r="D53" s="115">
        <f>SUM(D50:D52)</f>
        <v>12185.537177583319</v>
      </c>
      <c r="E53" s="115">
        <f t="shared" ref="E53:BO53" si="31">SUM(E50:E52)</f>
        <v>0</v>
      </c>
      <c r="F53" s="115">
        <f t="shared" si="31"/>
        <v>0</v>
      </c>
      <c r="G53" s="115">
        <f t="shared" si="31"/>
        <v>0</v>
      </c>
      <c r="H53" s="115">
        <f t="shared" si="31"/>
        <v>0</v>
      </c>
      <c r="I53" s="115">
        <f t="shared" si="31"/>
        <v>0</v>
      </c>
      <c r="J53" s="115">
        <f t="shared" si="31"/>
        <v>0</v>
      </c>
      <c r="K53" s="115">
        <f t="shared" si="31"/>
        <v>0</v>
      </c>
      <c r="L53" s="115">
        <f t="shared" si="31"/>
        <v>0</v>
      </c>
      <c r="M53" s="115">
        <f t="shared" si="31"/>
        <v>0</v>
      </c>
      <c r="N53" s="115">
        <f t="shared" si="31"/>
        <v>60927.68588791661</v>
      </c>
      <c r="O53" s="115">
        <f t="shared" si="31"/>
        <v>0</v>
      </c>
      <c r="P53" s="115">
        <f t="shared" si="31"/>
        <v>28942.488895323735</v>
      </c>
      <c r="Q53" s="115">
        <f t="shared" si="31"/>
        <v>0</v>
      </c>
      <c r="R53" s="115">
        <f t="shared" si="31"/>
        <v>0</v>
      </c>
      <c r="S53" s="115">
        <f t="shared" si="31"/>
        <v>0</v>
      </c>
      <c r="T53" s="115">
        <f t="shared" si="31"/>
        <v>0</v>
      </c>
      <c r="U53" s="115">
        <f t="shared" si="31"/>
        <v>0</v>
      </c>
      <c r="V53" s="115">
        <f t="shared" si="31"/>
        <v>0</v>
      </c>
      <c r="W53" s="115">
        <f t="shared" si="31"/>
        <v>0</v>
      </c>
      <c r="X53" s="115">
        <f t="shared" si="31"/>
        <v>0</v>
      </c>
      <c r="Y53" s="115">
        <f t="shared" si="31"/>
        <v>21933.966919649974</v>
      </c>
      <c r="Z53" s="115">
        <f t="shared" si="31"/>
        <v>0</v>
      </c>
      <c r="AA53" s="115">
        <f t="shared" si="31"/>
        <v>0</v>
      </c>
      <c r="AB53" s="115">
        <f t="shared" si="31"/>
        <v>0</v>
      </c>
      <c r="AC53" s="115">
        <f t="shared" si="31"/>
        <v>0</v>
      </c>
      <c r="AD53" s="115">
        <f t="shared" si="31"/>
        <v>0</v>
      </c>
      <c r="AE53" s="115">
        <f t="shared" si="31"/>
        <v>0</v>
      </c>
      <c r="AF53" s="115">
        <f t="shared" si="31"/>
        <v>0</v>
      </c>
      <c r="AG53" s="115">
        <f t="shared" si="31"/>
        <v>0</v>
      </c>
      <c r="AH53" s="115">
        <f t="shared" si="31"/>
        <v>0</v>
      </c>
      <c r="AI53" s="115">
        <f t="shared" si="31"/>
        <v>0</v>
      </c>
      <c r="AJ53" s="115">
        <f t="shared" si="31"/>
        <v>0</v>
      </c>
      <c r="AK53" s="115">
        <f t="shared" si="31"/>
        <v>0</v>
      </c>
      <c r="AL53" s="115">
        <f t="shared" si="31"/>
        <v>0</v>
      </c>
      <c r="AM53" s="115">
        <f t="shared" si="31"/>
        <v>0</v>
      </c>
      <c r="AN53" s="115">
        <f t="shared" si="31"/>
        <v>0</v>
      </c>
      <c r="AO53" s="115">
        <f t="shared" si="31"/>
        <v>15544.004633320972</v>
      </c>
      <c r="AP53" s="115">
        <f t="shared" si="31"/>
        <v>0</v>
      </c>
      <c r="AQ53" s="115">
        <f t="shared" si="31"/>
        <v>0</v>
      </c>
      <c r="AR53" s="115">
        <f t="shared" si="31"/>
        <v>0</v>
      </c>
      <c r="AS53" s="115">
        <f t="shared" si="31"/>
        <v>0</v>
      </c>
      <c r="AT53" s="115">
        <f t="shared" si="31"/>
        <v>5000</v>
      </c>
      <c r="AU53" s="115">
        <f t="shared" si="31"/>
        <v>0</v>
      </c>
      <c r="AV53" s="115">
        <f t="shared" si="31"/>
        <v>4252.2329275466664</v>
      </c>
      <c r="AW53" s="115">
        <f t="shared" si="31"/>
        <v>5662.9906412107603</v>
      </c>
      <c r="AX53" s="115">
        <f t="shared" si="31"/>
        <v>0</v>
      </c>
      <c r="AY53" s="115">
        <f t="shared" si="31"/>
        <v>0</v>
      </c>
      <c r="AZ53" s="115">
        <f t="shared" si="31"/>
        <v>0</v>
      </c>
      <c r="BA53" s="115">
        <f t="shared" si="31"/>
        <v>0</v>
      </c>
      <c r="BB53" s="115">
        <f t="shared" si="31"/>
        <v>2541.2800241045879</v>
      </c>
      <c r="BC53" s="115">
        <f t="shared" si="31"/>
        <v>15461.649056490563</v>
      </c>
      <c r="BD53" s="115">
        <f t="shared" si="31"/>
        <v>0</v>
      </c>
      <c r="BE53" s="115">
        <f t="shared" si="31"/>
        <v>0</v>
      </c>
      <c r="BF53" s="115">
        <f t="shared" si="31"/>
        <v>12185.537177583319</v>
      </c>
      <c r="BG53" s="115">
        <f t="shared" si="31"/>
        <v>0</v>
      </c>
      <c r="BH53" s="115">
        <f t="shared" si="31"/>
        <v>0</v>
      </c>
      <c r="BI53" s="115">
        <f t="shared" si="31"/>
        <v>0</v>
      </c>
      <c r="BJ53" s="115">
        <f t="shared" si="31"/>
        <v>0</v>
      </c>
      <c r="BK53" s="115">
        <f t="shared" si="31"/>
        <v>329009.50379474962</v>
      </c>
      <c r="BL53" s="115">
        <f t="shared" si="31"/>
        <v>0</v>
      </c>
      <c r="BM53" s="115">
        <f t="shared" si="31"/>
        <v>3835.4725842910593</v>
      </c>
      <c r="BN53" s="115">
        <f t="shared" si="31"/>
        <v>0</v>
      </c>
      <c r="BO53" s="115">
        <f t="shared" si="31"/>
        <v>0</v>
      </c>
      <c r="BP53" s="115">
        <f t="shared" ref="BP53:BY53" si="32">SUM(BP50:BP52)</f>
        <v>91391.528831874894</v>
      </c>
      <c r="BQ53" s="115">
        <f t="shared" si="32"/>
        <v>3751.6414807626334</v>
      </c>
      <c r="BR53" s="115">
        <f t="shared" si="32"/>
        <v>0</v>
      </c>
      <c r="BS53" s="115">
        <f t="shared" si="32"/>
        <v>0</v>
      </c>
      <c r="BT53" s="115">
        <f t="shared" si="32"/>
        <v>106623.45030385406</v>
      </c>
      <c r="BU53" s="115">
        <f t="shared" si="32"/>
        <v>0</v>
      </c>
      <c r="BV53" s="115">
        <f t="shared" si="32"/>
        <v>0</v>
      </c>
      <c r="BW53" s="115">
        <f t="shared" si="32"/>
        <v>11576.260318704153</v>
      </c>
      <c r="BX53" s="115">
        <f t="shared" si="32"/>
        <v>887.41204274678148</v>
      </c>
      <c r="BY53" s="115">
        <f t="shared" si="32"/>
        <v>0</v>
      </c>
      <c r="BZ53" s="78">
        <f t="shared" si="26"/>
        <v>731712.6426977138</v>
      </c>
      <c r="CA53" s="76"/>
      <c r="CB53" s="115">
        <f t="shared" ref="CB53:CX53" si="33">SUM(CB50:CB52)</f>
        <v>0</v>
      </c>
      <c r="CC53" s="115">
        <f t="shared" si="33"/>
        <v>0</v>
      </c>
      <c r="CD53" s="115">
        <f t="shared" si="33"/>
        <v>0</v>
      </c>
      <c r="CE53" s="115">
        <f t="shared" si="33"/>
        <v>0</v>
      </c>
      <c r="CF53" s="115">
        <f t="shared" si="33"/>
        <v>0</v>
      </c>
      <c r="CG53" s="115">
        <f t="shared" si="33"/>
        <v>0</v>
      </c>
      <c r="CH53" s="115">
        <f t="shared" si="33"/>
        <v>7615.6629467134853</v>
      </c>
      <c r="CI53" s="115">
        <f t="shared" si="33"/>
        <v>0</v>
      </c>
      <c r="CJ53" s="115">
        <f t="shared" si="33"/>
        <v>6092.7685887916596</v>
      </c>
      <c r="CK53" s="115">
        <f t="shared" si="33"/>
        <v>0</v>
      </c>
      <c r="CL53" s="115">
        <f t="shared" si="33"/>
        <v>0</v>
      </c>
      <c r="CM53" s="115">
        <f t="shared" si="33"/>
        <v>8933.6782826857198</v>
      </c>
      <c r="CN53" s="115">
        <f t="shared" si="33"/>
        <v>60501.847223108583</v>
      </c>
      <c r="CO53" s="115">
        <f t="shared" si="33"/>
        <v>2742.0436542323368</v>
      </c>
      <c r="CP53" s="115">
        <f t="shared" si="33"/>
        <v>115217.05323324553</v>
      </c>
      <c r="CQ53" s="115">
        <f t="shared" si="33"/>
        <v>0</v>
      </c>
      <c r="CR53" s="115">
        <f t="shared" si="33"/>
        <v>353250.74202554126</v>
      </c>
      <c r="CS53" s="115">
        <f t="shared" si="33"/>
        <v>20845.249326266679</v>
      </c>
      <c r="CT53" s="115">
        <f t="shared" si="33"/>
        <v>0</v>
      </c>
      <c r="CU53" s="115">
        <f t="shared" si="33"/>
        <v>0</v>
      </c>
      <c r="CV53" s="115">
        <f t="shared" si="33"/>
        <v>0</v>
      </c>
      <c r="CW53" s="115">
        <f t="shared" si="33"/>
        <v>0</v>
      </c>
      <c r="CX53" s="115">
        <f t="shared" si="33"/>
        <v>0</v>
      </c>
      <c r="CY53" s="72">
        <f t="shared" si="27"/>
        <v>575199.0452805853</v>
      </c>
      <c r="CZ53" s="76"/>
      <c r="DA53" s="72">
        <f>BZ53+CY53</f>
        <v>1306911.6879782991</v>
      </c>
      <c r="DB53" s="74"/>
      <c r="DC53" s="117">
        <f>MIN(MIN($CB53:$CX53),MIN($D53:$BY53))</f>
        <v>0</v>
      </c>
      <c r="DD53" s="117">
        <f>MAX(MAX($CB53:$CX53),MAX($D53:$BY53))</f>
        <v>353250.74202554126</v>
      </c>
      <c r="DF53" s="89"/>
      <c r="DG53" s="143" t="s">
        <v>594</v>
      </c>
      <c r="DH53" s="132">
        <f>SUMIF(D$9:CX$9,"EOCNMLEE",D$81:CX$81)</f>
        <v>35895.405669599219</v>
      </c>
      <c r="DI53" s="89" t="s">
        <v>659</v>
      </c>
      <c r="DK53" s="89" t="s">
        <v>130</v>
      </c>
      <c r="DL53" s="149">
        <f>SUMIF(D3:CX3,"FT2",D11:CX11)</f>
        <v>23409.579667644182</v>
      </c>
      <c r="DM53"/>
      <c r="DN53" s="119"/>
      <c r="DO53" s="89"/>
      <c r="DP53" s="89"/>
      <c r="DQ53" s="89"/>
      <c r="DR53" s="89"/>
      <c r="DS53" s="89"/>
      <c r="DT53" s="89"/>
      <c r="DU53" s="89"/>
      <c r="DV53" s="89"/>
      <c r="DW53" s="89"/>
      <c r="DX53" s="89"/>
      <c r="DY53" s="89"/>
      <c r="DZ53" s="89"/>
      <c r="EA53" s="89"/>
      <c r="EB53" s="89"/>
      <c r="EC53" s="89"/>
      <c r="ED53" s="89"/>
      <c r="EE53" s="89"/>
      <c r="EF53" s="89"/>
      <c r="EG53" s="89"/>
      <c r="EH53" s="89"/>
      <c r="EI53" s="89"/>
    </row>
    <row r="54" spans="1:139" s="69" customFormat="1" ht="13.8" thickBot="1" x14ac:dyDescent="0.3">
      <c r="B54" s="89"/>
      <c r="C54" s="89"/>
      <c r="D54" s="115"/>
      <c r="E54" s="115"/>
      <c r="F54" s="115"/>
      <c r="G54" s="115"/>
      <c r="H54" s="115"/>
      <c r="I54" s="115"/>
      <c r="J54" s="115"/>
      <c r="K54" s="115"/>
      <c r="L54" s="115"/>
      <c r="M54" s="115"/>
      <c r="N54" s="115"/>
      <c r="O54" s="115"/>
      <c r="P54" s="115"/>
      <c r="Q54" s="115"/>
      <c r="R54" s="115"/>
      <c r="S54" s="115"/>
      <c r="T54" s="115"/>
      <c r="U54" s="115"/>
      <c r="V54" s="115"/>
      <c r="W54" s="115"/>
      <c r="X54" s="115"/>
      <c r="Y54" s="115"/>
      <c r="Z54" s="115"/>
      <c r="AA54" s="115"/>
      <c r="AB54" s="115"/>
      <c r="AC54" s="115"/>
      <c r="AD54" s="115"/>
      <c r="AE54" s="115"/>
      <c r="AF54" s="115"/>
      <c r="AG54" s="115"/>
      <c r="AH54" s="115"/>
      <c r="AI54" s="115"/>
      <c r="AJ54" s="115"/>
      <c r="AK54" s="115"/>
      <c r="AL54" s="115"/>
      <c r="AM54" s="115"/>
      <c r="AN54" s="115"/>
      <c r="AO54" s="115"/>
      <c r="AP54" s="115"/>
      <c r="AQ54" s="115"/>
      <c r="AR54" s="115"/>
      <c r="AS54" s="115"/>
      <c r="AT54" s="115"/>
      <c r="AU54" s="115"/>
      <c r="AV54" s="115"/>
      <c r="AW54" s="115"/>
      <c r="AX54" s="115"/>
      <c r="AY54" s="115"/>
      <c r="AZ54" s="115"/>
      <c r="BA54" s="115"/>
      <c r="BB54" s="115"/>
      <c r="BC54" s="115"/>
      <c r="BD54" s="115"/>
      <c r="BE54" s="115"/>
      <c r="BF54" s="115"/>
      <c r="BG54" s="115"/>
      <c r="BH54" s="115"/>
      <c r="BI54" s="115"/>
      <c r="BJ54" s="115"/>
      <c r="BK54" s="115"/>
      <c r="BL54" s="115"/>
      <c r="BM54" s="115"/>
      <c r="BN54" s="115"/>
      <c r="BO54" s="115"/>
      <c r="BP54" s="115"/>
      <c r="BQ54" s="115"/>
      <c r="BR54" s="115"/>
      <c r="BS54" s="115"/>
      <c r="BT54" s="115"/>
      <c r="BU54" s="115"/>
      <c r="BV54" s="115"/>
      <c r="BW54" s="115"/>
      <c r="BX54" s="115"/>
      <c r="BY54" s="115"/>
      <c r="BZ54" s="78"/>
      <c r="CA54" s="76"/>
      <c r="CB54" s="115"/>
      <c r="CC54" s="115"/>
      <c r="CD54" s="115"/>
      <c r="CE54" s="115"/>
      <c r="CF54" s="115"/>
      <c r="CG54" s="115"/>
      <c r="CH54" s="115"/>
      <c r="CI54" s="115"/>
      <c r="CJ54" s="115"/>
      <c r="CK54" s="115"/>
      <c r="CL54" s="115"/>
      <c r="CM54" s="115"/>
      <c r="CN54" s="115"/>
      <c r="CO54" s="115"/>
      <c r="CP54" s="115"/>
      <c r="CQ54" s="115"/>
      <c r="CR54" s="115"/>
      <c r="CS54" s="115"/>
      <c r="CT54" s="115"/>
      <c r="CU54" s="115"/>
      <c r="CV54" s="115"/>
      <c r="CW54" s="115"/>
      <c r="CX54" s="115"/>
      <c r="CY54" s="72"/>
      <c r="CZ54" s="76"/>
      <c r="DA54" s="72"/>
      <c r="DB54" s="65">
        <f>D28</f>
        <v>428552.92033235589</v>
      </c>
      <c r="DC54" s="117"/>
      <c r="DD54" s="117"/>
      <c r="DF54" s="89"/>
      <c r="DG54" s="143" t="s">
        <v>597</v>
      </c>
      <c r="DH54" s="132">
        <f>SUMIF(D$9:CX$9,"EOCNML",D$81:CX$81)-DH50</f>
        <v>89270.772238514182</v>
      </c>
      <c r="DI54" s="89" t="s">
        <v>660</v>
      </c>
      <c r="DK54" s="89" t="s">
        <v>599</v>
      </c>
      <c r="DL54" s="195">
        <f>DL53+DL52</f>
        <v>4403288.3675464327</v>
      </c>
      <c r="DM54"/>
      <c r="DN54" s="119"/>
      <c r="DO54" s="89"/>
      <c r="DP54" s="89"/>
      <c r="DQ54" s="89"/>
      <c r="DR54" s="89"/>
      <c r="DS54" s="89"/>
      <c r="DT54" s="89"/>
      <c r="DU54" s="89"/>
      <c r="DV54" s="89"/>
      <c r="DW54" s="89"/>
      <c r="DX54" s="89"/>
      <c r="DY54" s="89"/>
      <c r="DZ54" s="89"/>
      <c r="EA54" s="89"/>
      <c r="EB54" s="89"/>
      <c r="EC54" s="89"/>
      <c r="ED54" s="89"/>
      <c r="EE54" s="89"/>
      <c r="EF54" s="89"/>
      <c r="EG54" s="89"/>
      <c r="EH54" s="89"/>
      <c r="EI54" s="89"/>
    </row>
    <row r="55" spans="1:139" s="69" customFormat="1" ht="13.8" thickTop="1" x14ac:dyDescent="0.25">
      <c r="A55" s="69" t="s">
        <v>564</v>
      </c>
      <c r="B55" s="89"/>
      <c r="C55" s="89"/>
      <c r="D55" s="115">
        <f>D45+D50</f>
        <v>2032.815054693395</v>
      </c>
      <c r="E55" s="115">
        <f t="shared" ref="E55:BO55" si="34">E45+E50</f>
        <v>4065.6301093867901</v>
      </c>
      <c r="F55" s="115">
        <f t="shared" si="34"/>
        <v>0</v>
      </c>
      <c r="G55" s="115">
        <f t="shared" si="34"/>
        <v>2381.4232416937616</v>
      </c>
      <c r="H55" s="115">
        <f t="shared" si="34"/>
        <v>8796.0824232628293</v>
      </c>
      <c r="I55" s="115">
        <f t="shared" si="34"/>
        <v>794.07412566992195</v>
      </c>
      <c r="J55" s="115">
        <f t="shared" si="34"/>
        <v>398.63533346697017</v>
      </c>
      <c r="K55" s="115">
        <f t="shared" si="34"/>
        <v>1759.0300197454976</v>
      </c>
      <c r="L55" s="115">
        <f t="shared" si="34"/>
        <v>0</v>
      </c>
      <c r="M55" s="115">
        <f t="shared" si="34"/>
        <v>8436.1824769775903</v>
      </c>
      <c r="N55" s="115">
        <f t="shared" si="34"/>
        <v>10164.075273466977</v>
      </c>
      <c r="O55" s="115">
        <f t="shared" si="34"/>
        <v>280.7628743562891</v>
      </c>
      <c r="P55" s="115">
        <f t="shared" si="34"/>
        <v>4828.242390080567</v>
      </c>
      <c r="Q55" s="115">
        <f t="shared" si="34"/>
        <v>181.13733829438004</v>
      </c>
      <c r="R55" s="115">
        <f t="shared" si="34"/>
        <v>0</v>
      </c>
      <c r="S55" s="115">
        <f t="shared" si="34"/>
        <v>0</v>
      </c>
      <c r="T55" s="115">
        <f t="shared" si="34"/>
        <v>0</v>
      </c>
      <c r="U55" s="115">
        <f t="shared" si="34"/>
        <v>0</v>
      </c>
      <c r="V55" s="115">
        <f t="shared" si="34"/>
        <v>0</v>
      </c>
      <c r="W55" s="115">
        <f t="shared" si="34"/>
        <v>1688.8393011564256</v>
      </c>
      <c r="X55" s="115">
        <f t="shared" si="34"/>
        <v>105.88542937061187</v>
      </c>
      <c r="Y55" s="115">
        <f t="shared" si="34"/>
        <v>3659.0670984481117</v>
      </c>
      <c r="Z55" s="115">
        <f t="shared" si="34"/>
        <v>1897.5468078529652</v>
      </c>
      <c r="AA55" s="115">
        <f t="shared" si="34"/>
        <v>0</v>
      </c>
      <c r="AB55" s="115">
        <f t="shared" si="34"/>
        <v>0</v>
      </c>
      <c r="AC55" s="115">
        <f t="shared" si="34"/>
        <v>0</v>
      </c>
      <c r="AD55" s="115">
        <f t="shared" si="34"/>
        <v>0</v>
      </c>
      <c r="AE55" s="115">
        <f t="shared" si="34"/>
        <v>0</v>
      </c>
      <c r="AF55" s="115">
        <f t="shared" si="34"/>
        <v>0</v>
      </c>
      <c r="AG55" s="115">
        <f t="shared" si="34"/>
        <v>0</v>
      </c>
      <c r="AH55" s="115">
        <f t="shared" si="34"/>
        <v>0</v>
      </c>
      <c r="AI55" s="115">
        <f t="shared" si="34"/>
        <v>559.52791042256661</v>
      </c>
      <c r="AJ55" s="115">
        <f t="shared" si="34"/>
        <v>0</v>
      </c>
      <c r="AK55" s="115">
        <f t="shared" si="34"/>
        <v>0</v>
      </c>
      <c r="AL55" s="115">
        <f t="shared" si="34"/>
        <v>4751.3922105247884</v>
      </c>
      <c r="AM55" s="115">
        <f t="shared" si="34"/>
        <v>0</v>
      </c>
      <c r="AN55" s="115">
        <f t="shared" si="34"/>
        <v>0</v>
      </c>
      <c r="AO55" s="115">
        <f t="shared" si="34"/>
        <v>2593.0811394155876</v>
      </c>
      <c r="AP55" s="115">
        <f t="shared" si="34"/>
        <v>456.14144262450526</v>
      </c>
      <c r="AQ55" s="115">
        <f t="shared" si="34"/>
        <v>0</v>
      </c>
      <c r="AR55" s="115">
        <f t="shared" si="34"/>
        <v>3063.3520446843686</v>
      </c>
      <c r="AS55" s="115">
        <f t="shared" si="34"/>
        <v>711.48526914268837</v>
      </c>
      <c r="AT55" s="115">
        <f t="shared" si="34"/>
        <v>724.59139052020839</v>
      </c>
      <c r="AU55" s="115">
        <f t="shared" si="34"/>
        <v>0</v>
      </c>
      <c r="AV55" s="115">
        <f t="shared" si="34"/>
        <v>709.36578217343242</v>
      </c>
      <c r="AW55" s="115">
        <f t="shared" si="34"/>
        <v>944.71113273679236</v>
      </c>
      <c r="AX55" s="115">
        <f t="shared" si="34"/>
        <v>0</v>
      </c>
      <c r="AY55" s="115">
        <f t="shared" si="34"/>
        <v>1779.4079703036155</v>
      </c>
      <c r="AZ55" s="115">
        <f t="shared" si="34"/>
        <v>597.48683793278599</v>
      </c>
      <c r="BA55" s="115">
        <f t="shared" si="34"/>
        <v>320.98601859518817</v>
      </c>
      <c r="BB55" s="115">
        <f t="shared" si="34"/>
        <v>423.94128514044974</v>
      </c>
      <c r="BC55" s="115">
        <f t="shared" si="34"/>
        <v>2579.3424216242383</v>
      </c>
      <c r="BD55" s="115">
        <f t="shared" si="34"/>
        <v>1420.5962134175425</v>
      </c>
      <c r="BE55" s="115">
        <f t="shared" si="34"/>
        <v>0</v>
      </c>
      <c r="BF55" s="115">
        <f t="shared" si="34"/>
        <v>2032.815054693395</v>
      </c>
      <c r="BG55" s="115">
        <f t="shared" si="34"/>
        <v>6438.5000518298702</v>
      </c>
      <c r="BH55" s="115">
        <f t="shared" si="34"/>
        <v>1016.4075273466975</v>
      </c>
      <c r="BI55" s="115">
        <f t="shared" si="34"/>
        <v>0.26637843866820593</v>
      </c>
      <c r="BJ55" s="115">
        <f t="shared" si="34"/>
        <v>13213.297855507066</v>
      </c>
      <c r="BK55" s="115">
        <f t="shared" si="34"/>
        <v>54886.006476721668</v>
      </c>
      <c r="BL55" s="115">
        <f t="shared" si="34"/>
        <v>62000.859168148549</v>
      </c>
      <c r="BM55" s="115">
        <f t="shared" si="34"/>
        <v>639.84100968103064</v>
      </c>
      <c r="BN55" s="115">
        <f t="shared" si="34"/>
        <v>477.08378365475687</v>
      </c>
      <c r="BO55" s="115">
        <f t="shared" si="34"/>
        <v>9363.4684976261087</v>
      </c>
      <c r="BP55" s="115">
        <f t="shared" ref="BP55:BY55" si="35">BP45+BP50</f>
        <v>15246.112910200462</v>
      </c>
      <c r="BQ55" s="115">
        <f t="shared" si="35"/>
        <v>625.85614165095001</v>
      </c>
      <c r="BR55" s="115">
        <f t="shared" si="35"/>
        <v>44303.928730076681</v>
      </c>
      <c r="BS55" s="115">
        <f t="shared" si="35"/>
        <v>0</v>
      </c>
      <c r="BT55" s="115">
        <f t="shared" si="35"/>
        <v>17787.131728567212</v>
      </c>
      <c r="BU55" s="115">
        <f t="shared" si="35"/>
        <v>0</v>
      </c>
      <c r="BV55" s="115">
        <f t="shared" si="35"/>
        <v>0</v>
      </c>
      <c r="BW55" s="115">
        <f t="shared" si="35"/>
        <v>1931.1743019587252</v>
      </c>
      <c r="BX55" s="115">
        <f t="shared" si="35"/>
        <v>148.03980603583378</v>
      </c>
      <c r="BY55" s="115">
        <f t="shared" si="35"/>
        <v>0</v>
      </c>
      <c r="BZ55" s="78">
        <f>SUM(D55:BY55)</f>
        <v>303215.62778931943</v>
      </c>
      <c r="CA55" s="76"/>
      <c r="CB55" s="115">
        <f t="shared" ref="CB55:CX55" si="36">CB45+CB50</f>
        <v>6521.3225146818759</v>
      </c>
      <c r="CC55" s="115">
        <f t="shared" si="36"/>
        <v>2336.6832818437611</v>
      </c>
      <c r="CD55" s="115">
        <f t="shared" si="36"/>
        <v>7083.0047949189484</v>
      </c>
      <c r="CE55" s="115">
        <f t="shared" si="36"/>
        <v>3622.9569526010418</v>
      </c>
      <c r="CF55" s="115">
        <f t="shared" si="36"/>
        <v>2898.3655620808336</v>
      </c>
      <c r="CG55" s="115">
        <f t="shared" si="36"/>
        <v>3622.9569526010418</v>
      </c>
      <c r="CH55" s="115">
        <f t="shared" si="36"/>
        <v>1270.4597313961117</v>
      </c>
      <c r="CI55" s="115">
        <f t="shared" si="36"/>
        <v>1270.5590869706323</v>
      </c>
      <c r="CJ55" s="115">
        <f t="shared" si="36"/>
        <v>1016.4075273466975</v>
      </c>
      <c r="CK55" s="115">
        <f t="shared" si="36"/>
        <v>1016.4075273466975</v>
      </c>
      <c r="CL55" s="115">
        <f t="shared" si="36"/>
        <v>40.636429978963768</v>
      </c>
      <c r="CM55" s="115">
        <f t="shared" si="36"/>
        <v>1490.3336178104073</v>
      </c>
      <c r="CN55" s="115">
        <f t="shared" si="36"/>
        <v>10093.03603768468</v>
      </c>
      <c r="CO55" s="115">
        <f t="shared" si="36"/>
        <v>457.43306509327431</v>
      </c>
      <c r="CP55" s="115">
        <f t="shared" ref="CP55:CR56" si="37">CP45+CP50</f>
        <v>19220.733313326302</v>
      </c>
      <c r="CQ55" s="115">
        <f t="shared" si="37"/>
        <v>968.71685157676472</v>
      </c>
      <c r="CR55" s="115">
        <f t="shared" si="37"/>
        <v>58929.977070862951</v>
      </c>
      <c r="CS55" s="115">
        <f t="shared" si="36"/>
        <v>3477.4451082242836</v>
      </c>
      <c r="CT55" s="115">
        <f t="shared" si="36"/>
        <v>0</v>
      </c>
      <c r="CU55" s="115">
        <f t="shared" si="36"/>
        <v>0</v>
      </c>
      <c r="CV55" s="115">
        <f>CV45+CV50</f>
        <v>0</v>
      </c>
      <c r="CW55" s="115">
        <f>CW45+CW50</f>
        <v>0</v>
      </c>
      <c r="CX55" s="115">
        <f t="shared" si="36"/>
        <v>0</v>
      </c>
      <c r="CY55" s="72">
        <f>SUM(CB55:CX55)</f>
        <v>125337.43542634527</v>
      </c>
      <c r="CZ55" s="76"/>
      <c r="DA55" s="72">
        <f>BZ55+CY55</f>
        <v>428553.0632156647</v>
      </c>
      <c r="DB55" s="65" t="str">
        <f>IF(ABS(DA55-D28)&lt;1,"Okay","Adjust Bondad Station")</f>
        <v>Okay</v>
      </c>
      <c r="DC55" s="117">
        <f>MIN(MIN($CB55:$CX55),MIN($D55:$BY55))</f>
        <v>0</v>
      </c>
      <c r="DD55" s="117">
        <f>MAX(MAX($CB55:$CX55),MAX($D55:$BY55))</f>
        <v>62000.859168148549</v>
      </c>
      <c r="DF55" s="89"/>
      <c r="DG55" s="143" t="s">
        <v>596</v>
      </c>
      <c r="DH55" s="149">
        <f>SUM(DH50:DH54)</f>
        <v>1224983.3822091885</v>
      </c>
      <c r="DI55" s="151" t="str">
        <f>IF(ABS(DA81-DH48-DH55)&lt;1,"OKAY","ERROR")</f>
        <v>OKAY</v>
      </c>
      <c r="DK55" s="89"/>
      <c r="DL55" s="149" t="str">
        <f>IF(ABS(DL54-DA11)&lt;1,"OKAY","ERROR")</f>
        <v>OKAY</v>
      </c>
      <c r="DM55"/>
      <c r="DN55" s="89"/>
      <c r="DO55" s="89"/>
      <c r="DP55" s="89"/>
      <c r="DQ55" s="89"/>
      <c r="DR55" s="89"/>
      <c r="DS55" s="89"/>
      <c r="DT55" s="89"/>
      <c r="DU55" s="89"/>
      <c r="DV55" s="89"/>
      <c r="DW55" s="89"/>
      <c r="DX55" s="89"/>
      <c r="DY55" s="89"/>
      <c r="DZ55" s="89"/>
      <c r="EA55" s="89"/>
      <c r="EB55" s="89"/>
      <c r="EC55" s="89"/>
      <c r="ED55" s="89"/>
      <c r="EE55" s="89"/>
      <c r="EF55" s="89"/>
      <c r="EG55" s="89"/>
      <c r="EH55" s="89"/>
      <c r="EI55" s="89"/>
    </row>
    <row r="56" spans="1:139" s="69" customFormat="1" x14ac:dyDescent="0.25">
      <c r="A56" s="69" t="s">
        <v>565</v>
      </c>
      <c r="B56" s="89"/>
      <c r="C56" s="89"/>
      <c r="D56" s="115">
        <f>D46+D51</f>
        <v>789.8395306697347</v>
      </c>
      <c r="E56" s="115">
        <f t="shared" ref="E56:BO56" si="38">E46+E51</f>
        <v>1579.6790613394694</v>
      </c>
      <c r="F56" s="115">
        <f t="shared" si="38"/>
        <v>0</v>
      </c>
      <c r="G56" s="115">
        <f t="shared" si="38"/>
        <v>925.28939669285205</v>
      </c>
      <c r="H56" s="115">
        <f t="shared" si="38"/>
        <v>3417.6712716101415</v>
      </c>
      <c r="I56" s="115">
        <f t="shared" si="38"/>
        <v>308.53329883013333</v>
      </c>
      <c r="J56" s="115">
        <f t="shared" si="38"/>
        <v>154.88764901016253</v>
      </c>
      <c r="K56" s="115">
        <f t="shared" si="38"/>
        <v>683.46180436926716</v>
      </c>
      <c r="L56" s="115">
        <f t="shared" si="38"/>
        <v>0</v>
      </c>
      <c r="M56" s="115">
        <f t="shared" si="38"/>
        <v>3277.8340522793997</v>
      </c>
      <c r="N56" s="115">
        <f t="shared" si="38"/>
        <v>3949.1976533486745</v>
      </c>
      <c r="O56" s="115">
        <f t="shared" si="38"/>
        <v>109.08892887184183</v>
      </c>
      <c r="P56" s="115">
        <f t="shared" si="38"/>
        <v>1875.988026818377</v>
      </c>
      <c r="Q56" s="115">
        <f t="shared" si="38"/>
        <v>70.379954110865697</v>
      </c>
      <c r="R56" s="115">
        <f t="shared" si="38"/>
        <v>0</v>
      </c>
      <c r="S56" s="115">
        <f t="shared" si="38"/>
        <v>0</v>
      </c>
      <c r="T56" s="115">
        <f t="shared" si="38"/>
        <v>0</v>
      </c>
      <c r="U56" s="115">
        <f t="shared" si="38"/>
        <v>0</v>
      </c>
      <c r="V56" s="115">
        <f t="shared" si="38"/>
        <v>0</v>
      </c>
      <c r="W56" s="115">
        <f t="shared" si="38"/>
        <v>656.18957215130672</v>
      </c>
      <c r="X56" s="115">
        <f t="shared" si="38"/>
        <v>41.141223175101651</v>
      </c>
      <c r="Y56" s="115">
        <f t="shared" si="38"/>
        <v>1421.7111552055226</v>
      </c>
      <c r="Z56" s="115">
        <f t="shared" si="38"/>
        <v>737.28176927757636</v>
      </c>
      <c r="AA56" s="115">
        <f t="shared" si="38"/>
        <v>0</v>
      </c>
      <c r="AB56" s="115">
        <f t="shared" si="38"/>
        <v>0</v>
      </c>
      <c r="AC56" s="115">
        <f t="shared" si="38"/>
        <v>0</v>
      </c>
      <c r="AD56" s="115">
        <f t="shared" si="38"/>
        <v>0</v>
      </c>
      <c r="AE56" s="115">
        <f t="shared" si="38"/>
        <v>0</v>
      </c>
      <c r="AF56" s="115">
        <f t="shared" si="38"/>
        <v>0</v>
      </c>
      <c r="AG56" s="115">
        <f t="shared" si="38"/>
        <v>0</v>
      </c>
      <c r="AH56" s="115">
        <f t="shared" si="38"/>
        <v>0</v>
      </c>
      <c r="AI56" s="115">
        <f t="shared" si="38"/>
        <v>217.40160824981382</v>
      </c>
      <c r="AJ56" s="115">
        <f t="shared" si="38"/>
        <v>0</v>
      </c>
      <c r="AK56" s="115">
        <f t="shared" si="38"/>
        <v>0</v>
      </c>
      <c r="AL56" s="115">
        <f t="shared" si="38"/>
        <v>1846.1282962875168</v>
      </c>
      <c r="AM56" s="115">
        <f t="shared" si="38"/>
        <v>0</v>
      </c>
      <c r="AN56" s="115">
        <f t="shared" si="38"/>
        <v>0</v>
      </c>
      <c r="AO56" s="115">
        <f t="shared" si="38"/>
        <v>1007.5279526368234</v>
      </c>
      <c r="AP56" s="115">
        <f t="shared" si="38"/>
        <v>177.23134336777872</v>
      </c>
      <c r="AQ56" s="115">
        <f t="shared" si="38"/>
        <v>0</v>
      </c>
      <c r="AR56" s="115">
        <f t="shared" si="38"/>
        <v>1190.2492239337582</v>
      </c>
      <c r="AS56" s="115">
        <f t="shared" si="38"/>
        <v>276.44383573440717</v>
      </c>
      <c r="AT56" s="115">
        <f t="shared" si="38"/>
        <v>281.53614983047839</v>
      </c>
      <c r="AU56" s="115">
        <f t="shared" si="38"/>
        <v>0</v>
      </c>
      <c r="AV56" s="115">
        <f t="shared" si="38"/>
        <v>275.62032029005201</v>
      </c>
      <c r="AW56" s="115">
        <f t="shared" si="38"/>
        <v>367.06251066791941</v>
      </c>
      <c r="AX56" s="115">
        <f t="shared" si="38"/>
        <v>0</v>
      </c>
      <c r="AY56" s="115">
        <f t="shared" si="38"/>
        <v>691.37954920673963</v>
      </c>
      <c r="AZ56" s="115">
        <f t="shared" si="38"/>
        <v>232.15034863334091</v>
      </c>
      <c r="BA56" s="115">
        <f t="shared" si="38"/>
        <v>124.71741868175465</v>
      </c>
      <c r="BB56" s="115">
        <f t="shared" si="38"/>
        <v>164.72014259918052</v>
      </c>
      <c r="BC56" s="115">
        <f t="shared" si="38"/>
        <v>1002.1898465522244</v>
      </c>
      <c r="BD56" s="115">
        <f t="shared" si="38"/>
        <v>551.96514010771591</v>
      </c>
      <c r="BE56" s="115">
        <f t="shared" si="38"/>
        <v>0</v>
      </c>
      <c r="BF56" s="115">
        <f t="shared" si="38"/>
        <v>789.8395306697347</v>
      </c>
      <c r="BG56" s="115">
        <f t="shared" si="38"/>
        <v>2501.6451188774695</v>
      </c>
      <c r="BH56" s="115">
        <f t="shared" si="38"/>
        <v>394.91976533486735</v>
      </c>
      <c r="BI56" s="115">
        <f t="shared" si="38"/>
        <v>0.10349993251597898</v>
      </c>
      <c r="BJ56" s="115">
        <f t="shared" si="38"/>
        <v>5133.9569493532763</v>
      </c>
      <c r="BK56" s="115">
        <f t="shared" si="38"/>
        <v>21325.66732808284</v>
      </c>
      <c r="BL56" s="115">
        <f t="shared" si="38"/>
        <v>24090.105685426905</v>
      </c>
      <c r="BM56" s="115">
        <f t="shared" si="38"/>
        <v>248.60683790338149</v>
      </c>
      <c r="BN56" s="115">
        <f t="shared" si="38"/>
        <v>185.36837913611831</v>
      </c>
      <c r="BO56" s="115">
        <f t="shared" si="38"/>
        <v>3638.1261278691773</v>
      </c>
      <c r="BP56" s="115">
        <f t="shared" ref="BP56:BY56" si="39">BP46+BP51</f>
        <v>5923.7964800230111</v>
      </c>
      <c r="BQ56" s="115">
        <f t="shared" si="39"/>
        <v>243.17309144629263</v>
      </c>
      <c r="BR56" s="115">
        <f t="shared" si="39"/>
        <v>17214.057026091363</v>
      </c>
      <c r="BS56" s="115">
        <f t="shared" si="39"/>
        <v>0</v>
      </c>
      <c r="BT56" s="115">
        <f t="shared" si="39"/>
        <v>6911.0958933601796</v>
      </c>
      <c r="BU56" s="115">
        <f t="shared" si="39"/>
        <v>0</v>
      </c>
      <c r="BV56" s="115">
        <f t="shared" si="39"/>
        <v>0</v>
      </c>
      <c r="BW56" s="115">
        <f t="shared" si="39"/>
        <v>750.34755413624782</v>
      </c>
      <c r="BX56" s="115">
        <f t="shared" si="39"/>
        <v>57.520083123064751</v>
      </c>
      <c r="BY56" s="115">
        <f t="shared" si="39"/>
        <v>0</v>
      </c>
      <c r="BZ56" s="78">
        <f>SUM(D56:BY56)</f>
        <v>117812.82738530637</v>
      </c>
      <c r="CA56" s="76"/>
      <c r="CB56" s="115">
        <f t="shared" ref="CB56:CX56" si="40">CB46+CB51</f>
        <v>2533.8253484743059</v>
      </c>
      <c r="CC56" s="115">
        <f t="shared" si="40"/>
        <v>907.90592208284306</v>
      </c>
      <c r="CD56" s="115">
        <f t="shared" si="40"/>
        <v>2752.0640257133769</v>
      </c>
      <c r="CE56" s="115">
        <f t="shared" si="40"/>
        <v>1407.6807491523923</v>
      </c>
      <c r="CF56" s="115">
        <f t="shared" si="40"/>
        <v>1126.1445993219136</v>
      </c>
      <c r="CG56" s="115">
        <f t="shared" si="40"/>
        <v>1407.6807491523923</v>
      </c>
      <c r="CH56" s="115">
        <f t="shared" si="40"/>
        <v>493.63040462726781</v>
      </c>
      <c r="CI56" s="115">
        <f t="shared" si="40"/>
        <v>493.66900870990071</v>
      </c>
      <c r="CJ56" s="115">
        <f t="shared" si="40"/>
        <v>394.91976533486735</v>
      </c>
      <c r="CK56" s="115">
        <f t="shared" si="40"/>
        <v>394.91976533486735</v>
      </c>
      <c r="CL56" s="115">
        <f t="shared" si="40"/>
        <v>15.789069796868109</v>
      </c>
      <c r="CM56" s="115">
        <f t="shared" si="40"/>
        <v>579.06123949394043</v>
      </c>
      <c r="CN56" s="115">
        <f t="shared" si="40"/>
        <v>3921.59573426613</v>
      </c>
      <c r="CO56" s="115">
        <f t="shared" si="40"/>
        <v>177.7331964420068</v>
      </c>
      <c r="CP56" s="115">
        <f t="shared" si="37"/>
        <v>7468.1142016707172</v>
      </c>
      <c r="CQ56" s="115">
        <f t="shared" si="37"/>
        <v>376.38980567106137</v>
      </c>
      <c r="CR56" s="115">
        <f t="shared" si="37"/>
        <v>22896.930699408331</v>
      </c>
      <c r="CS56" s="115">
        <f t="shared" si="40"/>
        <v>1351.142892152528</v>
      </c>
      <c r="CT56" s="115">
        <f t="shared" si="40"/>
        <v>0</v>
      </c>
      <c r="CU56" s="115">
        <f t="shared" si="40"/>
        <v>0</v>
      </c>
      <c r="CV56" s="115">
        <f>CV46+CV51</f>
        <v>0</v>
      </c>
      <c r="CW56" s="115">
        <f>CW46+CW51</f>
        <v>0</v>
      </c>
      <c r="CX56" s="115">
        <f t="shared" si="40"/>
        <v>0</v>
      </c>
      <c r="CY56" s="72">
        <f>SUM(CB56:CX56)</f>
        <v>48699.197176805712</v>
      </c>
      <c r="CZ56" s="76"/>
      <c r="DA56" s="72">
        <f>BZ56+CY56</f>
        <v>166512.02456211208</v>
      </c>
      <c r="DB56" s="65">
        <f>D29</f>
        <v>595065.42033235577</v>
      </c>
      <c r="DC56" s="117">
        <f>MIN(MIN($CB56:$CX56),MIN($D56:$BY56))</f>
        <v>0</v>
      </c>
      <c r="DD56" s="117">
        <f>MAX(MAX($CB56:$CX56),MAX($D56:$BY56))</f>
        <v>24090.105685426905</v>
      </c>
      <c r="DF56" s="89"/>
      <c r="DK56" s="89"/>
      <c r="DL56" s="89"/>
      <c r="DM56" s="89"/>
      <c r="DN56" s="89"/>
      <c r="DO56" s="89"/>
      <c r="DP56" s="89"/>
      <c r="DQ56" s="89"/>
      <c r="DR56" s="89"/>
      <c r="DS56" s="89"/>
      <c r="DT56" s="89"/>
      <c r="DU56" s="89"/>
      <c r="DV56" s="89"/>
      <c r="DW56" s="89"/>
      <c r="DX56" s="89"/>
      <c r="DY56" s="89"/>
      <c r="DZ56" s="89"/>
      <c r="EA56" s="89"/>
      <c r="EB56" s="89"/>
      <c r="EC56" s="89"/>
      <c r="ED56" s="89"/>
      <c r="EE56" s="89"/>
      <c r="EF56" s="89"/>
      <c r="EG56" s="89"/>
      <c r="EH56" s="89"/>
      <c r="EI56" s="89"/>
    </row>
    <row r="57" spans="1:139" x14ac:dyDescent="0.25">
      <c r="A57" s="69" t="s">
        <v>566</v>
      </c>
      <c r="B57" s="89"/>
      <c r="C57" s="89"/>
      <c r="D57" s="115">
        <f>D55+D56</f>
        <v>2822.6545853631296</v>
      </c>
      <c r="E57" s="115">
        <f t="shared" ref="E57:BO57" si="41">E55+E56</f>
        <v>5645.3091707262593</v>
      </c>
      <c r="F57" s="115">
        <f t="shared" si="41"/>
        <v>0</v>
      </c>
      <c r="G57" s="115">
        <f t="shared" si="41"/>
        <v>3306.7126383866134</v>
      </c>
      <c r="H57" s="115">
        <f t="shared" si="41"/>
        <v>12213.75369487297</v>
      </c>
      <c r="I57" s="115">
        <f t="shared" si="41"/>
        <v>1102.6074245000552</v>
      </c>
      <c r="J57" s="115">
        <f t="shared" si="41"/>
        <v>553.5229824771327</v>
      </c>
      <c r="K57" s="115">
        <f t="shared" si="41"/>
        <v>2442.4918241147648</v>
      </c>
      <c r="L57" s="115">
        <f t="shared" si="41"/>
        <v>0</v>
      </c>
      <c r="M57" s="115">
        <f t="shared" si="41"/>
        <v>11714.016529256991</v>
      </c>
      <c r="N57" s="115">
        <f t="shared" si="41"/>
        <v>14113.272926815651</v>
      </c>
      <c r="O57" s="115">
        <f t="shared" si="41"/>
        <v>389.85180322813096</v>
      </c>
      <c r="P57" s="115">
        <f t="shared" si="41"/>
        <v>6704.230416898944</v>
      </c>
      <c r="Q57" s="115">
        <f t="shared" si="41"/>
        <v>251.51729240524574</v>
      </c>
      <c r="R57" s="115">
        <f t="shared" si="41"/>
        <v>0</v>
      </c>
      <c r="S57" s="115">
        <f t="shared" si="41"/>
        <v>0</v>
      </c>
      <c r="T57" s="115">
        <f t="shared" si="41"/>
        <v>0</v>
      </c>
      <c r="U57" s="115">
        <f t="shared" si="41"/>
        <v>0</v>
      </c>
      <c r="V57" s="115">
        <f t="shared" si="41"/>
        <v>0</v>
      </c>
      <c r="W57" s="115">
        <f t="shared" si="41"/>
        <v>2345.0288733077323</v>
      </c>
      <c r="X57" s="115">
        <f t="shared" si="41"/>
        <v>147.02665254571352</v>
      </c>
      <c r="Y57" s="115">
        <f t="shared" si="41"/>
        <v>5080.7782536536342</v>
      </c>
      <c r="Z57" s="115">
        <f t="shared" si="41"/>
        <v>2634.8285771305418</v>
      </c>
      <c r="AA57" s="115">
        <f t="shared" si="41"/>
        <v>0</v>
      </c>
      <c r="AB57" s="115">
        <f t="shared" si="41"/>
        <v>0</v>
      </c>
      <c r="AC57" s="115">
        <f t="shared" si="41"/>
        <v>0</v>
      </c>
      <c r="AD57" s="115">
        <f t="shared" si="41"/>
        <v>0</v>
      </c>
      <c r="AE57" s="115">
        <f t="shared" si="41"/>
        <v>0</v>
      </c>
      <c r="AF57" s="115">
        <f t="shared" si="41"/>
        <v>0</v>
      </c>
      <c r="AG57" s="115">
        <f t="shared" si="41"/>
        <v>0</v>
      </c>
      <c r="AH57" s="115">
        <f t="shared" si="41"/>
        <v>0</v>
      </c>
      <c r="AI57" s="115">
        <f t="shared" si="41"/>
        <v>776.92951867238048</v>
      </c>
      <c r="AJ57" s="115">
        <f t="shared" si="41"/>
        <v>0</v>
      </c>
      <c r="AK57" s="115">
        <f t="shared" si="41"/>
        <v>0</v>
      </c>
      <c r="AL57" s="115">
        <f t="shared" si="41"/>
        <v>6597.520506812305</v>
      </c>
      <c r="AM57" s="115">
        <f t="shared" si="41"/>
        <v>0</v>
      </c>
      <c r="AN57" s="115">
        <f t="shared" si="41"/>
        <v>0</v>
      </c>
      <c r="AO57" s="115">
        <f t="shared" si="41"/>
        <v>3600.6090920524111</v>
      </c>
      <c r="AP57" s="115">
        <f t="shared" si="41"/>
        <v>633.37278599228398</v>
      </c>
      <c r="AQ57" s="115">
        <f t="shared" si="41"/>
        <v>0</v>
      </c>
      <c r="AR57" s="115">
        <f t="shared" si="41"/>
        <v>4253.6012686181266</v>
      </c>
      <c r="AS57" s="115">
        <f t="shared" si="41"/>
        <v>987.9291048770956</v>
      </c>
      <c r="AT57" s="115">
        <f t="shared" si="41"/>
        <v>1006.1275403506868</v>
      </c>
      <c r="AU57" s="115">
        <f t="shared" si="41"/>
        <v>0</v>
      </c>
      <c r="AV57" s="115">
        <f t="shared" si="41"/>
        <v>984.98610246348449</v>
      </c>
      <c r="AW57" s="115">
        <f t="shared" si="41"/>
        <v>1311.7736434047117</v>
      </c>
      <c r="AX57" s="115">
        <f t="shared" si="41"/>
        <v>0</v>
      </c>
      <c r="AY57" s="115">
        <f t="shared" si="41"/>
        <v>2470.7875195103552</v>
      </c>
      <c r="AZ57" s="115">
        <f t="shared" si="41"/>
        <v>829.63718656612696</v>
      </c>
      <c r="BA57" s="115">
        <f t="shared" si="41"/>
        <v>445.70343727694285</v>
      </c>
      <c r="BB57" s="115">
        <f t="shared" si="41"/>
        <v>588.6614277396302</v>
      </c>
      <c r="BC57" s="115">
        <f t="shared" si="41"/>
        <v>3581.5322681764628</v>
      </c>
      <c r="BD57" s="115">
        <f t="shared" si="41"/>
        <v>1972.5613535252583</v>
      </c>
      <c r="BE57" s="115">
        <f t="shared" si="41"/>
        <v>0</v>
      </c>
      <c r="BF57" s="115">
        <f t="shared" si="41"/>
        <v>2822.6545853631296</v>
      </c>
      <c r="BG57" s="115">
        <f t="shared" si="41"/>
        <v>8940.1451707073393</v>
      </c>
      <c r="BH57" s="115">
        <f t="shared" si="41"/>
        <v>1411.3272926815648</v>
      </c>
      <c r="BI57" s="115">
        <f t="shared" si="41"/>
        <v>0.36987837118418493</v>
      </c>
      <c r="BJ57" s="115">
        <f t="shared" si="41"/>
        <v>18347.254804860342</v>
      </c>
      <c r="BK57" s="115">
        <f t="shared" si="41"/>
        <v>76211.673804804508</v>
      </c>
      <c r="BL57" s="115">
        <f t="shared" si="41"/>
        <v>86090.964853575453</v>
      </c>
      <c r="BM57" s="115">
        <f t="shared" si="41"/>
        <v>888.4478475844121</v>
      </c>
      <c r="BN57" s="115">
        <f t="shared" si="41"/>
        <v>662.45216279087515</v>
      </c>
      <c r="BO57" s="115">
        <f t="shared" si="41"/>
        <v>13001.594625495287</v>
      </c>
      <c r="BP57" s="115">
        <f t="shared" ref="BP57:BY57" si="42">BP55+BP56</f>
        <v>21169.909390223474</v>
      </c>
      <c r="BQ57" s="115">
        <f t="shared" si="42"/>
        <v>869.0292330972427</v>
      </c>
      <c r="BR57" s="115">
        <f t="shared" si="42"/>
        <v>61517.98575616804</v>
      </c>
      <c r="BS57" s="115">
        <f t="shared" si="42"/>
        <v>0</v>
      </c>
      <c r="BT57" s="115">
        <f t="shared" si="42"/>
        <v>24698.227621927392</v>
      </c>
      <c r="BU57" s="115">
        <f t="shared" si="42"/>
        <v>0</v>
      </c>
      <c r="BV57" s="115">
        <f t="shared" si="42"/>
        <v>0</v>
      </c>
      <c r="BW57" s="115">
        <f t="shared" si="42"/>
        <v>2681.5218560949729</v>
      </c>
      <c r="BX57" s="115">
        <f t="shared" si="42"/>
        <v>205.55988915889853</v>
      </c>
      <c r="BY57" s="115">
        <f t="shared" si="42"/>
        <v>0</v>
      </c>
      <c r="BZ57" s="78">
        <f>SUM(D57:BY57)</f>
        <v>421028.45517462585</v>
      </c>
      <c r="CA57" s="76"/>
      <c r="CB57" s="115">
        <f t="shared" ref="CB57:CX57" si="43">CB55+CB56</f>
        <v>9055.1478631561822</v>
      </c>
      <c r="CC57" s="115">
        <f t="shared" si="43"/>
        <v>3244.5892039266041</v>
      </c>
      <c r="CD57" s="115">
        <f t="shared" si="43"/>
        <v>9835.0688206323248</v>
      </c>
      <c r="CE57" s="115">
        <f t="shared" si="43"/>
        <v>5030.6377017534342</v>
      </c>
      <c r="CF57" s="115">
        <f t="shared" si="43"/>
        <v>4024.5101614027471</v>
      </c>
      <c r="CG57" s="115">
        <f t="shared" si="43"/>
        <v>5030.6377017534342</v>
      </c>
      <c r="CH57" s="115">
        <f t="shared" si="43"/>
        <v>1764.0901360233795</v>
      </c>
      <c r="CI57" s="115">
        <f t="shared" si="43"/>
        <v>1764.228095680533</v>
      </c>
      <c r="CJ57" s="115">
        <f t="shared" si="43"/>
        <v>1411.3272926815648</v>
      </c>
      <c r="CK57" s="115">
        <f t="shared" si="43"/>
        <v>1411.3272926815648</v>
      </c>
      <c r="CL57" s="115">
        <f t="shared" si="43"/>
        <v>56.425499775831881</v>
      </c>
      <c r="CM57" s="115">
        <f t="shared" si="43"/>
        <v>2069.3948573043476</v>
      </c>
      <c r="CN57" s="115">
        <f t="shared" si="43"/>
        <v>14014.63177195081</v>
      </c>
      <c r="CO57" s="115">
        <f t="shared" si="43"/>
        <v>635.16626153528114</v>
      </c>
      <c r="CP57" s="115">
        <f t="shared" si="43"/>
        <v>26688.847514997018</v>
      </c>
      <c r="CQ57" s="115">
        <f t="shared" si="43"/>
        <v>1345.1066572478262</v>
      </c>
      <c r="CR57" s="115">
        <f t="shared" si="43"/>
        <v>81826.907770271282</v>
      </c>
      <c r="CS57" s="115">
        <f t="shared" si="43"/>
        <v>4828.5880003768116</v>
      </c>
      <c r="CT57" s="115">
        <f t="shared" si="43"/>
        <v>0</v>
      </c>
      <c r="CU57" s="115">
        <f t="shared" si="43"/>
        <v>0</v>
      </c>
      <c r="CV57" s="115">
        <f t="shared" si="43"/>
        <v>0</v>
      </c>
      <c r="CW57" s="115">
        <f t="shared" si="43"/>
        <v>0</v>
      </c>
      <c r="CX57" s="115">
        <f t="shared" si="43"/>
        <v>0</v>
      </c>
      <c r="CY57" s="72">
        <f>SUM(CB57:CX57)</f>
        <v>174036.632603151</v>
      </c>
      <c r="CZ57" s="76"/>
      <c r="DA57" s="72">
        <f>BZ57+CY57</f>
        <v>595065.08777777688</v>
      </c>
      <c r="DB57" s="65" t="str">
        <f>IF(ABS(DA57-D29)&lt;1,"Okay","Adjust Bondad Mainline")</f>
        <v>Okay</v>
      </c>
      <c r="DC57" s="117">
        <f>MIN(MIN($CB57:$CX57),MIN($D57:$BY57))</f>
        <v>0</v>
      </c>
      <c r="DD57" s="117">
        <f>MAX(MAX($CB57:$CX57),MAX($D57:$BY57))</f>
        <v>86090.964853575453</v>
      </c>
      <c r="DE57" s="69"/>
    </row>
    <row r="58" spans="1:139" ht="13.8" thickBot="1" x14ac:dyDescent="0.3">
      <c r="A58" s="69"/>
      <c r="B58" s="89"/>
      <c r="C58" s="8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69"/>
      <c r="AE58" s="69"/>
      <c r="AF58" s="69"/>
      <c r="AG58" s="69"/>
      <c r="AH58" s="69"/>
      <c r="AI58" s="69"/>
      <c r="AJ58" s="69"/>
      <c r="AK58" s="69"/>
      <c r="AL58" s="69"/>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c r="BU58" s="69"/>
      <c r="BV58" s="69"/>
      <c r="BW58" s="69"/>
      <c r="BX58" s="69"/>
      <c r="BY58" s="69"/>
      <c r="BZ58" s="69"/>
      <c r="CA58" s="76"/>
      <c r="CB58" s="69"/>
      <c r="CC58" s="69"/>
      <c r="CD58" s="69"/>
      <c r="CE58" s="69"/>
      <c r="CF58" s="69"/>
      <c r="CG58" s="69"/>
      <c r="CH58" s="69"/>
      <c r="CI58" s="69"/>
      <c r="CJ58" s="69"/>
      <c r="CK58" s="69"/>
      <c r="CL58" s="69"/>
      <c r="CM58" s="69"/>
      <c r="CN58" s="69"/>
      <c r="CO58" s="69"/>
      <c r="CP58" s="69"/>
      <c r="CQ58" s="69"/>
      <c r="CR58" s="69"/>
      <c r="CS58" s="69"/>
      <c r="CT58" s="69"/>
      <c r="CU58" s="69"/>
      <c r="CV58" s="69"/>
      <c r="CW58" s="69"/>
      <c r="CX58" s="69"/>
      <c r="CY58" s="125"/>
      <c r="CZ58" s="76"/>
      <c r="DA58" s="125"/>
      <c r="DB58" s="117">
        <f>D27</f>
        <v>2593215.4203323559</v>
      </c>
      <c r="DC58" s="69"/>
      <c r="DD58" s="69"/>
      <c r="DE58" s="69"/>
    </row>
    <row r="59" spans="1:139" ht="13.8" thickBot="1" x14ac:dyDescent="0.3">
      <c r="A59" s="196" t="s">
        <v>692</v>
      </c>
      <c r="B59" s="79"/>
      <c r="C59" s="80"/>
      <c r="D59" s="116">
        <f>D53+D48</f>
        <v>12185.537177583319</v>
      </c>
      <c r="E59" s="116">
        <f>E53+E48</f>
        <v>24371.074355166638</v>
      </c>
      <c r="F59" s="116">
        <f t="shared" ref="F59:BK59" si="44">F53+F48</f>
        <v>0</v>
      </c>
      <c r="G59" s="116">
        <f t="shared" si="44"/>
        <v>14275.239343697784</v>
      </c>
      <c r="H59" s="116">
        <f t="shared" si="44"/>
        <v>52727.368944993788</v>
      </c>
      <c r="I59" s="116">
        <f t="shared" si="44"/>
        <v>4760.0098974902794</v>
      </c>
      <c r="J59" s="116">
        <f t="shared" si="44"/>
        <v>2389.5856462912452</v>
      </c>
      <c r="K59" s="116">
        <f t="shared" si="44"/>
        <v>10544.356040951712</v>
      </c>
      <c r="L59" s="116">
        <f t="shared" si="44"/>
        <v>0</v>
      </c>
      <c r="M59" s="116">
        <f t="shared" si="44"/>
        <v>50569.979286970789</v>
      </c>
      <c r="N59" s="116">
        <f t="shared" si="44"/>
        <v>60927.68588791661</v>
      </c>
      <c r="O59" s="116">
        <f t="shared" si="44"/>
        <v>1683.0092022659355</v>
      </c>
      <c r="P59" s="116">
        <f t="shared" si="44"/>
        <v>28942.488895323735</v>
      </c>
      <c r="Q59" s="116">
        <f t="shared" si="44"/>
        <v>1085.8123885586679</v>
      </c>
      <c r="R59" s="116">
        <f t="shared" si="44"/>
        <v>0</v>
      </c>
      <c r="S59" s="116">
        <f t="shared" si="44"/>
        <v>0</v>
      </c>
      <c r="T59" s="116">
        <f t="shared" si="44"/>
        <v>0</v>
      </c>
      <c r="U59" s="116">
        <f t="shared" si="44"/>
        <v>0</v>
      </c>
      <c r="V59" s="116">
        <f t="shared" si="44"/>
        <v>0</v>
      </c>
      <c r="W59" s="116">
        <f t="shared" si="44"/>
        <v>10123.603740385228</v>
      </c>
      <c r="X59" s="116">
        <f t="shared" si="44"/>
        <v>634.7212124295155</v>
      </c>
      <c r="Y59" s="116">
        <f t="shared" si="44"/>
        <v>21933.966919649974</v>
      </c>
      <c r="Z59" s="116">
        <f t="shared" si="44"/>
        <v>11374.683161614224</v>
      </c>
      <c r="AA59" s="116">
        <f t="shared" si="44"/>
        <v>0</v>
      </c>
      <c r="AB59" s="116">
        <f t="shared" si="44"/>
        <v>0</v>
      </c>
      <c r="AC59" s="116">
        <f t="shared" si="44"/>
        <v>0</v>
      </c>
      <c r="AD59" s="116">
        <f t="shared" si="44"/>
        <v>0</v>
      </c>
      <c r="AE59" s="116">
        <f t="shared" si="44"/>
        <v>0</v>
      </c>
      <c r="AF59" s="116">
        <f t="shared" si="44"/>
        <v>0</v>
      </c>
      <c r="AG59" s="116">
        <f t="shared" si="44"/>
        <v>0</v>
      </c>
      <c r="AH59" s="116">
        <f t="shared" si="44"/>
        <v>0</v>
      </c>
      <c r="AI59" s="116">
        <f t="shared" si="44"/>
        <v>3354.0425325992392</v>
      </c>
      <c r="AJ59" s="116">
        <f t="shared" si="44"/>
        <v>0</v>
      </c>
      <c r="AK59" s="116">
        <f t="shared" si="44"/>
        <v>0</v>
      </c>
      <c r="AL59" s="116">
        <f t="shared" si="44"/>
        <v>28481.817021648465</v>
      </c>
      <c r="AM59" s="116">
        <f t="shared" si="44"/>
        <v>0</v>
      </c>
      <c r="AN59" s="116">
        <f t="shared" si="44"/>
        <v>0</v>
      </c>
      <c r="AO59" s="116">
        <f t="shared" si="44"/>
        <v>15544.004633320972</v>
      </c>
      <c r="AP59" s="116">
        <f t="shared" si="44"/>
        <v>2734.3011330540085</v>
      </c>
      <c r="AQ59" s="116">
        <f t="shared" si="44"/>
        <v>0</v>
      </c>
      <c r="AR59" s="116">
        <f t="shared" si="44"/>
        <v>18363.003630036295</v>
      </c>
      <c r="AS59" s="116">
        <f t="shared" si="44"/>
        <v>4264.9380121541626</v>
      </c>
      <c r="AT59" s="116">
        <f t="shared" si="44"/>
        <v>5000</v>
      </c>
      <c r="AU59" s="116">
        <f t="shared" si="44"/>
        <v>0</v>
      </c>
      <c r="AV59" s="116">
        <f t="shared" si="44"/>
        <v>4252.2329275466664</v>
      </c>
      <c r="AW59" s="116">
        <f t="shared" si="44"/>
        <v>5662.9906412107603</v>
      </c>
      <c r="AX59" s="116">
        <f t="shared" si="44"/>
        <v>0</v>
      </c>
      <c r="AY59" s="116">
        <f t="shared" si="44"/>
        <v>10666.509934664562</v>
      </c>
      <c r="AZ59" s="116">
        <f t="shared" si="44"/>
        <v>3581.5840993192542</v>
      </c>
      <c r="BA59" s="116">
        <f>BA53+BA48</f>
        <v>1924.1234238429338</v>
      </c>
      <c r="BB59" s="116">
        <f t="shared" si="44"/>
        <v>2541.2800241045879</v>
      </c>
      <c r="BC59" s="116">
        <f t="shared" si="44"/>
        <v>15461.649056490563</v>
      </c>
      <c r="BD59" s="116">
        <f t="shared" si="44"/>
        <v>8515.643335563791</v>
      </c>
      <c r="BE59" s="116">
        <f t="shared" si="44"/>
        <v>0</v>
      </c>
      <c r="BF59" s="116">
        <f t="shared" si="44"/>
        <v>12185.537177583319</v>
      </c>
      <c r="BG59" s="116">
        <f t="shared" si="44"/>
        <v>38595.041673025415</v>
      </c>
      <c r="BH59" s="116">
        <f t="shared" si="44"/>
        <v>6092.7685887916596</v>
      </c>
      <c r="BI59" s="116">
        <f t="shared" si="44"/>
        <v>1.5967829243509823</v>
      </c>
      <c r="BJ59" s="116">
        <f t="shared" si="44"/>
        <v>79205.991654291574</v>
      </c>
      <c r="BK59" s="116">
        <f t="shared" si="44"/>
        <v>329009.50379474962</v>
      </c>
      <c r="BL59" s="116">
        <f t="shared" ref="BL59:CX59" si="45">BL53+BL48</f>
        <v>371658.88391629129</v>
      </c>
      <c r="BM59" s="116">
        <f t="shared" si="45"/>
        <v>3835.4725842910593</v>
      </c>
      <c r="BN59" s="116">
        <f t="shared" si="45"/>
        <v>2859.8382175126094</v>
      </c>
      <c r="BO59" s="116">
        <f t="shared" si="45"/>
        <v>56128.516573861387</v>
      </c>
      <c r="BP59" s="116">
        <f t="shared" si="45"/>
        <v>91391.528831874894</v>
      </c>
      <c r="BQ59" s="116">
        <f t="shared" si="45"/>
        <v>3751.6414807626334</v>
      </c>
      <c r="BR59" s="116">
        <f t="shared" si="45"/>
        <v>265576.13758659322</v>
      </c>
      <c r="BS59" s="116">
        <f t="shared" si="45"/>
        <v>0</v>
      </c>
      <c r="BT59" s="116">
        <f t="shared" si="45"/>
        <v>106623.45030385406</v>
      </c>
      <c r="BU59" s="116">
        <f t="shared" si="45"/>
        <v>0</v>
      </c>
      <c r="BV59" s="116">
        <f t="shared" si="45"/>
        <v>0</v>
      </c>
      <c r="BW59" s="116">
        <f t="shared" si="45"/>
        <v>11576.260318704153</v>
      </c>
      <c r="BX59" s="116">
        <f t="shared" si="45"/>
        <v>887.41204274678148</v>
      </c>
      <c r="BY59" s="116">
        <f t="shared" si="45"/>
        <v>0</v>
      </c>
      <c r="BZ59" s="116">
        <f t="shared" si="45"/>
        <v>1818256.8240347039</v>
      </c>
      <c r="CA59" s="76"/>
      <c r="CB59" s="116">
        <f t="shared" si="45"/>
        <v>45000.000000000015</v>
      </c>
      <c r="CC59" s="116">
        <f t="shared" si="45"/>
        <v>16124.144672531769</v>
      </c>
      <c r="CD59" s="116">
        <f t="shared" si="45"/>
        <v>48875.855327468234</v>
      </c>
      <c r="CE59" s="116">
        <f t="shared" si="45"/>
        <v>25000.000000000007</v>
      </c>
      <c r="CF59" s="116">
        <f t="shared" si="45"/>
        <v>20000</v>
      </c>
      <c r="CG59" s="116">
        <f t="shared" si="45"/>
        <v>25000.000000000007</v>
      </c>
      <c r="CH59" s="116">
        <f t="shared" si="45"/>
        <v>7615.6629467134853</v>
      </c>
      <c r="CI59" s="116">
        <f t="shared" si="45"/>
        <v>7616.2585252656645</v>
      </c>
      <c r="CJ59" s="116">
        <f t="shared" si="45"/>
        <v>6092.7685887916596</v>
      </c>
      <c r="CK59" s="116">
        <f t="shared" si="45"/>
        <v>6092.7685887916596</v>
      </c>
      <c r="CL59" s="116">
        <f t="shared" si="45"/>
        <v>243.5916278412306</v>
      </c>
      <c r="CM59" s="116">
        <f t="shared" si="45"/>
        <v>8933.6782826857198</v>
      </c>
      <c r="CN59" s="116">
        <f t="shared" si="45"/>
        <v>60501.847223108583</v>
      </c>
      <c r="CO59" s="116">
        <f t="shared" si="45"/>
        <v>2742.0436542323368</v>
      </c>
      <c r="CP59" s="116">
        <f>CP53+CP48</f>
        <v>115217.05323324553</v>
      </c>
      <c r="CQ59" s="116">
        <f>CQ53+CQ48</f>
        <v>5806.8908837457184</v>
      </c>
      <c r="CR59" s="116">
        <f>CR53+CR48</f>
        <v>353250.74202554126</v>
      </c>
      <c r="CS59" s="116">
        <f t="shared" si="45"/>
        <v>20845.249326266679</v>
      </c>
      <c r="CT59" s="116">
        <f t="shared" si="45"/>
        <v>0</v>
      </c>
      <c r="CU59" s="116">
        <f t="shared" si="45"/>
        <v>0</v>
      </c>
      <c r="CV59" s="116">
        <f>CV53+CV48</f>
        <v>0</v>
      </c>
      <c r="CW59" s="116">
        <f>CW53+CW48</f>
        <v>0</v>
      </c>
      <c r="CX59" s="116">
        <f t="shared" si="45"/>
        <v>0</v>
      </c>
      <c r="CY59" s="91">
        <f>SUM(CB59:CX59)</f>
        <v>774958.5549062296</v>
      </c>
      <c r="CZ59" s="76"/>
      <c r="DA59" s="81">
        <f>BZ59+CY59</f>
        <v>2593215.3789409334</v>
      </c>
      <c r="DB59" s="82" t="str">
        <f>IF(ABS(DA59-D27)&lt;1,"Okay","Adjust Blanco")</f>
        <v>Okay</v>
      </c>
      <c r="DC59" s="92">
        <f>MIN(MIN($CB59:$CX59),MIN($D59:$BY59))</f>
        <v>0</v>
      </c>
      <c r="DD59" s="92">
        <f>MAX(MAX($CB59:$CX59),MAX($D59:$BY59))</f>
        <v>371658.88391629129</v>
      </c>
      <c r="DE59" s="79"/>
    </row>
    <row r="60" spans="1:139" x14ac:dyDescent="0.25">
      <c r="A60" s="69"/>
      <c r="B60" s="256"/>
      <c r="C60" s="257"/>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65"/>
      <c r="AW60" s="65"/>
      <c r="AX60" s="65"/>
      <c r="AY60" s="65"/>
      <c r="AZ60" s="65"/>
      <c r="BA60" s="65"/>
      <c r="BB60" s="65"/>
      <c r="BC60" s="65"/>
      <c r="BD60" s="65"/>
      <c r="BE60" s="65"/>
      <c r="BF60" s="65"/>
      <c r="BG60" s="65"/>
      <c r="BH60" s="65"/>
      <c r="BI60" s="65"/>
      <c r="BJ60" s="65"/>
      <c r="BK60" s="65"/>
      <c r="BL60" s="65"/>
      <c r="BM60" s="65"/>
      <c r="BN60" s="65"/>
      <c r="BO60" s="65"/>
      <c r="BP60" s="65"/>
      <c r="BQ60" s="65"/>
      <c r="BR60" s="65"/>
      <c r="BS60" s="65"/>
      <c r="BT60" s="65"/>
      <c r="BU60" s="65"/>
      <c r="BV60" s="65"/>
      <c r="BW60" s="65"/>
      <c r="BX60" s="65"/>
      <c r="BY60" s="65"/>
      <c r="BZ60" s="72"/>
      <c r="CA60" s="76"/>
      <c r="CB60" s="65"/>
      <c r="CC60" s="65"/>
      <c r="CD60" s="65"/>
      <c r="CE60" s="65"/>
      <c r="CF60" s="65"/>
      <c r="CG60" s="65"/>
      <c r="CH60" s="65"/>
      <c r="CI60" s="65"/>
      <c r="CJ60" s="65"/>
      <c r="CK60" s="65"/>
      <c r="CL60" s="65"/>
      <c r="CM60" s="65"/>
      <c r="CN60" s="65"/>
      <c r="CO60" s="65"/>
      <c r="CP60" s="65"/>
      <c r="CQ60" s="65"/>
      <c r="CR60" s="65"/>
      <c r="CS60" s="65"/>
      <c r="CT60" s="65"/>
      <c r="CU60" s="65"/>
      <c r="CV60" s="65"/>
      <c r="CW60" s="65"/>
      <c r="CX60" s="65"/>
      <c r="CY60" s="72"/>
      <c r="CZ60" s="76"/>
      <c r="DA60" s="143" t="s">
        <v>670</v>
      </c>
      <c r="DB60" s="132">
        <f>SUMIF(D1:BY1,"FR",D59:BY59)</f>
        <v>612094</v>
      </c>
      <c r="DC60" s="119" t="str">
        <f>IF(ABS(DB60-DB61)&lt;1,"Okay", "Adjust EOC Factor")</f>
        <v>Okay</v>
      </c>
      <c r="DD60" s="174"/>
      <c r="DE60" s="69"/>
    </row>
    <row r="61" spans="1:139" x14ac:dyDescent="0.25">
      <c r="A61" s="69"/>
      <c r="B61" s="197"/>
      <c r="C61" s="138"/>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67"/>
      <c r="BQ61" s="67"/>
      <c r="BR61" s="67"/>
      <c r="BS61" s="67"/>
      <c r="BT61" s="67"/>
      <c r="BU61" s="67"/>
      <c r="BV61" s="67"/>
      <c r="BW61" s="67"/>
      <c r="BX61" s="67"/>
      <c r="BY61" s="67"/>
      <c r="BZ61" s="72"/>
      <c r="CA61" s="76"/>
      <c r="CB61" s="67"/>
      <c r="CC61" s="67"/>
      <c r="CD61" s="67"/>
      <c r="CE61" s="67"/>
      <c r="CF61" s="67"/>
      <c r="CG61" s="67"/>
      <c r="CH61" s="67"/>
      <c r="CI61" s="67"/>
      <c r="CJ61" s="67"/>
      <c r="CK61" s="67"/>
      <c r="CL61" s="67"/>
      <c r="CM61" s="67"/>
      <c r="CN61" s="67"/>
      <c r="CO61" s="67"/>
      <c r="CP61" s="67"/>
      <c r="CQ61" s="67"/>
      <c r="CR61" s="67"/>
      <c r="CS61" s="67"/>
      <c r="CT61" s="67"/>
      <c r="CU61" s="67"/>
      <c r="CV61" s="67"/>
      <c r="CW61" s="67"/>
      <c r="CX61" s="67"/>
      <c r="CY61" s="72"/>
      <c r="CZ61" s="76"/>
      <c r="DA61" s="215" t="s">
        <v>671</v>
      </c>
      <c r="DB61" s="126">
        <f>DM42</f>
        <v>612094.09911587439</v>
      </c>
      <c r="DD61" s="174"/>
      <c r="DE61" s="69"/>
    </row>
    <row r="62" spans="1:139" x14ac:dyDescent="0.25">
      <c r="A62" s="59"/>
      <c r="B62" s="83"/>
      <c r="C62" s="71"/>
      <c r="D62" s="67"/>
      <c r="E62" s="67"/>
      <c r="F62" s="67"/>
      <c r="G62" s="67"/>
      <c r="H62" s="67"/>
      <c r="I62" s="67"/>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67"/>
      <c r="BQ62" s="67"/>
      <c r="BR62" s="67"/>
      <c r="BS62" s="67"/>
      <c r="BT62" s="67"/>
      <c r="BU62" s="67"/>
      <c r="BV62" s="67"/>
      <c r="BW62" s="67"/>
      <c r="BX62" s="67"/>
      <c r="BY62" s="67"/>
      <c r="BZ62" s="73"/>
      <c r="CA62" s="76"/>
      <c r="CB62" s="67"/>
      <c r="CC62" s="67"/>
      <c r="CD62" s="67"/>
      <c r="CE62" s="67"/>
      <c r="CF62" s="67"/>
      <c r="CG62" s="67"/>
      <c r="CH62" s="67"/>
      <c r="CI62" s="67"/>
      <c r="CJ62" s="67"/>
      <c r="CK62" s="67"/>
      <c r="CL62" s="67"/>
      <c r="CM62" s="67"/>
      <c r="CN62" s="67"/>
      <c r="CO62" s="67"/>
      <c r="CP62" s="67"/>
      <c r="CQ62" s="67"/>
      <c r="CR62" s="67"/>
      <c r="CS62" s="67"/>
      <c r="CT62" s="67"/>
      <c r="CU62" s="67"/>
      <c r="CV62" s="67"/>
      <c r="CW62" s="67"/>
      <c r="CX62" s="67"/>
      <c r="CY62" s="72"/>
      <c r="CZ62" s="76"/>
      <c r="DB62" s="123"/>
      <c r="DC62" s="67"/>
      <c r="DD62" s="67"/>
      <c r="DE62" s="83"/>
    </row>
    <row r="63" spans="1:139" x14ac:dyDescent="0.25">
      <c r="A63" s="247" t="s">
        <v>686</v>
      </c>
      <c r="B63" s="83"/>
      <c r="C63" s="71"/>
      <c r="D63" s="65">
        <f t="shared" ref="D63:AI63" si="46">IF(D3="FT2",0,D11-D59)</f>
        <v>7814.4628224166809</v>
      </c>
      <c r="E63" s="67">
        <f t="shared" si="46"/>
        <v>15628.925644833362</v>
      </c>
      <c r="F63" s="67">
        <f t="shared" si="46"/>
        <v>0</v>
      </c>
      <c r="G63" s="67">
        <f t="shared" si="46"/>
        <v>3202.7665214048575</v>
      </c>
      <c r="H63" s="67">
        <f t="shared" si="46"/>
        <v>11829.815805739352</v>
      </c>
      <c r="I63" s="67">
        <f t="shared" si="46"/>
        <v>1067.9470917570334</v>
      </c>
      <c r="J63" s="67">
        <f t="shared" si="46"/>
        <v>536.12305361100334</v>
      </c>
      <c r="K63" s="67">
        <f t="shared" si="46"/>
        <v>2365.712385245748</v>
      </c>
      <c r="L63" s="67">
        <f t="shared" si="46"/>
        <v>0</v>
      </c>
      <c r="M63" s="67">
        <f t="shared" si="46"/>
        <v>32430.020713029226</v>
      </c>
      <c r="N63" s="67">
        <f t="shared" si="46"/>
        <v>39072.314112083404</v>
      </c>
      <c r="O63" s="67">
        <f t="shared" si="46"/>
        <v>377.59685834012544</v>
      </c>
      <c r="P63" s="67">
        <f t="shared" si="46"/>
        <v>6493.4837341972852</v>
      </c>
      <c r="Q63" s="67">
        <f t="shared" si="46"/>
        <v>243.61087634846808</v>
      </c>
      <c r="R63" s="67">
        <f t="shared" si="46"/>
        <v>0</v>
      </c>
      <c r="S63" s="67">
        <f t="shared" si="46"/>
        <v>0</v>
      </c>
      <c r="T63" s="67">
        <f t="shared" si="46"/>
        <v>0</v>
      </c>
      <c r="U63" s="67">
        <f t="shared" si="46"/>
        <v>0</v>
      </c>
      <c r="V63" s="67">
        <f t="shared" si="46"/>
        <v>0</v>
      </c>
      <c r="W63" s="67">
        <f t="shared" si="46"/>
        <v>2271.3131706607164</v>
      </c>
      <c r="X63" s="67">
        <f t="shared" si="46"/>
        <v>142.40488727722948</v>
      </c>
      <c r="Y63" s="67">
        <f t="shared" si="46"/>
        <v>14066.033080350026</v>
      </c>
      <c r="Z63" s="67">
        <f t="shared" si="46"/>
        <v>2552.0030553945744</v>
      </c>
      <c r="AA63" s="67">
        <f t="shared" si="46"/>
        <v>0</v>
      </c>
      <c r="AB63" s="67">
        <f t="shared" si="46"/>
        <v>0</v>
      </c>
      <c r="AC63" s="67">
        <f t="shared" si="46"/>
        <v>0</v>
      </c>
      <c r="AD63" s="67">
        <f t="shared" si="46"/>
        <v>0</v>
      </c>
      <c r="AE63" s="67">
        <f t="shared" si="46"/>
        <v>0</v>
      </c>
      <c r="AF63" s="67">
        <f t="shared" si="46"/>
        <v>0</v>
      </c>
      <c r="AG63" s="67">
        <f t="shared" si="46"/>
        <v>0</v>
      </c>
      <c r="AH63" s="67">
        <f t="shared" si="46"/>
        <v>0</v>
      </c>
      <c r="AI63" s="67">
        <f t="shared" si="46"/>
        <v>752.50683201464199</v>
      </c>
      <c r="AJ63" s="67">
        <f t="shared" ref="AJ63:BO63" si="47">IF(AJ3="FT2",0,AJ11-AJ59)</f>
        <v>0</v>
      </c>
      <c r="AK63" s="67">
        <f t="shared" si="47"/>
        <v>0</v>
      </c>
      <c r="AL63" s="67">
        <f t="shared" si="47"/>
        <v>6390.1282373935683</v>
      </c>
      <c r="AM63" s="67">
        <f t="shared" si="47"/>
        <v>0</v>
      </c>
      <c r="AN63" s="67">
        <f t="shared" si="47"/>
        <v>0</v>
      </c>
      <c r="AO63" s="67">
        <f t="shared" si="47"/>
        <v>9968.2143305108984</v>
      </c>
      <c r="AP63" s="67">
        <f t="shared" si="47"/>
        <v>1753.4799031141247</v>
      </c>
      <c r="AQ63" s="67">
        <f t="shared" si="47"/>
        <v>0</v>
      </c>
      <c r="AR63" s="67">
        <f t="shared" si="47"/>
        <v>4119.8898205990918</v>
      </c>
      <c r="AS63" s="67">
        <f t="shared" si="47"/>
        <v>2735.0619878458383</v>
      </c>
      <c r="AT63" s="67">
        <f t="shared" si="47"/>
        <v>0</v>
      </c>
      <c r="AU63" s="67">
        <f t="shared" si="47"/>
        <v>0</v>
      </c>
      <c r="AV63" s="67">
        <f t="shared" si="47"/>
        <v>954.02318193525025</v>
      </c>
      <c r="AW63" s="67">
        <f t="shared" si="47"/>
        <v>1270.5381955438834</v>
      </c>
      <c r="AX63" s="67">
        <f t="shared" si="47"/>
        <v>0</v>
      </c>
      <c r="AY63" s="67">
        <f t="shared" si="47"/>
        <v>2393.1186088349496</v>
      </c>
      <c r="AZ63" s="67">
        <f t="shared" si="47"/>
        <v>803.55764066119627</v>
      </c>
      <c r="BA63" s="67">
        <f t="shared" si="47"/>
        <v>431.6928029410351</v>
      </c>
      <c r="BB63" s="67">
        <f t="shared" si="47"/>
        <v>570.15692604203969</v>
      </c>
      <c r="BC63" s="67">
        <f t="shared" si="47"/>
        <v>3468.9472289444329</v>
      </c>
      <c r="BD63" s="67">
        <f t="shared" si="47"/>
        <v>1910.5541228917336</v>
      </c>
      <c r="BE63" s="67">
        <f t="shared" si="47"/>
        <v>0</v>
      </c>
      <c r="BF63" s="67">
        <f t="shared" si="47"/>
        <v>7814.4628224166809</v>
      </c>
      <c r="BG63" s="67">
        <f t="shared" si="47"/>
        <v>8659.1127746774218</v>
      </c>
      <c r="BH63" s="67">
        <f t="shared" si="47"/>
        <v>3907.2314112083404</v>
      </c>
      <c r="BI63" s="67">
        <f t="shared" si="47"/>
        <v>0.35825128874774714</v>
      </c>
      <c r="BJ63" s="67">
        <f t="shared" si="47"/>
        <v>50794.00834570844</v>
      </c>
      <c r="BK63" s="67">
        <f t="shared" si="47"/>
        <v>210990.49620525038</v>
      </c>
      <c r="BL63" s="67">
        <f t="shared" si="47"/>
        <v>238341.11608370871</v>
      </c>
      <c r="BM63" s="67">
        <f t="shared" si="47"/>
        <v>860.51959557208829</v>
      </c>
      <c r="BN63" s="67">
        <f t="shared" si="47"/>
        <v>641.62805814721514</v>
      </c>
      <c r="BO63" s="67">
        <f t="shared" si="47"/>
        <v>12592.891050772057</v>
      </c>
      <c r="BP63" s="67">
        <f t="shared" ref="BP63:BY63" si="48">IF(BP3="FT2",0,BP11-BP59)</f>
        <v>58608.471168125106</v>
      </c>
      <c r="BQ63" s="67">
        <f t="shared" si="48"/>
        <v>841.71140291283155</v>
      </c>
      <c r="BR63" s="67">
        <f t="shared" si="48"/>
        <v>59584.175218880875</v>
      </c>
      <c r="BS63" s="67">
        <f t="shared" si="48"/>
        <v>0</v>
      </c>
      <c r="BT63" s="67">
        <f t="shared" si="48"/>
        <v>68376.549696145972</v>
      </c>
      <c r="BU63" s="67">
        <f t="shared" si="48"/>
        <v>0</v>
      </c>
      <c r="BV63" s="67">
        <f t="shared" si="48"/>
        <v>0</v>
      </c>
      <c r="BW63" s="67">
        <f t="shared" si="48"/>
        <v>7423.7396812958468</v>
      </c>
      <c r="BX63" s="67">
        <f t="shared" si="48"/>
        <v>569.08844601177202</v>
      </c>
      <c r="BY63" s="67">
        <f t="shared" si="48"/>
        <v>0</v>
      </c>
      <c r="BZ63" s="73">
        <f>SUM(D63:BY63)</f>
        <v>907621.9638440843</v>
      </c>
      <c r="CA63" s="76"/>
      <c r="CB63" s="67">
        <f t="shared" ref="CB63:CX63" si="49">IF(CB3="FT2",0,CB11-CB59)</f>
        <v>-7.2759576141834259E-12</v>
      </c>
      <c r="CC63" s="67">
        <f t="shared" si="49"/>
        <v>1.8189894035458565E-12</v>
      </c>
      <c r="CD63" s="67">
        <f t="shared" si="49"/>
        <v>0</v>
      </c>
      <c r="CE63" s="67">
        <f t="shared" si="49"/>
        <v>-3.637978807091713E-12</v>
      </c>
      <c r="CF63" s="67">
        <f t="shared" si="49"/>
        <v>0</v>
      </c>
      <c r="CG63" s="67">
        <f t="shared" si="49"/>
        <v>-3.637978807091713E-12</v>
      </c>
      <c r="CH63" s="67">
        <f t="shared" si="49"/>
        <v>4883.8482947332404</v>
      </c>
      <c r="CI63" s="67">
        <f t="shared" si="49"/>
        <v>4884.2302332876116</v>
      </c>
      <c r="CJ63" s="67">
        <f t="shared" si="49"/>
        <v>3907.2314112083404</v>
      </c>
      <c r="CK63" s="67">
        <f t="shared" si="49"/>
        <v>3907.2314112083404</v>
      </c>
      <c r="CL63" s="67">
        <f t="shared" si="49"/>
        <v>156.21286873745953</v>
      </c>
      <c r="CM63" s="67">
        <f t="shared" si="49"/>
        <v>5729.0783155547506</v>
      </c>
      <c r="CN63" s="67">
        <f t="shared" si="49"/>
        <v>38799.228045708624</v>
      </c>
      <c r="CO63" s="67">
        <f t="shared" si="49"/>
        <v>1758.4451043209383</v>
      </c>
      <c r="CP63" s="67">
        <f t="shared" si="49"/>
        <v>73887.541097155277</v>
      </c>
      <c r="CQ63" s="67">
        <f t="shared" si="49"/>
        <v>3723.9009051105877</v>
      </c>
      <c r="CR63" s="67">
        <f t="shared" si="49"/>
        <v>226536.15924523107</v>
      </c>
      <c r="CS63" s="67">
        <f t="shared" si="49"/>
        <v>13367.849402961085</v>
      </c>
      <c r="CT63" s="67">
        <f t="shared" si="49"/>
        <v>1694.0371456500491</v>
      </c>
      <c r="CU63" s="67">
        <f t="shared" si="49"/>
        <v>39100.684261974588</v>
      </c>
      <c r="CV63" s="67">
        <f t="shared" si="49"/>
        <v>198156.4027370479</v>
      </c>
      <c r="CW63" s="67">
        <f t="shared" si="49"/>
        <v>253845.55229716521</v>
      </c>
      <c r="CX63" s="67">
        <f t="shared" si="49"/>
        <v>4703.8123167155427</v>
      </c>
      <c r="CY63" s="72">
        <f>SUM(CB63:CX63)</f>
        <v>879041.44509377051</v>
      </c>
      <c r="CZ63" s="76"/>
      <c r="DA63" s="73">
        <f>BZ63+CY63</f>
        <v>1786663.4089378547</v>
      </c>
      <c r="DB63" s="67"/>
      <c r="DC63" s="117">
        <f>MIN(MIN($CB63:$CX63),MIN($D63:$BY63))</f>
        <v>-7.2759576141834259E-12</v>
      </c>
      <c r="DD63" s="117">
        <f>MAX(MAX($CB63:$CX63),MAX($D63:$BY63))</f>
        <v>253845.55229716521</v>
      </c>
      <c r="DE63" s="83"/>
    </row>
    <row r="64" spans="1:139" x14ac:dyDescent="0.25">
      <c r="A64" s="59"/>
      <c r="B64" s="83"/>
      <c r="C64" s="99"/>
      <c r="D64" s="67"/>
      <c r="E64" s="67"/>
      <c r="F64" s="67"/>
      <c r="G64" s="67"/>
      <c r="H64" s="67"/>
      <c r="I64" s="67"/>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c r="AZ64" s="67"/>
      <c r="BA64" s="67"/>
      <c r="BB64" s="67"/>
      <c r="BC64" s="67"/>
      <c r="BD64" s="67"/>
      <c r="BE64" s="67"/>
      <c r="BF64" s="67"/>
      <c r="BG64" s="67"/>
      <c r="BH64" s="67"/>
      <c r="BI64" s="67"/>
      <c r="BJ64" s="67"/>
      <c r="BK64" s="67"/>
      <c r="BL64" s="67"/>
      <c r="BM64" s="67"/>
      <c r="BN64" s="67"/>
      <c r="BO64" s="67"/>
      <c r="BP64" s="67"/>
      <c r="BQ64" s="67"/>
      <c r="BR64" s="67"/>
      <c r="BS64" s="67"/>
      <c r="BT64" s="67"/>
      <c r="BU64" s="67"/>
      <c r="BV64" s="67"/>
      <c r="BW64" s="67"/>
      <c r="BX64" s="67"/>
      <c r="BY64" s="67"/>
      <c r="BZ64" s="73"/>
      <c r="CA64" s="76"/>
      <c r="CB64" s="67"/>
      <c r="CC64" s="67"/>
      <c r="CD64" s="67"/>
      <c r="CE64" s="67"/>
      <c r="CF64" s="67"/>
      <c r="CG64" s="67"/>
      <c r="CH64" s="67"/>
      <c r="CI64" s="67"/>
      <c r="CJ64" s="67"/>
      <c r="CK64" s="67"/>
      <c r="CL64" s="67"/>
      <c r="CM64" s="67"/>
      <c r="CN64" s="67"/>
      <c r="CO64" s="67"/>
      <c r="CP64" s="67"/>
      <c r="CQ64" s="67"/>
      <c r="CR64" s="67"/>
      <c r="CS64" s="67"/>
      <c r="CT64" s="67"/>
      <c r="CU64" s="67"/>
      <c r="CV64" s="67"/>
      <c r="CW64" s="67"/>
      <c r="CX64" s="67"/>
      <c r="CY64" s="72"/>
      <c r="CZ64" s="76"/>
      <c r="DA64" s="73"/>
      <c r="DB64" s="67"/>
      <c r="DC64" s="67"/>
      <c r="DD64" s="67"/>
      <c r="DE64" s="83"/>
    </row>
    <row r="65" spans="1:109" x14ac:dyDescent="0.25">
      <c r="A65" s="83" t="s">
        <v>536</v>
      </c>
      <c r="B65" s="83"/>
      <c r="C65" s="71"/>
      <c r="D65" s="115">
        <f>IF(D$18&lt;1,0,'Basin Allocations'!$H10*D$63)</f>
        <v>0</v>
      </c>
      <c r="E65" s="115">
        <f>IF(E$18&lt;1,0,'Basin Allocations'!$H10*E$63)</f>
        <v>1397.5945931120182</v>
      </c>
      <c r="F65" s="115">
        <f>IF(F$18&lt;1,0,'Basin Allocations'!$H10*F$63)</f>
        <v>0</v>
      </c>
      <c r="G65" s="115">
        <f>IF(G$18&lt;1,0,'Basin Allocations'!$H10*G$63)</f>
        <v>286.40287087138046</v>
      </c>
      <c r="H65" s="115">
        <f>IF(H$18&lt;1,0,'Basin Allocations'!$H10*H$63)</f>
        <v>1057.8645636514379</v>
      </c>
      <c r="I65" s="115">
        <f>IF(I$18&lt;1,0,'Basin Allocations'!$H10*I$63)</f>
        <v>95.499659739103464</v>
      </c>
      <c r="J65" s="115">
        <f>IF(J$18&lt;1,0,'Basin Allocations'!$H10*J$63)</f>
        <v>47.942046561411736</v>
      </c>
      <c r="K65" s="115">
        <f>IF(K$18&lt;1,0,'Basin Allocations'!$H10*K$63)</f>
        <v>211.55048744957068</v>
      </c>
      <c r="L65" s="115">
        <f>IF(L$18&lt;1,0,'Basin Allocations'!$H10*L$63)</f>
        <v>0</v>
      </c>
      <c r="M65" s="115">
        <f>IF(M$18&lt;1,0,'Basin Allocations'!$H10*M$63)</f>
        <v>2900.0087807074378</v>
      </c>
      <c r="N65" s="115">
        <f>IF(N$18&lt;1,0,'Basin Allocations'!$H10*N$63)</f>
        <v>0</v>
      </c>
      <c r="O65" s="115">
        <f>IF(O$18&lt;1,0,'Basin Allocations'!$H10*O$63)</f>
        <v>33.766065536737713</v>
      </c>
      <c r="P65" s="115">
        <f>IF(P$18&lt;1,0,'Basin Allocations'!$H10*P$63)</f>
        <v>0</v>
      </c>
      <c r="Q65" s="115">
        <f>IF(Q$18&lt;1,0,'Basin Allocations'!$H10*Q$63)</f>
        <v>21.784558410798528</v>
      </c>
      <c r="R65" s="115">
        <f>IF(R$18&lt;1,0,'Basin Allocations'!$H10*R$63)</f>
        <v>0</v>
      </c>
      <c r="S65" s="115">
        <f>IF(S$18&lt;1,0,'Basin Allocations'!$H10*S$63)</f>
        <v>0</v>
      </c>
      <c r="T65" s="115">
        <f>IF(T$18&lt;1,0,'Basin Allocations'!$H10*T$63)</f>
        <v>0</v>
      </c>
      <c r="U65" s="115">
        <f>IF(U$18&lt;1,0,'Basin Allocations'!$H10*U$63)</f>
        <v>0</v>
      </c>
      <c r="V65" s="115">
        <f>IF(V$18&lt;1,0,'Basin Allocations'!$H10*V$63)</f>
        <v>0</v>
      </c>
      <c r="W65" s="115">
        <f>IF(W$18&lt;1,0,'Basin Allocations'!$H10*W$63)</f>
        <v>203.10897106538621</v>
      </c>
      <c r="X65" s="115">
        <f>IF(X$18&lt;1,0,'Basin Allocations'!$H10*X$63)</f>
        <v>12.734355835724138</v>
      </c>
      <c r="Y65" s="115">
        <f>IF(Y$18&lt;1,0,'Basin Allocations'!$H10*Y$63)</f>
        <v>0</v>
      </c>
      <c r="Z65" s="115">
        <f>IF(Z$18&lt;1,0,'Basin Allocations'!$H10*Z$63)</f>
        <v>228.20926741076937</v>
      </c>
      <c r="AA65" s="115">
        <f>IF(AA$18&lt;1,0,'Basin Allocations'!$H10*AA$63)</f>
        <v>0</v>
      </c>
      <c r="AB65" s="115">
        <f>IF(AB$18&lt;1,0,'Basin Allocations'!$H10*AB$63)</f>
        <v>0</v>
      </c>
      <c r="AC65" s="115">
        <f>IF(AC$18&lt;1,0,'Basin Allocations'!$H10*AC$63)</f>
        <v>0</v>
      </c>
      <c r="AD65" s="115">
        <f>IF(AD$18&lt;1,0,'Basin Allocations'!$H10*AD$63)</f>
        <v>0</v>
      </c>
      <c r="AE65" s="115">
        <f>IF(AE$18&lt;1,0,'Basin Allocations'!$H10*AE$63)</f>
        <v>0</v>
      </c>
      <c r="AF65" s="115">
        <f>IF(AF$18&lt;1,0,'Basin Allocations'!$H10*AF$63)</f>
        <v>0</v>
      </c>
      <c r="AG65" s="115">
        <f>IF(AG$18&lt;1,0,'Basin Allocations'!$H10*AG$63)</f>
        <v>0</v>
      </c>
      <c r="AH65" s="115">
        <f>IF(AH$18&lt;1,0,'Basin Allocations'!$H10*AH$63)</f>
        <v>0</v>
      </c>
      <c r="AI65" s="115">
        <f>IF(AI$18&lt;1,0,'Basin Allocations'!$H10*AI$63)</f>
        <v>67.291860208650377</v>
      </c>
      <c r="AJ65" s="115">
        <f>IF(AJ$18&lt;1,0,'Basin Allocations'!$H10*AJ$63)</f>
        <v>0</v>
      </c>
      <c r="AK65" s="115">
        <f>IF(AK$18&lt;1,0,'Basin Allocations'!$H10*AK$63)</f>
        <v>0</v>
      </c>
      <c r="AL65" s="115">
        <f>IF(AL$18&lt;1,0,'Basin Allocations'!$H10*AL$63)</f>
        <v>571.42818878443154</v>
      </c>
      <c r="AM65" s="115">
        <f>IF(AM$18&lt;1,0,'Basin Allocations'!$H10*AM$63)</f>
        <v>0</v>
      </c>
      <c r="AN65" s="115">
        <f>IF(AN$18&lt;1,0,'Basin Allocations'!$H10*AN$63)</f>
        <v>0</v>
      </c>
      <c r="AO65" s="115">
        <f>IF(AO$18&lt;1,0,'Basin Allocations'!$H10*AO$63)</f>
        <v>0</v>
      </c>
      <c r="AP65" s="115">
        <f>IF(AP$18&lt;1,0,'Basin Allocations'!$H10*AP$63)</f>
        <v>156.80246278048088</v>
      </c>
      <c r="AQ65" s="115">
        <f>IF(AQ$18&lt;1,0,'Basin Allocations'!$H10*AQ$63)</f>
        <v>0</v>
      </c>
      <c r="AR65" s="115">
        <f>IF(AR$18&lt;1,0,'Basin Allocations'!$H10*AR$63)</f>
        <v>368.41532606497503</v>
      </c>
      <c r="AS65" s="115">
        <f>IF(AS$18&lt;1,0,'Basin Allocations'!$H10*AS$63)</f>
        <v>244.5790537946032</v>
      </c>
      <c r="AT65" s="115">
        <f>IF(AT$18&lt;1,0,'Basin Allocations'!$H10*AT$63)</f>
        <v>0</v>
      </c>
      <c r="AU65" s="115">
        <f>IF(AU$18&lt;1,0,'Basin Allocations'!$H10*AU$63)</f>
        <v>0</v>
      </c>
      <c r="AV65" s="115">
        <f>IF(AV$18&lt;1,0,'Basin Allocations'!$H10*AV$63)</f>
        <v>0</v>
      </c>
      <c r="AW65" s="115">
        <f>IF(AW$18&lt;1,0,'Basin Allocations'!$H10*AW$63)</f>
        <v>0</v>
      </c>
      <c r="AX65" s="115">
        <f>IF(AX$18&lt;1,0,'Basin Allocations'!$H10*AX$63)</f>
        <v>0</v>
      </c>
      <c r="AY65" s="115">
        <f>IF(AY$18&lt;1,0,'Basin Allocations'!$H10*AY$63)</f>
        <v>214.00125027078542</v>
      </c>
      <c r="AZ65" s="115">
        <f>IF(AZ$18&lt;1,0,'Basin Allocations'!$H10*AZ$63)</f>
        <v>71.857006640325096</v>
      </c>
      <c r="BA65" s="115">
        <f>IF(BA$18&lt;1,0,'Basin Allocations'!$H10*BA$63)</f>
        <v>38.603518948547368</v>
      </c>
      <c r="BB65" s="115">
        <f>IF(BB$18&lt;1,0,'Basin Allocations'!$H10*BB$63)</f>
        <v>0</v>
      </c>
      <c r="BC65" s="115">
        <f>IF(BC$18&lt;1,0,'Basin Allocations'!$H10*BC$63)</f>
        <v>0</v>
      </c>
      <c r="BD65" s="115">
        <f>IF(BD$18&lt;1,0,'Basin Allocations'!$H10*BD$63)</f>
        <v>170.84860294821829</v>
      </c>
      <c r="BE65" s="115">
        <f>IF(BE$18&lt;1,0,'Basin Allocations'!$H10*BE$63)</f>
        <v>0</v>
      </c>
      <c r="BF65" s="115">
        <f>IF(BF$18&lt;1,0,'Basin Allocations'!$H10*BF$63)</f>
        <v>0</v>
      </c>
      <c r="BG65" s="115">
        <f>IF(BG$18&lt;1,0,'Basin Allocations'!$H10*BG$63)</f>
        <v>774.32892510030263</v>
      </c>
      <c r="BH65" s="115">
        <f>IF(BH$18&lt;1,0,'Basin Allocations'!$H10*BH$63)</f>
        <v>349.39864827800454</v>
      </c>
      <c r="BI65" s="115">
        <f>IF(BI$18&lt;1,0,'Basin Allocations'!$H10*BI$63)</f>
        <v>3.2036115309997837E-2</v>
      </c>
      <c r="BJ65" s="115">
        <f>IF(BJ$18&lt;1,0,'Basin Allocations'!$H10*BJ$63)</f>
        <v>4542.1824276140605</v>
      </c>
      <c r="BK65" s="115">
        <f>IF(BK$18&lt;1,0,'Basin Allocations'!$H10*BK$63)</f>
        <v>0</v>
      </c>
      <c r="BL65" s="115">
        <f>IF(BL$18&lt;1,0,'Basin Allocations'!$H10*BL$63)</f>
        <v>21313.317544958274</v>
      </c>
      <c r="BM65" s="115">
        <f>IF(BM$18&lt;1,0,'Basin Allocations'!$H10*BM$63)</f>
        <v>0</v>
      </c>
      <c r="BN65" s="115">
        <f>IF(BN$18&lt;1,0,'Basin Allocations'!$H10*BN$63)</f>
        <v>57.376682520206124</v>
      </c>
      <c r="BO65" s="115">
        <f>IF(BO$18&lt;1,0,'Basin Allocations'!$H10*BO$63)</f>
        <v>1126.1014892617336</v>
      </c>
      <c r="BP65" s="115">
        <f>IF(BP$18&lt;1,0,'Basin Allocations'!$H10*BP$63)</f>
        <v>0</v>
      </c>
      <c r="BQ65" s="115">
        <f>IF(BQ$18&lt;1,0,'Basin Allocations'!$H10*BQ$63)</f>
        <v>0</v>
      </c>
      <c r="BR65" s="115">
        <f>IF(BR$18&lt;1,0,'Basin Allocations'!$H10*BR$63)</f>
        <v>5328.2306803011797</v>
      </c>
      <c r="BS65" s="115">
        <f>IF(BS$18&lt;1,0,'Basin Allocations'!$H10*BS$63)</f>
        <v>0</v>
      </c>
      <c r="BT65" s="115">
        <f>IF(BT$18&lt;1,0,'Basin Allocations'!$H10*BT$63)</f>
        <v>0</v>
      </c>
      <c r="BU65" s="115">
        <f>IF(BU$18&lt;1,0,'Basin Allocations'!$H10*BU$63)</f>
        <v>0</v>
      </c>
      <c r="BV65" s="115">
        <f>IF(BV$18&lt;1,0,'Basin Allocations'!$H10*BV$63)</f>
        <v>0</v>
      </c>
      <c r="BW65" s="115">
        <f>IF(BW$18&lt;1,0,'Basin Allocations'!$H10*BW$63)</f>
        <v>0</v>
      </c>
      <c r="BX65" s="115">
        <f>IF(BX$18&lt;1,0,'Basin Allocations'!$H10*BX$63)</f>
        <v>0</v>
      </c>
      <c r="BY65" s="115">
        <f>IF(BY$18&lt;1,0,'Basin Allocations'!$H10*BY$63)</f>
        <v>0</v>
      </c>
      <c r="BZ65" s="73">
        <f t="shared" ref="BZ65:BZ76" si="50">SUM(D65:BY65)</f>
        <v>41891.261924941864</v>
      </c>
      <c r="CA65" s="76"/>
      <c r="CB65" s="115">
        <f>IF(CB$18&lt;1,0,'Basin Allocations'!$H10*CB$63)</f>
        <v>-6.506422291833354E-13</v>
      </c>
      <c r="CC65" s="115">
        <f>IF(CC$18&lt;1,0,'Basin Allocations'!$H10*CC$63)</f>
        <v>1.6266055729583385E-13</v>
      </c>
      <c r="CD65" s="115">
        <f>IF(CD$18&lt;1,0,'Basin Allocations'!$H10*CD$63)</f>
        <v>0</v>
      </c>
      <c r="CE65" s="115">
        <f>IF(CE$18&lt;1,0,'Basin Allocations'!$H10*CE$63)</f>
        <v>-3.253211145916677E-13</v>
      </c>
      <c r="CF65" s="115">
        <f>IF(CF$18&lt;1,0,'Basin Allocations'!$H10*CF$63)</f>
        <v>0</v>
      </c>
      <c r="CG65" s="115">
        <f>IF(CG$18&lt;1,0,'Basin Allocations'!$H10*CG$63)</f>
        <v>-3.253211145916677E-13</v>
      </c>
      <c r="CH65" s="115">
        <f>IF(CH$18&lt;1,0,'Basin Allocations'!$H10*CH$63)</f>
        <v>0</v>
      </c>
      <c r="CI65" s="115">
        <f>IF(CI$18&lt;1,0,'Basin Allocations'!$H10*CI$63)</f>
        <v>436.76538750529062</v>
      </c>
      <c r="CJ65" s="115">
        <f>IF(CJ$18&lt;1,0,'Basin Allocations'!$H10*CJ$63)</f>
        <v>0</v>
      </c>
      <c r="CK65" s="115">
        <f>IF(CK$18&lt;1,0,'Basin Allocations'!$H10*CK$63)</f>
        <v>349.39864827800454</v>
      </c>
      <c r="CL65" s="115">
        <f>IF(CL$18&lt;1,0,'Basin Allocations'!$H10*CL$63)</f>
        <v>13.969115068006241</v>
      </c>
      <c r="CM65" s="115">
        <f>IF(CM$18&lt;1,0,'Basin Allocations'!$H10*CM$63)</f>
        <v>0</v>
      </c>
      <c r="CN65" s="115">
        <f>IF(CN$18&lt;1,0,'Basin Allocations'!$H10*CN$63)</f>
        <v>0</v>
      </c>
      <c r="CO65" s="115">
        <f>IF(CO$18&lt;1,0,'Basin Allocations'!$H10*CO$63)</f>
        <v>0</v>
      </c>
      <c r="CP65" s="115">
        <f>IF(CP$18&lt;1,0,'Basin Allocations'!$H10*CP$63)</f>
        <v>0</v>
      </c>
      <c r="CQ65" s="115">
        <f>IF(CQ$18&lt;1,0,'Basin Allocations'!$H10*CQ$63)</f>
        <v>333.00457680454974</v>
      </c>
      <c r="CR65" s="115">
        <f>IF(CR$18&lt;1,0,'Basin Allocations'!$H10*CR$63)</f>
        <v>0</v>
      </c>
      <c r="CS65" s="115">
        <f>IF(CS$18&lt;1,0,'Basin Allocations'!$H10*CS$63)</f>
        <v>0</v>
      </c>
      <c r="CT65" s="115">
        <f>IF(CT$18&lt;1,0,'Basin Allocations'!$H10*CT$63)</f>
        <v>0</v>
      </c>
      <c r="CU65" s="115">
        <f>IF(CU$18&lt;1,0,'Basin Allocations'!$H10*CU$63)</f>
        <v>3496.5234433488486</v>
      </c>
      <c r="CV65" s="115">
        <f>IF(CV$18&lt;1,0,'Basin Allocations'!$H10*CV$63)</f>
        <v>0</v>
      </c>
      <c r="CW65" s="115">
        <f>IF(CW$18&lt;1,0,'Basin Allocations'!$H10*CW$63)</f>
        <v>22699.779846565059</v>
      </c>
      <c r="CX65" s="115">
        <f>IF(CX$18&lt;1,0,'Basin Allocations'!$H10*CX$63)</f>
        <v>420.63177023486645</v>
      </c>
      <c r="CY65" s="72">
        <f t="shared" ref="CY65:CY76" si="51">SUM(CB65:CX65)</f>
        <v>27750.072787804624</v>
      </c>
      <c r="CZ65" s="76"/>
      <c r="DA65" s="73">
        <f>BZ65+CY65</f>
        <v>69641.334712746495</v>
      </c>
      <c r="DB65" s="67"/>
      <c r="DC65" s="117">
        <f>MIN(MIN($CB65:$CX65),MIN($D65:$BY65))</f>
        <v>-6.506422291833354E-13</v>
      </c>
      <c r="DD65" s="117">
        <f>MAX(MAX($CB65:$CX65),MAX($D65:$BY65))</f>
        <v>22699.779846565059</v>
      </c>
      <c r="DE65" s="83"/>
    </row>
    <row r="66" spans="1:109" x14ac:dyDescent="0.25">
      <c r="A66" s="83" t="s">
        <v>538</v>
      </c>
      <c r="B66" s="83"/>
      <c r="C66" s="71"/>
      <c r="D66" s="115">
        <f>IF(D$18&lt;1,0,'Basin Allocations'!$H11*D$63)</f>
        <v>0</v>
      </c>
      <c r="E66" s="115">
        <f>IF(E$18&lt;1,0,'Basin Allocations'!$H11*E$63)</f>
        <v>7041.6071767950034</v>
      </c>
      <c r="F66" s="115">
        <f>IF(F$18&lt;1,0,'Basin Allocations'!$H11*F$63)</f>
        <v>0</v>
      </c>
      <c r="G66" s="115">
        <f>IF(G$18&lt;1,0,'Basin Allocations'!$H11*G$63)</f>
        <v>1443.0053757520243</v>
      </c>
      <c r="H66" s="115">
        <f>IF(H$18&lt;1,0,'Basin Allocations'!$H11*H$63)</f>
        <v>5329.9195204370917</v>
      </c>
      <c r="I66" s="115">
        <f>IF(I$18&lt;1,0,'Basin Allocations'!$H11*I$63)</f>
        <v>481.16320191462904</v>
      </c>
      <c r="J66" s="115">
        <f>IF(J$18&lt;1,0,'Basin Allocations'!$H11*J$63)</f>
        <v>241.55006094104078</v>
      </c>
      <c r="K66" s="115">
        <f>IF(K$18&lt;1,0,'Basin Allocations'!$H11*K$63)</f>
        <v>1065.8709170893173</v>
      </c>
      <c r="L66" s="115">
        <f>IF(L$18&lt;1,0,'Basin Allocations'!$H11*L$63)</f>
        <v>0</v>
      </c>
      <c r="M66" s="115">
        <f>IF(M$18&lt;1,0,'Basin Allocations'!$H11*M$63)</f>
        <v>14611.334891849632</v>
      </c>
      <c r="N66" s="115">
        <f>IF(N$18&lt;1,0,'Basin Allocations'!$H11*N$63)</f>
        <v>0</v>
      </c>
      <c r="O66" s="115">
        <f>IF(O$18&lt;1,0,'Basin Allocations'!$H11*O$63)</f>
        <v>170.12613714123427</v>
      </c>
      <c r="P66" s="115">
        <f>IF(P$18&lt;1,0,'Basin Allocations'!$H11*P$63)</f>
        <v>0</v>
      </c>
      <c r="Q66" s="115">
        <f>IF(Q$18&lt;1,0,'Basin Allocations'!$H11*Q$63)</f>
        <v>109.75879815563503</v>
      </c>
      <c r="R66" s="115">
        <f>IF(R$18&lt;1,0,'Basin Allocations'!$H11*R$63)</f>
        <v>0</v>
      </c>
      <c r="S66" s="115">
        <f>IF(S$18&lt;1,0,'Basin Allocations'!$H11*S$63)</f>
        <v>0</v>
      </c>
      <c r="T66" s="115">
        <f>IF(T$18&lt;1,0,'Basin Allocations'!$H11*T$63)</f>
        <v>0</v>
      </c>
      <c r="U66" s="115">
        <f>IF(U$18&lt;1,0,'Basin Allocations'!$H11*U$63)</f>
        <v>0</v>
      </c>
      <c r="V66" s="115">
        <f>IF(V$18&lt;1,0,'Basin Allocations'!$H11*V$63)</f>
        <v>0</v>
      </c>
      <c r="W66" s="115">
        <f>IF(W$18&lt;1,0,'Basin Allocations'!$H11*W$63)</f>
        <v>1023.3393828040087</v>
      </c>
      <c r="X66" s="115">
        <f>IF(X$18&lt;1,0,'Basin Allocations'!$H11*X$63)</f>
        <v>64.160473921860174</v>
      </c>
      <c r="Y66" s="115">
        <f>IF(Y$18&lt;1,0,'Basin Allocations'!$H11*Y$63)</f>
        <v>0</v>
      </c>
      <c r="Z66" s="115">
        <f>IF(Z$18&lt;1,0,'Basin Allocations'!$H11*Z$63)</f>
        <v>1149.8041156789197</v>
      </c>
      <c r="AA66" s="115">
        <f>IF(AA$18&lt;1,0,'Basin Allocations'!$H11*AA$63)</f>
        <v>0</v>
      </c>
      <c r="AB66" s="115">
        <f>IF(AB$18&lt;1,0,'Basin Allocations'!$H11*AB$63)</f>
        <v>0</v>
      </c>
      <c r="AC66" s="115">
        <f>IF(AC$18&lt;1,0,'Basin Allocations'!$H11*AC$63)</f>
        <v>0</v>
      </c>
      <c r="AD66" s="115">
        <f>IF(AD$18&lt;1,0,'Basin Allocations'!$H11*AD$63)</f>
        <v>0</v>
      </c>
      <c r="AE66" s="115">
        <f>IF(AE$18&lt;1,0,'Basin Allocations'!$H11*AE$63)</f>
        <v>0</v>
      </c>
      <c r="AF66" s="115">
        <f>IF(AF$18&lt;1,0,'Basin Allocations'!$H11*AF$63)</f>
        <v>0</v>
      </c>
      <c r="AG66" s="115">
        <f>IF(AG$18&lt;1,0,'Basin Allocations'!$H11*AG$63)</f>
        <v>0</v>
      </c>
      <c r="AH66" s="115">
        <f>IF(AH$18&lt;1,0,'Basin Allocations'!$H11*AH$63)</f>
        <v>0</v>
      </c>
      <c r="AI66" s="115">
        <f>IF(AI$18&lt;1,0,'Basin Allocations'!$H11*AI$63)</f>
        <v>339.0416993028104</v>
      </c>
      <c r="AJ66" s="115">
        <f>IF(AJ$18&lt;1,0,'Basin Allocations'!$H11*AJ$63)</f>
        <v>0</v>
      </c>
      <c r="AK66" s="115">
        <f>IF(AK$18&lt;1,0,'Basin Allocations'!$H11*AK$63)</f>
        <v>0</v>
      </c>
      <c r="AL66" s="115">
        <f>IF(AL$18&lt;1,0,'Basin Allocations'!$H11*AL$63)</f>
        <v>2879.0701216206803</v>
      </c>
      <c r="AM66" s="115">
        <f>IF(AM$18&lt;1,0,'Basin Allocations'!$H11*AM$63)</f>
        <v>0</v>
      </c>
      <c r="AN66" s="115">
        <f>IF(AN$18&lt;1,0,'Basin Allocations'!$H11*AN$63)</f>
        <v>0</v>
      </c>
      <c r="AO66" s="115">
        <f>IF(AO$18&lt;1,0,'Basin Allocations'!$H11*AO$63)</f>
        <v>0</v>
      </c>
      <c r="AP66" s="115">
        <f>IF(AP$18&lt;1,0,'Basin Allocations'!$H11*AP$63)</f>
        <v>790.02977880415131</v>
      </c>
      <c r="AQ66" s="115">
        <f>IF(AQ$18&lt;1,0,'Basin Allocations'!$H11*AQ$63)</f>
        <v>0</v>
      </c>
      <c r="AR66" s="115">
        <f>IF(AR$18&lt;1,0,'Basin Allocations'!$H11*AR$63)</f>
        <v>1856.2149688085333</v>
      </c>
      <c r="AS66" s="115">
        <f>IF(AS$18&lt;1,0,'Basin Allocations'!$H11*AS$63)</f>
        <v>1232.2812559391257</v>
      </c>
      <c r="AT66" s="115">
        <f>IF(AT$18&lt;1,0,'Basin Allocations'!$H11*AT$63)</f>
        <v>0</v>
      </c>
      <c r="AU66" s="115">
        <f>IF(AU$18&lt;1,0,'Basin Allocations'!$H11*AU$63)</f>
        <v>0</v>
      </c>
      <c r="AV66" s="115">
        <f>IF(AV$18&lt;1,0,'Basin Allocations'!$H11*AV$63)</f>
        <v>0</v>
      </c>
      <c r="AW66" s="115">
        <f>IF(AW$18&lt;1,0,'Basin Allocations'!$H11*AW$63)</f>
        <v>0</v>
      </c>
      <c r="AX66" s="115">
        <f>IF(AX$18&lt;1,0,'Basin Allocations'!$H11*AX$63)</f>
        <v>0</v>
      </c>
      <c r="AY66" s="115">
        <f>IF(AY$18&lt;1,0,'Basin Allocations'!$H11*AY$63)</f>
        <v>1078.2187818818259</v>
      </c>
      <c r="AZ66" s="115">
        <f>IF(AZ$18&lt;1,0,'Basin Allocations'!$H11*AZ$63)</f>
        <v>362.0426239163076</v>
      </c>
      <c r="BA66" s="115">
        <f>IF(BA$18&lt;1,0,'Basin Allocations'!$H11*BA$63)</f>
        <v>194.49904673167669</v>
      </c>
      <c r="BB66" s="115">
        <f>IF(BB$18&lt;1,0,'Basin Allocations'!$H11*BB$63)</f>
        <v>0</v>
      </c>
      <c r="BC66" s="115">
        <f>IF(BC$18&lt;1,0,'Basin Allocations'!$H11*BC$63)</f>
        <v>0</v>
      </c>
      <c r="BD66" s="115">
        <f>IF(BD$18&lt;1,0,'Basin Allocations'!$H11*BD$63)</f>
        <v>860.79951553529554</v>
      </c>
      <c r="BE66" s="115">
        <f>IF(BE$18&lt;1,0,'Basin Allocations'!$H11*BE$63)</f>
        <v>0</v>
      </c>
      <c r="BF66" s="115">
        <f>IF(BF$18&lt;1,0,'Basin Allocations'!$H11*BF$63)</f>
        <v>0</v>
      </c>
      <c r="BG66" s="115">
        <f>IF(BG$18&lt;1,0,'Basin Allocations'!$H11*BG$63)</f>
        <v>3901.360339442318</v>
      </c>
      <c r="BH66" s="115">
        <f>IF(BH$18&lt;1,0,'Basin Allocations'!$H11*BH$63)</f>
        <v>1760.4017941987508</v>
      </c>
      <c r="BI66" s="115">
        <f>IF(BI$18&lt;1,0,'Basin Allocations'!$H11*BI$63)</f>
        <v>0.16140999728769856</v>
      </c>
      <c r="BJ66" s="115">
        <f>IF(BJ$18&lt;1,0,'Basin Allocations'!$H11*BJ$63)</f>
        <v>22885.223324583767</v>
      </c>
      <c r="BK66" s="115">
        <f>IF(BK$18&lt;1,0,'Basin Allocations'!$H11*BK$63)</f>
        <v>0</v>
      </c>
      <c r="BL66" s="115">
        <f>IF(BL$18&lt;1,0,'Basin Allocations'!$H11*BL$63)</f>
        <v>107384.50944612377</v>
      </c>
      <c r="BM66" s="115">
        <f>IF(BM$18&lt;1,0,'Basin Allocations'!$H11*BM$63)</f>
        <v>0</v>
      </c>
      <c r="BN66" s="115">
        <f>IF(BN$18&lt;1,0,'Basin Allocations'!$H11*BN$63)</f>
        <v>289.08530514226811</v>
      </c>
      <c r="BO66" s="115">
        <f>IF(BO$18&lt;1,0,'Basin Allocations'!$H11*BO$63)</f>
        <v>5673.7228146598909</v>
      </c>
      <c r="BP66" s="115">
        <f>IF(BP$18&lt;1,0,'Basin Allocations'!$H11*BP$63)</f>
        <v>0</v>
      </c>
      <c r="BQ66" s="115">
        <f>IF(BQ$18&lt;1,0,'Basin Allocations'!$H11*BQ$63)</f>
        <v>0</v>
      </c>
      <c r="BR66" s="115">
        <f>IF(BR$18&lt;1,0,'Basin Allocations'!$H11*BR$63)</f>
        <v>26845.630043891357</v>
      </c>
      <c r="BS66" s="115">
        <f>IF(BS$18&lt;1,0,'Basin Allocations'!$H11*BS$63)</f>
        <v>0</v>
      </c>
      <c r="BT66" s="115">
        <f>IF(BT$18&lt;1,0,'Basin Allocations'!$H11*BT$63)</f>
        <v>0</v>
      </c>
      <c r="BU66" s="115">
        <f>IF(BU$18&lt;1,0,'Basin Allocations'!$H11*BU$63)</f>
        <v>0</v>
      </c>
      <c r="BV66" s="115">
        <f>IF(BV$18&lt;1,0,'Basin Allocations'!$H11*BV$63)</f>
        <v>0</v>
      </c>
      <c r="BW66" s="115">
        <f>IF(BW$18&lt;1,0,'Basin Allocations'!$H11*BW$63)</f>
        <v>0</v>
      </c>
      <c r="BX66" s="115">
        <f>IF(BX$18&lt;1,0,'Basin Allocations'!$H11*BX$63)</f>
        <v>0</v>
      </c>
      <c r="BY66" s="115">
        <f>IF(BY$18&lt;1,0,'Basin Allocations'!$H11*BY$63)</f>
        <v>0</v>
      </c>
      <c r="BZ66" s="73">
        <f t="shared" si="50"/>
        <v>211063.9323230602</v>
      </c>
      <c r="CA66" s="76"/>
      <c r="CB66" s="115">
        <f>IF(CB$18&lt;1,0,'Basin Allocations'!$H11*CB$63)</f>
        <v>-3.2781802484950356E-12</v>
      </c>
      <c r="CC66" s="115">
        <f>IF(CC$18&lt;1,0,'Basin Allocations'!$H11*CC$63)</f>
        <v>8.1954506212375889E-13</v>
      </c>
      <c r="CD66" s="115">
        <f>IF(CD$18&lt;1,0,'Basin Allocations'!$H11*CD$63)</f>
        <v>0</v>
      </c>
      <c r="CE66" s="115">
        <f>IF(CE$18&lt;1,0,'Basin Allocations'!$H11*CE$63)</f>
        <v>-1.6390901242475178E-12</v>
      </c>
      <c r="CF66" s="115">
        <f>IF(CF$18&lt;1,0,'Basin Allocations'!$H11*CF$63)</f>
        <v>0</v>
      </c>
      <c r="CG66" s="115">
        <f>IF(CG$18&lt;1,0,'Basin Allocations'!$H11*CG$63)</f>
        <v>-1.6390901242475178E-12</v>
      </c>
      <c r="CH66" s="115">
        <f>IF(CH$18&lt;1,0,'Basin Allocations'!$H11*CH$63)</f>
        <v>0</v>
      </c>
      <c r="CI66" s="115">
        <f>IF(CI$18&lt;1,0,'Basin Allocations'!$H11*CI$63)</f>
        <v>2200.5882838918506</v>
      </c>
      <c r="CJ66" s="115">
        <f>IF(CJ$18&lt;1,0,'Basin Allocations'!$H11*CJ$63)</f>
        <v>0</v>
      </c>
      <c r="CK66" s="115">
        <f>IF(CK$18&lt;1,0,'Basin Allocations'!$H11*CK$63)</f>
        <v>1760.4017941987508</v>
      </c>
      <c r="CL66" s="115">
        <f>IF(CL$18&lt;1,0,'Basin Allocations'!$H11*CL$63)</f>
        <v>70.38165531058543</v>
      </c>
      <c r="CM66" s="115">
        <f>IF(CM$18&lt;1,0,'Basin Allocations'!$H11*CM$63)</f>
        <v>0</v>
      </c>
      <c r="CN66" s="115">
        <f>IF(CN$18&lt;1,0,'Basin Allocations'!$H11*CN$63)</f>
        <v>0</v>
      </c>
      <c r="CO66" s="115">
        <f>IF(CO$18&lt;1,0,'Basin Allocations'!$H11*CO$63)</f>
        <v>0</v>
      </c>
      <c r="CP66" s="115">
        <f>IF(CP$18&lt;1,0,'Basin Allocations'!$H11*CP$63)</f>
        <v>0</v>
      </c>
      <c r="CQ66" s="115">
        <f>IF(CQ$18&lt;1,0,'Basin Allocations'!$H11*CQ$63)</f>
        <v>1677.8022965237358</v>
      </c>
      <c r="CR66" s="115">
        <f>IF(CR$18&lt;1,0,'Basin Allocations'!$H11*CR$63)</f>
        <v>0</v>
      </c>
      <c r="CS66" s="115">
        <f>IF(CS$18&lt;1,0,'Basin Allocations'!$H11*CS$63)</f>
        <v>0</v>
      </c>
      <c r="CT66" s="115">
        <f>IF(CT$18&lt;1,0,'Basin Allocations'!$H11*CT$63)</f>
        <v>0</v>
      </c>
      <c r="CU66" s="115">
        <f>IF(CU$18&lt;1,0,'Basin Allocations'!$H11*CU$63)</f>
        <v>17616.80010345019</v>
      </c>
      <c r="CV66" s="115">
        <f>IF(CV$18&lt;1,0,'Basin Allocations'!$H11*CV$63)</f>
        <v>0</v>
      </c>
      <c r="CW66" s="115">
        <f>IF(CW$18&lt;1,0,'Basin Allocations'!$H11*CW$63)</f>
        <v>114370.02795160898</v>
      </c>
      <c r="CX66" s="115">
        <f>IF(CX$18&lt;1,0,'Basin Allocations'!$H11*CX$63)</f>
        <v>2119.3010524450578</v>
      </c>
      <c r="CY66" s="72">
        <f t="shared" si="51"/>
        <v>139815.30313742915</v>
      </c>
      <c r="CZ66" s="76"/>
      <c r="DA66" s="73">
        <f>BZ66+CY66</f>
        <v>350879.23546048935</v>
      </c>
      <c r="DB66" s="67"/>
      <c r="DC66" s="117">
        <f>MIN(MIN($CB66:$CX66),MIN($D66:$BY66))</f>
        <v>-3.2781802484950356E-12</v>
      </c>
      <c r="DD66" s="117">
        <f>MAX(MAX($CB66:$CX66),MAX($D66:$BY66))</f>
        <v>114370.02795160898</v>
      </c>
      <c r="DE66" s="83"/>
    </row>
    <row r="67" spans="1:109" x14ac:dyDescent="0.25">
      <c r="A67" s="83" t="s">
        <v>540</v>
      </c>
      <c r="B67" s="83"/>
      <c r="C67" s="71"/>
      <c r="D67" s="115">
        <f>IF(D$18&lt;1,0,'Basin Allocations'!$H12*D$63)</f>
        <v>0</v>
      </c>
      <c r="E67" s="115">
        <f>IF(E$18&lt;1,0,'Basin Allocations'!$H12*E$63)</f>
        <v>7189.7238749263397</v>
      </c>
      <c r="F67" s="115">
        <f>IF(F$18&lt;1,0,'Basin Allocations'!$H12*F$63)</f>
        <v>0</v>
      </c>
      <c r="G67" s="115">
        <f>IF(G$18&lt;1,0,'Basin Allocations'!$H12*G$63)</f>
        <v>1473.3582747814528</v>
      </c>
      <c r="H67" s="115">
        <f>IF(H$18&lt;1,0,'Basin Allocations'!$H12*H$63)</f>
        <v>5442.0317216508229</v>
      </c>
      <c r="I67" s="115">
        <f>IF(I$18&lt;1,0,'Basin Allocations'!$H12*I$63)</f>
        <v>491.2842301033009</v>
      </c>
      <c r="J67" s="115">
        <f>IF(J$18&lt;1,0,'Basin Allocations'!$H12*J$63)</f>
        <v>246.63094610855083</v>
      </c>
      <c r="K67" s="115">
        <f>IF(K$18&lt;1,0,'Basin Allocations'!$H12*K$63)</f>
        <v>1088.29098070686</v>
      </c>
      <c r="L67" s="115">
        <f>IF(L$18&lt;1,0,'Basin Allocations'!$H12*L$63)</f>
        <v>0</v>
      </c>
      <c r="M67" s="115">
        <f>IF(M$18&lt;1,0,'Basin Allocations'!$H12*M$63)</f>
        <v>14918.677040472156</v>
      </c>
      <c r="N67" s="115">
        <f>IF(N$18&lt;1,0,'Basin Allocations'!$H12*N$63)</f>
        <v>0</v>
      </c>
      <c r="O67" s="115">
        <f>IF(O$18&lt;1,0,'Basin Allocations'!$H12*O$63)</f>
        <v>173.70465566215347</v>
      </c>
      <c r="P67" s="115">
        <f>IF(P$18&lt;1,0,'Basin Allocations'!$H12*P$63)</f>
        <v>0</v>
      </c>
      <c r="Q67" s="115">
        <f>IF(Q$18&lt;1,0,'Basin Allocations'!$H12*Q$63)</f>
        <v>112.06751978203452</v>
      </c>
      <c r="R67" s="115">
        <f>IF(R$18&lt;1,0,'Basin Allocations'!$H12*R$63)</f>
        <v>0</v>
      </c>
      <c r="S67" s="115">
        <f>IF(S$18&lt;1,0,'Basin Allocations'!$H12*S$63)</f>
        <v>0</v>
      </c>
      <c r="T67" s="115">
        <f>IF(T$18&lt;1,0,'Basin Allocations'!$H12*T$63)</f>
        <v>0</v>
      </c>
      <c r="U67" s="115">
        <f>IF(U$18&lt;1,0,'Basin Allocations'!$H12*U$63)</f>
        <v>0</v>
      </c>
      <c r="V67" s="115">
        <f>IF(V$18&lt;1,0,'Basin Allocations'!$H12*V$63)</f>
        <v>0</v>
      </c>
      <c r="W67" s="115">
        <f>IF(W$18&lt;1,0,'Basin Allocations'!$H12*W$63)</f>
        <v>1044.8648167913216</v>
      </c>
      <c r="X67" s="115">
        <f>IF(X$18&lt;1,0,'Basin Allocations'!$H12*X$63)</f>
        <v>65.510057519645173</v>
      </c>
      <c r="Y67" s="115">
        <f>IF(Y$18&lt;1,0,'Basin Allocations'!$H12*Y$63)</f>
        <v>0</v>
      </c>
      <c r="Z67" s="115">
        <f>IF(Z$18&lt;1,0,'Basin Allocations'!$H12*Z$63)</f>
        <v>1173.9896723048855</v>
      </c>
      <c r="AA67" s="115">
        <f>IF(AA$18&lt;1,0,'Basin Allocations'!$H12*AA$63)</f>
        <v>0</v>
      </c>
      <c r="AB67" s="115">
        <f>IF(AB$18&lt;1,0,'Basin Allocations'!$H12*AB$63)</f>
        <v>0</v>
      </c>
      <c r="AC67" s="115">
        <f>IF(AC$18&lt;1,0,'Basin Allocations'!$H12*AC$63)</f>
        <v>0</v>
      </c>
      <c r="AD67" s="115">
        <f>IF(AD$18&lt;1,0,'Basin Allocations'!$H12*AD$63)</f>
        <v>0</v>
      </c>
      <c r="AE67" s="115">
        <f>IF(AE$18&lt;1,0,'Basin Allocations'!$H12*AE$63)</f>
        <v>0</v>
      </c>
      <c r="AF67" s="115">
        <f>IF(AF$18&lt;1,0,'Basin Allocations'!$H12*AF$63)</f>
        <v>0</v>
      </c>
      <c r="AG67" s="115">
        <f>IF(AG$18&lt;1,0,'Basin Allocations'!$H12*AG$63)</f>
        <v>0</v>
      </c>
      <c r="AH67" s="115">
        <f>IF(AH$18&lt;1,0,'Basin Allocations'!$H12*AH$63)</f>
        <v>0</v>
      </c>
      <c r="AI67" s="115">
        <f>IF(AI$18&lt;1,0,'Basin Allocations'!$H12*AI$63)</f>
        <v>346.17327250318118</v>
      </c>
      <c r="AJ67" s="115">
        <f>IF(AJ$18&lt;1,0,'Basin Allocations'!$H12*AJ$63)</f>
        <v>0</v>
      </c>
      <c r="AK67" s="115">
        <f>IF(AK$18&lt;1,0,'Basin Allocations'!$H12*AK$63)</f>
        <v>0</v>
      </c>
      <c r="AL67" s="115">
        <f>IF(AL$18&lt;1,0,'Basin Allocations'!$H12*AL$63)</f>
        <v>2939.6299269884566</v>
      </c>
      <c r="AM67" s="115">
        <f>IF(AM$18&lt;1,0,'Basin Allocations'!$H12*AM$63)</f>
        <v>0</v>
      </c>
      <c r="AN67" s="115">
        <f>IF(AN$18&lt;1,0,'Basin Allocations'!$H12*AN$63)</f>
        <v>0</v>
      </c>
      <c r="AO67" s="115">
        <f>IF(AO$18&lt;1,0,'Basin Allocations'!$H12*AO$63)</f>
        <v>0</v>
      </c>
      <c r="AP67" s="115">
        <f>IF(AP$18&lt;1,0,'Basin Allocations'!$H12*AP$63)</f>
        <v>806.64766152949255</v>
      </c>
      <c r="AQ67" s="115">
        <f>IF(AQ$18&lt;1,0,'Basin Allocations'!$H12*AQ$63)</f>
        <v>0</v>
      </c>
      <c r="AR67" s="115">
        <f>IF(AR$18&lt;1,0,'Basin Allocations'!$H12*AR$63)</f>
        <v>1895.2595257255834</v>
      </c>
      <c r="AS67" s="115">
        <f>IF(AS$18&lt;1,0,'Basin Allocations'!$H12*AS$63)</f>
        <v>1258.2016781121094</v>
      </c>
      <c r="AT67" s="115">
        <f>IF(AT$18&lt;1,0,'Basin Allocations'!$H12*AT$63)</f>
        <v>0</v>
      </c>
      <c r="AU67" s="115">
        <f>IF(AU$18&lt;1,0,'Basin Allocations'!$H12*AU$63)</f>
        <v>0</v>
      </c>
      <c r="AV67" s="115">
        <f>IF(AV$18&lt;1,0,'Basin Allocations'!$H12*AV$63)</f>
        <v>0</v>
      </c>
      <c r="AW67" s="115">
        <f>IF(AW$18&lt;1,0,'Basin Allocations'!$H12*AW$63)</f>
        <v>0</v>
      </c>
      <c r="AX67" s="115">
        <f>IF(AX$18&lt;1,0,'Basin Allocations'!$H12*AX$63)</f>
        <v>0</v>
      </c>
      <c r="AY67" s="115">
        <f>IF(AY$18&lt;1,0,'Basin Allocations'!$H12*AY$63)</f>
        <v>1100.8985766823384</v>
      </c>
      <c r="AZ67" s="115">
        <f>IF(AZ$18&lt;1,0,'Basin Allocations'!$H12*AZ$63)</f>
        <v>369.65801010456357</v>
      </c>
      <c r="BA67" s="115">
        <f>IF(BA$18&lt;1,0,'Basin Allocations'!$H12*BA$63)</f>
        <v>198.59023726081105</v>
      </c>
      <c r="BB67" s="115">
        <f>IF(BB$18&lt;1,0,'Basin Allocations'!$H12*BB$63)</f>
        <v>0</v>
      </c>
      <c r="BC67" s="115">
        <f>IF(BC$18&lt;1,0,'Basin Allocations'!$H12*BC$63)</f>
        <v>0</v>
      </c>
      <c r="BD67" s="115">
        <f>IF(BD$18&lt;1,0,'Basin Allocations'!$H12*BD$63)</f>
        <v>878.90600440821981</v>
      </c>
      <c r="BE67" s="115">
        <f>IF(BE$18&lt;1,0,'Basin Allocations'!$H12*BE$63)</f>
        <v>0</v>
      </c>
      <c r="BF67" s="115">
        <f>IF(BF$18&lt;1,0,'Basin Allocations'!$H12*BF$63)</f>
        <v>0</v>
      </c>
      <c r="BG67" s="115">
        <f>IF(BG$18&lt;1,0,'Basin Allocations'!$H12*BG$63)</f>
        <v>3983.4235101348013</v>
      </c>
      <c r="BH67" s="115">
        <f>IF(BH$18&lt;1,0,'Basin Allocations'!$H12*BH$63)</f>
        <v>1797.4309687315849</v>
      </c>
      <c r="BI67" s="115">
        <f>IF(BI$18&lt;1,0,'Basin Allocations'!$H12*BI$63)</f>
        <v>0.16480517615005075</v>
      </c>
      <c r="BJ67" s="115">
        <f>IF(BJ$18&lt;1,0,'Basin Allocations'!$H12*BJ$63)</f>
        <v>23366.602593510612</v>
      </c>
      <c r="BK67" s="115">
        <f>IF(BK$18&lt;1,0,'Basin Allocations'!$H12*BK$63)</f>
        <v>0</v>
      </c>
      <c r="BL67" s="115">
        <f>IF(BL$18&lt;1,0,'Basin Allocations'!$H12*BL$63)</f>
        <v>109643.28909262666</v>
      </c>
      <c r="BM67" s="115">
        <f>IF(BM$18&lt;1,0,'Basin Allocations'!$H12*BM$63)</f>
        <v>0</v>
      </c>
      <c r="BN67" s="115">
        <f>IF(BN$18&lt;1,0,'Basin Allocations'!$H12*BN$63)</f>
        <v>295.16607048474089</v>
      </c>
      <c r="BO67" s="115">
        <f>IF(BO$18&lt;1,0,'Basin Allocations'!$H12*BO$63)</f>
        <v>5793.0667468504325</v>
      </c>
      <c r="BP67" s="115">
        <f>IF(BP$18&lt;1,0,'Basin Allocations'!$H12*BP$63)</f>
        <v>0</v>
      </c>
      <c r="BQ67" s="115">
        <f>IF(BQ$18&lt;1,0,'Basin Allocations'!$H12*BQ$63)</f>
        <v>0</v>
      </c>
      <c r="BR67" s="115">
        <f>IF(BR$18&lt;1,0,'Basin Allocations'!$H12*BR$63)</f>
        <v>27410.31449468834</v>
      </c>
      <c r="BS67" s="115">
        <f>IF(BS$18&lt;1,0,'Basin Allocations'!$H12*BS$63)</f>
        <v>0</v>
      </c>
      <c r="BT67" s="115">
        <f>IF(BT$18&lt;1,0,'Basin Allocations'!$H12*BT$63)</f>
        <v>0</v>
      </c>
      <c r="BU67" s="115">
        <f>IF(BU$18&lt;1,0,'Basin Allocations'!$H12*BU$63)</f>
        <v>0</v>
      </c>
      <c r="BV67" s="115">
        <f>IF(BV$18&lt;1,0,'Basin Allocations'!$H12*BV$63)</f>
        <v>0</v>
      </c>
      <c r="BW67" s="115">
        <f>IF(BW$18&lt;1,0,'Basin Allocations'!$H12*BW$63)</f>
        <v>0</v>
      </c>
      <c r="BX67" s="115">
        <f>IF(BX$18&lt;1,0,'Basin Allocations'!$H12*BX$63)</f>
        <v>0</v>
      </c>
      <c r="BY67" s="115">
        <f>IF(BY$18&lt;1,0,'Basin Allocations'!$H12*BY$63)</f>
        <v>0</v>
      </c>
      <c r="BZ67" s="73">
        <f t="shared" si="50"/>
        <v>215503.5569663276</v>
      </c>
      <c r="CA67" s="76"/>
      <c r="CB67" s="115">
        <f>IF(CB$18&lt;1,0,'Basin Allocations'!$H12*CB$63)</f>
        <v>-3.347135136505055E-12</v>
      </c>
      <c r="CC67" s="115">
        <f>IF(CC$18&lt;1,0,'Basin Allocations'!$H12*CC$63)</f>
        <v>8.3678378412626376E-13</v>
      </c>
      <c r="CD67" s="115">
        <f>IF(CD$18&lt;1,0,'Basin Allocations'!$H12*CD$63)</f>
        <v>0</v>
      </c>
      <c r="CE67" s="115">
        <f>IF(CE$18&lt;1,0,'Basin Allocations'!$H12*CE$63)</f>
        <v>-1.6735675682525275E-12</v>
      </c>
      <c r="CF67" s="115">
        <f>IF(CF$18&lt;1,0,'Basin Allocations'!$H12*CF$63)</f>
        <v>0</v>
      </c>
      <c r="CG67" s="115">
        <f>IF(CG$18&lt;1,0,'Basin Allocations'!$H12*CG$63)</f>
        <v>-1.6735675682525275E-12</v>
      </c>
      <c r="CH67" s="115">
        <f>IF(CH$18&lt;1,0,'Basin Allocations'!$H12*CH$63)</f>
        <v>0</v>
      </c>
      <c r="CI67" s="115">
        <f>IF(CI$18&lt;1,0,'Basin Allocations'!$H12*CI$63)</f>
        <v>2246.8765618904704</v>
      </c>
      <c r="CJ67" s="115">
        <f>IF(CJ$18&lt;1,0,'Basin Allocations'!$H12*CJ$63)</f>
        <v>0</v>
      </c>
      <c r="CK67" s="115">
        <f>IF(CK$18&lt;1,0,'Basin Allocations'!$H12*CK$63)</f>
        <v>1797.4309687315849</v>
      </c>
      <c r="CL67" s="115">
        <f>IF(CL$18&lt;1,0,'Basin Allocations'!$H12*CL$63)</f>
        <v>71.862098358867854</v>
      </c>
      <c r="CM67" s="115">
        <f>IF(CM$18&lt;1,0,'Basin Allocations'!$H12*CM$63)</f>
        <v>0</v>
      </c>
      <c r="CN67" s="115">
        <f>IF(CN$18&lt;1,0,'Basin Allocations'!$H12*CN$63)</f>
        <v>0</v>
      </c>
      <c r="CO67" s="115">
        <f>IF(CO$18&lt;1,0,'Basin Allocations'!$H12*CO$63)</f>
        <v>0</v>
      </c>
      <c r="CP67" s="115">
        <f>IF(CP$18&lt;1,0,'Basin Allocations'!$H12*CP$63)</f>
        <v>0</v>
      </c>
      <c r="CQ67" s="115">
        <f>IF(CQ$18&lt;1,0,'Basin Allocations'!$H12*CQ$63)</f>
        <v>1713.0940317823022</v>
      </c>
      <c r="CR67" s="115">
        <f>IF(CR$18&lt;1,0,'Basin Allocations'!$H12*CR$63)</f>
        <v>0</v>
      </c>
      <c r="CS67" s="115">
        <f>IF(CS$18&lt;1,0,'Basin Allocations'!$H12*CS$63)</f>
        <v>0</v>
      </c>
      <c r="CT67" s="115">
        <f>IF(CT$18&lt;1,0,'Basin Allocations'!$H12*CT$63)</f>
        <v>0</v>
      </c>
      <c r="CU67" s="115">
        <f>IF(CU$18&lt;1,0,'Basin Allocations'!$H12*CU$63)</f>
        <v>17987.36071517555</v>
      </c>
      <c r="CV67" s="115">
        <f>IF(CV$18&lt;1,0,'Basin Allocations'!$H12*CV$63)</f>
        <v>0</v>
      </c>
      <c r="CW67" s="115">
        <f>IF(CW$18&lt;1,0,'Basin Allocations'!$H12*CW$63)</f>
        <v>116775.74449899117</v>
      </c>
      <c r="CX67" s="115">
        <f>IF(CX$18&lt;1,0,'Basin Allocations'!$H12*CX$63)</f>
        <v>2163.8794940356183</v>
      </c>
      <c r="CY67" s="72">
        <f t="shared" si="51"/>
        <v>142756.24836896555</v>
      </c>
      <c r="CZ67" s="76"/>
      <c r="DA67" s="73">
        <f>BZ67+CY67</f>
        <v>358259.80533529317</v>
      </c>
      <c r="DB67" s="67"/>
      <c r="DC67" s="117">
        <f>MIN(MIN($CB67:$CX67),MIN($D67:$BY67))</f>
        <v>-3.347135136505055E-12</v>
      </c>
      <c r="DD67" s="117">
        <f>MAX(MAX($CB67:$CX67),MAX($D67:$BY67))</f>
        <v>116775.74449899117</v>
      </c>
      <c r="DE67" s="83"/>
    </row>
    <row r="68" spans="1:109" x14ac:dyDescent="0.25">
      <c r="A68" s="83" t="s">
        <v>542</v>
      </c>
      <c r="B68" s="83"/>
      <c r="C68" s="71"/>
      <c r="D68" s="115">
        <f>SUM(D65:D67)</f>
        <v>0</v>
      </c>
      <c r="E68" s="115">
        <f t="shared" ref="E68:BJ68" si="52">SUM(E65:E67)</f>
        <v>15628.925644833362</v>
      </c>
      <c r="F68" s="115">
        <f t="shared" si="52"/>
        <v>0</v>
      </c>
      <c r="G68" s="115">
        <f t="shared" si="52"/>
        <v>3202.7665214048575</v>
      </c>
      <c r="H68" s="115">
        <f t="shared" si="52"/>
        <v>11829.815805739352</v>
      </c>
      <c r="I68" s="115">
        <f t="shared" si="52"/>
        <v>1067.9470917570334</v>
      </c>
      <c r="J68" s="115">
        <f t="shared" si="52"/>
        <v>536.12305361100334</v>
      </c>
      <c r="K68" s="115">
        <f t="shared" si="52"/>
        <v>2365.712385245748</v>
      </c>
      <c r="L68" s="115">
        <f t="shared" si="52"/>
        <v>0</v>
      </c>
      <c r="M68" s="115">
        <f t="shared" si="52"/>
        <v>32430.020713029226</v>
      </c>
      <c r="N68" s="115">
        <f t="shared" si="52"/>
        <v>0</v>
      </c>
      <c r="O68" s="115">
        <f t="shared" si="52"/>
        <v>377.59685834012544</v>
      </c>
      <c r="P68" s="115">
        <f t="shared" si="52"/>
        <v>0</v>
      </c>
      <c r="Q68" s="115">
        <f t="shared" si="52"/>
        <v>243.61087634846808</v>
      </c>
      <c r="R68" s="115">
        <f t="shared" si="52"/>
        <v>0</v>
      </c>
      <c r="S68" s="115">
        <f t="shared" si="52"/>
        <v>0</v>
      </c>
      <c r="T68" s="115">
        <f t="shared" si="52"/>
        <v>0</v>
      </c>
      <c r="U68" s="115">
        <f t="shared" si="52"/>
        <v>0</v>
      </c>
      <c r="V68" s="115">
        <f t="shared" si="52"/>
        <v>0</v>
      </c>
      <c r="W68" s="115">
        <f t="shared" si="52"/>
        <v>2271.3131706607164</v>
      </c>
      <c r="X68" s="115">
        <f t="shared" si="52"/>
        <v>142.40488727722948</v>
      </c>
      <c r="Y68" s="115">
        <f t="shared" si="52"/>
        <v>0</v>
      </c>
      <c r="Z68" s="115">
        <f t="shared" si="52"/>
        <v>2552.0030553945744</v>
      </c>
      <c r="AA68" s="115">
        <f t="shared" si="52"/>
        <v>0</v>
      </c>
      <c r="AB68" s="115">
        <f t="shared" si="52"/>
        <v>0</v>
      </c>
      <c r="AC68" s="115">
        <f t="shared" si="52"/>
        <v>0</v>
      </c>
      <c r="AD68" s="115">
        <f t="shared" si="52"/>
        <v>0</v>
      </c>
      <c r="AE68" s="115">
        <f t="shared" si="52"/>
        <v>0</v>
      </c>
      <c r="AF68" s="115">
        <f t="shared" si="52"/>
        <v>0</v>
      </c>
      <c r="AG68" s="115">
        <f t="shared" si="52"/>
        <v>0</v>
      </c>
      <c r="AH68" s="115">
        <f t="shared" si="52"/>
        <v>0</v>
      </c>
      <c r="AI68" s="115">
        <f t="shared" si="52"/>
        <v>752.50683201464199</v>
      </c>
      <c r="AJ68" s="115">
        <f t="shared" si="52"/>
        <v>0</v>
      </c>
      <c r="AK68" s="115">
        <f t="shared" si="52"/>
        <v>0</v>
      </c>
      <c r="AL68" s="115">
        <f t="shared" si="52"/>
        <v>6390.1282373935683</v>
      </c>
      <c r="AM68" s="115">
        <f t="shared" si="52"/>
        <v>0</v>
      </c>
      <c r="AN68" s="115">
        <f t="shared" si="52"/>
        <v>0</v>
      </c>
      <c r="AO68" s="115">
        <f t="shared" si="52"/>
        <v>0</v>
      </c>
      <c r="AP68" s="115">
        <f t="shared" si="52"/>
        <v>1753.4799031141247</v>
      </c>
      <c r="AQ68" s="115">
        <f t="shared" si="52"/>
        <v>0</v>
      </c>
      <c r="AR68" s="115">
        <f t="shared" si="52"/>
        <v>4119.8898205990918</v>
      </c>
      <c r="AS68" s="115">
        <f t="shared" si="52"/>
        <v>2735.0619878458383</v>
      </c>
      <c r="AT68" s="115">
        <f t="shared" si="52"/>
        <v>0</v>
      </c>
      <c r="AU68" s="115">
        <f t="shared" si="52"/>
        <v>0</v>
      </c>
      <c r="AV68" s="115">
        <f t="shared" si="52"/>
        <v>0</v>
      </c>
      <c r="AW68" s="115">
        <f t="shared" si="52"/>
        <v>0</v>
      </c>
      <c r="AX68" s="115">
        <f t="shared" si="52"/>
        <v>0</v>
      </c>
      <c r="AY68" s="115">
        <f t="shared" si="52"/>
        <v>2393.1186088349496</v>
      </c>
      <c r="AZ68" s="115">
        <f t="shared" si="52"/>
        <v>803.55764066119627</v>
      </c>
      <c r="BA68" s="115">
        <f t="shared" si="52"/>
        <v>431.6928029410351</v>
      </c>
      <c r="BB68" s="115">
        <f t="shared" si="52"/>
        <v>0</v>
      </c>
      <c r="BC68" s="115">
        <f t="shared" si="52"/>
        <v>0</v>
      </c>
      <c r="BD68" s="115">
        <f t="shared" si="52"/>
        <v>1910.5541228917336</v>
      </c>
      <c r="BE68" s="115">
        <f t="shared" si="52"/>
        <v>0</v>
      </c>
      <c r="BF68" s="115">
        <f t="shared" si="52"/>
        <v>0</v>
      </c>
      <c r="BG68" s="115">
        <f t="shared" si="52"/>
        <v>8659.1127746774218</v>
      </c>
      <c r="BH68" s="115">
        <f t="shared" si="52"/>
        <v>3907.2314112083404</v>
      </c>
      <c r="BI68" s="115">
        <f t="shared" si="52"/>
        <v>0.35825128874774714</v>
      </c>
      <c r="BJ68" s="115">
        <f t="shared" si="52"/>
        <v>50794.00834570844</v>
      </c>
      <c r="BK68" s="115">
        <f t="shared" ref="BK68:BY68" si="53">SUM(BK65:BK67)</f>
        <v>0</v>
      </c>
      <c r="BL68" s="115">
        <f t="shared" si="53"/>
        <v>238341.11608370871</v>
      </c>
      <c r="BM68" s="115">
        <f t="shared" si="53"/>
        <v>0</v>
      </c>
      <c r="BN68" s="115">
        <f t="shared" si="53"/>
        <v>641.62805814721514</v>
      </c>
      <c r="BO68" s="115">
        <f t="shared" si="53"/>
        <v>12592.891050772057</v>
      </c>
      <c r="BP68" s="115">
        <f t="shared" si="53"/>
        <v>0</v>
      </c>
      <c r="BQ68" s="115">
        <f t="shared" si="53"/>
        <v>0</v>
      </c>
      <c r="BR68" s="115">
        <f t="shared" si="53"/>
        <v>59584.175218880875</v>
      </c>
      <c r="BS68" s="115">
        <f t="shared" si="53"/>
        <v>0</v>
      </c>
      <c r="BT68" s="115">
        <f t="shared" si="53"/>
        <v>0</v>
      </c>
      <c r="BU68" s="115">
        <f t="shared" si="53"/>
        <v>0</v>
      </c>
      <c r="BV68" s="115">
        <f t="shared" si="53"/>
        <v>0</v>
      </c>
      <c r="BW68" s="115">
        <f t="shared" si="53"/>
        <v>0</v>
      </c>
      <c r="BX68" s="115">
        <f t="shared" si="53"/>
        <v>0</v>
      </c>
      <c r="BY68" s="115">
        <f t="shared" si="53"/>
        <v>0</v>
      </c>
      <c r="BZ68" s="73">
        <f t="shared" si="50"/>
        <v>468458.75121432968</v>
      </c>
      <c r="CA68" s="76"/>
      <c r="CB68" s="115">
        <f t="shared" ref="CB68:CX68" si="54">SUM(CB65:CB67)</f>
        <v>-7.2759576141834259E-12</v>
      </c>
      <c r="CC68" s="115">
        <f t="shared" si="54"/>
        <v>1.8189894035458565E-12</v>
      </c>
      <c r="CD68" s="115">
        <f t="shared" si="54"/>
        <v>0</v>
      </c>
      <c r="CE68" s="115">
        <f t="shared" si="54"/>
        <v>-3.637978807091713E-12</v>
      </c>
      <c r="CF68" s="115">
        <f t="shared" si="54"/>
        <v>0</v>
      </c>
      <c r="CG68" s="115">
        <f t="shared" si="54"/>
        <v>-3.637978807091713E-12</v>
      </c>
      <c r="CH68" s="115">
        <f t="shared" si="54"/>
        <v>0</v>
      </c>
      <c r="CI68" s="115">
        <f t="shared" si="54"/>
        <v>4884.2302332876116</v>
      </c>
      <c r="CJ68" s="115">
        <f t="shared" si="54"/>
        <v>0</v>
      </c>
      <c r="CK68" s="115">
        <f t="shared" si="54"/>
        <v>3907.2314112083404</v>
      </c>
      <c r="CL68" s="115">
        <f t="shared" si="54"/>
        <v>156.21286873745953</v>
      </c>
      <c r="CM68" s="115">
        <f t="shared" si="54"/>
        <v>0</v>
      </c>
      <c r="CN68" s="115">
        <f t="shared" si="54"/>
        <v>0</v>
      </c>
      <c r="CO68" s="115">
        <f t="shared" si="54"/>
        <v>0</v>
      </c>
      <c r="CP68" s="115">
        <f t="shared" si="54"/>
        <v>0</v>
      </c>
      <c r="CQ68" s="115">
        <f t="shared" si="54"/>
        <v>3723.9009051105877</v>
      </c>
      <c r="CR68" s="115">
        <f t="shared" si="54"/>
        <v>0</v>
      </c>
      <c r="CS68" s="115">
        <f t="shared" si="54"/>
        <v>0</v>
      </c>
      <c r="CT68" s="115">
        <f t="shared" si="54"/>
        <v>0</v>
      </c>
      <c r="CU68" s="115">
        <f t="shared" si="54"/>
        <v>39100.684261974588</v>
      </c>
      <c r="CV68" s="115">
        <f t="shared" si="54"/>
        <v>0</v>
      </c>
      <c r="CW68" s="115">
        <f t="shared" si="54"/>
        <v>253845.55229716521</v>
      </c>
      <c r="CX68" s="115">
        <f t="shared" si="54"/>
        <v>4703.8123167155427</v>
      </c>
      <c r="CY68" s="72">
        <f t="shared" si="51"/>
        <v>310321.62429419934</v>
      </c>
      <c r="CZ68" s="76"/>
      <c r="DA68" s="73">
        <f>BZ68+CY68</f>
        <v>778780.37550852902</v>
      </c>
      <c r="DB68" s="67"/>
      <c r="DC68" s="117">
        <f>MIN(MIN($CB68:$CX68),MIN($D68:$BY68))</f>
        <v>-7.2759576141834259E-12</v>
      </c>
      <c r="DD68" s="117">
        <f>MAX(MAX($CB68:$CX68),MAX($D68:$BY68))</f>
        <v>253845.55229716521</v>
      </c>
      <c r="DE68" s="83"/>
    </row>
    <row r="69" spans="1:109" x14ac:dyDescent="0.25">
      <c r="A69" s="83"/>
      <c r="B69" s="83"/>
      <c r="C69" s="71"/>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c r="AX69" s="67"/>
      <c r="AY69" s="67"/>
      <c r="AZ69" s="67"/>
      <c r="BA69" s="67"/>
      <c r="BB69" s="67"/>
      <c r="BC69" s="67"/>
      <c r="BD69" s="67"/>
      <c r="BE69" s="67"/>
      <c r="BF69" s="67"/>
      <c r="BG69" s="67"/>
      <c r="BH69" s="67"/>
      <c r="BI69" s="67"/>
      <c r="BJ69" s="67"/>
      <c r="BK69" s="67"/>
      <c r="BL69" s="67"/>
      <c r="BM69" s="67"/>
      <c r="BN69" s="67"/>
      <c r="BO69" s="67"/>
      <c r="BP69" s="67"/>
      <c r="BQ69" s="67"/>
      <c r="BR69" s="67"/>
      <c r="BS69" s="67"/>
      <c r="BT69" s="67"/>
      <c r="BU69" s="67"/>
      <c r="BV69" s="67"/>
      <c r="BW69" s="67"/>
      <c r="BX69" s="67"/>
      <c r="BY69" s="67"/>
      <c r="BZ69" s="73"/>
      <c r="CA69" s="76"/>
      <c r="CB69" s="67"/>
      <c r="CC69" s="67"/>
      <c r="CD69" s="67"/>
      <c r="CE69" s="67"/>
      <c r="CF69" s="67"/>
      <c r="CG69" s="67"/>
      <c r="CH69" s="67"/>
      <c r="CI69" s="67"/>
      <c r="CJ69" s="67"/>
      <c r="CK69" s="67"/>
      <c r="CL69" s="67"/>
      <c r="CM69" s="67"/>
      <c r="CN69" s="67"/>
      <c r="CO69" s="67"/>
      <c r="CP69" s="67"/>
      <c r="CQ69" s="67"/>
      <c r="CR69" s="67"/>
      <c r="CS69" s="67"/>
      <c r="CT69" s="67"/>
      <c r="CU69" s="67"/>
      <c r="CV69" s="67"/>
      <c r="CW69" s="67"/>
      <c r="CX69" s="67"/>
      <c r="CY69" s="72"/>
      <c r="CZ69" s="76"/>
      <c r="DA69" s="73"/>
      <c r="DB69" s="67"/>
      <c r="DC69" s="67"/>
      <c r="DD69" s="67"/>
      <c r="DE69" s="83"/>
    </row>
    <row r="70" spans="1:109" x14ac:dyDescent="0.25">
      <c r="A70" s="83" t="s">
        <v>537</v>
      </c>
      <c r="B70" s="83"/>
      <c r="C70" s="71"/>
      <c r="D70" s="115">
        <f>IF(D$17&lt;1,0,'Basin Allocations'!$H10*D$63)</f>
        <v>698.79729655600909</v>
      </c>
      <c r="E70" s="115">
        <f>IF(E$17&lt;1,0,'Basin Allocations'!$H10*E$63)</f>
        <v>0</v>
      </c>
      <c r="F70" s="115">
        <f>IF(F$17&lt;1,0,'Basin Allocations'!$H10*F$63)</f>
        <v>0</v>
      </c>
      <c r="G70" s="115">
        <f>IF(G$17&lt;1,0,'Basin Allocations'!$H10*G$63)</f>
        <v>0</v>
      </c>
      <c r="H70" s="115">
        <f>IF(H$17&lt;1,0,'Basin Allocations'!$H10*H$63)</f>
        <v>0</v>
      </c>
      <c r="I70" s="115">
        <f>IF(I$17&lt;1,0,'Basin Allocations'!$H10*I$63)</f>
        <v>0</v>
      </c>
      <c r="J70" s="115">
        <f>IF(J$17&lt;1,0,'Basin Allocations'!$H10*J$63)</f>
        <v>0</v>
      </c>
      <c r="K70" s="115">
        <f>IF(K$17&lt;1,0,'Basin Allocations'!$H10*K$63)</f>
        <v>0</v>
      </c>
      <c r="L70" s="115">
        <f>IF(L$17&lt;1,0,'Basin Allocations'!$H10*L$63)</f>
        <v>0</v>
      </c>
      <c r="M70" s="115">
        <f>IF(M$17&lt;1,0,'Basin Allocations'!$H10*M$63)</f>
        <v>0</v>
      </c>
      <c r="N70" s="115">
        <f>IF(N$17&lt;1,0,'Basin Allocations'!$H10*N$63)</f>
        <v>3493.9864827800457</v>
      </c>
      <c r="O70" s="115">
        <f>IF(O$17&lt;1,0,'Basin Allocations'!$H10*O$63)</f>
        <v>0</v>
      </c>
      <c r="P70" s="115">
        <f>IF(P$17&lt;1,0,'Basin Allocations'!$H10*P$63)</f>
        <v>580.67060805136521</v>
      </c>
      <c r="Q70" s="115">
        <f>IF(Q$17&lt;1,0,'Basin Allocations'!$H10*Q$63)</f>
        <v>0</v>
      </c>
      <c r="R70" s="115">
        <f>IF(R$17&lt;1,0,'Basin Allocations'!$H10*R$63)</f>
        <v>0</v>
      </c>
      <c r="S70" s="115">
        <f>IF(S$17&lt;1,0,'Basin Allocations'!$H10*S$63)</f>
        <v>0</v>
      </c>
      <c r="T70" s="115">
        <f>IF(T$17&lt;1,0,'Basin Allocations'!$H10*T$63)</f>
        <v>0</v>
      </c>
      <c r="U70" s="115">
        <f>IF(U$17&lt;1,0,'Basin Allocations'!$H10*U$63)</f>
        <v>0</v>
      </c>
      <c r="V70" s="115">
        <f>IF(V$17&lt;1,0,'Basin Allocations'!$H10*V$63)</f>
        <v>0</v>
      </c>
      <c r="W70" s="115">
        <f>IF(W$17&lt;1,0,'Basin Allocations'!$H10*W$63)</f>
        <v>0</v>
      </c>
      <c r="X70" s="115">
        <f>IF(X$17&lt;1,0,'Basin Allocations'!$H10*X$63)</f>
        <v>0</v>
      </c>
      <c r="Y70" s="115">
        <f>IF(Y$17&lt;1,0,'Basin Allocations'!$H10*Y$63)</f>
        <v>1257.8351338008165</v>
      </c>
      <c r="Z70" s="115">
        <f>IF(Z$17&lt;1,0,'Basin Allocations'!$H10*Z$63)</f>
        <v>0</v>
      </c>
      <c r="AA70" s="115">
        <f>IF(AA$17&lt;1,0,'Basin Allocations'!$H10*AA$63)</f>
        <v>0</v>
      </c>
      <c r="AB70" s="115">
        <f>IF(AB$17&lt;1,0,'Basin Allocations'!$H10*AB$63)</f>
        <v>0</v>
      </c>
      <c r="AC70" s="115">
        <f>IF(AC$17&lt;1,0,'Basin Allocations'!$H10*AC$63)</f>
        <v>0</v>
      </c>
      <c r="AD70" s="115">
        <f>IF(AD$17&lt;1,0,'Basin Allocations'!$H10*AD$63)</f>
        <v>0</v>
      </c>
      <c r="AE70" s="115">
        <f>IF(AE$17&lt;1,0,'Basin Allocations'!$H10*AE$63)</f>
        <v>0</v>
      </c>
      <c r="AF70" s="115">
        <f>IF(AF$17&lt;1,0,'Basin Allocations'!$H10*AF$63)</f>
        <v>0</v>
      </c>
      <c r="AG70" s="115">
        <f>IF(AG$17&lt;1,0,'Basin Allocations'!$H10*AG$63)</f>
        <v>0</v>
      </c>
      <c r="AH70" s="115">
        <f>IF(AH$17&lt;1,0,'Basin Allocations'!$H10*AH$63)</f>
        <v>0</v>
      </c>
      <c r="AI70" s="115">
        <f>IF(AI$17&lt;1,0,'Basin Allocations'!$H10*AI$63)</f>
        <v>0</v>
      </c>
      <c r="AJ70" s="115">
        <f>IF(AJ$17&lt;1,0,'Basin Allocations'!$H10*AJ$63)</f>
        <v>0</v>
      </c>
      <c r="AK70" s="115">
        <f>IF(AK$17&lt;1,0,'Basin Allocations'!$H10*AK$63)</f>
        <v>0</v>
      </c>
      <c r="AL70" s="115">
        <f>IF(AL$17&lt;1,0,'Basin Allocations'!$H10*AL$63)</f>
        <v>0</v>
      </c>
      <c r="AM70" s="115">
        <f>IF(AM$17&lt;1,0,'Basin Allocations'!$H10*AM$63)</f>
        <v>0</v>
      </c>
      <c r="AN70" s="115">
        <f>IF(AN$17&lt;1,0,'Basin Allocations'!$H10*AN$63)</f>
        <v>0</v>
      </c>
      <c r="AO70" s="115">
        <f>IF(AO$17&lt;1,0,'Basin Allocations'!$H10*AO$63)</f>
        <v>891.39348205353292</v>
      </c>
      <c r="AP70" s="115">
        <f>IF(AP$17&lt;1,0,'Basin Allocations'!$H10*AP$63)</f>
        <v>0</v>
      </c>
      <c r="AQ70" s="115">
        <f>IF(AQ$17&lt;1,0,'Basin Allocations'!$H10*AQ$63)</f>
        <v>0</v>
      </c>
      <c r="AR70" s="115">
        <f>IF(AR$17&lt;1,0,'Basin Allocations'!$H10*AR$63)</f>
        <v>0</v>
      </c>
      <c r="AS70" s="115">
        <f>IF(AS$17&lt;1,0,'Basin Allocations'!$H10*AS$63)</f>
        <v>0</v>
      </c>
      <c r="AT70" s="115">
        <f>IF(AT$17&lt;1,0,'Basin Allocations'!$H10*AT$63)</f>
        <v>0</v>
      </c>
      <c r="AU70" s="115">
        <f>IF(AU$17&lt;1,0,'Basin Allocations'!$H10*AU$63)</f>
        <v>0</v>
      </c>
      <c r="AV70" s="115">
        <f>IF(AV$17&lt;1,0,'Basin Allocations'!$H10*AV$63)</f>
        <v>85.312175070524191</v>
      </c>
      <c r="AW70" s="115">
        <f>IF(AW$17&lt;1,0,'Basin Allocations'!$H10*AW$63)</f>
        <v>113.61608294690716</v>
      </c>
      <c r="AX70" s="115">
        <f>IF(AX$17&lt;1,0,'Basin Allocations'!$H10*AX$63)</f>
        <v>0</v>
      </c>
      <c r="AY70" s="115">
        <f>IF(AY$17&lt;1,0,'Basin Allocations'!$H10*AY$63)</f>
        <v>0</v>
      </c>
      <c r="AZ70" s="115">
        <f>IF(AZ$17&lt;1,0,'Basin Allocations'!$H10*AZ$63)</f>
        <v>0</v>
      </c>
      <c r="BA70" s="115">
        <f>IF(BA$17&lt;1,0,'Basin Allocations'!$H10*BA$63)</f>
        <v>0</v>
      </c>
      <c r="BB70" s="115">
        <f>IF(BB$17&lt;1,0,'Basin Allocations'!$H10*BB$63)</f>
        <v>50.985477515861561</v>
      </c>
      <c r="BC70" s="115">
        <f>IF(BC$17&lt;1,0,'Basin Allocations'!$H10*BC$63)</f>
        <v>310.20570454670877</v>
      </c>
      <c r="BD70" s="115">
        <f>IF(BD$17&lt;1,0,'Basin Allocations'!$H10*BD$63)</f>
        <v>0</v>
      </c>
      <c r="BE70" s="115">
        <f>IF(BE$17&lt;1,0,'Basin Allocations'!$H10*BE$63)</f>
        <v>0</v>
      </c>
      <c r="BF70" s="115">
        <f>IF(BF$17&lt;1,0,'Basin Allocations'!$H10*BF$63)</f>
        <v>698.79729655600909</v>
      </c>
      <c r="BG70" s="115">
        <f>IF(BG$17&lt;1,0,'Basin Allocations'!$H10*BG$63)</f>
        <v>0</v>
      </c>
      <c r="BH70" s="115">
        <f>IF(BH$17&lt;1,0,'Basin Allocations'!$H10*BH$63)</f>
        <v>0</v>
      </c>
      <c r="BI70" s="115">
        <f>IF(BI$17&lt;1,0,'Basin Allocations'!$H10*BI$63)</f>
        <v>0</v>
      </c>
      <c r="BJ70" s="115">
        <f>IF(BJ$17&lt;1,0,'Basin Allocations'!$H10*BJ$63)</f>
        <v>0</v>
      </c>
      <c r="BK70" s="115">
        <f>IF(BK$17&lt;1,0,'Basin Allocations'!$H10*BK$63)</f>
        <v>18867.527007012246</v>
      </c>
      <c r="BL70" s="115">
        <f>IF(BL$17&lt;1,0,'Basin Allocations'!$H10*BL$63)</f>
        <v>0</v>
      </c>
      <c r="BM70" s="115">
        <f>IF(BM$17&lt;1,0,'Basin Allocations'!$H10*BM$63)</f>
        <v>76.950748974614768</v>
      </c>
      <c r="BN70" s="115">
        <f>IF(BN$17&lt;1,0,'Basin Allocations'!$H10*BN$63)</f>
        <v>0</v>
      </c>
      <c r="BO70" s="115">
        <f>IF(BO$17&lt;1,0,'Basin Allocations'!$H10*BO$63)</f>
        <v>0</v>
      </c>
      <c r="BP70" s="115">
        <f>IF(BP$17&lt;1,0,'Basin Allocations'!$H10*BP$63)</f>
        <v>5240.979724170068</v>
      </c>
      <c r="BQ70" s="115">
        <f>IF(BQ$17&lt;1,0,'Basin Allocations'!$H10*BQ$63)</f>
        <v>75.268852920839876</v>
      </c>
      <c r="BR70" s="115">
        <f>IF(BR$17&lt;1,0,'Basin Allocations'!$H10*BR$63)</f>
        <v>0</v>
      </c>
      <c r="BS70" s="115">
        <f>IF(BS$17&lt;1,0,'Basin Allocations'!$H10*BS$63)</f>
        <v>0</v>
      </c>
      <c r="BT70" s="115">
        <f>IF(BT$17&lt;1,0,'Basin Allocations'!$H10*BT$63)</f>
        <v>6114.476344865081</v>
      </c>
      <c r="BU70" s="115">
        <f>IF(BU$17&lt;1,0,'Basin Allocations'!$H10*BU$63)</f>
        <v>0</v>
      </c>
      <c r="BV70" s="115">
        <f>IF(BV$17&lt;1,0,'Basin Allocations'!$H10*BV$63)</f>
        <v>0</v>
      </c>
      <c r="BW70" s="115">
        <f>IF(BW$17&lt;1,0,'Basin Allocations'!$H10*BW$63)</f>
        <v>663.85743172820867</v>
      </c>
      <c r="BX70" s="115">
        <f>IF(BX$17&lt;1,0,'Basin Allocations'!$H10*BX$63)</f>
        <v>50.889930198849157</v>
      </c>
      <c r="BY70" s="115">
        <f>IF(BY$17&lt;1,0,'Basin Allocations'!$H10*BY$63)</f>
        <v>0</v>
      </c>
      <c r="BZ70" s="73">
        <f t="shared" si="50"/>
        <v>39271.549779747686</v>
      </c>
      <c r="CA70" s="76"/>
      <c r="CB70" s="115">
        <f>IF(CB$17&lt;1,0,'Basin Allocations'!$H10*CB$63)</f>
        <v>0</v>
      </c>
      <c r="CC70" s="115">
        <f>IF(CC$17&lt;1,0,'Basin Allocations'!$H10*CC$63)</f>
        <v>0</v>
      </c>
      <c r="CD70" s="115">
        <f>IF(CD$17&lt;1,0,'Basin Allocations'!$H10*CD$63)</f>
        <v>0</v>
      </c>
      <c r="CE70" s="115">
        <f>IF(CE$17&lt;1,0,'Basin Allocations'!$H10*CE$63)</f>
        <v>0</v>
      </c>
      <c r="CF70" s="115">
        <f>IF(CF$17&lt;1,0,'Basin Allocations'!$H10*CF$63)</f>
        <v>0</v>
      </c>
      <c r="CG70" s="115">
        <f>IF(CG$17&lt;1,0,'Basin Allocations'!$H10*CG$63)</f>
        <v>0</v>
      </c>
      <c r="CH70" s="115">
        <f>IF(CH$17&lt;1,0,'Basin Allocations'!$H10*CH$63)</f>
        <v>436.73123318972085</v>
      </c>
      <c r="CI70" s="115">
        <f>IF(CI$17&lt;1,0,'Basin Allocations'!$H10*CI$63)</f>
        <v>0</v>
      </c>
      <c r="CJ70" s="115">
        <f>IF(CJ$17&lt;1,0,'Basin Allocations'!$H10*CJ$63)</f>
        <v>349.39864827800454</v>
      </c>
      <c r="CK70" s="115">
        <f>IF(CK$17&lt;1,0,'Basin Allocations'!$H10*CK$63)</f>
        <v>0</v>
      </c>
      <c r="CL70" s="115">
        <f>IF(CL$17&lt;1,0,'Basin Allocations'!$H10*CL$63)</f>
        <v>0</v>
      </c>
      <c r="CM70" s="115">
        <f>IF(CM$17&lt;1,0,'Basin Allocations'!$H10*CM$63)</f>
        <v>512.31473354546119</v>
      </c>
      <c r="CN70" s="115">
        <f>IF(CN$17&lt;1,0,'Basin Allocations'!$H10*CN$63)</f>
        <v>3469.5661471477115</v>
      </c>
      <c r="CO70" s="115">
        <f>IF(CO$17&lt;1,0,'Basin Allocations'!$H10*CO$63)</f>
        <v>157.24646888288689</v>
      </c>
      <c r="CP70" s="115">
        <f>IF(CP$17&lt;1,0,'Basin Allocations'!$H10*CP$63)</f>
        <v>6607.2889642202454</v>
      </c>
      <c r="CQ70" s="115">
        <f>IF(CQ$17&lt;1,0,'Basin Allocations'!$H10*CQ$63)</f>
        <v>0</v>
      </c>
      <c r="CR70" s="115">
        <f>IF(CR$17&lt;1,0,'Basin Allocations'!$H10*CR$63)</f>
        <v>20257.675959330074</v>
      </c>
      <c r="CS70" s="115">
        <f>IF(CS$17&lt;1,0,'Basin Allocations'!$H10*CS$63)</f>
        <v>1195.4010449394093</v>
      </c>
      <c r="CT70" s="115">
        <f>IF(CT$17&lt;1,0,'Basin Allocations'!$H10*CT$63)</f>
        <v>151.48687818308886</v>
      </c>
      <c r="CU70" s="115">
        <f>IF(CU$17&lt;1,0,'Basin Allocations'!$H10*CU$63)</f>
        <v>0</v>
      </c>
      <c r="CV70" s="115">
        <f>IF(CV$17&lt;1,0,'Basin Allocations'!$H10*CV$63)</f>
        <v>17719.856332375461</v>
      </c>
      <c r="CW70" s="115">
        <f>IF(CW$17&lt;1,0,'Basin Allocations'!$H10*CW$63)</f>
        <v>0</v>
      </c>
      <c r="CX70" s="115">
        <f>IF(CX$17&lt;1,0,'Basin Allocations'!$H10*CX$63)</f>
        <v>0</v>
      </c>
      <c r="CY70" s="72">
        <f t="shared" si="51"/>
        <v>50856.966410092064</v>
      </c>
      <c r="CZ70" s="76"/>
      <c r="DA70" s="73">
        <f>BZ70+CY70</f>
        <v>90128.516189839749</v>
      </c>
      <c r="DB70" s="67"/>
      <c r="DC70" s="117">
        <f>MIN(MIN($CB70:$CX70),MIN($D70:$BY70))</f>
        <v>0</v>
      </c>
      <c r="DD70" s="117">
        <f>MAX(MAX($CB70:$CX70),MAX($D70:$BY70))</f>
        <v>20257.675959330074</v>
      </c>
      <c r="DE70" s="83"/>
    </row>
    <row r="71" spans="1:109" x14ac:dyDescent="0.25">
      <c r="A71" s="83" t="s">
        <v>539</v>
      </c>
      <c r="B71" s="83"/>
      <c r="C71" s="71"/>
      <c r="D71" s="115">
        <f>IF(D$17&lt;1,0,'Basin Allocations'!$H11*D$63)</f>
        <v>3520.8035883975017</v>
      </c>
      <c r="E71" s="115">
        <f>IF(E$17&lt;1,0,'Basin Allocations'!$H11*E$63)</f>
        <v>0</v>
      </c>
      <c r="F71" s="115">
        <f>IF(F$17&lt;1,0,'Basin Allocations'!$H11*F$63)</f>
        <v>0</v>
      </c>
      <c r="G71" s="115">
        <f>IF(G$17&lt;1,0,'Basin Allocations'!$H11*G$63)</f>
        <v>0</v>
      </c>
      <c r="H71" s="115">
        <f>IF(H$17&lt;1,0,'Basin Allocations'!$H11*H$63)</f>
        <v>0</v>
      </c>
      <c r="I71" s="115">
        <f>IF(I$17&lt;1,0,'Basin Allocations'!$H11*I$63)</f>
        <v>0</v>
      </c>
      <c r="J71" s="115">
        <f>IF(J$17&lt;1,0,'Basin Allocations'!$H11*J$63)</f>
        <v>0</v>
      </c>
      <c r="K71" s="115">
        <f>IF(K$17&lt;1,0,'Basin Allocations'!$H11*K$63)</f>
        <v>0</v>
      </c>
      <c r="L71" s="115">
        <f>IF(L$17&lt;1,0,'Basin Allocations'!$H11*L$63)</f>
        <v>0</v>
      </c>
      <c r="M71" s="115">
        <f>IF(M$17&lt;1,0,'Basin Allocations'!$H11*M$63)</f>
        <v>0</v>
      </c>
      <c r="N71" s="115">
        <f>IF(N$17&lt;1,0,'Basin Allocations'!$H11*N$63)</f>
        <v>17604.017941987509</v>
      </c>
      <c r="O71" s="115">
        <f>IF(O$17&lt;1,0,'Basin Allocations'!$H11*O$63)</f>
        <v>0</v>
      </c>
      <c r="P71" s="115">
        <f>IF(P$17&lt;1,0,'Basin Allocations'!$H11*P$63)</f>
        <v>2925.6369058381779</v>
      </c>
      <c r="Q71" s="115">
        <f>IF(Q$17&lt;1,0,'Basin Allocations'!$H11*Q$63)</f>
        <v>0</v>
      </c>
      <c r="R71" s="115">
        <f>IF(R$17&lt;1,0,'Basin Allocations'!$H11*R$63)</f>
        <v>0</v>
      </c>
      <c r="S71" s="115">
        <f>IF(S$17&lt;1,0,'Basin Allocations'!$H11*S$63)</f>
        <v>0</v>
      </c>
      <c r="T71" s="115">
        <f>IF(T$17&lt;1,0,'Basin Allocations'!$H11*T$63)</f>
        <v>0</v>
      </c>
      <c r="U71" s="115">
        <f>IF(U$17&lt;1,0,'Basin Allocations'!$H11*U$63)</f>
        <v>0</v>
      </c>
      <c r="V71" s="115">
        <f>IF(V$17&lt;1,0,'Basin Allocations'!$H11*V$63)</f>
        <v>0</v>
      </c>
      <c r="W71" s="115">
        <f>IF(W$17&lt;1,0,'Basin Allocations'!$H11*W$63)</f>
        <v>0</v>
      </c>
      <c r="X71" s="115">
        <f>IF(X$17&lt;1,0,'Basin Allocations'!$H11*X$63)</f>
        <v>0</v>
      </c>
      <c r="Y71" s="115">
        <f>IF(Y$17&lt;1,0,'Basin Allocations'!$H11*Y$63)</f>
        <v>6337.4464591155029</v>
      </c>
      <c r="Z71" s="115">
        <f>IF(Z$17&lt;1,0,'Basin Allocations'!$H11*Z$63)</f>
        <v>0</v>
      </c>
      <c r="AA71" s="115">
        <f>IF(AA$17&lt;1,0,'Basin Allocations'!$H11*AA$63)</f>
        <v>0</v>
      </c>
      <c r="AB71" s="115">
        <f>IF(AB$17&lt;1,0,'Basin Allocations'!$H11*AB$63)</f>
        <v>0</v>
      </c>
      <c r="AC71" s="115">
        <f>IF(AC$17&lt;1,0,'Basin Allocations'!$H11*AC$63)</f>
        <v>0</v>
      </c>
      <c r="AD71" s="115">
        <f>IF(AD$17&lt;1,0,'Basin Allocations'!$H11*AD$63)</f>
        <v>0</v>
      </c>
      <c r="AE71" s="115">
        <f>IF(AE$17&lt;1,0,'Basin Allocations'!$H11*AE$63)</f>
        <v>0</v>
      </c>
      <c r="AF71" s="115">
        <f>IF(AF$17&lt;1,0,'Basin Allocations'!$H11*AF$63)</f>
        <v>0</v>
      </c>
      <c r="AG71" s="115">
        <f>IF(AG$17&lt;1,0,'Basin Allocations'!$H11*AG$63)</f>
        <v>0</v>
      </c>
      <c r="AH71" s="115">
        <f>IF(AH$17&lt;1,0,'Basin Allocations'!$H11*AH$63)</f>
        <v>0</v>
      </c>
      <c r="AI71" s="115">
        <f>IF(AI$17&lt;1,0,'Basin Allocations'!$H11*AI$63)</f>
        <v>0</v>
      </c>
      <c r="AJ71" s="115">
        <f>IF(AJ$17&lt;1,0,'Basin Allocations'!$H11*AJ$63)</f>
        <v>0</v>
      </c>
      <c r="AK71" s="115">
        <f>IF(AK$17&lt;1,0,'Basin Allocations'!$H11*AK$63)</f>
        <v>0</v>
      </c>
      <c r="AL71" s="115">
        <f>IF(AL$17&lt;1,0,'Basin Allocations'!$H11*AL$63)</f>
        <v>0</v>
      </c>
      <c r="AM71" s="115">
        <f>IF(AM$17&lt;1,0,'Basin Allocations'!$H11*AM$63)</f>
        <v>0</v>
      </c>
      <c r="AN71" s="115">
        <f>IF(AN$17&lt;1,0,'Basin Allocations'!$H11*AN$63)</f>
        <v>0</v>
      </c>
      <c r="AO71" s="115">
        <f>IF(AO$17&lt;1,0,'Basin Allocations'!$H11*AO$63)</f>
        <v>4491.1756037921023</v>
      </c>
      <c r="AP71" s="115">
        <f>IF(AP$17&lt;1,0,'Basin Allocations'!$H11*AP$63)</f>
        <v>0</v>
      </c>
      <c r="AQ71" s="115">
        <f>IF(AQ$17&lt;1,0,'Basin Allocations'!$H11*AQ$63)</f>
        <v>0</v>
      </c>
      <c r="AR71" s="115">
        <f>IF(AR$17&lt;1,0,'Basin Allocations'!$H11*AR$63)</f>
        <v>0</v>
      </c>
      <c r="AS71" s="115">
        <f>IF(AS$17&lt;1,0,'Basin Allocations'!$H11*AS$63)</f>
        <v>0</v>
      </c>
      <c r="AT71" s="115">
        <f>IF(AT$17&lt;1,0,'Basin Allocations'!$H11*AT$63)</f>
        <v>0</v>
      </c>
      <c r="AU71" s="115">
        <f>IF(AU$17&lt;1,0,'Basin Allocations'!$H11*AU$63)</f>
        <v>0</v>
      </c>
      <c r="AV71" s="115">
        <f>IF(AV$17&lt;1,0,'Basin Allocations'!$H11*AV$63)</f>
        <v>429.83482277714108</v>
      </c>
      <c r="AW71" s="115">
        <f>IF(AW$17&lt;1,0,'Basin Allocations'!$H11*AW$63)</f>
        <v>572.44055538082216</v>
      </c>
      <c r="AX71" s="115">
        <f>IF(AX$17&lt;1,0,'Basin Allocations'!$H11*AX$63)</f>
        <v>0</v>
      </c>
      <c r="AY71" s="115">
        <f>IF(AY$17&lt;1,0,'Basin Allocations'!$H11*AY$63)</f>
        <v>0</v>
      </c>
      <c r="AZ71" s="115">
        <f>IF(AZ$17&lt;1,0,'Basin Allocations'!$H11*AZ$63)</f>
        <v>0</v>
      </c>
      <c r="BA71" s="115">
        <f>IF(BA$17&lt;1,0,'Basin Allocations'!$H11*BA$63)</f>
        <v>0</v>
      </c>
      <c r="BB71" s="115">
        <f>IF(BB$17&lt;1,0,'Basin Allocations'!$H11*BB$63)</f>
        <v>256.88401068337231</v>
      </c>
      <c r="BC71" s="115">
        <f>IF(BC$17&lt;1,0,'Basin Allocations'!$H11*BC$63)</f>
        <v>1562.933003736784</v>
      </c>
      <c r="BD71" s="115">
        <f>IF(BD$17&lt;1,0,'Basin Allocations'!$H11*BD$63)</f>
        <v>0</v>
      </c>
      <c r="BE71" s="115">
        <f>IF(BE$17&lt;1,0,'Basin Allocations'!$H11*BE$63)</f>
        <v>0</v>
      </c>
      <c r="BF71" s="115">
        <f>IF(BF$17&lt;1,0,'Basin Allocations'!$H11*BF$63)</f>
        <v>3520.8035883975017</v>
      </c>
      <c r="BG71" s="115">
        <f>IF(BG$17&lt;1,0,'Basin Allocations'!$H11*BG$63)</f>
        <v>0</v>
      </c>
      <c r="BH71" s="115">
        <f>IF(BH$17&lt;1,0,'Basin Allocations'!$H11*BH$63)</f>
        <v>0</v>
      </c>
      <c r="BI71" s="115">
        <f>IF(BI$17&lt;1,0,'Basin Allocations'!$H11*BI$63)</f>
        <v>0</v>
      </c>
      <c r="BJ71" s="115">
        <f>IF(BJ$17&lt;1,0,'Basin Allocations'!$H11*BJ$63)</f>
        <v>0</v>
      </c>
      <c r="BK71" s="115">
        <f>IF(BK$17&lt;1,0,'Basin Allocations'!$H11*BK$63)</f>
        <v>95061.696886732549</v>
      </c>
      <c r="BL71" s="115">
        <f>IF(BL$17&lt;1,0,'Basin Allocations'!$H11*BL$63)</f>
        <v>0</v>
      </c>
      <c r="BM71" s="115">
        <f>IF(BM$17&lt;1,0,'Basin Allocations'!$H11*BM$63)</f>
        <v>387.70681348505178</v>
      </c>
      <c r="BN71" s="115">
        <f>IF(BN$17&lt;1,0,'Basin Allocations'!$H11*BN$63)</f>
        <v>0</v>
      </c>
      <c r="BO71" s="115">
        <f>IF(BO$17&lt;1,0,'Basin Allocations'!$H11*BO$63)</f>
        <v>0</v>
      </c>
      <c r="BP71" s="115">
        <f>IF(BP$17&lt;1,0,'Basin Allocations'!$H11*BP$63)</f>
        <v>26406.026912981262</v>
      </c>
      <c r="BQ71" s="115">
        <f>IF(BQ$17&lt;1,0,'Basin Allocations'!$H11*BQ$63)</f>
        <v>379.23278862744758</v>
      </c>
      <c r="BR71" s="115">
        <f>IF(BR$17&lt;1,0,'Basin Allocations'!$H11*BR$63)</f>
        <v>0</v>
      </c>
      <c r="BS71" s="115">
        <f>IF(BS$17&lt;1,0,'Basin Allocations'!$H11*BS$63)</f>
        <v>0</v>
      </c>
      <c r="BT71" s="115">
        <f>IF(BT$17&lt;1,0,'Basin Allocations'!$H11*BT$63)</f>
        <v>30807.031398478146</v>
      </c>
      <c r="BU71" s="115">
        <f>IF(BU$17&lt;1,0,'Basin Allocations'!$H11*BU$63)</f>
        <v>0</v>
      </c>
      <c r="BV71" s="115">
        <f>IF(BV$17&lt;1,0,'Basin Allocations'!$H11*BV$63)</f>
        <v>0</v>
      </c>
      <c r="BW71" s="115">
        <f>IF(BW$17&lt;1,0,'Basin Allocations'!$H11*BW$63)</f>
        <v>3344.7634089776266</v>
      </c>
      <c r="BX71" s="115">
        <f>IF(BX$17&lt;1,0,'Basin Allocations'!$H11*BX$63)</f>
        <v>256.40260736619149</v>
      </c>
      <c r="BY71" s="115">
        <f>IF(BY$17&lt;1,0,'Basin Allocations'!$H11*BY$63)</f>
        <v>0</v>
      </c>
      <c r="BZ71" s="73">
        <f t="shared" si="50"/>
        <v>197864.83729675467</v>
      </c>
      <c r="CA71" s="76"/>
      <c r="CB71" s="115">
        <f>IF(CB$17&lt;1,0,'Basin Allocations'!$H11*CB$63)</f>
        <v>0</v>
      </c>
      <c r="CC71" s="115">
        <f>IF(CC$17&lt;1,0,'Basin Allocations'!$H11*CC$63)</f>
        <v>0</v>
      </c>
      <c r="CD71" s="115">
        <f>IF(CD$17&lt;1,0,'Basin Allocations'!$H11*CD$63)</f>
        <v>0</v>
      </c>
      <c r="CE71" s="115">
        <f>IF(CE$17&lt;1,0,'Basin Allocations'!$H11*CE$63)</f>
        <v>0</v>
      </c>
      <c r="CF71" s="115">
        <f>IF(CF$17&lt;1,0,'Basin Allocations'!$H11*CF$63)</f>
        <v>0</v>
      </c>
      <c r="CG71" s="115">
        <f>IF(CG$17&lt;1,0,'Basin Allocations'!$H11*CG$63)</f>
        <v>0</v>
      </c>
      <c r="CH71" s="115">
        <f>IF(CH$17&lt;1,0,'Basin Allocations'!$H11*CH$63)</f>
        <v>2200.4162016050273</v>
      </c>
      <c r="CI71" s="115">
        <f>IF(CI$17&lt;1,0,'Basin Allocations'!$H11*CI$63)</f>
        <v>0</v>
      </c>
      <c r="CJ71" s="115">
        <f>IF(CJ$17&lt;1,0,'Basin Allocations'!$H11*CJ$63)</f>
        <v>1760.4017941987508</v>
      </c>
      <c r="CK71" s="115">
        <f>IF(CK$17&lt;1,0,'Basin Allocations'!$H11*CK$63)</f>
        <v>0</v>
      </c>
      <c r="CL71" s="115">
        <f>IF(CL$17&lt;1,0,'Basin Allocations'!$H11*CL$63)</f>
        <v>0</v>
      </c>
      <c r="CM71" s="115">
        <f>IF(CM$17&lt;1,0,'Basin Allocations'!$H11*CM$63)</f>
        <v>2581.234302344209</v>
      </c>
      <c r="CN71" s="115">
        <f>IF(CN$17&lt;1,0,'Basin Allocations'!$H11*CN$63)</f>
        <v>17480.979106909101</v>
      </c>
      <c r="CO71" s="115">
        <f>IF(CO$17&lt;1,0,'Basin Allocations'!$H11*CO$63)</f>
        <v>792.26684853284939</v>
      </c>
      <c r="CP71" s="115">
        <f>IF(CP$17&lt;1,0,'Basin Allocations'!$H11*CP$63)</f>
        <v>33290.006715046453</v>
      </c>
      <c r="CQ71" s="115">
        <f>IF(CQ$17&lt;1,0,'Basin Allocations'!$H11*CQ$63)</f>
        <v>0</v>
      </c>
      <c r="CR71" s="115">
        <f>IF(CR$17&lt;1,0,'Basin Allocations'!$H11*CR$63)</f>
        <v>102065.79012500017</v>
      </c>
      <c r="CS71" s="115">
        <f>IF(CS$17&lt;1,0,'Basin Allocations'!$H11*CS$63)</f>
        <v>6022.880038803155</v>
      </c>
      <c r="CT71" s="115">
        <f>IF(CT$17&lt;1,0,'Basin Allocations'!$H11*CT$63)</f>
        <v>763.24786448197949</v>
      </c>
      <c r="CU71" s="115">
        <f>IF(CU$17&lt;1,0,'Basin Allocations'!$H11*CU$63)</f>
        <v>0</v>
      </c>
      <c r="CV71" s="115">
        <f>IF(CV$17&lt;1,0,'Basin Allocations'!$H11*CV$63)</f>
        <v>89279.300404270049</v>
      </c>
      <c r="CW71" s="115">
        <f>IF(CW$17&lt;1,0,'Basin Allocations'!$H11*CW$63)</f>
        <v>0</v>
      </c>
      <c r="CX71" s="115">
        <f>IF(CX$17&lt;1,0,'Basin Allocations'!$H11*CX$63)</f>
        <v>0</v>
      </c>
      <c r="CY71" s="72">
        <f t="shared" si="51"/>
        <v>256236.52340119175</v>
      </c>
      <c r="CZ71" s="76"/>
      <c r="DA71" s="73">
        <f>BZ71+CY71</f>
        <v>454101.36069794639</v>
      </c>
      <c r="DB71" s="67"/>
      <c r="DC71" s="117">
        <f>MIN(MIN($CB71:$CX71),MIN($D71:$BY71))</f>
        <v>0</v>
      </c>
      <c r="DD71" s="117">
        <f>MAX(MAX($CB71:$CX71),MAX($D71:$BY71))</f>
        <v>102065.79012500017</v>
      </c>
      <c r="DE71" s="83"/>
    </row>
    <row r="72" spans="1:109" x14ac:dyDescent="0.25">
      <c r="A72" s="83" t="s">
        <v>541</v>
      </c>
      <c r="B72" s="83"/>
      <c r="C72" s="71"/>
      <c r="D72" s="115">
        <f>IF(D$17&lt;1,0,'Basin Allocations'!$H12*D$63)</f>
        <v>3594.8619374631699</v>
      </c>
      <c r="E72" s="115">
        <f>IF(E$17&lt;1,0,'Basin Allocations'!$H12*E$63)</f>
        <v>0</v>
      </c>
      <c r="F72" s="115">
        <f>IF(F$17&lt;1,0,'Basin Allocations'!$H12*F$63)</f>
        <v>0</v>
      </c>
      <c r="G72" s="115">
        <f>IF(G$17&lt;1,0,'Basin Allocations'!$H12*G$63)</f>
        <v>0</v>
      </c>
      <c r="H72" s="115">
        <f>IF(H$17&lt;1,0,'Basin Allocations'!$H12*H$63)</f>
        <v>0</v>
      </c>
      <c r="I72" s="115">
        <f>IF(I$17&lt;1,0,'Basin Allocations'!$H12*I$63)</f>
        <v>0</v>
      </c>
      <c r="J72" s="115">
        <f>IF(J$17&lt;1,0,'Basin Allocations'!$H12*J$63)</f>
        <v>0</v>
      </c>
      <c r="K72" s="115">
        <f>IF(K$17&lt;1,0,'Basin Allocations'!$H12*K$63)</f>
        <v>0</v>
      </c>
      <c r="L72" s="115">
        <f>IF(L$17&lt;1,0,'Basin Allocations'!$H12*L$63)</f>
        <v>0</v>
      </c>
      <c r="M72" s="115">
        <f>IF(M$17&lt;1,0,'Basin Allocations'!$H12*M$63)</f>
        <v>0</v>
      </c>
      <c r="N72" s="115">
        <f>IF(N$17&lt;1,0,'Basin Allocations'!$H12*N$63)</f>
        <v>17974.30968731585</v>
      </c>
      <c r="O72" s="115">
        <f>IF(O$17&lt;1,0,'Basin Allocations'!$H12*O$63)</f>
        <v>0</v>
      </c>
      <c r="P72" s="115">
        <f>IF(P$17&lt;1,0,'Basin Allocations'!$H12*P$63)</f>
        <v>2987.1762203077424</v>
      </c>
      <c r="Q72" s="115">
        <f>IF(Q$17&lt;1,0,'Basin Allocations'!$H12*Q$63)</f>
        <v>0</v>
      </c>
      <c r="R72" s="115">
        <f>IF(R$17&lt;1,0,'Basin Allocations'!$H12*R$63)</f>
        <v>0</v>
      </c>
      <c r="S72" s="115">
        <f>IF(S$17&lt;1,0,'Basin Allocations'!$H12*S$63)</f>
        <v>0</v>
      </c>
      <c r="T72" s="115">
        <f>IF(T$17&lt;1,0,'Basin Allocations'!$H12*T$63)</f>
        <v>0</v>
      </c>
      <c r="U72" s="115">
        <f>IF(U$17&lt;1,0,'Basin Allocations'!$H12*U$63)</f>
        <v>0</v>
      </c>
      <c r="V72" s="115">
        <f>IF(V$17&lt;1,0,'Basin Allocations'!$H12*V$63)</f>
        <v>0</v>
      </c>
      <c r="W72" s="115">
        <f>IF(W$17&lt;1,0,'Basin Allocations'!$H12*W$63)</f>
        <v>0</v>
      </c>
      <c r="X72" s="115">
        <f>IF(X$17&lt;1,0,'Basin Allocations'!$H12*X$63)</f>
        <v>0</v>
      </c>
      <c r="Y72" s="115">
        <f>IF(Y$17&lt;1,0,'Basin Allocations'!$H12*Y$63)</f>
        <v>6470.7514874337057</v>
      </c>
      <c r="Z72" s="115">
        <f>IF(Z$17&lt;1,0,'Basin Allocations'!$H12*Z$63)</f>
        <v>0</v>
      </c>
      <c r="AA72" s="115">
        <f>IF(AA$17&lt;1,0,'Basin Allocations'!$H12*AA$63)</f>
        <v>0</v>
      </c>
      <c r="AB72" s="115">
        <f>IF(AB$17&lt;1,0,'Basin Allocations'!$H12*AB$63)</f>
        <v>0</v>
      </c>
      <c r="AC72" s="115">
        <f>IF(AC$17&lt;1,0,'Basin Allocations'!$H12*AC$63)</f>
        <v>0</v>
      </c>
      <c r="AD72" s="115">
        <f>IF(AD$17&lt;1,0,'Basin Allocations'!$H12*AD$63)</f>
        <v>0</v>
      </c>
      <c r="AE72" s="115">
        <f>IF(AE$17&lt;1,0,'Basin Allocations'!$H12*AE$63)</f>
        <v>0</v>
      </c>
      <c r="AF72" s="115">
        <f>IF(AF$17&lt;1,0,'Basin Allocations'!$H12*AF$63)</f>
        <v>0</v>
      </c>
      <c r="AG72" s="115">
        <f>IF(AG$17&lt;1,0,'Basin Allocations'!$H12*AG$63)</f>
        <v>0</v>
      </c>
      <c r="AH72" s="115">
        <f>IF(AH$17&lt;1,0,'Basin Allocations'!$H12*AH$63)</f>
        <v>0</v>
      </c>
      <c r="AI72" s="115">
        <f>IF(AI$17&lt;1,0,'Basin Allocations'!$H12*AI$63)</f>
        <v>0</v>
      </c>
      <c r="AJ72" s="115">
        <f>IF(AJ$17&lt;1,0,'Basin Allocations'!$H12*AJ$63)</f>
        <v>0</v>
      </c>
      <c r="AK72" s="115">
        <f>IF(AK$17&lt;1,0,'Basin Allocations'!$H12*AK$63)</f>
        <v>0</v>
      </c>
      <c r="AL72" s="115">
        <f>IF(AL$17&lt;1,0,'Basin Allocations'!$H12*AL$63)</f>
        <v>0</v>
      </c>
      <c r="AM72" s="115">
        <f>IF(AM$17&lt;1,0,'Basin Allocations'!$H12*AM$63)</f>
        <v>0</v>
      </c>
      <c r="AN72" s="115">
        <f>IF(AN$17&lt;1,0,'Basin Allocations'!$H12*AN$63)</f>
        <v>0</v>
      </c>
      <c r="AO72" s="115">
        <f>IF(AO$17&lt;1,0,'Basin Allocations'!$H12*AO$63)</f>
        <v>4585.6452446652629</v>
      </c>
      <c r="AP72" s="115">
        <f>IF(AP$17&lt;1,0,'Basin Allocations'!$H12*AP$63)</f>
        <v>0</v>
      </c>
      <c r="AQ72" s="115">
        <f>IF(AQ$17&lt;1,0,'Basin Allocations'!$H12*AQ$63)</f>
        <v>0</v>
      </c>
      <c r="AR72" s="115">
        <f>IF(AR$17&lt;1,0,'Basin Allocations'!$H12*AR$63)</f>
        <v>0</v>
      </c>
      <c r="AS72" s="115">
        <f>IF(AS$17&lt;1,0,'Basin Allocations'!$H12*AS$63)</f>
        <v>0</v>
      </c>
      <c r="AT72" s="115">
        <f>IF(AT$17&lt;1,0,'Basin Allocations'!$H12*AT$63)</f>
        <v>0</v>
      </c>
      <c r="AU72" s="115">
        <f>IF(AU$17&lt;1,0,'Basin Allocations'!$H12*AU$63)</f>
        <v>0</v>
      </c>
      <c r="AV72" s="115">
        <f>IF(AV$17&lt;1,0,'Basin Allocations'!$H12*AV$63)</f>
        <v>438.87618408758499</v>
      </c>
      <c r="AW72" s="115">
        <f>IF(AW$17&lt;1,0,'Basin Allocations'!$H12*AW$63)</f>
        <v>584.4815572161541</v>
      </c>
      <c r="AX72" s="115">
        <f>IF(AX$17&lt;1,0,'Basin Allocations'!$H12*AX$63)</f>
        <v>0</v>
      </c>
      <c r="AY72" s="115">
        <f>IF(AY$17&lt;1,0,'Basin Allocations'!$H12*AY$63)</f>
        <v>0</v>
      </c>
      <c r="AZ72" s="115">
        <f>IF(AZ$17&lt;1,0,'Basin Allocations'!$H12*AZ$63)</f>
        <v>0</v>
      </c>
      <c r="BA72" s="115">
        <f>IF(BA$17&lt;1,0,'Basin Allocations'!$H12*BA$63)</f>
        <v>0</v>
      </c>
      <c r="BB72" s="115">
        <f>IF(BB$17&lt;1,0,'Basin Allocations'!$H12*BB$63)</f>
        <v>262.28743784280584</v>
      </c>
      <c r="BC72" s="115">
        <f>IF(BC$17&lt;1,0,'Basin Allocations'!$H12*BC$63)</f>
        <v>1595.8085206609403</v>
      </c>
      <c r="BD72" s="115">
        <f>IF(BD$17&lt;1,0,'Basin Allocations'!$H12*BD$63)</f>
        <v>0</v>
      </c>
      <c r="BE72" s="115">
        <f>IF(BE$17&lt;1,0,'Basin Allocations'!$H12*BE$63)</f>
        <v>0</v>
      </c>
      <c r="BF72" s="115">
        <f>IF(BF$17&lt;1,0,'Basin Allocations'!$H12*BF$63)</f>
        <v>3594.8619374631699</v>
      </c>
      <c r="BG72" s="115">
        <f>IF(BG$17&lt;1,0,'Basin Allocations'!$H12*BG$63)</f>
        <v>0</v>
      </c>
      <c r="BH72" s="115">
        <f>IF(BH$17&lt;1,0,'Basin Allocations'!$H12*BH$63)</f>
        <v>0</v>
      </c>
      <c r="BI72" s="115">
        <f>IF(BI$17&lt;1,0,'Basin Allocations'!$H12*BI$63)</f>
        <v>0</v>
      </c>
      <c r="BJ72" s="115">
        <f>IF(BJ$17&lt;1,0,'Basin Allocations'!$H12*BJ$63)</f>
        <v>0</v>
      </c>
      <c r="BK72" s="115">
        <f>IF(BK$17&lt;1,0,'Basin Allocations'!$H12*BK$63)</f>
        <v>97061.272311505585</v>
      </c>
      <c r="BL72" s="115">
        <f>IF(BL$17&lt;1,0,'Basin Allocations'!$H12*BL$63)</f>
        <v>0</v>
      </c>
      <c r="BM72" s="115">
        <f>IF(BM$17&lt;1,0,'Basin Allocations'!$H12*BM$63)</f>
        <v>395.86203311242173</v>
      </c>
      <c r="BN72" s="115">
        <f>IF(BN$17&lt;1,0,'Basin Allocations'!$H12*BN$63)</f>
        <v>0</v>
      </c>
      <c r="BO72" s="115">
        <f>IF(BO$17&lt;1,0,'Basin Allocations'!$H12*BO$63)</f>
        <v>0</v>
      </c>
      <c r="BP72" s="115">
        <f>IF(BP$17&lt;1,0,'Basin Allocations'!$H12*BP$63)</f>
        <v>26961.464530973775</v>
      </c>
      <c r="BQ72" s="115">
        <f>IF(BQ$17&lt;1,0,'Basin Allocations'!$H12*BQ$63)</f>
        <v>387.20976136454408</v>
      </c>
      <c r="BR72" s="115">
        <f>IF(BR$17&lt;1,0,'Basin Allocations'!$H12*BR$63)</f>
        <v>0</v>
      </c>
      <c r="BS72" s="115">
        <f>IF(BS$17&lt;1,0,'Basin Allocations'!$H12*BS$63)</f>
        <v>0</v>
      </c>
      <c r="BT72" s="115">
        <f>IF(BT$17&lt;1,0,'Basin Allocations'!$H12*BT$63)</f>
        <v>31455.041952802745</v>
      </c>
      <c r="BU72" s="115">
        <f>IF(BU$17&lt;1,0,'Basin Allocations'!$H12*BU$63)</f>
        <v>0</v>
      </c>
      <c r="BV72" s="115">
        <f>IF(BV$17&lt;1,0,'Basin Allocations'!$H12*BV$63)</f>
        <v>0</v>
      </c>
      <c r="BW72" s="115">
        <f>IF(BW$17&lt;1,0,'Basin Allocations'!$H12*BW$63)</f>
        <v>3415.1188405900116</v>
      </c>
      <c r="BX72" s="115">
        <f>IF(BX$17&lt;1,0,'Basin Allocations'!$H12*BX$63)</f>
        <v>261.79590844673135</v>
      </c>
      <c r="BY72" s="115">
        <f>IF(BY$17&lt;1,0,'Basin Allocations'!$H12*BY$63)</f>
        <v>0</v>
      </c>
      <c r="BZ72" s="73">
        <f t="shared" si="50"/>
        <v>202026.82555325219</v>
      </c>
      <c r="CA72" s="76"/>
      <c r="CB72" s="115">
        <f>IF(CB$17&lt;1,0,'Basin Allocations'!$H12*CB$63)</f>
        <v>0</v>
      </c>
      <c r="CC72" s="115">
        <f>IF(CC$17&lt;1,0,'Basin Allocations'!$H12*CC$63)</f>
        <v>0</v>
      </c>
      <c r="CD72" s="115">
        <f>IF(CD$17&lt;1,0,'Basin Allocations'!$H12*CD$63)</f>
        <v>0</v>
      </c>
      <c r="CE72" s="115">
        <f>IF(CE$17&lt;1,0,'Basin Allocations'!$H12*CE$63)</f>
        <v>0</v>
      </c>
      <c r="CF72" s="115">
        <f>IF(CF$17&lt;1,0,'Basin Allocations'!$H12*CF$63)</f>
        <v>0</v>
      </c>
      <c r="CG72" s="115">
        <f>IF(CG$17&lt;1,0,'Basin Allocations'!$H12*CG$63)</f>
        <v>0</v>
      </c>
      <c r="CH72" s="115">
        <f>IF(CH$17&lt;1,0,'Basin Allocations'!$H12*CH$63)</f>
        <v>2246.7008599384926</v>
      </c>
      <c r="CI72" s="115">
        <f>IF(CI$17&lt;1,0,'Basin Allocations'!$H12*CI$63)</f>
        <v>0</v>
      </c>
      <c r="CJ72" s="115">
        <f>IF(CJ$17&lt;1,0,'Basin Allocations'!$H12*CJ$63)</f>
        <v>1797.4309687315849</v>
      </c>
      <c r="CK72" s="115">
        <f>IF(CK$17&lt;1,0,'Basin Allocations'!$H12*CK$63)</f>
        <v>0</v>
      </c>
      <c r="CL72" s="115">
        <f>IF(CL$17&lt;1,0,'Basin Allocations'!$H12*CL$63)</f>
        <v>0</v>
      </c>
      <c r="CM72" s="115">
        <f>IF(CM$17&lt;1,0,'Basin Allocations'!$H12*CM$63)</f>
        <v>2635.5292796650801</v>
      </c>
      <c r="CN72" s="115">
        <f>IF(CN$17&lt;1,0,'Basin Allocations'!$H12*CN$63)</f>
        <v>17848.682791651812</v>
      </c>
      <c r="CO72" s="115">
        <f>IF(CO$17&lt;1,0,'Basin Allocations'!$H12*CO$63)</f>
        <v>808.9317869052021</v>
      </c>
      <c r="CP72" s="115">
        <f>IF(CP$17&lt;1,0,'Basin Allocations'!$H12*CP$63)</f>
        <v>33990.245417888575</v>
      </c>
      <c r="CQ72" s="115">
        <f>IF(CQ$17&lt;1,0,'Basin Allocations'!$H12*CQ$63)</f>
        <v>0</v>
      </c>
      <c r="CR72" s="115">
        <f>IF(CR$17&lt;1,0,'Basin Allocations'!$H12*CR$63)</f>
        <v>104212.69316090083</v>
      </c>
      <c r="CS72" s="115">
        <f>IF(CS$17&lt;1,0,'Basin Allocations'!$H12*CS$63)</f>
        <v>6149.5683192185206</v>
      </c>
      <c r="CT72" s="115">
        <f>IF(CT$17&lt;1,0,'Basin Allocations'!$H12*CT$63)</f>
        <v>779.30240298498063</v>
      </c>
      <c r="CU72" s="115">
        <f>IF(CU$17&lt;1,0,'Basin Allocations'!$H12*CU$63)</f>
        <v>0</v>
      </c>
      <c r="CV72" s="115">
        <f>IF(CV$17&lt;1,0,'Basin Allocations'!$H12*CV$63)</f>
        <v>91157.246000402403</v>
      </c>
      <c r="CW72" s="115">
        <f>IF(CW$17&lt;1,0,'Basin Allocations'!$H12*CW$63)</f>
        <v>0</v>
      </c>
      <c r="CX72" s="115">
        <f>IF(CX$17&lt;1,0,'Basin Allocations'!$H12*CX$63)</f>
        <v>0</v>
      </c>
      <c r="CY72" s="72">
        <f t="shared" si="51"/>
        <v>261626.33098828749</v>
      </c>
      <c r="CZ72" s="76"/>
      <c r="DA72" s="73">
        <f>BZ72+CY72</f>
        <v>463653.15654153971</v>
      </c>
      <c r="DB72" s="67"/>
      <c r="DC72" s="117">
        <f>MIN(MIN($CB72:$CX72),MIN($D72:$BY72))</f>
        <v>0</v>
      </c>
      <c r="DD72" s="117">
        <f>MAX(MAX($CB72:$CX72),MAX($D72:$BY72))</f>
        <v>104212.69316090083</v>
      </c>
      <c r="DE72" s="83"/>
    </row>
    <row r="73" spans="1:109" x14ac:dyDescent="0.25">
      <c r="A73" s="83" t="s">
        <v>543</v>
      </c>
      <c r="B73" s="83"/>
      <c r="C73" s="71"/>
      <c r="D73" s="115">
        <f>SUM(D70:D72)</f>
        <v>7814.4628224166809</v>
      </c>
      <c r="E73" s="115">
        <f t="shared" ref="E73:BJ73" si="55">SUM(E70:E72)</f>
        <v>0</v>
      </c>
      <c r="F73" s="115">
        <f t="shared" si="55"/>
        <v>0</v>
      </c>
      <c r="G73" s="115">
        <f t="shared" si="55"/>
        <v>0</v>
      </c>
      <c r="H73" s="115">
        <f t="shared" si="55"/>
        <v>0</v>
      </c>
      <c r="I73" s="115">
        <f t="shared" si="55"/>
        <v>0</v>
      </c>
      <c r="J73" s="115">
        <f t="shared" si="55"/>
        <v>0</v>
      </c>
      <c r="K73" s="115">
        <f t="shared" si="55"/>
        <v>0</v>
      </c>
      <c r="L73" s="115">
        <f t="shared" si="55"/>
        <v>0</v>
      </c>
      <c r="M73" s="115">
        <f t="shared" si="55"/>
        <v>0</v>
      </c>
      <c r="N73" s="115">
        <f t="shared" si="55"/>
        <v>39072.314112083404</v>
      </c>
      <c r="O73" s="115">
        <f t="shared" si="55"/>
        <v>0</v>
      </c>
      <c r="P73" s="115">
        <f t="shared" si="55"/>
        <v>6493.4837341972852</v>
      </c>
      <c r="Q73" s="115">
        <f t="shared" si="55"/>
        <v>0</v>
      </c>
      <c r="R73" s="115">
        <f t="shared" si="55"/>
        <v>0</v>
      </c>
      <c r="S73" s="115">
        <f t="shared" si="55"/>
        <v>0</v>
      </c>
      <c r="T73" s="115">
        <f t="shared" si="55"/>
        <v>0</v>
      </c>
      <c r="U73" s="115">
        <f t="shared" si="55"/>
        <v>0</v>
      </c>
      <c r="V73" s="115">
        <f t="shared" si="55"/>
        <v>0</v>
      </c>
      <c r="W73" s="115">
        <f t="shared" si="55"/>
        <v>0</v>
      </c>
      <c r="X73" s="115">
        <f t="shared" si="55"/>
        <v>0</v>
      </c>
      <c r="Y73" s="115">
        <f t="shared" si="55"/>
        <v>14066.033080350026</v>
      </c>
      <c r="Z73" s="115">
        <f t="shared" si="55"/>
        <v>0</v>
      </c>
      <c r="AA73" s="115">
        <f t="shared" si="55"/>
        <v>0</v>
      </c>
      <c r="AB73" s="115">
        <f t="shared" si="55"/>
        <v>0</v>
      </c>
      <c r="AC73" s="115">
        <f t="shared" si="55"/>
        <v>0</v>
      </c>
      <c r="AD73" s="115">
        <f t="shared" si="55"/>
        <v>0</v>
      </c>
      <c r="AE73" s="115">
        <f t="shared" si="55"/>
        <v>0</v>
      </c>
      <c r="AF73" s="115">
        <f t="shared" si="55"/>
        <v>0</v>
      </c>
      <c r="AG73" s="115">
        <f t="shared" si="55"/>
        <v>0</v>
      </c>
      <c r="AH73" s="115">
        <f t="shared" si="55"/>
        <v>0</v>
      </c>
      <c r="AI73" s="115">
        <f t="shared" si="55"/>
        <v>0</v>
      </c>
      <c r="AJ73" s="115">
        <f t="shared" si="55"/>
        <v>0</v>
      </c>
      <c r="AK73" s="115">
        <f t="shared" si="55"/>
        <v>0</v>
      </c>
      <c r="AL73" s="115">
        <f t="shared" si="55"/>
        <v>0</v>
      </c>
      <c r="AM73" s="115">
        <f t="shared" si="55"/>
        <v>0</v>
      </c>
      <c r="AN73" s="115">
        <f t="shared" si="55"/>
        <v>0</v>
      </c>
      <c r="AO73" s="115">
        <f t="shared" si="55"/>
        <v>9968.2143305108984</v>
      </c>
      <c r="AP73" s="115">
        <f t="shared" si="55"/>
        <v>0</v>
      </c>
      <c r="AQ73" s="115">
        <f t="shared" si="55"/>
        <v>0</v>
      </c>
      <c r="AR73" s="115">
        <f t="shared" si="55"/>
        <v>0</v>
      </c>
      <c r="AS73" s="115">
        <f t="shared" si="55"/>
        <v>0</v>
      </c>
      <c r="AT73" s="115">
        <f t="shared" si="55"/>
        <v>0</v>
      </c>
      <c r="AU73" s="115">
        <f t="shared" si="55"/>
        <v>0</v>
      </c>
      <c r="AV73" s="115">
        <f t="shared" si="55"/>
        <v>954.02318193525025</v>
      </c>
      <c r="AW73" s="115">
        <f t="shared" si="55"/>
        <v>1270.5381955438834</v>
      </c>
      <c r="AX73" s="115">
        <f t="shared" si="55"/>
        <v>0</v>
      </c>
      <c r="AY73" s="115">
        <f t="shared" si="55"/>
        <v>0</v>
      </c>
      <c r="AZ73" s="115">
        <f t="shared" si="55"/>
        <v>0</v>
      </c>
      <c r="BA73" s="115">
        <f t="shared" si="55"/>
        <v>0</v>
      </c>
      <c r="BB73" s="115">
        <f t="shared" si="55"/>
        <v>570.15692604203969</v>
      </c>
      <c r="BC73" s="115">
        <f t="shared" si="55"/>
        <v>3468.9472289444329</v>
      </c>
      <c r="BD73" s="115">
        <f t="shared" si="55"/>
        <v>0</v>
      </c>
      <c r="BE73" s="115">
        <f t="shared" si="55"/>
        <v>0</v>
      </c>
      <c r="BF73" s="115">
        <f t="shared" si="55"/>
        <v>7814.4628224166809</v>
      </c>
      <c r="BG73" s="115">
        <f t="shared" si="55"/>
        <v>0</v>
      </c>
      <c r="BH73" s="115">
        <f t="shared" si="55"/>
        <v>0</v>
      </c>
      <c r="BI73" s="115">
        <f t="shared" si="55"/>
        <v>0</v>
      </c>
      <c r="BJ73" s="115">
        <f t="shared" si="55"/>
        <v>0</v>
      </c>
      <c r="BK73" s="115">
        <f t="shared" ref="BK73:BY73" si="56">SUM(BK70:BK72)</f>
        <v>210990.49620525038</v>
      </c>
      <c r="BL73" s="115">
        <f t="shared" si="56"/>
        <v>0</v>
      </c>
      <c r="BM73" s="115">
        <f t="shared" si="56"/>
        <v>860.51959557208829</v>
      </c>
      <c r="BN73" s="115">
        <f t="shared" si="56"/>
        <v>0</v>
      </c>
      <c r="BO73" s="115">
        <f t="shared" si="56"/>
        <v>0</v>
      </c>
      <c r="BP73" s="115">
        <f t="shared" si="56"/>
        <v>58608.471168125106</v>
      </c>
      <c r="BQ73" s="115">
        <f t="shared" si="56"/>
        <v>841.71140291283155</v>
      </c>
      <c r="BR73" s="115">
        <f t="shared" si="56"/>
        <v>0</v>
      </c>
      <c r="BS73" s="115">
        <f t="shared" si="56"/>
        <v>0</v>
      </c>
      <c r="BT73" s="115">
        <f t="shared" si="56"/>
        <v>68376.549696145972</v>
      </c>
      <c r="BU73" s="115">
        <f t="shared" si="56"/>
        <v>0</v>
      </c>
      <c r="BV73" s="115">
        <f t="shared" si="56"/>
        <v>0</v>
      </c>
      <c r="BW73" s="115">
        <f t="shared" si="56"/>
        <v>7423.7396812958468</v>
      </c>
      <c r="BX73" s="115">
        <f t="shared" si="56"/>
        <v>569.08844601177202</v>
      </c>
      <c r="BY73" s="115">
        <f t="shared" si="56"/>
        <v>0</v>
      </c>
      <c r="BZ73" s="73">
        <f t="shared" si="50"/>
        <v>439163.21262975456</v>
      </c>
      <c r="CA73" s="76"/>
      <c r="CB73" s="115">
        <f t="shared" ref="CB73:CX73" si="57">SUM(CB70:CB72)</f>
        <v>0</v>
      </c>
      <c r="CC73" s="115">
        <f t="shared" si="57"/>
        <v>0</v>
      </c>
      <c r="CD73" s="115">
        <f t="shared" si="57"/>
        <v>0</v>
      </c>
      <c r="CE73" s="115">
        <f t="shared" si="57"/>
        <v>0</v>
      </c>
      <c r="CF73" s="115">
        <f t="shared" si="57"/>
        <v>0</v>
      </c>
      <c r="CG73" s="115">
        <f t="shared" si="57"/>
        <v>0</v>
      </c>
      <c r="CH73" s="115">
        <f t="shared" si="57"/>
        <v>4883.8482947332413</v>
      </c>
      <c r="CI73" s="115">
        <f t="shared" si="57"/>
        <v>0</v>
      </c>
      <c r="CJ73" s="115">
        <f t="shared" si="57"/>
        <v>3907.2314112083404</v>
      </c>
      <c r="CK73" s="115">
        <f t="shared" si="57"/>
        <v>0</v>
      </c>
      <c r="CL73" s="115">
        <f t="shared" si="57"/>
        <v>0</v>
      </c>
      <c r="CM73" s="115">
        <f t="shared" si="57"/>
        <v>5729.0783155547506</v>
      </c>
      <c r="CN73" s="115">
        <f t="shared" si="57"/>
        <v>38799.228045708624</v>
      </c>
      <c r="CO73" s="115">
        <f t="shared" si="57"/>
        <v>1758.4451043209383</v>
      </c>
      <c r="CP73" s="115">
        <f t="shared" si="57"/>
        <v>73887.541097155277</v>
      </c>
      <c r="CQ73" s="115">
        <f t="shared" si="57"/>
        <v>0</v>
      </c>
      <c r="CR73" s="115">
        <f t="shared" si="57"/>
        <v>226536.15924523107</v>
      </c>
      <c r="CS73" s="115">
        <f t="shared" si="57"/>
        <v>13367.849402961085</v>
      </c>
      <c r="CT73" s="115">
        <f t="shared" si="57"/>
        <v>1694.0371456500488</v>
      </c>
      <c r="CU73" s="115">
        <f t="shared" si="57"/>
        <v>0</v>
      </c>
      <c r="CV73" s="115">
        <f t="shared" si="57"/>
        <v>198156.40273704793</v>
      </c>
      <c r="CW73" s="115">
        <f t="shared" si="57"/>
        <v>0</v>
      </c>
      <c r="CX73" s="115">
        <f t="shared" si="57"/>
        <v>0</v>
      </c>
      <c r="CY73" s="72">
        <f t="shared" si="51"/>
        <v>568719.82079957135</v>
      </c>
      <c r="CZ73" s="76"/>
      <c r="DA73" s="73">
        <f>BZ73+CY73</f>
        <v>1007883.0334293259</v>
      </c>
      <c r="DB73" s="67"/>
      <c r="DC73" s="117">
        <f>MIN(MIN($CB73:$CX73),MIN($D73:$BY73))</f>
        <v>0</v>
      </c>
      <c r="DD73" s="117">
        <f>MAX(MAX($CB73:$CX73),MAX($D73:$BY73))</f>
        <v>226536.15924523107</v>
      </c>
      <c r="DE73" s="83"/>
    </row>
    <row r="74" spans="1:109" x14ac:dyDescent="0.25">
      <c r="A74" s="83"/>
      <c r="B74" s="83"/>
      <c r="C74" s="71"/>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5"/>
      <c r="BM74" s="115"/>
      <c r="BN74" s="115"/>
      <c r="BO74" s="115"/>
      <c r="BP74" s="115"/>
      <c r="BQ74" s="115"/>
      <c r="BR74" s="115"/>
      <c r="BS74" s="115"/>
      <c r="BT74" s="115"/>
      <c r="BU74" s="115"/>
      <c r="BV74" s="115"/>
      <c r="BW74" s="115"/>
      <c r="BX74" s="115"/>
      <c r="BY74" s="115"/>
      <c r="BZ74" s="73"/>
      <c r="CA74" s="76"/>
      <c r="CB74" s="115"/>
      <c r="CC74" s="115"/>
      <c r="CD74" s="115"/>
      <c r="CE74" s="115"/>
      <c r="CF74" s="115"/>
      <c r="CG74" s="115"/>
      <c r="CH74" s="115"/>
      <c r="CI74" s="115"/>
      <c r="CJ74" s="115"/>
      <c r="CK74" s="115"/>
      <c r="CL74" s="115"/>
      <c r="CM74" s="115"/>
      <c r="CN74" s="115"/>
      <c r="CO74" s="115"/>
      <c r="CP74" s="115"/>
      <c r="CQ74" s="115"/>
      <c r="CR74" s="115"/>
      <c r="CS74" s="115"/>
      <c r="CT74" s="115"/>
      <c r="CU74" s="115"/>
      <c r="CV74" s="115"/>
      <c r="CW74" s="115"/>
      <c r="CX74" s="115"/>
      <c r="CY74" s="72"/>
      <c r="CZ74" s="76"/>
      <c r="DA74" s="73"/>
      <c r="DB74" s="67"/>
      <c r="DC74" s="67"/>
      <c r="DD74" s="67"/>
      <c r="DE74" s="83"/>
    </row>
    <row r="75" spans="1:109" ht="13.8" thickBot="1" x14ac:dyDescent="0.3">
      <c r="A75" s="83"/>
      <c r="B75" s="83"/>
      <c r="C75" s="71"/>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67"/>
      <c r="AT75" s="67"/>
      <c r="AU75" s="67"/>
      <c r="AV75" s="67"/>
      <c r="AW75" s="67"/>
      <c r="AX75" s="67"/>
      <c r="AY75" s="67"/>
      <c r="AZ75" s="67"/>
      <c r="BA75" s="67"/>
      <c r="BB75" s="67"/>
      <c r="BC75" s="67"/>
      <c r="BD75" s="67"/>
      <c r="BE75" s="67"/>
      <c r="BF75" s="67"/>
      <c r="BG75" s="67"/>
      <c r="BH75" s="67"/>
      <c r="BI75" s="67"/>
      <c r="BJ75" s="67"/>
      <c r="BK75" s="67"/>
      <c r="BL75" s="67"/>
      <c r="BM75" s="67"/>
      <c r="BN75" s="67"/>
      <c r="BO75" s="67"/>
      <c r="BP75" s="67"/>
      <c r="BQ75" s="67"/>
      <c r="BR75" s="67"/>
      <c r="BS75" s="67"/>
      <c r="BT75" s="67"/>
      <c r="BU75" s="67"/>
      <c r="BV75" s="67"/>
      <c r="BW75" s="67"/>
      <c r="BX75" s="67"/>
      <c r="BY75" s="67"/>
      <c r="BZ75" s="73"/>
      <c r="CA75" s="76"/>
      <c r="CB75" s="67"/>
      <c r="CC75" s="67"/>
      <c r="CD75" s="67"/>
      <c r="CE75" s="67"/>
      <c r="CF75" s="67"/>
      <c r="CG75" s="67"/>
      <c r="CH75" s="67"/>
      <c r="CI75" s="67"/>
      <c r="CJ75" s="67"/>
      <c r="CK75" s="67"/>
      <c r="CL75" s="67"/>
      <c r="CM75" s="67"/>
      <c r="CN75" s="67"/>
      <c r="CO75" s="67"/>
      <c r="CP75" s="67"/>
      <c r="CQ75" s="67"/>
      <c r="CR75" s="67"/>
      <c r="CS75" s="67"/>
      <c r="CT75" s="67"/>
      <c r="CU75" s="67"/>
      <c r="CV75" s="67"/>
      <c r="CW75" s="67"/>
      <c r="CX75" s="67"/>
      <c r="CY75" s="72"/>
      <c r="CZ75" s="76"/>
      <c r="DA75" s="73"/>
      <c r="DB75" s="67"/>
      <c r="DC75" s="67"/>
      <c r="DD75" s="67"/>
      <c r="DE75" s="83"/>
    </row>
    <row r="76" spans="1:109" ht="13.8" thickBot="1" x14ac:dyDescent="0.3">
      <c r="A76" s="248" t="s">
        <v>687</v>
      </c>
      <c r="B76" s="79"/>
      <c r="C76" s="80"/>
      <c r="D76" s="82">
        <f>D73+D68</f>
        <v>7814.4628224166809</v>
      </c>
      <c r="E76" s="82">
        <f>E73+E68</f>
        <v>15628.925644833362</v>
      </c>
      <c r="F76" s="82">
        <f t="shared" ref="F76:BK76" si="58">F73+F68</f>
        <v>0</v>
      </c>
      <c r="G76" s="82">
        <f t="shared" si="58"/>
        <v>3202.7665214048575</v>
      </c>
      <c r="H76" s="82">
        <f t="shared" si="58"/>
        <v>11829.815805739352</v>
      </c>
      <c r="I76" s="82">
        <f t="shared" si="58"/>
        <v>1067.9470917570334</v>
      </c>
      <c r="J76" s="82">
        <f t="shared" si="58"/>
        <v>536.12305361100334</v>
      </c>
      <c r="K76" s="82">
        <f t="shared" si="58"/>
        <v>2365.712385245748</v>
      </c>
      <c r="L76" s="82">
        <f t="shared" si="58"/>
        <v>0</v>
      </c>
      <c r="M76" s="82">
        <f t="shared" si="58"/>
        <v>32430.020713029226</v>
      </c>
      <c r="N76" s="82">
        <f t="shared" si="58"/>
        <v>39072.314112083404</v>
      </c>
      <c r="O76" s="82">
        <f t="shared" si="58"/>
        <v>377.59685834012544</v>
      </c>
      <c r="P76" s="82">
        <f t="shared" si="58"/>
        <v>6493.4837341972852</v>
      </c>
      <c r="Q76" s="82">
        <f t="shared" si="58"/>
        <v>243.61087634846808</v>
      </c>
      <c r="R76" s="82">
        <f t="shared" si="58"/>
        <v>0</v>
      </c>
      <c r="S76" s="82">
        <f t="shared" si="58"/>
        <v>0</v>
      </c>
      <c r="T76" s="82">
        <f t="shared" si="58"/>
        <v>0</v>
      </c>
      <c r="U76" s="82">
        <f t="shared" si="58"/>
        <v>0</v>
      </c>
      <c r="V76" s="82">
        <f t="shared" si="58"/>
        <v>0</v>
      </c>
      <c r="W76" s="82">
        <f t="shared" si="58"/>
        <v>2271.3131706607164</v>
      </c>
      <c r="X76" s="82">
        <f t="shared" si="58"/>
        <v>142.40488727722948</v>
      </c>
      <c r="Y76" s="82">
        <f t="shared" si="58"/>
        <v>14066.033080350026</v>
      </c>
      <c r="Z76" s="82">
        <f t="shared" si="58"/>
        <v>2552.0030553945744</v>
      </c>
      <c r="AA76" s="82">
        <f t="shared" si="58"/>
        <v>0</v>
      </c>
      <c r="AB76" s="82">
        <f t="shared" si="58"/>
        <v>0</v>
      </c>
      <c r="AC76" s="82">
        <f t="shared" si="58"/>
        <v>0</v>
      </c>
      <c r="AD76" s="82">
        <f t="shared" si="58"/>
        <v>0</v>
      </c>
      <c r="AE76" s="82">
        <f t="shared" si="58"/>
        <v>0</v>
      </c>
      <c r="AF76" s="82">
        <f t="shared" si="58"/>
        <v>0</v>
      </c>
      <c r="AG76" s="82">
        <f t="shared" si="58"/>
        <v>0</v>
      </c>
      <c r="AH76" s="82">
        <f t="shared" si="58"/>
        <v>0</v>
      </c>
      <c r="AI76" s="82">
        <f t="shared" si="58"/>
        <v>752.50683201464199</v>
      </c>
      <c r="AJ76" s="82">
        <f t="shared" si="58"/>
        <v>0</v>
      </c>
      <c r="AK76" s="82">
        <f t="shared" si="58"/>
        <v>0</v>
      </c>
      <c r="AL76" s="82">
        <f t="shared" si="58"/>
        <v>6390.1282373935683</v>
      </c>
      <c r="AM76" s="82">
        <f t="shared" si="58"/>
        <v>0</v>
      </c>
      <c r="AN76" s="82">
        <f t="shared" si="58"/>
        <v>0</v>
      </c>
      <c r="AO76" s="82">
        <f t="shared" si="58"/>
        <v>9968.2143305108984</v>
      </c>
      <c r="AP76" s="82">
        <f t="shared" si="58"/>
        <v>1753.4799031141247</v>
      </c>
      <c r="AQ76" s="82">
        <f t="shared" si="58"/>
        <v>0</v>
      </c>
      <c r="AR76" s="82">
        <f t="shared" si="58"/>
        <v>4119.8898205990918</v>
      </c>
      <c r="AS76" s="82">
        <f t="shared" si="58"/>
        <v>2735.0619878458383</v>
      </c>
      <c r="AT76" s="82">
        <f t="shared" si="58"/>
        <v>0</v>
      </c>
      <c r="AU76" s="82">
        <f t="shared" si="58"/>
        <v>0</v>
      </c>
      <c r="AV76" s="82">
        <f t="shared" si="58"/>
        <v>954.02318193525025</v>
      </c>
      <c r="AW76" s="82">
        <f t="shared" si="58"/>
        <v>1270.5381955438834</v>
      </c>
      <c r="AX76" s="82">
        <f t="shared" si="58"/>
        <v>0</v>
      </c>
      <c r="AY76" s="82">
        <f t="shared" si="58"/>
        <v>2393.1186088349496</v>
      </c>
      <c r="AZ76" s="82">
        <f t="shared" si="58"/>
        <v>803.55764066119627</v>
      </c>
      <c r="BA76" s="82">
        <f>BA73+BA68</f>
        <v>431.6928029410351</v>
      </c>
      <c r="BB76" s="82">
        <f t="shared" si="58"/>
        <v>570.15692604203969</v>
      </c>
      <c r="BC76" s="82">
        <f t="shared" si="58"/>
        <v>3468.9472289444329</v>
      </c>
      <c r="BD76" s="82">
        <f t="shared" si="58"/>
        <v>1910.5541228917336</v>
      </c>
      <c r="BE76" s="82">
        <f t="shared" si="58"/>
        <v>0</v>
      </c>
      <c r="BF76" s="82">
        <f t="shared" si="58"/>
        <v>7814.4628224166809</v>
      </c>
      <c r="BG76" s="82">
        <f t="shared" si="58"/>
        <v>8659.1127746774218</v>
      </c>
      <c r="BH76" s="82">
        <f t="shared" si="58"/>
        <v>3907.2314112083404</v>
      </c>
      <c r="BI76" s="82">
        <f t="shared" si="58"/>
        <v>0.35825128874774714</v>
      </c>
      <c r="BJ76" s="82">
        <f t="shared" si="58"/>
        <v>50794.00834570844</v>
      </c>
      <c r="BK76" s="82">
        <f t="shared" si="58"/>
        <v>210990.49620525038</v>
      </c>
      <c r="BL76" s="82">
        <f t="shared" ref="BL76:BY76" si="59">BL73+BL68</f>
        <v>238341.11608370871</v>
      </c>
      <c r="BM76" s="82">
        <f t="shared" si="59"/>
        <v>860.51959557208829</v>
      </c>
      <c r="BN76" s="82">
        <f t="shared" si="59"/>
        <v>641.62805814721514</v>
      </c>
      <c r="BO76" s="82">
        <f t="shared" si="59"/>
        <v>12592.891050772057</v>
      </c>
      <c r="BP76" s="82">
        <f t="shared" si="59"/>
        <v>58608.471168125106</v>
      </c>
      <c r="BQ76" s="82">
        <f t="shared" si="59"/>
        <v>841.71140291283155</v>
      </c>
      <c r="BR76" s="82">
        <f t="shared" si="59"/>
        <v>59584.175218880875</v>
      </c>
      <c r="BS76" s="82">
        <f t="shared" si="59"/>
        <v>0</v>
      </c>
      <c r="BT76" s="82">
        <f t="shared" si="59"/>
        <v>68376.549696145972</v>
      </c>
      <c r="BU76" s="82">
        <f t="shared" si="59"/>
        <v>0</v>
      </c>
      <c r="BV76" s="82">
        <f t="shared" si="59"/>
        <v>0</v>
      </c>
      <c r="BW76" s="82">
        <f t="shared" si="59"/>
        <v>7423.7396812958468</v>
      </c>
      <c r="BX76" s="82">
        <f t="shared" si="59"/>
        <v>569.08844601177202</v>
      </c>
      <c r="BY76" s="82">
        <f t="shared" si="59"/>
        <v>0</v>
      </c>
      <c r="BZ76" s="81">
        <f t="shared" si="50"/>
        <v>907621.9638440843</v>
      </c>
      <c r="CA76" s="76"/>
      <c r="CB76" s="82">
        <f t="shared" ref="CB76:CX76" si="60">CB73+CB68</f>
        <v>-7.2759576141834259E-12</v>
      </c>
      <c r="CC76" s="82">
        <f t="shared" si="60"/>
        <v>1.8189894035458565E-12</v>
      </c>
      <c r="CD76" s="82">
        <f t="shared" si="60"/>
        <v>0</v>
      </c>
      <c r="CE76" s="82">
        <f t="shared" si="60"/>
        <v>-3.637978807091713E-12</v>
      </c>
      <c r="CF76" s="82">
        <f t="shared" si="60"/>
        <v>0</v>
      </c>
      <c r="CG76" s="82">
        <f t="shared" si="60"/>
        <v>-3.637978807091713E-12</v>
      </c>
      <c r="CH76" s="82">
        <f t="shared" si="60"/>
        <v>4883.8482947332413</v>
      </c>
      <c r="CI76" s="82">
        <f t="shared" si="60"/>
        <v>4884.2302332876116</v>
      </c>
      <c r="CJ76" s="82">
        <f t="shared" si="60"/>
        <v>3907.2314112083404</v>
      </c>
      <c r="CK76" s="82">
        <f t="shared" si="60"/>
        <v>3907.2314112083404</v>
      </c>
      <c r="CL76" s="82">
        <f t="shared" si="60"/>
        <v>156.21286873745953</v>
      </c>
      <c r="CM76" s="82">
        <f t="shared" si="60"/>
        <v>5729.0783155547506</v>
      </c>
      <c r="CN76" s="82">
        <f t="shared" si="60"/>
        <v>38799.228045708624</v>
      </c>
      <c r="CO76" s="82">
        <f t="shared" si="60"/>
        <v>1758.4451043209383</v>
      </c>
      <c r="CP76" s="82">
        <f>CP73+CP68</f>
        <v>73887.541097155277</v>
      </c>
      <c r="CQ76" s="82">
        <f>CQ73+CQ68</f>
        <v>3723.9009051105877</v>
      </c>
      <c r="CR76" s="82">
        <f>CR73+CR68</f>
        <v>226536.15924523107</v>
      </c>
      <c r="CS76" s="82">
        <f t="shared" si="60"/>
        <v>13367.849402961085</v>
      </c>
      <c r="CT76" s="82">
        <f t="shared" si="60"/>
        <v>1694.0371456500488</v>
      </c>
      <c r="CU76" s="82">
        <f t="shared" si="60"/>
        <v>39100.684261974588</v>
      </c>
      <c r="CV76" s="82">
        <f>CV73+CV68</f>
        <v>198156.40273704793</v>
      </c>
      <c r="CW76" s="82">
        <f>CW73+CW68</f>
        <v>253845.55229716521</v>
      </c>
      <c r="CX76" s="82">
        <f t="shared" si="60"/>
        <v>4703.8123167155427</v>
      </c>
      <c r="CY76" s="91">
        <f t="shared" si="51"/>
        <v>879041.44509377051</v>
      </c>
      <c r="CZ76" s="76"/>
      <c r="DA76" s="81">
        <f>BZ76+CY76</f>
        <v>1786663.4089378547</v>
      </c>
      <c r="DB76" s="82"/>
      <c r="DC76" s="92">
        <f>MIN(MIN($CB76:$CX76),MIN($D76:$BY76))</f>
        <v>-7.2759576141834259E-12</v>
      </c>
      <c r="DD76" s="92">
        <f>MAX(MAX($CB76:$CX76),MAX($D76:$BY76))</f>
        <v>253845.55229716521</v>
      </c>
      <c r="DE76" s="79"/>
    </row>
    <row r="77" spans="1:109" x14ac:dyDescent="0.25">
      <c r="A77" s="247"/>
      <c r="B77" s="83"/>
      <c r="C77" s="71"/>
      <c r="D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c r="AU77" s="67"/>
      <c r="AV77" s="67"/>
      <c r="AW77" s="67"/>
      <c r="AX77" s="67"/>
      <c r="AY77" s="67"/>
      <c r="AZ77" s="67"/>
      <c r="BA77" s="67"/>
      <c r="BB77" s="67"/>
      <c r="BC77" s="67"/>
      <c r="BD77" s="67"/>
      <c r="BE77" s="67"/>
      <c r="BF77" s="67"/>
      <c r="BG77" s="67"/>
      <c r="BH77" s="67"/>
      <c r="BI77" s="67"/>
      <c r="BJ77" s="67"/>
      <c r="BK77" s="67"/>
      <c r="BL77" s="67"/>
      <c r="BM77" s="67"/>
      <c r="BN77" s="67"/>
      <c r="BO77" s="67"/>
      <c r="BP77" s="67"/>
      <c r="BQ77" s="67"/>
      <c r="BR77" s="67"/>
      <c r="BS77" s="67"/>
      <c r="BT77" s="67"/>
      <c r="BU77" s="67"/>
      <c r="BV77" s="67"/>
      <c r="BW77" s="67"/>
      <c r="BX77" s="67"/>
      <c r="BY77" s="67"/>
      <c r="BZ77" s="73"/>
      <c r="CA77" s="76"/>
      <c r="CB77" s="67"/>
      <c r="CC77" s="67"/>
      <c r="CD77" s="67"/>
      <c r="CE77" s="67"/>
      <c r="CF77" s="67"/>
      <c r="CG77" s="67"/>
      <c r="CH77" s="67"/>
      <c r="CI77" s="67"/>
      <c r="CJ77" s="67"/>
      <c r="CK77" s="67"/>
      <c r="CL77" s="67"/>
      <c r="CM77" s="67"/>
      <c r="CN77" s="67"/>
      <c r="CO77" s="67"/>
      <c r="CP77" s="67"/>
      <c r="CQ77" s="67"/>
      <c r="CR77" s="67"/>
      <c r="CS77" s="67"/>
      <c r="CT77" s="67"/>
      <c r="CU77" s="67"/>
      <c r="CV77" s="67"/>
      <c r="CW77" s="67"/>
      <c r="CX77" s="67"/>
      <c r="CY77" s="72"/>
      <c r="CZ77" s="76"/>
      <c r="DB77" s="89"/>
      <c r="DC77" s="67"/>
      <c r="DD77" s="67"/>
      <c r="DE77" s="83"/>
    </row>
    <row r="78" spans="1:109" ht="13.8" thickBot="1" x14ac:dyDescent="0.3">
      <c r="A78" s="247"/>
      <c r="B78" s="83"/>
      <c r="C78" s="71"/>
      <c r="D78" s="67"/>
      <c r="E78" s="67"/>
      <c r="F78" s="67"/>
      <c r="G78" s="67"/>
      <c r="H78" s="67"/>
      <c r="I78" s="67"/>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67"/>
      <c r="AT78" s="67"/>
      <c r="AU78" s="67"/>
      <c r="AV78" s="67"/>
      <c r="AW78" s="67"/>
      <c r="AX78" s="67"/>
      <c r="AY78" s="67"/>
      <c r="AZ78" s="67"/>
      <c r="BA78" s="67"/>
      <c r="BB78" s="67"/>
      <c r="BC78" s="67"/>
      <c r="BD78" s="67"/>
      <c r="BE78" s="67"/>
      <c r="BF78" s="67"/>
      <c r="BG78" s="67"/>
      <c r="BH78" s="67"/>
      <c r="BI78" s="67"/>
      <c r="BJ78" s="67"/>
      <c r="BK78" s="67"/>
      <c r="BL78" s="67"/>
      <c r="BM78" s="67"/>
      <c r="BN78" s="67"/>
      <c r="BO78" s="67"/>
      <c r="BP78" s="67"/>
      <c r="BQ78" s="67"/>
      <c r="BR78" s="67"/>
      <c r="BS78" s="67"/>
      <c r="BT78" s="67"/>
      <c r="BU78" s="67"/>
      <c r="BV78" s="67"/>
      <c r="BW78" s="67"/>
      <c r="BX78" s="67"/>
      <c r="BY78" s="67"/>
      <c r="BZ78" s="73"/>
      <c r="CA78" s="76"/>
      <c r="CB78" s="67"/>
      <c r="CC78" s="67"/>
      <c r="CD78" s="67"/>
      <c r="CE78" s="67"/>
      <c r="CF78" s="67"/>
      <c r="CG78" s="67"/>
      <c r="CH78" s="67"/>
      <c r="CI78" s="67"/>
      <c r="CJ78" s="67"/>
      <c r="CK78" s="67"/>
      <c r="CL78" s="67"/>
      <c r="CM78" s="67"/>
      <c r="CN78" s="67"/>
      <c r="CO78" s="67"/>
      <c r="CP78" s="67"/>
      <c r="CQ78" s="67"/>
      <c r="CR78" s="67"/>
      <c r="CS78" s="67"/>
      <c r="CT78" s="67"/>
      <c r="CU78" s="67"/>
      <c r="CV78" s="67"/>
      <c r="CW78" s="67"/>
      <c r="CX78" s="67"/>
      <c r="CY78" s="72"/>
      <c r="CZ78" s="76"/>
      <c r="DA78" s="73"/>
      <c r="DB78" s="67"/>
      <c r="DC78" s="67"/>
      <c r="DD78" s="67"/>
      <c r="DE78" s="83"/>
    </row>
    <row r="79" spans="1:109" ht="13.8" thickBot="1" x14ac:dyDescent="0.3">
      <c r="A79" s="248" t="s">
        <v>688</v>
      </c>
      <c r="B79" s="79"/>
      <c r="C79" s="80"/>
      <c r="D79" s="84">
        <f t="shared" ref="D79:AI79" si="61">D11-D59-D76</f>
        <v>0</v>
      </c>
      <c r="E79" s="84">
        <f t="shared" si="61"/>
        <v>0</v>
      </c>
      <c r="F79" s="84">
        <f t="shared" si="61"/>
        <v>2081.1339198435976</v>
      </c>
      <c r="G79" s="84">
        <f t="shared" si="61"/>
        <v>0</v>
      </c>
      <c r="H79" s="84">
        <f t="shared" si="61"/>
        <v>0</v>
      </c>
      <c r="I79" s="84">
        <f t="shared" si="61"/>
        <v>0</v>
      </c>
      <c r="J79" s="84">
        <f t="shared" si="61"/>
        <v>0</v>
      </c>
      <c r="K79" s="84">
        <f t="shared" si="61"/>
        <v>0</v>
      </c>
      <c r="L79" s="84">
        <f t="shared" si="61"/>
        <v>880.74291300097764</v>
      </c>
      <c r="M79" s="84">
        <f t="shared" si="61"/>
        <v>0</v>
      </c>
      <c r="N79" s="84">
        <f t="shared" si="61"/>
        <v>0</v>
      </c>
      <c r="O79" s="84">
        <f t="shared" si="61"/>
        <v>0</v>
      </c>
      <c r="P79" s="84">
        <f t="shared" si="61"/>
        <v>0</v>
      </c>
      <c r="Q79" s="84">
        <f t="shared" si="61"/>
        <v>0</v>
      </c>
      <c r="R79" s="84">
        <f t="shared" si="61"/>
        <v>556.2072336265885</v>
      </c>
      <c r="S79" s="84">
        <f t="shared" si="61"/>
        <v>467.25317693059634</v>
      </c>
      <c r="T79" s="84">
        <f t="shared" si="61"/>
        <v>1671.5542521994137</v>
      </c>
      <c r="U79" s="84">
        <f t="shared" si="61"/>
        <v>895.40566959921807</v>
      </c>
      <c r="V79" s="84">
        <f t="shared" si="61"/>
        <v>62.561094819159344</v>
      </c>
      <c r="W79" s="84">
        <f t="shared" si="61"/>
        <v>0</v>
      </c>
      <c r="X79" s="84">
        <f t="shared" si="61"/>
        <v>0</v>
      </c>
      <c r="Y79" s="84">
        <f t="shared" si="61"/>
        <v>0</v>
      </c>
      <c r="Z79" s="84">
        <f t="shared" si="61"/>
        <v>0</v>
      </c>
      <c r="AA79" s="84">
        <f t="shared" si="61"/>
        <v>466.27565982404695</v>
      </c>
      <c r="AB79" s="84">
        <f t="shared" si="61"/>
        <v>274.68230694037146</v>
      </c>
      <c r="AC79" s="84">
        <f t="shared" si="61"/>
        <v>1271.7497556207234</v>
      </c>
      <c r="AD79" s="84">
        <f t="shared" si="61"/>
        <v>1036.1681329423266</v>
      </c>
      <c r="AE79" s="84">
        <f t="shared" si="61"/>
        <v>190.61583577712611</v>
      </c>
      <c r="AF79" s="84">
        <f t="shared" si="61"/>
        <v>98.729227761485831</v>
      </c>
      <c r="AG79" s="84">
        <f t="shared" si="61"/>
        <v>602.15053763440869</v>
      </c>
      <c r="AH79" s="84">
        <f t="shared" si="61"/>
        <v>34.213098729227767</v>
      </c>
      <c r="AI79" s="84">
        <f t="shared" si="61"/>
        <v>0</v>
      </c>
      <c r="AJ79" s="84">
        <f t="shared" ref="AJ79:BO79" si="62">AJ11-AJ59-AJ76</f>
        <v>2921.798631476051</v>
      </c>
      <c r="AK79" s="84">
        <f t="shared" si="62"/>
        <v>226.78396871945262</v>
      </c>
      <c r="AL79" s="84">
        <f t="shared" si="62"/>
        <v>0</v>
      </c>
      <c r="AM79" s="84">
        <f t="shared" si="62"/>
        <v>1864.1251221896384</v>
      </c>
      <c r="AN79" s="84">
        <f t="shared" si="62"/>
        <v>1280.5474095796678</v>
      </c>
      <c r="AO79" s="84">
        <f t="shared" si="62"/>
        <v>0</v>
      </c>
      <c r="AP79" s="84">
        <f t="shared" si="62"/>
        <v>0</v>
      </c>
      <c r="AQ79" s="84">
        <f t="shared" si="62"/>
        <v>313.78299120234607</v>
      </c>
      <c r="AR79" s="84">
        <f t="shared" si="62"/>
        <v>0</v>
      </c>
      <c r="AS79" s="84">
        <f t="shared" si="62"/>
        <v>0</v>
      </c>
      <c r="AT79" s="84">
        <f t="shared" si="62"/>
        <v>0</v>
      </c>
      <c r="AU79" s="84">
        <f t="shared" si="62"/>
        <v>717.49755620723374</v>
      </c>
      <c r="AV79" s="84">
        <f t="shared" si="62"/>
        <v>0</v>
      </c>
      <c r="AW79" s="84">
        <f t="shared" si="62"/>
        <v>0</v>
      </c>
      <c r="AX79" s="84">
        <f t="shared" si="62"/>
        <v>144.67253176930598</v>
      </c>
      <c r="AY79" s="84">
        <f t="shared" si="62"/>
        <v>0</v>
      </c>
      <c r="AZ79" s="84">
        <f t="shared" si="62"/>
        <v>0</v>
      </c>
      <c r="BA79" s="84">
        <f t="shared" si="62"/>
        <v>0</v>
      </c>
      <c r="BB79" s="84">
        <f t="shared" si="62"/>
        <v>0</v>
      </c>
      <c r="BC79" s="84">
        <f t="shared" si="62"/>
        <v>0</v>
      </c>
      <c r="BD79" s="84">
        <f t="shared" si="62"/>
        <v>0</v>
      </c>
      <c r="BE79" s="84">
        <f t="shared" si="62"/>
        <v>4630.4985337243406</v>
      </c>
      <c r="BF79" s="84">
        <f t="shared" si="62"/>
        <v>0</v>
      </c>
      <c r="BG79" s="84">
        <f t="shared" si="62"/>
        <v>0</v>
      </c>
      <c r="BH79" s="84">
        <f t="shared" si="62"/>
        <v>0</v>
      </c>
      <c r="BI79" s="84">
        <f t="shared" si="62"/>
        <v>0</v>
      </c>
      <c r="BJ79" s="84">
        <f t="shared" si="62"/>
        <v>0</v>
      </c>
      <c r="BK79" s="84">
        <f t="shared" si="62"/>
        <v>0</v>
      </c>
      <c r="BL79" s="84">
        <f t="shared" si="62"/>
        <v>0</v>
      </c>
      <c r="BM79" s="84">
        <f t="shared" si="62"/>
        <v>0</v>
      </c>
      <c r="BN79" s="84">
        <f t="shared" si="62"/>
        <v>0</v>
      </c>
      <c r="BO79" s="84">
        <f t="shared" si="62"/>
        <v>0</v>
      </c>
      <c r="BP79" s="84">
        <f t="shared" ref="BP79:BY79" si="63">BP11-BP59-BP76</f>
        <v>0</v>
      </c>
      <c r="BQ79" s="84">
        <f t="shared" si="63"/>
        <v>0</v>
      </c>
      <c r="BR79" s="84">
        <f t="shared" si="63"/>
        <v>0</v>
      </c>
      <c r="BS79" s="84">
        <f t="shared" si="63"/>
        <v>96.774193548387103</v>
      </c>
      <c r="BT79" s="84">
        <f t="shared" si="63"/>
        <v>0</v>
      </c>
      <c r="BU79" s="84">
        <f t="shared" si="63"/>
        <v>10.752688172043012</v>
      </c>
      <c r="BV79" s="84">
        <f t="shared" si="63"/>
        <v>213.09872922776151</v>
      </c>
      <c r="BW79" s="84">
        <f t="shared" si="63"/>
        <v>0</v>
      </c>
      <c r="BX79" s="84">
        <f t="shared" si="63"/>
        <v>0</v>
      </c>
      <c r="BY79" s="84">
        <f t="shared" si="63"/>
        <v>399.80449657869013</v>
      </c>
      <c r="BZ79" s="81">
        <f>SUM(D79:BY79)</f>
        <v>23409.579667644182</v>
      </c>
      <c r="CA79" s="76"/>
      <c r="CB79" s="84">
        <f t="shared" ref="CB79:CX79" si="64">CB11-CB59-CB76</f>
        <v>0</v>
      </c>
      <c r="CC79" s="84">
        <f t="shared" si="64"/>
        <v>0</v>
      </c>
      <c r="CD79" s="84">
        <f t="shared" si="64"/>
        <v>0</v>
      </c>
      <c r="CE79" s="84">
        <f t="shared" si="64"/>
        <v>0</v>
      </c>
      <c r="CF79" s="84">
        <f t="shared" si="64"/>
        <v>0</v>
      </c>
      <c r="CG79" s="84">
        <f t="shared" si="64"/>
        <v>0</v>
      </c>
      <c r="CH79" s="84">
        <f t="shared" si="64"/>
        <v>0</v>
      </c>
      <c r="CI79" s="84">
        <f t="shared" si="64"/>
        <v>0</v>
      </c>
      <c r="CJ79" s="84">
        <f t="shared" si="64"/>
        <v>0</v>
      </c>
      <c r="CK79" s="84">
        <f t="shared" si="64"/>
        <v>0</v>
      </c>
      <c r="CL79" s="84">
        <f t="shared" si="64"/>
        <v>0</v>
      </c>
      <c r="CM79" s="84">
        <f t="shared" si="64"/>
        <v>0</v>
      </c>
      <c r="CN79" s="84">
        <f t="shared" si="64"/>
        <v>0</v>
      </c>
      <c r="CO79" s="84">
        <f t="shared" si="64"/>
        <v>0</v>
      </c>
      <c r="CP79" s="84">
        <f t="shared" si="64"/>
        <v>0</v>
      </c>
      <c r="CQ79" s="84">
        <f t="shared" si="64"/>
        <v>0</v>
      </c>
      <c r="CR79" s="84">
        <f t="shared" si="64"/>
        <v>0</v>
      </c>
      <c r="CS79" s="84">
        <f t="shared" si="64"/>
        <v>0</v>
      </c>
      <c r="CT79" s="84">
        <f t="shared" si="64"/>
        <v>0</v>
      </c>
      <c r="CU79" s="84">
        <f t="shared" si="64"/>
        <v>0</v>
      </c>
      <c r="CV79" s="84">
        <f t="shared" si="64"/>
        <v>0</v>
      </c>
      <c r="CW79" s="84">
        <f t="shared" si="64"/>
        <v>0</v>
      </c>
      <c r="CX79" s="84">
        <f t="shared" si="64"/>
        <v>0</v>
      </c>
      <c r="CY79" s="91">
        <f>SUM(CB79:CX79)</f>
        <v>0</v>
      </c>
      <c r="CZ79" s="76"/>
      <c r="DA79" s="81">
        <f>BZ79+CY79</f>
        <v>23409.579667644182</v>
      </c>
      <c r="DB79" s="82"/>
      <c r="DC79" s="92">
        <f>MIN(MIN($CB79:$CX79),MIN($D79:$BY79))</f>
        <v>0</v>
      </c>
      <c r="DD79" s="92">
        <f>MAX(MAX($CB79:$CX79),MAX($D79:$BY79))</f>
        <v>4630.4985337243406</v>
      </c>
      <c r="DE79" s="79"/>
    </row>
    <row r="80" spans="1:109" ht="13.8" thickBot="1" x14ac:dyDescent="0.3">
      <c r="A80" s="247"/>
      <c r="B80" s="83"/>
      <c r="C80" s="71"/>
      <c r="D80" s="85"/>
      <c r="E80" s="85"/>
      <c r="F80" s="85"/>
      <c r="G80" s="85"/>
      <c r="H80" s="85"/>
      <c r="I80" s="85"/>
      <c r="J80" s="85"/>
      <c r="K80" s="85"/>
      <c r="L80" s="85"/>
      <c r="M80" s="85"/>
      <c r="N80" s="85"/>
      <c r="O80" s="85"/>
      <c r="P80" s="85"/>
      <c r="Q80" s="85"/>
      <c r="R80" s="85"/>
      <c r="S80" s="85"/>
      <c r="T80" s="85"/>
      <c r="U80" s="85"/>
      <c r="V80" s="85"/>
      <c r="W80" s="85"/>
      <c r="X80" s="85"/>
      <c r="Y80" s="85"/>
      <c r="Z80" s="85"/>
      <c r="AA80" s="85"/>
      <c r="AB80" s="85"/>
      <c r="AC80" s="85"/>
      <c r="AD80" s="85"/>
      <c r="AE80" s="85"/>
      <c r="AF80" s="85"/>
      <c r="AG80" s="85"/>
      <c r="AH80" s="85"/>
      <c r="AI80" s="85"/>
      <c r="AJ80" s="85"/>
      <c r="AK80" s="85"/>
      <c r="AL80" s="85"/>
      <c r="AM80" s="85"/>
      <c r="AN80" s="85"/>
      <c r="AO80" s="85"/>
      <c r="AP80" s="85"/>
      <c r="AQ80" s="85"/>
      <c r="AR80" s="85"/>
      <c r="AS80" s="85"/>
      <c r="AT80" s="85"/>
      <c r="AU80" s="85"/>
      <c r="AV80" s="85"/>
      <c r="AW80" s="85"/>
      <c r="AX80" s="85"/>
      <c r="AY80" s="85"/>
      <c r="AZ80" s="85"/>
      <c r="BA80" s="85"/>
      <c r="BB80" s="85"/>
      <c r="BC80" s="85"/>
      <c r="BD80" s="85"/>
      <c r="BE80" s="85"/>
      <c r="BF80" s="85"/>
      <c r="BG80" s="85"/>
      <c r="BH80" s="85"/>
      <c r="BI80" s="85"/>
      <c r="BJ80" s="85"/>
      <c r="BK80" s="85"/>
      <c r="BL80" s="85"/>
      <c r="BM80" s="85"/>
      <c r="BN80" s="85"/>
      <c r="BO80" s="85"/>
      <c r="BP80" s="85"/>
      <c r="BQ80" s="85"/>
      <c r="BR80" s="85"/>
      <c r="BS80" s="85"/>
      <c r="BT80" s="85"/>
      <c r="BU80" s="85"/>
      <c r="BV80" s="85"/>
      <c r="BW80" s="85"/>
      <c r="BX80" s="85"/>
      <c r="BY80" s="85"/>
      <c r="BZ80" s="73"/>
      <c r="CA80" s="76"/>
      <c r="CB80" s="85"/>
      <c r="CC80" s="85"/>
      <c r="CD80" s="85"/>
      <c r="CE80" s="85"/>
      <c r="CF80" s="85"/>
      <c r="CG80" s="85"/>
      <c r="CH80" s="85"/>
      <c r="CI80" s="85"/>
      <c r="CJ80" s="85"/>
      <c r="CK80" s="85"/>
      <c r="CL80" s="85"/>
      <c r="CM80" s="85"/>
      <c r="CN80" s="85"/>
      <c r="CO80" s="85"/>
      <c r="CP80" s="85"/>
      <c r="CQ80" s="85"/>
      <c r="CR80" s="85"/>
      <c r="CS80" s="85"/>
      <c r="CT80" s="85"/>
      <c r="CU80" s="85"/>
      <c r="CV80" s="85"/>
      <c r="CW80" s="85"/>
      <c r="CX80" s="85"/>
      <c r="CY80" s="72"/>
      <c r="CZ80" s="76"/>
      <c r="DB80" s="123"/>
      <c r="DC80" s="98"/>
      <c r="DD80" s="67"/>
      <c r="DE80" s="86"/>
    </row>
    <row r="81" spans="1:109" ht="13.8" thickBot="1" x14ac:dyDescent="0.3">
      <c r="A81" s="248" t="s">
        <v>689</v>
      </c>
      <c r="B81" s="92"/>
      <c r="C81" s="93"/>
      <c r="D81" s="92">
        <f t="shared" ref="D81:AI81" si="65">D59+D76+IF(D3="FT2",D11,0)</f>
        <v>20000</v>
      </c>
      <c r="E81" s="92">
        <f t="shared" si="65"/>
        <v>40000</v>
      </c>
      <c r="F81" s="92">
        <f t="shared" si="65"/>
        <v>2081.1339198435976</v>
      </c>
      <c r="G81" s="92">
        <f t="shared" si="65"/>
        <v>17478.005865102641</v>
      </c>
      <c r="H81" s="92">
        <f t="shared" si="65"/>
        <v>64557.18475073314</v>
      </c>
      <c r="I81" s="92">
        <f t="shared" si="65"/>
        <v>5827.9569892473128</v>
      </c>
      <c r="J81" s="92">
        <f t="shared" si="65"/>
        <v>2925.7086999022486</v>
      </c>
      <c r="K81" s="92">
        <f t="shared" si="65"/>
        <v>12910.06842619746</v>
      </c>
      <c r="L81" s="92">
        <f t="shared" si="65"/>
        <v>880.74291300097764</v>
      </c>
      <c r="M81" s="92">
        <f t="shared" si="65"/>
        <v>83000.000000000015</v>
      </c>
      <c r="N81" s="92">
        <f t="shared" si="65"/>
        <v>100000.00000000001</v>
      </c>
      <c r="O81" s="92">
        <f t="shared" si="65"/>
        <v>2060.606060606061</v>
      </c>
      <c r="P81" s="92">
        <f t="shared" si="65"/>
        <v>35435.97262952102</v>
      </c>
      <c r="Q81" s="92">
        <f t="shared" si="65"/>
        <v>1329.4232649071359</v>
      </c>
      <c r="R81" s="92">
        <f t="shared" si="65"/>
        <v>556.2072336265885</v>
      </c>
      <c r="S81" s="92">
        <f t="shared" si="65"/>
        <v>467.25317693059634</v>
      </c>
      <c r="T81" s="92">
        <f t="shared" si="65"/>
        <v>1671.5542521994137</v>
      </c>
      <c r="U81" s="92">
        <f t="shared" si="65"/>
        <v>895.40566959921807</v>
      </c>
      <c r="V81" s="92">
        <f t="shared" si="65"/>
        <v>62.561094819159344</v>
      </c>
      <c r="W81" s="92">
        <f t="shared" si="65"/>
        <v>12394.916911045944</v>
      </c>
      <c r="X81" s="92">
        <f t="shared" si="65"/>
        <v>777.12609970674498</v>
      </c>
      <c r="Y81" s="92">
        <f t="shared" si="65"/>
        <v>36000</v>
      </c>
      <c r="Z81" s="92">
        <f t="shared" si="65"/>
        <v>13926.686217008799</v>
      </c>
      <c r="AA81" s="92">
        <f t="shared" si="65"/>
        <v>466.27565982404695</v>
      </c>
      <c r="AB81" s="92">
        <f t="shared" si="65"/>
        <v>274.68230694037146</v>
      </c>
      <c r="AC81" s="92">
        <f t="shared" si="65"/>
        <v>1271.7497556207234</v>
      </c>
      <c r="AD81" s="92">
        <f t="shared" si="65"/>
        <v>1036.1681329423266</v>
      </c>
      <c r="AE81" s="92">
        <f t="shared" si="65"/>
        <v>190.61583577712611</v>
      </c>
      <c r="AF81" s="92">
        <f t="shared" si="65"/>
        <v>98.729227761485831</v>
      </c>
      <c r="AG81" s="92">
        <f t="shared" si="65"/>
        <v>602.15053763440869</v>
      </c>
      <c r="AH81" s="92">
        <f t="shared" si="65"/>
        <v>34.213098729227767</v>
      </c>
      <c r="AI81" s="92">
        <f t="shared" si="65"/>
        <v>4106.5493646138812</v>
      </c>
      <c r="AJ81" s="92">
        <f t="shared" ref="AJ81:BO81" si="66">AJ59+AJ76+IF(AJ3="FT2",AJ11,0)</f>
        <v>2921.798631476051</v>
      </c>
      <c r="AK81" s="92">
        <f t="shared" si="66"/>
        <v>226.78396871945262</v>
      </c>
      <c r="AL81" s="92">
        <f t="shared" si="66"/>
        <v>34871.945259042033</v>
      </c>
      <c r="AM81" s="92">
        <f t="shared" si="66"/>
        <v>1864.1251221896384</v>
      </c>
      <c r="AN81" s="92">
        <f t="shared" si="66"/>
        <v>1280.5474095796678</v>
      </c>
      <c r="AO81" s="92">
        <f t="shared" si="66"/>
        <v>25512.21896383187</v>
      </c>
      <c r="AP81" s="92">
        <f t="shared" si="66"/>
        <v>4487.7810361681331</v>
      </c>
      <c r="AQ81" s="92">
        <f t="shared" si="66"/>
        <v>313.78299120234607</v>
      </c>
      <c r="AR81" s="92">
        <f t="shared" si="66"/>
        <v>22482.893450635387</v>
      </c>
      <c r="AS81" s="92">
        <f t="shared" si="66"/>
        <v>7000.0000000000009</v>
      </c>
      <c r="AT81" s="92">
        <f t="shared" si="66"/>
        <v>5000</v>
      </c>
      <c r="AU81" s="92">
        <f t="shared" si="66"/>
        <v>717.49755620723374</v>
      </c>
      <c r="AV81" s="92">
        <f t="shared" si="66"/>
        <v>5206.2561094819166</v>
      </c>
      <c r="AW81" s="92">
        <f t="shared" si="66"/>
        <v>6933.5288367546436</v>
      </c>
      <c r="AX81" s="92">
        <f t="shared" si="66"/>
        <v>144.67253176930598</v>
      </c>
      <c r="AY81" s="92">
        <f t="shared" si="66"/>
        <v>13059.628543499512</v>
      </c>
      <c r="AZ81" s="92">
        <f t="shared" si="66"/>
        <v>4385.1417399804504</v>
      </c>
      <c r="BA81" s="92">
        <f t="shared" si="66"/>
        <v>2355.8162267839689</v>
      </c>
      <c r="BB81" s="92">
        <f t="shared" si="66"/>
        <v>3111.4369501466276</v>
      </c>
      <c r="BC81" s="92">
        <f t="shared" si="66"/>
        <v>18930.596285434996</v>
      </c>
      <c r="BD81" s="92">
        <f t="shared" si="66"/>
        <v>10426.197458455525</v>
      </c>
      <c r="BE81" s="92">
        <f t="shared" si="66"/>
        <v>4630.4985337243406</v>
      </c>
      <c r="BF81" s="92">
        <f t="shared" si="66"/>
        <v>20000</v>
      </c>
      <c r="BG81" s="92">
        <f t="shared" si="66"/>
        <v>47254.154447702836</v>
      </c>
      <c r="BH81" s="92">
        <f t="shared" si="66"/>
        <v>10000</v>
      </c>
      <c r="BI81" s="92">
        <f t="shared" si="66"/>
        <v>1.9550342130987295</v>
      </c>
      <c r="BJ81" s="92">
        <f t="shared" si="66"/>
        <v>130000.00000000001</v>
      </c>
      <c r="BK81" s="92">
        <f t="shared" si="66"/>
        <v>540000</v>
      </c>
      <c r="BL81" s="92">
        <f t="shared" si="66"/>
        <v>610000</v>
      </c>
      <c r="BM81" s="92">
        <f t="shared" si="66"/>
        <v>4695.9921798631476</v>
      </c>
      <c r="BN81" s="92">
        <f t="shared" si="66"/>
        <v>3501.4662756598245</v>
      </c>
      <c r="BO81" s="92">
        <f t="shared" si="66"/>
        <v>68721.407624633444</v>
      </c>
      <c r="BP81" s="92">
        <f t="shared" ref="BP81:BY81" si="67">BP59+BP76+IF(BP3="FT2",BP11,0)</f>
        <v>150000</v>
      </c>
      <c r="BQ81" s="92">
        <f t="shared" si="67"/>
        <v>4593.3528836754649</v>
      </c>
      <c r="BR81" s="92">
        <f t="shared" si="67"/>
        <v>325160.3128054741</v>
      </c>
      <c r="BS81" s="92">
        <f t="shared" si="67"/>
        <v>96.774193548387103</v>
      </c>
      <c r="BT81" s="92">
        <f t="shared" si="67"/>
        <v>175000.00000000003</v>
      </c>
      <c r="BU81" s="92">
        <f t="shared" si="67"/>
        <v>10.752688172043012</v>
      </c>
      <c r="BV81" s="92">
        <f t="shared" si="67"/>
        <v>213.09872922776151</v>
      </c>
      <c r="BW81" s="92">
        <f t="shared" si="67"/>
        <v>19000</v>
      </c>
      <c r="BX81" s="92">
        <f t="shared" si="67"/>
        <v>1456.5004887585535</v>
      </c>
      <c r="BY81" s="92">
        <f t="shared" si="67"/>
        <v>399.80449657869013</v>
      </c>
      <c r="BZ81" s="81">
        <f>SUM(D81:BY81)</f>
        <v>2749288.3675464331</v>
      </c>
      <c r="CA81" s="76"/>
      <c r="CB81" s="92">
        <f t="shared" ref="CB81:CX81" si="68">CB59+CB76+IF(CB3="FT2",CB11,0)</f>
        <v>45000.000000000007</v>
      </c>
      <c r="CC81" s="92">
        <f t="shared" si="68"/>
        <v>16124.144672531771</v>
      </c>
      <c r="CD81" s="92">
        <f t="shared" si="68"/>
        <v>48875.855327468234</v>
      </c>
      <c r="CE81" s="92">
        <f t="shared" si="68"/>
        <v>25000.000000000004</v>
      </c>
      <c r="CF81" s="92">
        <f t="shared" si="68"/>
        <v>20000</v>
      </c>
      <c r="CG81" s="92">
        <f t="shared" si="68"/>
        <v>25000.000000000004</v>
      </c>
      <c r="CH81" s="92">
        <f t="shared" si="68"/>
        <v>12499.511241446726</v>
      </c>
      <c r="CI81" s="92">
        <f t="shared" si="68"/>
        <v>12500.488758553276</v>
      </c>
      <c r="CJ81" s="92">
        <f t="shared" si="68"/>
        <v>10000</v>
      </c>
      <c r="CK81" s="92">
        <f t="shared" si="68"/>
        <v>10000</v>
      </c>
      <c r="CL81" s="92">
        <f t="shared" si="68"/>
        <v>399.80449657869013</v>
      </c>
      <c r="CM81" s="92">
        <f t="shared" si="68"/>
        <v>14662.75659824047</v>
      </c>
      <c r="CN81" s="92">
        <f t="shared" si="68"/>
        <v>99301.075268817207</v>
      </c>
      <c r="CO81" s="92">
        <f t="shared" si="68"/>
        <v>4500.4887585532751</v>
      </c>
      <c r="CP81" s="92">
        <f t="shared" si="68"/>
        <v>189104.59433040081</v>
      </c>
      <c r="CQ81" s="92">
        <f t="shared" si="68"/>
        <v>9530.7917888563061</v>
      </c>
      <c r="CR81" s="92">
        <f t="shared" si="68"/>
        <v>579786.90127077233</v>
      </c>
      <c r="CS81" s="92">
        <f t="shared" si="68"/>
        <v>34213.098729227764</v>
      </c>
      <c r="CT81" s="92">
        <f t="shared" si="68"/>
        <v>1694.0371456500488</v>
      </c>
      <c r="CU81" s="92">
        <f t="shared" si="68"/>
        <v>39100.684261974588</v>
      </c>
      <c r="CV81" s="92">
        <f t="shared" si="68"/>
        <v>198156.40273704793</v>
      </c>
      <c r="CW81" s="92">
        <f t="shared" si="68"/>
        <v>253845.55229716521</v>
      </c>
      <c r="CX81" s="92">
        <f t="shared" si="68"/>
        <v>4703.8123167155427</v>
      </c>
      <c r="CY81" s="91">
        <f>SUM(CB81:CX81)</f>
        <v>1654000</v>
      </c>
      <c r="CZ81" s="76"/>
      <c r="DA81" s="81">
        <f>BZ81+CY81</f>
        <v>4403288.3675464336</v>
      </c>
      <c r="DB81" s="92" t="str">
        <f>IF(ABS(DA81-DA11)&lt;1,"Okay","Adjust Permian")</f>
        <v>Okay</v>
      </c>
      <c r="DC81" s="92">
        <f>MIN(MIN($CB81:$CX81),MIN($D81:$BY81))</f>
        <v>1.9550342130987295</v>
      </c>
      <c r="DD81" s="92">
        <f>MAX(MAX($CB81:$CX81),MAX($D81:$BY81))</f>
        <v>610000</v>
      </c>
      <c r="DE81" s="92"/>
    </row>
    <row r="82" spans="1:109" ht="13.8" thickBot="1" x14ac:dyDescent="0.3">
      <c r="A82" s="247"/>
      <c r="B82" s="83"/>
      <c r="C82" s="71"/>
      <c r="D82" s="85"/>
      <c r="E82" s="85"/>
      <c r="F82" s="85"/>
      <c r="G82" s="85"/>
      <c r="H82" s="85"/>
      <c r="I82" s="85"/>
      <c r="J82" s="85"/>
      <c r="K82" s="85"/>
      <c r="L82" s="85"/>
      <c r="M82" s="85"/>
      <c r="N82" s="85"/>
      <c r="O82" s="85"/>
      <c r="P82" s="85"/>
      <c r="Q82" s="85"/>
      <c r="R82" s="85"/>
      <c r="S82" s="85"/>
      <c r="T82" s="85"/>
      <c r="U82" s="85"/>
      <c r="V82" s="85"/>
      <c r="W82" s="85"/>
      <c r="X82" s="85"/>
      <c r="Y82" s="85"/>
      <c r="Z82" s="85"/>
      <c r="AA82" s="85"/>
      <c r="AB82" s="85"/>
      <c r="AC82" s="85"/>
      <c r="AD82" s="85"/>
      <c r="AE82" s="85"/>
      <c r="AF82" s="85"/>
      <c r="AG82" s="85"/>
      <c r="AH82" s="85"/>
      <c r="AI82" s="85"/>
      <c r="AJ82" s="85"/>
      <c r="AK82" s="85"/>
      <c r="AL82" s="85"/>
      <c r="AM82" s="85"/>
      <c r="AN82" s="85"/>
      <c r="AO82" s="85"/>
      <c r="AP82" s="85"/>
      <c r="AQ82" s="85"/>
      <c r="AR82" s="85"/>
      <c r="AS82" s="85"/>
      <c r="AT82" s="85"/>
      <c r="AU82" s="85"/>
      <c r="AV82" s="85"/>
      <c r="AW82" s="85"/>
      <c r="AX82" s="85"/>
      <c r="AY82" s="85"/>
      <c r="AZ82" s="85"/>
      <c r="BA82" s="85"/>
      <c r="BB82" s="85"/>
      <c r="BC82" s="85"/>
      <c r="BD82" s="85"/>
      <c r="BE82" s="85"/>
      <c r="BF82" s="85"/>
      <c r="BG82" s="85"/>
      <c r="BH82" s="85"/>
      <c r="BI82" s="85"/>
      <c r="BJ82" s="85"/>
      <c r="BK82" s="85"/>
      <c r="BL82" s="85"/>
      <c r="BM82" s="85"/>
      <c r="BN82" s="85"/>
      <c r="BO82" s="85"/>
      <c r="BP82" s="85"/>
      <c r="BQ82" s="85"/>
      <c r="BR82" s="85"/>
      <c r="BS82" s="85"/>
      <c r="BT82" s="85"/>
      <c r="BU82" s="85"/>
      <c r="BV82" s="85"/>
      <c r="BW82" s="85"/>
      <c r="BX82" s="85"/>
      <c r="BY82" s="85"/>
      <c r="BZ82" s="73"/>
      <c r="CA82" s="76"/>
      <c r="CB82" s="85"/>
      <c r="CC82" s="85"/>
      <c r="CD82" s="85"/>
      <c r="CE82" s="85"/>
      <c r="CF82" s="85"/>
      <c r="CG82" s="85"/>
      <c r="CH82" s="85"/>
      <c r="CI82" s="85"/>
      <c r="CJ82" s="85"/>
      <c r="CK82" s="85"/>
      <c r="CL82" s="85"/>
      <c r="CM82" s="85"/>
      <c r="CN82" s="85"/>
      <c r="CO82" s="85"/>
      <c r="CP82" s="85"/>
      <c r="CQ82" s="85"/>
      <c r="CR82" s="85"/>
      <c r="CS82" s="85"/>
      <c r="CT82" s="85"/>
      <c r="CU82" s="85"/>
      <c r="CV82" s="85"/>
      <c r="CW82" s="85"/>
      <c r="CX82" s="85"/>
      <c r="CY82" s="72"/>
      <c r="CZ82" s="76"/>
      <c r="DA82" s="73"/>
      <c r="DB82" s="67"/>
      <c r="DC82" s="67"/>
      <c r="DD82" s="67"/>
      <c r="DE82" s="86"/>
    </row>
    <row r="83" spans="1:109" ht="13.8" thickBot="1" x14ac:dyDescent="0.3">
      <c r="A83" s="248" t="s">
        <v>690</v>
      </c>
      <c r="B83" s="79"/>
      <c r="C83" s="80"/>
      <c r="D83" s="87">
        <f t="shared" ref="D83:AI83" si="69">D81/D11</f>
        <v>1</v>
      </c>
      <c r="E83" s="87">
        <f t="shared" si="69"/>
        <v>1</v>
      </c>
      <c r="F83" s="87">
        <f t="shared" si="69"/>
        <v>1</v>
      </c>
      <c r="G83" s="87">
        <f t="shared" si="69"/>
        <v>1</v>
      </c>
      <c r="H83" s="87">
        <f t="shared" si="69"/>
        <v>1</v>
      </c>
      <c r="I83" s="87">
        <f t="shared" si="69"/>
        <v>1</v>
      </c>
      <c r="J83" s="87">
        <f t="shared" si="69"/>
        <v>1</v>
      </c>
      <c r="K83" s="87">
        <f t="shared" si="69"/>
        <v>1</v>
      </c>
      <c r="L83" s="87">
        <f t="shared" si="69"/>
        <v>1</v>
      </c>
      <c r="M83" s="87">
        <f t="shared" si="69"/>
        <v>1</v>
      </c>
      <c r="N83" s="87">
        <f t="shared" si="69"/>
        <v>1</v>
      </c>
      <c r="O83" s="87">
        <f t="shared" si="69"/>
        <v>1</v>
      </c>
      <c r="P83" s="87">
        <f t="shared" si="69"/>
        <v>1</v>
      </c>
      <c r="Q83" s="87">
        <f t="shared" si="69"/>
        <v>1</v>
      </c>
      <c r="R83" s="87">
        <f t="shared" si="69"/>
        <v>1</v>
      </c>
      <c r="S83" s="87">
        <f t="shared" si="69"/>
        <v>1</v>
      </c>
      <c r="T83" s="87">
        <f t="shared" si="69"/>
        <v>1</v>
      </c>
      <c r="U83" s="87">
        <f t="shared" si="69"/>
        <v>1</v>
      </c>
      <c r="V83" s="87">
        <f t="shared" si="69"/>
        <v>1</v>
      </c>
      <c r="W83" s="87">
        <f t="shared" si="69"/>
        <v>1</v>
      </c>
      <c r="X83" s="87">
        <f t="shared" si="69"/>
        <v>1</v>
      </c>
      <c r="Y83" s="87">
        <f t="shared" si="69"/>
        <v>1</v>
      </c>
      <c r="Z83" s="87">
        <f t="shared" si="69"/>
        <v>1</v>
      </c>
      <c r="AA83" s="87">
        <f t="shared" si="69"/>
        <v>1</v>
      </c>
      <c r="AB83" s="87">
        <f t="shared" si="69"/>
        <v>1</v>
      </c>
      <c r="AC83" s="87">
        <f t="shared" si="69"/>
        <v>1</v>
      </c>
      <c r="AD83" s="87">
        <f t="shared" si="69"/>
        <v>1</v>
      </c>
      <c r="AE83" s="87">
        <f t="shared" si="69"/>
        <v>1</v>
      </c>
      <c r="AF83" s="87">
        <f t="shared" si="69"/>
        <v>1</v>
      </c>
      <c r="AG83" s="87">
        <f t="shared" si="69"/>
        <v>1</v>
      </c>
      <c r="AH83" s="87">
        <f t="shared" si="69"/>
        <v>1</v>
      </c>
      <c r="AI83" s="87">
        <f t="shared" si="69"/>
        <v>1</v>
      </c>
      <c r="AJ83" s="87">
        <f t="shared" ref="AJ83:BO83" si="70">AJ81/AJ11</f>
        <v>1</v>
      </c>
      <c r="AK83" s="87">
        <f t="shared" si="70"/>
        <v>1</v>
      </c>
      <c r="AL83" s="87">
        <f t="shared" si="70"/>
        <v>1</v>
      </c>
      <c r="AM83" s="87">
        <f t="shared" si="70"/>
        <v>1</v>
      </c>
      <c r="AN83" s="87">
        <f t="shared" si="70"/>
        <v>1</v>
      </c>
      <c r="AO83" s="87">
        <f t="shared" si="70"/>
        <v>1</v>
      </c>
      <c r="AP83" s="87">
        <f t="shared" si="70"/>
        <v>1</v>
      </c>
      <c r="AQ83" s="87">
        <f t="shared" si="70"/>
        <v>1</v>
      </c>
      <c r="AR83" s="87">
        <f t="shared" si="70"/>
        <v>1</v>
      </c>
      <c r="AS83" s="87">
        <f t="shared" si="70"/>
        <v>1</v>
      </c>
      <c r="AT83" s="87">
        <f t="shared" si="70"/>
        <v>1</v>
      </c>
      <c r="AU83" s="87">
        <f t="shared" si="70"/>
        <v>1</v>
      </c>
      <c r="AV83" s="87">
        <f t="shared" si="70"/>
        <v>1</v>
      </c>
      <c r="AW83" s="87">
        <f t="shared" si="70"/>
        <v>1</v>
      </c>
      <c r="AX83" s="87">
        <f t="shared" si="70"/>
        <v>1</v>
      </c>
      <c r="AY83" s="87">
        <f t="shared" si="70"/>
        <v>1</v>
      </c>
      <c r="AZ83" s="87">
        <f t="shared" si="70"/>
        <v>1</v>
      </c>
      <c r="BA83" s="87">
        <f t="shared" si="70"/>
        <v>1</v>
      </c>
      <c r="BB83" s="87">
        <f t="shared" si="70"/>
        <v>1</v>
      </c>
      <c r="BC83" s="87">
        <f t="shared" si="70"/>
        <v>1</v>
      </c>
      <c r="BD83" s="87">
        <f t="shared" si="70"/>
        <v>1</v>
      </c>
      <c r="BE83" s="87">
        <f t="shared" si="70"/>
        <v>1</v>
      </c>
      <c r="BF83" s="87">
        <f t="shared" si="70"/>
        <v>1</v>
      </c>
      <c r="BG83" s="87">
        <f t="shared" si="70"/>
        <v>1</v>
      </c>
      <c r="BH83" s="87">
        <f t="shared" si="70"/>
        <v>1</v>
      </c>
      <c r="BI83" s="87">
        <f t="shared" si="70"/>
        <v>1</v>
      </c>
      <c r="BJ83" s="87">
        <f t="shared" si="70"/>
        <v>1</v>
      </c>
      <c r="BK83" s="87">
        <f t="shared" si="70"/>
        <v>1</v>
      </c>
      <c r="BL83" s="87">
        <f t="shared" si="70"/>
        <v>1</v>
      </c>
      <c r="BM83" s="87">
        <f t="shared" si="70"/>
        <v>1</v>
      </c>
      <c r="BN83" s="87">
        <f t="shared" si="70"/>
        <v>1</v>
      </c>
      <c r="BO83" s="87">
        <f t="shared" si="70"/>
        <v>1</v>
      </c>
      <c r="BP83" s="87">
        <f t="shared" ref="BP83:BY83" si="71">BP81/BP11</f>
        <v>1</v>
      </c>
      <c r="BQ83" s="87">
        <f t="shared" si="71"/>
        <v>1</v>
      </c>
      <c r="BR83" s="87">
        <f t="shared" si="71"/>
        <v>1</v>
      </c>
      <c r="BS83" s="87">
        <f t="shared" si="71"/>
        <v>1</v>
      </c>
      <c r="BT83" s="87">
        <f t="shared" si="71"/>
        <v>1</v>
      </c>
      <c r="BU83" s="87">
        <f t="shared" si="71"/>
        <v>1</v>
      </c>
      <c r="BV83" s="87">
        <f t="shared" si="71"/>
        <v>1</v>
      </c>
      <c r="BW83" s="87">
        <f t="shared" si="71"/>
        <v>1</v>
      </c>
      <c r="BX83" s="87">
        <f t="shared" si="71"/>
        <v>1</v>
      </c>
      <c r="BY83" s="87">
        <f t="shared" si="71"/>
        <v>1</v>
      </c>
      <c r="BZ83" s="81"/>
      <c r="CA83" s="76"/>
      <c r="CB83" s="87">
        <f t="shared" ref="CB83:CX83" si="72">CB81/CB11</f>
        <v>1</v>
      </c>
      <c r="CC83" s="87">
        <f t="shared" si="72"/>
        <v>1</v>
      </c>
      <c r="CD83" s="87">
        <f t="shared" si="72"/>
        <v>1</v>
      </c>
      <c r="CE83" s="87">
        <f t="shared" si="72"/>
        <v>1</v>
      </c>
      <c r="CF83" s="87">
        <f t="shared" si="72"/>
        <v>1</v>
      </c>
      <c r="CG83" s="87">
        <f t="shared" si="72"/>
        <v>1</v>
      </c>
      <c r="CH83" s="87">
        <f t="shared" si="72"/>
        <v>1</v>
      </c>
      <c r="CI83" s="87">
        <f t="shared" si="72"/>
        <v>1</v>
      </c>
      <c r="CJ83" s="87">
        <f t="shared" si="72"/>
        <v>1</v>
      </c>
      <c r="CK83" s="87">
        <f t="shared" si="72"/>
        <v>1</v>
      </c>
      <c r="CL83" s="87">
        <f t="shared" si="72"/>
        <v>1</v>
      </c>
      <c r="CM83" s="97">
        <f t="shared" si="72"/>
        <v>1</v>
      </c>
      <c r="CN83" s="87">
        <f t="shared" si="72"/>
        <v>1</v>
      </c>
      <c r="CO83" s="87">
        <f t="shared" si="72"/>
        <v>1</v>
      </c>
      <c r="CP83" s="87">
        <f t="shared" si="72"/>
        <v>1</v>
      </c>
      <c r="CQ83" s="87">
        <f t="shared" si="72"/>
        <v>1</v>
      </c>
      <c r="CR83" s="87">
        <f t="shared" si="72"/>
        <v>1</v>
      </c>
      <c r="CS83" s="87">
        <f t="shared" si="72"/>
        <v>1</v>
      </c>
      <c r="CT83" s="87">
        <f t="shared" si="72"/>
        <v>0.99999999999999989</v>
      </c>
      <c r="CU83" s="87">
        <f t="shared" si="72"/>
        <v>1</v>
      </c>
      <c r="CV83" s="87">
        <f t="shared" si="72"/>
        <v>1.0000000000000002</v>
      </c>
      <c r="CW83" s="87">
        <f t="shared" si="72"/>
        <v>1</v>
      </c>
      <c r="CX83" s="87">
        <f t="shared" si="72"/>
        <v>1</v>
      </c>
      <c r="CY83" s="91"/>
      <c r="CZ83" s="76"/>
      <c r="DA83" s="87">
        <f>DA81/DA11</f>
        <v>1</v>
      </c>
      <c r="DB83" s="82"/>
      <c r="DC83" s="87">
        <f>MIN(MIN($CB83:$CX83),MIN($D83:$BY83))</f>
        <v>0.99999999999999989</v>
      </c>
      <c r="DD83" s="87">
        <f>MAX(MAX($CB83:$CX83),MAX($D83:$BY83))</f>
        <v>1.0000000000000002</v>
      </c>
      <c r="DE83" s="79"/>
    </row>
    <row r="84" spans="1:109"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c r="BU84" s="69"/>
      <c r="BV84" s="69"/>
      <c r="BW84" s="69"/>
      <c r="BX84" s="69"/>
      <c r="BY84" s="69"/>
      <c r="BZ84" s="125"/>
      <c r="CA84" s="76"/>
      <c r="CB84" s="69"/>
      <c r="CC84" s="69"/>
      <c r="CD84" s="69"/>
      <c r="CE84" s="69"/>
      <c r="CF84" s="69"/>
      <c r="CG84" s="69"/>
      <c r="CH84" s="69"/>
      <c r="CI84" s="69"/>
      <c r="CJ84" s="69"/>
      <c r="CK84" s="69"/>
      <c r="CL84" s="69"/>
      <c r="CM84" s="69"/>
      <c r="CN84" s="69"/>
      <c r="CO84" s="69"/>
      <c r="CP84" s="69"/>
      <c r="CQ84" s="69"/>
      <c r="CR84" s="69"/>
      <c r="CS84" s="69"/>
      <c r="CT84" s="69"/>
      <c r="CU84" s="69"/>
      <c r="CV84" s="69"/>
      <c r="CW84" s="69"/>
      <c r="CX84" s="69"/>
      <c r="CY84" s="125"/>
      <c r="CZ84" s="76"/>
      <c r="DA84" s="125"/>
      <c r="DB84" s="69"/>
      <c r="DC84" s="69"/>
      <c r="DD84" s="69"/>
      <c r="DE84" s="69"/>
    </row>
    <row r="85" spans="1:109" x14ac:dyDescent="0.25">
      <c r="A85" s="69"/>
      <c r="B85" s="69"/>
      <c r="C85" s="70"/>
      <c r="D85" s="88"/>
      <c r="E85" s="88"/>
      <c r="F85" s="88"/>
      <c r="G85" s="88"/>
      <c r="H85" s="88"/>
      <c r="I85" s="88"/>
      <c r="J85" s="88"/>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88"/>
      <c r="AO85" s="88"/>
      <c r="AP85" s="88"/>
      <c r="AQ85" s="88"/>
      <c r="AR85" s="88"/>
      <c r="AS85" s="88"/>
      <c r="AT85" s="88"/>
      <c r="AU85" s="88"/>
      <c r="AV85" s="88"/>
      <c r="AW85" s="88"/>
      <c r="AX85" s="88"/>
      <c r="AY85" s="88"/>
      <c r="AZ85" s="88"/>
      <c r="BA85" s="88"/>
      <c r="BB85" s="88"/>
      <c r="BC85" s="88"/>
      <c r="BD85" s="88"/>
      <c r="BE85" s="88"/>
      <c r="BF85" s="88"/>
      <c r="BG85" s="88"/>
      <c r="BH85" s="88"/>
      <c r="BI85" s="88"/>
      <c r="BJ85" s="88"/>
      <c r="BK85" s="88"/>
      <c r="BL85" s="88"/>
      <c r="BM85" s="88"/>
      <c r="BN85" s="88"/>
      <c r="BO85" s="88"/>
      <c r="BP85" s="88"/>
      <c r="BQ85" s="88"/>
      <c r="BR85" s="88"/>
      <c r="BS85" s="88"/>
      <c r="BT85" s="88"/>
      <c r="BU85" s="88"/>
      <c r="BV85" s="88"/>
      <c r="BW85" s="88"/>
      <c r="BX85" s="88"/>
      <c r="BY85" s="88"/>
      <c r="BZ85" s="72"/>
      <c r="CA85" s="76"/>
      <c r="CB85" s="88"/>
      <c r="CC85" s="88"/>
      <c r="CD85" s="88"/>
      <c r="CE85" s="88"/>
      <c r="CF85" s="88"/>
      <c r="CG85" s="88"/>
      <c r="CH85" s="88"/>
      <c r="CI85" s="88"/>
      <c r="CJ85" s="88"/>
      <c r="CK85" s="88"/>
      <c r="CL85" s="88"/>
      <c r="CM85" s="88"/>
      <c r="CN85" s="88"/>
      <c r="CO85" s="88"/>
      <c r="CP85" s="88"/>
      <c r="CQ85" s="88"/>
      <c r="CR85" s="88"/>
      <c r="CS85" s="88"/>
      <c r="CT85" s="88"/>
      <c r="CU85" s="88"/>
      <c r="CV85" s="88"/>
      <c r="CW85" s="88"/>
      <c r="CX85" s="88"/>
      <c r="CY85" s="72"/>
      <c r="CZ85" s="76"/>
      <c r="DA85" s="72"/>
      <c r="DB85" s="69"/>
      <c r="DC85" s="69"/>
      <c r="DD85" s="69"/>
      <c r="DE85" s="69"/>
    </row>
    <row r="86" spans="1:109" x14ac:dyDescent="0.25">
      <c r="A86" s="69" t="s">
        <v>77</v>
      </c>
      <c r="B86" s="69"/>
      <c r="C86" s="70"/>
      <c r="D86" s="88"/>
      <c r="E86" s="88"/>
      <c r="F86" s="88"/>
      <c r="G86" s="88"/>
      <c r="H86" s="88"/>
      <c r="I86" s="88"/>
      <c r="J86" s="88"/>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88"/>
      <c r="AO86" s="88"/>
      <c r="AP86" s="88"/>
      <c r="AQ86" s="88"/>
      <c r="AR86" s="88"/>
      <c r="AS86" s="88"/>
      <c r="AT86" s="88"/>
      <c r="AU86" s="88"/>
      <c r="AV86" s="88"/>
      <c r="AW86" s="88"/>
      <c r="AX86" s="88"/>
      <c r="AY86" s="88"/>
      <c r="AZ86" s="88"/>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72"/>
      <c r="CA86" s="76"/>
      <c r="CB86" s="88"/>
      <c r="CC86" s="88"/>
      <c r="CD86" s="88"/>
      <c r="CE86" s="88"/>
      <c r="CF86" s="88"/>
      <c r="CG86" s="88"/>
      <c r="CH86" s="88"/>
      <c r="CI86" s="88"/>
      <c r="CJ86" s="88"/>
      <c r="CK86" s="88"/>
      <c r="CL86" s="88"/>
      <c r="CM86" s="88"/>
      <c r="CN86" s="88"/>
      <c r="CO86" s="88"/>
      <c r="CP86" s="88"/>
      <c r="CQ86" s="88"/>
      <c r="CR86" s="88"/>
      <c r="CS86" s="88"/>
      <c r="CT86" s="88"/>
      <c r="CU86" s="88"/>
      <c r="CV86" s="88"/>
      <c r="CW86" s="88"/>
      <c r="CX86" s="88"/>
      <c r="CY86" s="72"/>
      <c r="CZ86" s="76"/>
      <c r="DA86" s="72"/>
      <c r="DB86" s="69"/>
      <c r="DC86" s="69"/>
      <c r="DD86" s="69"/>
      <c r="DE86" s="69"/>
    </row>
    <row r="87" spans="1:109" x14ac:dyDescent="0.25">
      <c r="A87" s="69"/>
      <c r="B87" s="69" t="s">
        <v>78</v>
      </c>
      <c r="C87" s="198">
        <f>540/(540+1140-614+400)</f>
        <v>0.3683492496589359</v>
      </c>
      <c r="D87" s="88"/>
      <c r="E87" s="88"/>
      <c r="F87" s="88"/>
      <c r="G87" s="88"/>
      <c r="H87" s="88"/>
      <c r="I87" s="88"/>
      <c r="J87" s="88"/>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88"/>
      <c r="AO87" s="88"/>
      <c r="AP87" s="88"/>
      <c r="AQ87" s="88"/>
      <c r="AR87" s="88"/>
      <c r="AS87" s="88"/>
      <c r="AT87" s="88"/>
      <c r="AU87" s="88"/>
      <c r="AV87" s="88"/>
      <c r="AW87" s="88"/>
      <c r="AX87" s="88"/>
      <c r="AY87" s="88"/>
      <c r="AZ87" s="88"/>
      <c r="BA87" s="88"/>
      <c r="BB87" s="88"/>
      <c r="BC87" s="88"/>
      <c r="BD87" s="88"/>
      <c r="BE87" s="88"/>
      <c r="BF87" s="88"/>
      <c r="BG87" s="88"/>
      <c r="BH87" s="88"/>
      <c r="BI87" s="88"/>
      <c r="BJ87" s="88"/>
      <c r="BK87" s="88"/>
      <c r="BL87" s="88"/>
      <c r="BM87" s="88"/>
      <c r="BN87" s="88"/>
      <c r="BO87" s="88"/>
      <c r="BP87" s="88"/>
      <c r="BQ87" s="88"/>
      <c r="BR87" s="88"/>
      <c r="BS87" s="88"/>
      <c r="BT87" s="88"/>
      <c r="BU87" s="88"/>
      <c r="BV87" s="88"/>
      <c r="BW87" s="88"/>
      <c r="BX87" s="88"/>
      <c r="BY87" s="88"/>
      <c r="BZ87" s="72"/>
      <c r="CA87" s="76"/>
      <c r="CB87" s="88"/>
      <c r="CC87" s="88"/>
      <c r="CD87" s="88"/>
      <c r="CE87" s="88"/>
      <c r="CF87" s="88"/>
      <c r="CG87" s="88"/>
      <c r="CH87" s="88"/>
      <c r="CI87" s="88"/>
      <c r="CJ87" s="88"/>
      <c r="CK87" s="88"/>
      <c r="CL87" s="88"/>
      <c r="CM87" s="88"/>
      <c r="CN87" s="88"/>
      <c r="CO87" s="88"/>
      <c r="CP87" s="88"/>
      <c r="CQ87" s="88"/>
      <c r="CR87" s="88"/>
      <c r="CS87" s="88"/>
      <c r="CT87" s="88"/>
      <c r="CU87" s="88"/>
      <c r="CV87" s="88"/>
      <c r="CW87" s="88"/>
      <c r="CX87" s="88"/>
      <c r="CY87" s="72"/>
      <c r="CZ87" s="76"/>
      <c r="DA87" s="72"/>
      <c r="DB87" s="69"/>
      <c r="DC87" s="69"/>
      <c r="DD87" s="69"/>
      <c r="DE87" s="69"/>
    </row>
    <row r="88" spans="1:109" x14ac:dyDescent="0.25">
      <c r="A88" s="69"/>
      <c r="B88" s="69" t="s">
        <v>79</v>
      </c>
      <c r="C88" s="198">
        <f>(1140-614)/(540+1140-614+400)</f>
        <v>0.35879945429740789</v>
      </c>
      <c r="D88" s="88"/>
      <c r="E88" s="88"/>
      <c r="F88" s="88"/>
      <c r="G88" s="88"/>
      <c r="H88" s="88"/>
      <c r="I88" s="88"/>
      <c r="J88" s="88"/>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88"/>
      <c r="AO88" s="88"/>
      <c r="AP88" s="88"/>
      <c r="AQ88" s="88"/>
      <c r="AR88" s="88"/>
      <c r="AS88" s="88"/>
      <c r="AT88" s="88"/>
      <c r="AU88" s="88"/>
      <c r="AV88" s="88"/>
      <c r="AW88" s="88"/>
      <c r="AX88" s="88"/>
      <c r="AY88" s="88"/>
      <c r="AZ88" s="88"/>
      <c r="BA88" s="88"/>
      <c r="BB88" s="88"/>
      <c r="BC88" s="88"/>
      <c r="BD88" s="88"/>
      <c r="BE88" s="88"/>
      <c r="BF88" s="88"/>
      <c r="BG88" s="88"/>
      <c r="BH88" s="88"/>
      <c r="BI88" s="88"/>
      <c r="BJ88" s="88"/>
      <c r="BK88" s="88"/>
      <c r="BL88" s="88"/>
      <c r="BM88" s="88"/>
      <c r="BN88" s="88"/>
      <c r="BO88" s="88"/>
      <c r="BP88" s="88"/>
      <c r="BQ88" s="88"/>
      <c r="BR88" s="88"/>
      <c r="BS88" s="88"/>
      <c r="BT88" s="88"/>
      <c r="BU88" s="88"/>
      <c r="BV88" s="88"/>
      <c r="BW88" s="88"/>
      <c r="BX88" s="88"/>
      <c r="BY88" s="88"/>
      <c r="BZ88" s="72"/>
      <c r="CA88" s="76"/>
      <c r="CB88" s="88"/>
      <c r="CC88" s="88"/>
      <c r="CD88" s="88"/>
      <c r="CE88" s="88"/>
      <c r="CF88" s="88"/>
      <c r="CG88" s="88"/>
      <c r="CH88" s="88"/>
      <c r="CI88" s="88"/>
      <c r="CJ88" s="88"/>
      <c r="CK88" s="88"/>
      <c r="CL88" s="88"/>
      <c r="CM88" s="88"/>
      <c r="CN88" s="88"/>
      <c r="CO88" s="88"/>
      <c r="CP88" s="88"/>
      <c r="CQ88" s="88"/>
      <c r="CR88" s="88"/>
      <c r="CS88" s="88"/>
      <c r="CT88" s="88"/>
      <c r="CU88" s="88"/>
      <c r="CV88" s="88"/>
      <c r="CW88" s="88"/>
      <c r="CX88" s="88"/>
      <c r="CY88" s="72"/>
      <c r="CZ88" s="76"/>
      <c r="DA88" s="72"/>
      <c r="DB88" s="69"/>
      <c r="DC88" s="69"/>
      <c r="DD88" s="69"/>
      <c r="DE88" s="69"/>
    </row>
    <row r="89" spans="1:109" x14ac:dyDescent="0.25">
      <c r="A89" s="69"/>
      <c r="B89" s="69" t="s">
        <v>80</v>
      </c>
      <c r="C89" s="198">
        <f>400/(540+1140-614+400)</f>
        <v>0.27285129604365621</v>
      </c>
      <c r="D89" s="88"/>
      <c r="E89" s="88"/>
      <c r="F89" s="88"/>
      <c r="G89" s="88"/>
      <c r="H89" s="88"/>
      <c r="I89" s="88"/>
      <c r="J89" s="88"/>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88"/>
      <c r="AO89" s="88"/>
      <c r="AP89" s="88"/>
      <c r="AQ89" s="88"/>
      <c r="AR89" s="88"/>
      <c r="AS89" s="88"/>
      <c r="AT89" s="88"/>
      <c r="AU89" s="88"/>
      <c r="AV89" s="88"/>
      <c r="AW89" s="88"/>
      <c r="AX89" s="88"/>
      <c r="AY89" s="88"/>
      <c r="AZ89" s="88"/>
      <c r="BA89" s="88"/>
      <c r="BB89" s="88"/>
      <c r="BC89" s="88"/>
      <c r="BD89" s="88"/>
      <c r="BE89" s="88"/>
      <c r="BF89" s="88"/>
      <c r="BG89" s="88"/>
      <c r="BH89" s="88"/>
      <c r="BI89" s="88"/>
      <c r="BJ89" s="88"/>
      <c r="BK89" s="88"/>
      <c r="BL89" s="88"/>
      <c r="BM89" s="88"/>
      <c r="BN89" s="88"/>
      <c r="BO89" s="88"/>
      <c r="BP89" s="88"/>
      <c r="BQ89" s="88"/>
      <c r="BR89" s="88"/>
      <c r="BS89" s="88"/>
      <c r="BT89" s="88"/>
      <c r="BU89" s="88"/>
      <c r="BV89" s="88"/>
      <c r="BW89" s="88"/>
      <c r="BX89" s="88"/>
      <c r="BY89" s="88"/>
      <c r="BZ89" s="72"/>
      <c r="CA89" s="76"/>
      <c r="CB89" s="88"/>
      <c r="CC89" s="88"/>
      <c r="CD89" s="88"/>
      <c r="CE89" s="88"/>
      <c r="CF89" s="88"/>
      <c r="CG89" s="88"/>
      <c r="CH89" s="88"/>
      <c r="CI89" s="88"/>
      <c r="CJ89" s="88"/>
      <c r="CK89" s="88"/>
      <c r="CL89" s="88"/>
      <c r="CM89" s="88"/>
      <c r="CN89" s="88"/>
      <c r="CO89" s="88"/>
      <c r="CP89" s="88"/>
      <c r="CQ89" s="88"/>
      <c r="CR89" s="88"/>
      <c r="CS89" s="88"/>
      <c r="CT89" s="88"/>
      <c r="CU89" s="88"/>
      <c r="CV89" s="88"/>
      <c r="CW89" s="88"/>
      <c r="CX89" s="88"/>
      <c r="CY89" s="72"/>
      <c r="CZ89" s="76"/>
      <c r="DA89" s="72"/>
      <c r="DB89" s="69"/>
      <c r="DC89" s="69"/>
      <c r="DD89" s="69"/>
      <c r="DE89" s="69"/>
    </row>
    <row r="90" spans="1:109" x14ac:dyDescent="0.25">
      <c r="A90" s="69"/>
      <c r="B90" s="69"/>
      <c r="C90" s="70"/>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c r="AE90" s="69"/>
      <c r="AF90" s="69"/>
      <c r="AG90" s="69"/>
      <c r="AH90" s="69"/>
      <c r="AI90" s="69"/>
      <c r="AJ90" s="69"/>
      <c r="AK90" s="69"/>
      <c r="AL90" s="69"/>
      <c r="AM90" s="69"/>
      <c r="AN90" s="69"/>
      <c r="AO90" s="69"/>
      <c r="AP90" s="69"/>
      <c r="AQ90" s="69"/>
      <c r="AR90" s="69"/>
      <c r="AS90" s="69"/>
      <c r="AT90" s="69"/>
      <c r="AU90" s="69"/>
      <c r="AV90" s="69"/>
      <c r="AW90" s="69"/>
      <c r="AX90" s="69"/>
      <c r="AY90" s="69"/>
      <c r="AZ90" s="69"/>
      <c r="BA90" s="69"/>
      <c r="BB90" s="69"/>
      <c r="BC90" s="69"/>
      <c r="BD90" s="69"/>
      <c r="BE90" s="69"/>
      <c r="BF90" s="69"/>
      <c r="BG90" s="69"/>
      <c r="BH90" s="69"/>
      <c r="BI90" s="69"/>
      <c r="BJ90" s="69"/>
      <c r="BK90" s="69"/>
      <c r="BL90" s="69"/>
      <c r="BM90" s="69"/>
      <c r="BN90" s="69"/>
      <c r="BO90" s="69"/>
      <c r="BP90" s="69"/>
      <c r="BQ90" s="69"/>
      <c r="BR90" s="69"/>
      <c r="BS90" s="69"/>
      <c r="BT90" s="69"/>
      <c r="BU90" s="69"/>
      <c r="BV90" s="69"/>
      <c r="BW90" s="69"/>
      <c r="BX90" s="69"/>
      <c r="BY90" s="69"/>
      <c r="BZ90" s="69"/>
      <c r="CA90" s="76"/>
      <c r="CB90" s="69"/>
      <c r="CC90" s="69"/>
      <c r="CD90" s="69"/>
      <c r="CE90" s="69"/>
      <c r="CF90" s="69"/>
      <c r="CG90" s="69"/>
      <c r="CH90" s="69"/>
      <c r="CI90" s="69"/>
      <c r="CJ90" s="69"/>
      <c r="CK90" s="69"/>
      <c r="CL90" s="69"/>
      <c r="CM90" s="69"/>
      <c r="CN90" s="69"/>
      <c r="CO90" s="69"/>
      <c r="CP90" s="69"/>
      <c r="CQ90" s="69"/>
      <c r="CR90" s="69"/>
      <c r="CS90" s="69"/>
      <c r="CT90" s="69"/>
      <c r="CU90" s="69"/>
      <c r="CV90" s="69"/>
      <c r="CW90" s="69"/>
      <c r="CX90" s="69"/>
      <c r="CY90" s="69"/>
      <c r="CZ90" s="76"/>
      <c r="DA90" s="69"/>
      <c r="DB90" s="69"/>
      <c r="DC90" s="69"/>
      <c r="DD90" s="69"/>
      <c r="DE90" s="69"/>
    </row>
    <row r="91" spans="1:109" ht="26.1" customHeight="1" x14ac:dyDescent="0.25">
      <c r="A91" s="254" t="s">
        <v>691</v>
      </c>
      <c r="B91" s="254"/>
      <c r="C91" s="254"/>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c r="AX91" s="89"/>
      <c r="AY91" s="89"/>
      <c r="AZ91" s="89"/>
      <c r="BA91" s="89"/>
      <c r="BB91" s="89"/>
      <c r="BC91" s="89"/>
      <c r="BD91" s="89"/>
      <c r="BE91" s="89"/>
      <c r="BF91" s="89"/>
      <c r="BG91" s="89"/>
      <c r="BH91" s="89"/>
      <c r="BI91" s="89"/>
      <c r="BJ91" s="89"/>
      <c r="BK91" s="89"/>
      <c r="BL91" s="89"/>
      <c r="BM91" s="89"/>
      <c r="BN91" s="89"/>
      <c r="BO91" s="89"/>
      <c r="BP91" s="89"/>
      <c r="BQ91" s="89"/>
      <c r="BR91" s="89"/>
      <c r="BS91" s="89"/>
      <c r="BT91" s="89"/>
      <c r="BU91" s="89"/>
      <c r="BV91" s="89"/>
      <c r="BW91" s="89"/>
      <c r="BX91" s="89"/>
      <c r="BY91" s="89"/>
      <c r="BZ91" s="89"/>
      <c r="CA91" s="76"/>
      <c r="CB91" s="89"/>
      <c r="CC91" s="89"/>
      <c r="CD91" s="89"/>
      <c r="CE91" s="89"/>
      <c r="CF91" s="89"/>
      <c r="CG91" s="89"/>
      <c r="CH91" s="89"/>
      <c r="CI91" s="89"/>
      <c r="CJ91" s="89"/>
      <c r="CK91" s="89"/>
      <c r="CL91" s="89"/>
      <c r="CM91" s="89"/>
      <c r="CN91" s="89"/>
      <c r="CO91" s="89"/>
      <c r="CP91" s="89"/>
      <c r="CQ91" s="89"/>
      <c r="CR91" s="89"/>
      <c r="CS91" s="89"/>
      <c r="CT91" s="89"/>
      <c r="CU91" s="89"/>
      <c r="CV91" s="89"/>
      <c r="CW91" s="89"/>
      <c r="CX91" s="89"/>
      <c r="CY91" s="89"/>
      <c r="CZ91" s="76"/>
      <c r="DA91" s="89"/>
      <c r="DB91" s="89"/>
      <c r="DC91" s="89"/>
      <c r="DD91" s="89"/>
      <c r="DE91" s="89"/>
    </row>
    <row r="92" spans="1:109" x14ac:dyDescent="0.25">
      <c r="A92" s="69"/>
      <c r="B92" s="89"/>
      <c r="C92" s="143" t="s">
        <v>325</v>
      </c>
      <c r="D92" s="132" t="s">
        <v>629</v>
      </c>
      <c r="E92" s="132"/>
      <c r="F92" s="132"/>
      <c r="G92" s="132"/>
      <c r="H92" s="132"/>
      <c r="I92" s="132"/>
      <c r="J92" s="132"/>
      <c r="K92" s="132"/>
      <c r="L92" s="132"/>
      <c r="M92" s="132"/>
      <c r="N92" s="132" t="s">
        <v>629</v>
      </c>
      <c r="O92" s="132"/>
      <c r="P92" s="132"/>
      <c r="Q92" s="132"/>
      <c r="R92" s="132"/>
      <c r="S92" s="132"/>
      <c r="T92" s="132"/>
      <c r="U92" s="132"/>
      <c r="V92" s="132"/>
      <c r="W92" s="132"/>
      <c r="X92" s="132"/>
      <c r="Y92" s="132" t="s">
        <v>629</v>
      </c>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t="s">
        <v>629</v>
      </c>
      <c r="BG92" s="132"/>
      <c r="BH92" s="132"/>
      <c r="BI92" s="132"/>
      <c r="BJ92" s="132"/>
      <c r="BK92" s="132" t="s">
        <v>629</v>
      </c>
      <c r="BL92" s="132"/>
      <c r="BM92" s="132"/>
      <c r="BN92" s="132"/>
      <c r="BO92" s="132"/>
      <c r="BP92" s="132"/>
      <c r="BQ92" s="132"/>
      <c r="BR92" s="132"/>
      <c r="BS92" s="132"/>
      <c r="BT92" s="132" t="s">
        <v>629</v>
      </c>
      <c r="BU92" s="132"/>
      <c r="BV92" s="132"/>
      <c r="BW92" s="132" t="s">
        <v>629</v>
      </c>
      <c r="BX92" s="132"/>
      <c r="BY92" s="132"/>
      <c r="BZ92" s="132"/>
      <c r="CA92" s="129"/>
      <c r="CB92" s="132"/>
      <c r="CC92" s="132"/>
      <c r="CD92" s="132"/>
      <c r="CE92" s="132"/>
      <c r="CF92" s="132"/>
      <c r="CG92" s="132"/>
      <c r="CH92" s="132" t="s">
        <v>629</v>
      </c>
      <c r="CI92" s="132"/>
      <c r="CJ92" s="132" t="s">
        <v>629</v>
      </c>
      <c r="CK92" s="132"/>
      <c r="CL92" s="132"/>
      <c r="CM92" s="132" t="s">
        <v>629</v>
      </c>
      <c r="CN92" s="132" t="s">
        <v>629</v>
      </c>
      <c r="CO92" s="132"/>
      <c r="CP92" s="132" t="s">
        <v>629</v>
      </c>
      <c r="CQ92" s="132"/>
      <c r="CR92" s="132"/>
      <c r="CS92" s="132"/>
      <c r="CT92" s="132"/>
      <c r="CU92" s="132"/>
      <c r="CV92" s="132" t="s">
        <v>629</v>
      </c>
      <c r="CW92" s="132"/>
      <c r="CX92" s="132"/>
      <c r="CY92" s="132"/>
      <c r="CZ92" s="129"/>
      <c r="DA92" s="199">
        <f>SUM(DA93:DA98)</f>
        <v>528111.28492156533</v>
      </c>
      <c r="DB92" s="89"/>
      <c r="DC92" s="89"/>
      <c r="DD92" s="89"/>
      <c r="DE92" s="89"/>
    </row>
    <row r="93" spans="1:109" x14ac:dyDescent="0.25">
      <c r="A93" s="69"/>
      <c r="B93" s="69"/>
      <c r="C93" s="70" t="s">
        <v>326</v>
      </c>
      <c r="D93" s="65">
        <f>$C$87*D$50</f>
        <v>748.7859000917008</v>
      </c>
      <c r="E93" s="117"/>
      <c r="F93" s="117"/>
      <c r="G93" s="117"/>
      <c r="H93" s="117"/>
      <c r="I93" s="117"/>
      <c r="J93" s="117"/>
      <c r="K93" s="117"/>
      <c r="L93" s="117"/>
      <c r="M93" s="117"/>
      <c r="N93" s="65">
        <f>$C$87*N$50</f>
        <v>3743.9295004585047</v>
      </c>
      <c r="O93" s="117"/>
      <c r="P93" s="117"/>
      <c r="Q93" s="117"/>
      <c r="R93" s="117"/>
      <c r="S93" s="117"/>
      <c r="T93" s="117"/>
      <c r="U93" s="117"/>
      <c r="V93" s="117"/>
      <c r="W93" s="117"/>
      <c r="X93" s="117"/>
      <c r="Y93" s="65">
        <f>$C$87*Y$50</f>
        <v>1347.8146201650616</v>
      </c>
      <c r="Z93" s="117"/>
      <c r="AA93" s="117"/>
      <c r="AB93" s="117"/>
      <c r="AC93" s="117"/>
      <c r="AD93" s="117"/>
      <c r="AE93" s="117"/>
      <c r="AF93" s="117"/>
      <c r="AG93" s="117"/>
      <c r="AH93" s="117"/>
      <c r="AI93" s="117"/>
      <c r="AJ93" s="117"/>
      <c r="AK93" s="117"/>
      <c r="AL93" s="117"/>
      <c r="AM93" s="117"/>
      <c r="AN93" s="117"/>
      <c r="AO93" s="117"/>
      <c r="AP93" s="117"/>
      <c r="AQ93" s="117"/>
      <c r="AR93" s="117"/>
      <c r="AS93" s="117"/>
      <c r="AT93" s="117"/>
      <c r="AU93" s="117"/>
      <c r="AV93" s="117"/>
      <c r="AW93" s="117"/>
      <c r="AX93" s="117"/>
      <c r="AY93" s="117"/>
      <c r="AZ93" s="117"/>
      <c r="BA93" s="117"/>
      <c r="BB93" s="117"/>
      <c r="BC93" s="117"/>
      <c r="BD93" s="117"/>
      <c r="BE93" s="117"/>
      <c r="BF93" s="65">
        <f>$C$87*BF$50</f>
        <v>748.7859000917008</v>
      </c>
      <c r="BG93" s="117"/>
      <c r="BH93" s="117"/>
      <c r="BI93" s="117"/>
      <c r="BJ93" s="117"/>
      <c r="BK93" s="65">
        <f>$C$87*BK$50</f>
        <v>20217.219302475922</v>
      </c>
      <c r="BL93" s="117"/>
      <c r="BM93" s="117"/>
      <c r="BN93" s="117"/>
      <c r="BO93" s="117"/>
      <c r="BP93" s="117"/>
      <c r="BQ93" s="117"/>
      <c r="BR93" s="117"/>
      <c r="BS93" s="117"/>
      <c r="BT93" s="65">
        <f>$C$87*BT$50</f>
        <v>6551.8766258023843</v>
      </c>
      <c r="BU93" s="117"/>
      <c r="BV93" s="117"/>
      <c r="BW93" s="65">
        <f>$C$87*BW$50</f>
        <v>711.34660508711568</v>
      </c>
      <c r="BX93" s="117"/>
      <c r="BY93" s="117"/>
      <c r="BZ93" s="72">
        <f t="shared" ref="BZ93:BZ98" si="73">SUM(D93:BY93)</f>
        <v>34069.758454172385</v>
      </c>
      <c r="CA93" s="129"/>
      <c r="CB93" s="117"/>
      <c r="CC93" s="117"/>
      <c r="CD93" s="117"/>
      <c r="CE93" s="117"/>
      <c r="CF93" s="117"/>
      <c r="CG93" s="117"/>
      <c r="CH93" s="65">
        <f>$C$87*CH$50</f>
        <v>467.97288878165097</v>
      </c>
      <c r="CI93" s="117"/>
      <c r="CJ93" s="65">
        <f>$C$87*CJ$50</f>
        <v>374.3929500458504</v>
      </c>
      <c r="CK93" s="117"/>
      <c r="CL93" s="117"/>
      <c r="CM93" s="65">
        <f>$C$87*CM$50</f>
        <v>548.96326986195083</v>
      </c>
      <c r="CN93" s="65">
        <f>$C$87*CN$50</f>
        <v>3717.7622512617513</v>
      </c>
      <c r="CO93" s="117"/>
      <c r="CP93" s="65">
        <f>$C$87*CP$50</f>
        <v>7079.9426938582565</v>
      </c>
      <c r="CQ93" s="117"/>
      <c r="CR93" s="65"/>
      <c r="CS93" s="65"/>
      <c r="CT93" s="117"/>
      <c r="CU93" s="117"/>
      <c r="CV93" s="65">
        <f>$C$87*CV$50</f>
        <v>0</v>
      </c>
      <c r="CW93" s="117"/>
      <c r="CX93" s="117"/>
      <c r="CY93" s="72">
        <f t="shared" ref="CY93:CY98" si="74">SUM(CB93:CX93)</f>
        <v>12189.034053809461</v>
      </c>
      <c r="CZ93" s="129"/>
      <c r="DA93" s="72">
        <f t="shared" ref="DA93:DA98" si="75">BZ93+CY93</f>
        <v>46258.792507981845</v>
      </c>
      <c r="DB93" s="130">
        <f t="shared" ref="DB93:DB98" si="76">DA93/DA$11</f>
        <v>1.0505510574534053E-2</v>
      </c>
      <c r="DC93" s="117">
        <f t="shared" ref="DC93:DC98" si="77">MIN(MIN($CB93:$CX93),MIN($D93:$BY93))</f>
        <v>0</v>
      </c>
      <c r="DD93" s="117">
        <f t="shared" ref="DD93:DD98" si="78">MAX(MAX($CB93:$CX93),MAX($D93:$BY93))</f>
        <v>20217.219302475922</v>
      </c>
      <c r="DE93" s="69"/>
    </row>
    <row r="94" spans="1:109" x14ac:dyDescent="0.25">
      <c r="A94" s="69"/>
      <c r="B94" s="69"/>
      <c r="C94" s="70" t="s">
        <v>327</v>
      </c>
      <c r="D94" s="65">
        <f>$C$87*D$51</f>
        <v>290.93679847316287</v>
      </c>
      <c r="E94" s="117"/>
      <c r="F94" s="117"/>
      <c r="G94" s="117"/>
      <c r="H94" s="117"/>
      <c r="I94" s="117"/>
      <c r="J94" s="117"/>
      <c r="K94" s="117"/>
      <c r="L94" s="117"/>
      <c r="M94" s="117"/>
      <c r="N94" s="65">
        <f>$C$87*N$51</f>
        <v>1454.6839923658147</v>
      </c>
      <c r="O94" s="117"/>
      <c r="P94" s="117"/>
      <c r="Q94" s="117"/>
      <c r="R94" s="117"/>
      <c r="S94" s="117"/>
      <c r="T94" s="117"/>
      <c r="U94" s="117"/>
      <c r="V94" s="117"/>
      <c r="W94" s="117"/>
      <c r="X94" s="117"/>
      <c r="Y94" s="65">
        <f>$C$87*Y$51</f>
        <v>523.68623725169323</v>
      </c>
      <c r="Z94" s="117"/>
      <c r="AA94" s="117"/>
      <c r="AB94" s="117"/>
      <c r="AC94" s="117"/>
      <c r="AD94" s="117"/>
      <c r="AE94" s="117"/>
      <c r="AF94" s="117"/>
      <c r="AG94" s="117"/>
      <c r="AH94" s="117"/>
      <c r="AI94" s="117"/>
      <c r="AJ94" s="117"/>
      <c r="AK94" s="117"/>
      <c r="AL94" s="117"/>
      <c r="AM94" s="117"/>
      <c r="AN94" s="117"/>
      <c r="AO94" s="117"/>
      <c r="AP94" s="117"/>
      <c r="AQ94" s="117"/>
      <c r="AR94" s="117"/>
      <c r="AS94" s="117"/>
      <c r="AT94" s="117"/>
      <c r="AU94" s="117"/>
      <c r="AV94" s="117"/>
      <c r="AW94" s="117"/>
      <c r="AX94" s="117"/>
      <c r="AY94" s="117"/>
      <c r="AZ94" s="117"/>
      <c r="BA94" s="117"/>
      <c r="BB94" s="117"/>
      <c r="BC94" s="117"/>
      <c r="BD94" s="117"/>
      <c r="BE94" s="117"/>
      <c r="BF94" s="65">
        <f>$C$87*BF$51</f>
        <v>290.93679847316287</v>
      </c>
      <c r="BG94" s="117"/>
      <c r="BH94" s="117"/>
      <c r="BI94" s="117"/>
      <c r="BJ94" s="117"/>
      <c r="BK94" s="65">
        <f>$C$87*BK$51</f>
        <v>7855.2935587753982</v>
      </c>
      <c r="BL94" s="117"/>
      <c r="BM94" s="117"/>
      <c r="BN94" s="117"/>
      <c r="BO94" s="117"/>
      <c r="BP94" s="117"/>
      <c r="BQ94" s="117"/>
      <c r="BR94" s="117"/>
      <c r="BS94" s="117"/>
      <c r="BT94" s="65">
        <f>$C$87*BT$51</f>
        <v>2545.6969866401755</v>
      </c>
      <c r="BU94" s="117"/>
      <c r="BV94" s="117"/>
      <c r="BW94" s="65">
        <f>$C$87*BW$51</f>
        <v>276.38995854950468</v>
      </c>
      <c r="BX94" s="117"/>
      <c r="BY94" s="117"/>
      <c r="BZ94" s="72">
        <f t="shared" si="73"/>
        <v>13237.624330528914</v>
      </c>
      <c r="CA94" s="129"/>
      <c r="CB94" s="117"/>
      <c r="CC94" s="117"/>
      <c r="CD94" s="117"/>
      <c r="CE94" s="117"/>
      <c r="CF94" s="117"/>
      <c r="CG94" s="117"/>
      <c r="CH94" s="65">
        <f>$C$87*CH$51</f>
        <v>181.82838915329103</v>
      </c>
      <c r="CI94" s="117"/>
      <c r="CJ94" s="65">
        <f>$C$87*CJ$51</f>
        <v>145.46839923658143</v>
      </c>
      <c r="CK94" s="117"/>
      <c r="CL94" s="117"/>
      <c r="CM94" s="65">
        <f>$C$87*CM$51</f>
        <v>213.29677307416634</v>
      </c>
      <c r="CN94" s="65">
        <f>$C$87*CN$51</f>
        <v>1444.5168461826127</v>
      </c>
      <c r="CO94" s="117"/>
      <c r="CP94" s="65">
        <f>$C$87*CP$51</f>
        <v>2750.8742625526515</v>
      </c>
      <c r="CQ94" s="117"/>
      <c r="CR94" s="65"/>
      <c r="CS94" s="65"/>
      <c r="CT94" s="117"/>
      <c r="CU94" s="117"/>
      <c r="CV94" s="65">
        <f>$C$87*CV$51</f>
        <v>0</v>
      </c>
      <c r="CW94" s="117"/>
      <c r="CX94" s="117"/>
      <c r="CY94" s="72">
        <f t="shared" si="74"/>
        <v>4735.9846701993029</v>
      </c>
      <c r="CZ94" s="129"/>
      <c r="DA94" s="72">
        <f t="shared" si="75"/>
        <v>17973.609000728218</v>
      </c>
      <c r="DB94" s="130">
        <f t="shared" si="76"/>
        <v>4.0818605325054682E-3</v>
      </c>
      <c r="DC94" s="117">
        <f t="shared" si="77"/>
        <v>0</v>
      </c>
      <c r="DD94" s="117">
        <f t="shared" si="78"/>
        <v>7855.2935587753982</v>
      </c>
      <c r="DE94" s="69"/>
    </row>
    <row r="95" spans="1:109" x14ac:dyDescent="0.25">
      <c r="A95" s="69"/>
      <c r="B95" s="69"/>
      <c r="C95" s="70" t="s">
        <v>328</v>
      </c>
      <c r="D95" s="65">
        <f>$C$87*D$52</f>
        <v>3448.8107774890191</v>
      </c>
      <c r="E95" s="117"/>
      <c r="F95" s="117"/>
      <c r="G95" s="117"/>
      <c r="H95" s="117"/>
      <c r="I95" s="117"/>
      <c r="J95" s="117"/>
      <c r="K95" s="117"/>
      <c r="L95" s="117"/>
      <c r="M95" s="117"/>
      <c r="N95" s="65">
        <f>$C$87*N$52</f>
        <v>17244.053887445101</v>
      </c>
      <c r="O95" s="117"/>
      <c r="P95" s="117"/>
      <c r="Q95" s="117"/>
      <c r="R95" s="117"/>
      <c r="S95" s="117"/>
      <c r="T95" s="117"/>
      <c r="U95" s="117"/>
      <c r="V95" s="117"/>
      <c r="W95" s="117"/>
      <c r="X95" s="117"/>
      <c r="Y95" s="65">
        <f>$C$87*Y$52</f>
        <v>6207.859399480235</v>
      </c>
      <c r="Z95" s="117"/>
      <c r="AA95" s="117"/>
      <c r="AB95" s="117"/>
      <c r="AC95" s="117"/>
      <c r="AD95" s="117"/>
      <c r="AE95" s="117"/>
      <c r="AF95" s="117"/>
      <c r="AG95" s="117"/>
      <c r="AH95" s="117"/>
      <c r="AI95" s="117"/>
      <c r="AJ95" s="117"/>
      <c r="AK95" s="117"/>
      <c r="AL95" s="117"/>
      <c r="AM95" s="117"/>
      <c r="AN95" s="117"/>
      <c r="AO95" s="117"/>
      <c r="AP95" s="117"/>
      <c r="AQ95" s="117"/>
      <c r="AR95" s="117"/>
      <c r="AS95" s="117"/>
      <c r="AT95" s="117"/>
      <c r="AU95" s="117"/>
      <c r="AV95" s="117"/>
      <c r="AW95" s="117"/>
      <c r="AX95" s="117"/>
      <c r="AY95" s="117"/>
      <c r="AZ95" s="117"/>
      <c r="BA95" s="117"/>
      <c r="BB95" s="117"/>
      <c r="BC95" s="117"/>
      <c r="BD95" s="117"/>
      <c r="BE95" s="117"/>
      <c r="BF95" s="65">
        <f>$C$87*BF$52</f>
        <v>3448.8107774890191</v>
      </c>
      <c r="BG95" s="117"/>
      <c r="BH95" s="117"/>
      <c r="BI95" s="117"/>
      <c r="BJ95" s="117"/>
      <c r="BK95" s="65">
        <f>$C$87*BK$52</f>
        <v>93117.890992203538</v>
      </c>
      <c r="BL95" s="117"/>
      <c r="BM95" s="117"/>
      <c r="BN95" s="117"/>
      <c r="BO95" s="117"/>
      <c r="BP95" s="117"/>
      <c r="BQ95" s="117"/>
      <c r="BR95" s="117"/>
      <c r="BS95" s="117"/>
      <c r="BT95" s="65">
        <f>$C$87*BT$52</f>
        <v>30177.094303028924</v>
      </c>
      <c r="BU95" s="117"/>
      <c r="BV95" s="117"/>
      <c r="BW95" s="65">
        <f>$C$87*BW$52</f>
        <v>3276.3702386145687</v>
      </c>
      <c r="BX95" s="117"/>
      <c r="BY95" s="117"/>
      <c r="BZ95" s="72">
        <f t="shared" si="73"/>
        <v>156920.8903757504</v>
      </c>
      <c r="CA95" s="129"/>
      <c r="CB95" s="117"/>
      <c r="CC95" s="117"/>
      <c r="CD95" s="117"/>
      <c r="CE95" s="117"/>
      <c r="CF95" s="117"/>
      <c r="CG95" s="117"/>
      <c r="CH95" s="65">
        <f>$C$87*CH$52</f>
        <v>2155.4224541423309</v>
      </c>
      <c r="CI95" s="117"/>
      <c r="CJ95" s="65">
        <f>$C$87*CJ$52</f>
        <v>1724.4053887445095</v>
      </c>
      <c r="CK95" s="117"/>
      <c r="CL95" s="117"/>
      <c r="CM95" s="65">
        <f>$C$87*CM$52</f>
        <v>2528.4536491854988</v>
      </c>
      <c r="CN95" s="65">
        <f>$C$87*CN$52</f>
        <v>17123.530930167257</v>
      </c>
      <c r="CO95" s="117"/>
      <c r="CP95" s="65">
        <f>$C$87*CP$52</f>
        <v>32609.298149968759</v>
      </c>
      <c r="CQ95" s="117"/>
      <c r="CR95" s="65"/>
      <c r="CS95" s="65"/>
      <c r="CT95" s="117"/>
      <c r="CU95" s="117"/>
      <c r="CV95" s="65">
        <f>$C$87*CV$52</f>
        <v>0</v>
      </c>
      <c r="CW95" s="117"/>
      <c r="CX95" s="117"/>
      <c r="CY95" s="72">
        <f t="shared" si="74"/>
        <v>56141.110572208359</v>
      </c>
      <c r="CZ95" s="129"/>
      <c r="DA95" s="72">
        <f t="shared" si="75"/>
        <v>213062.00094795876</v>
      </c>
      <c r="DB95" s="130">
        <f t="shared" si="76"/>
        <v>4.8387019691531023E-2</v>
      </c>
      <c r="DC95" s="117">
        <f t="shared" si="77"/>
        <v>0</v>
      </c>
      <c r="DD95" s="117">
        <f t="shared" si="78"/>
        <v>93117.890992203538</v>
      </c>
      <c r="DE95" s="69"/>
    </row>
    <row r="96" spans="1:109" x14ac:dyDescent="0.25">
      <c r="A96" s="153"/>
      <c r="B96" s="69"/>
      <c r="C96" s="70" t="s">
        <v>329</v>
      </c>
      <c r="D96" s="117">
        <f>$C$87*D$70</f>
        <v>257.40145985009883</v>
      </c>
      <c r="E96" s="117"/>
      <c r="F96" s="117"/>
      <c r="G96" s="117"/>
      <c r="H96" s="117"/>
      <c r="I96" s="117"/>
      <c r="J96" s="117"/>
      <c r="K96" s="117"/>
      <c r="L96" s="117"/>
      <c r="M96" s="117"/>
      <c r="N96" s="117">
        <f>$C$87*N$70</f>
        <v>1287.0072992504943</v>
      </c>
      <c r="O96" s="117"/>
      <c r="P96" s="117"/>
      <c r="Q96" s="117"/>
      <c r="R96" s="117"/>
      <c r="S96" s="117"/>
      <c r="T96" s="117"/>
      <c r="U96" s="117"/>
      <c r="V96" s="117"/>
      <c r="W96" s="117"/>
      <c r="X96" s="117"/>
      <c r="Y96" s="117">
        <f>$C$87*Y$70</f>
        <v>463.322627730178</v>
      </c>
      <c r="Z96" s="117"/>
      <c r="AA96" s="117"/>
      <c r="AB96" s="117"/>
      <c r="AC96" s="117"/>
      <c r="AD96" s="117"/>
      <c r="AE96" s="117"/>
      <c r="AF96" s="117"/>
      <c r="AG96" s="117"/>
      <c r="AH96" s="117"/>
      <c r="AI96" s="117"/>
      <c r="AJ96" s="117"/>
      <c r="AK96" s="117"/>
      <c r="AL96" s="117"/>
      <c r="AM96" s="117"/>
      <c r="AN96" s="117"/>
      <c r="AO96" s="117"/>
      <c r="AP96" s="117"/>
      <c r="AQ96" s="117"/>
      <c r="AR96" s="117"/>
      <c r="AS96" s="117"/>
      <c r="AT96" s="117"/>
      <c r="AU96" s="117"/>
      <c r="AV96" s="117"/>
      <c r="AW96" s="117"/>
      <c r="AX96" s="117"/>
      <c r="AY96" s="117"/>
      <c r="AZ96" s="117"/>
      <c r="BA96" s="117"/>
      <c r="BB96" s="117"/>
      <c r="BC96" s="117"/>
      <c r="BD96" s="117"/>
      <c r="BE96" s="117"/>
      <c r="BF96" s="117">
        <f>$C$87*BF$70</f>
        <v>257.40145985009883</v>
      </c>
      <c r="BG96" s="117"/>
      <c r="BH96" s="117"/>
      <c r="BI96" s="117"/>
      <c r="BJ96" s="117"/>
      <c r="BK96" s="117">
        <f>$C$87*BK$70</f>
        <v>6949.8394159526697</v>
      </c>
      <c r="BL96" s="117"/>
      <c r="BM96" s="117"/>
      <c r="BN96" s="117"/>
      <c r="BO96" s="117"/>
      <c r="BP96" s="117"/>
      <c r="BQ96" s="117"/>
      <c r="BR96" s="117"/>
      <c r="BS96" s="117"/>
      <c r="BT96" s="117">
        <f>$C$87*BT$70</f>
        <v>2252.2627736883655</v>
      </c>
      <c r="BU96" s="117"/>
      <c r="BV96" s="117"/>
      <c r="BW96" s="117">
        <f>$C$87*BW$70</f>
        <v>244.53138685759393</v>
      </c>
      <c r="BX96" s="117"/>
      <c r="BY96" s="117"/>
      <c r="BZ96" s="72">
        <f t="shared" si="73"/>
        <v>11711.766423179499</v>
      </c>
      <c r="CA96" s="129"/>
      <c r="CB96" s="117"/>
      <c r="CC96" s="117"/>
      <c r="CD96" s="117"/>
      <c r="CE96" s="117"/>
      <c r="CF96" s="117"/>
      <c r="CG96" s="117"/>
      <c r="CH96" s="117">
        <f>$C$87*CH$70</f>
        <v>160.86962204805545</v>
      </c>
      <c r="CI96" s="117"/>
      <c r="CJ96" s="117">
        <f>$C$87*CJ$70</f>
        <v>128.70072992504942</v>
      </c>
      <c r="CK96" s="117"/>
      <c r="CL96" s="117"/>
      <c r="CM96" s="117">
        <f>$C$87*CM$70</f>
        <v>188.71074769068829</v>
      </c>
      <c r="CN96" s="117">
        <f>$C$87*CN$70</f>
        <v>1278.0120869439047</v>
      </c>
      <c r="CO96" s="117"/>
      <c r="CP96" s="117">
        <f>$C$87*CP$70</f>
        <v>2433.7899322502949</v>
      </c>
      <c r="CQ96" s="117"/>
      <c r="CR96" s="117"/>
      <c r="CS96" s="117"/>
      <c r="CT96" s="117"/>
      <c r="CU96" s="117"/>
      <c r="CV96" s="117">
        <f>$C$87*CV$70</f>
        <v>6527.0957840946448</v>
      </c>
      <c r="CW96" s="117"/>
      <c r="CX96" s="117"/>
      <c r="CY96" s="72">
        <f t="shared" si="74"/>
        <v>10717.178902952637</v>
      </c>
      <c r="CZ96" s="129"/>
      <c r="DA96" s="72">
        <f t="shared" si="75"/>
        <v>22428.945326132136</v>
      </c>
      <c r="DB96" s="130">
        <f t="shared" si="76"/>
        <v>5.0936807799008225E-3</v>
      </c>
      <c r="DC96" s="117">
        <f t="shared" si="77"/>
        <v>128.70072992504942</v>
      </c>
      <c r="DD96" s="117">
        <f t="shared" si="78"/>
        <v>6949.8394159526697</v>
      </c>
      <c r="DE96" s="69"/>
    </row>
    <row r="97" spans="1:109" x14ac:dyDescent="0.25">
      <c r="A97" s="69"/>
      <c r="B97" s="69"/>
      <c r="C97" s="70" t="s">
        <v>330</v>
      </c>
      <c r="D97" s="117">
        <f>$C$87*D$71</f>
        <v>1296.8853599827087</v>
      </c>
      <c r="E97" s="117"/>
      <c r="F97" s="117"/>
      <c r="G97" s="117"/>
      <c r="H97" s="117"/>
      <c r="I97" s="117"/>
      <c r="J97" s="117"/>
      <c r="K97" s="117"/>
      <c r="L97" s="117"/>
      <c r="M97" s="117"/>
      <c r="N97" s="117">
        <f>$C$87*N$71</f>
        <v>6484.4267999135436</v>
      </c>
      <c r="O97" s="117"/>
      <c r="P97" s="117"/>
      <c r="Q97" s="117"/>
      <c r="R97" s="117"/>
      <c r="S97" s="117"/>
      <c r="T97" s="117"/>
      <c r="U97" s="117"/>
      <c r="V97" s="117"/>
      <c r="W97" s="117"/>
      <c r="X97" s="117"/>
      <c r="Y97" s="117">
        <f>$C$87*Y$71</f>
        <v>2334.3936479688755</v>
      </c>
      <c r="Z97" s="117"/>
      <c r="AA97" s="117"/>
      <c r="AB97" s="117"/>
      <c r="AC97" s="117"/>
      <c r="AD97" s="117"/>
      <c r="AE97" s="117"/>
      <c r="AF97" s="117"/>
      <c r="AG97" s="117"/>
      <c r="AH97" s="117"/>
      <c r="AI97" s="117"/>
      <c r="AJ97" s="117"/>
      <c r="AK97" s="117"/>
      <c r="AL97" s="117"/>
      <c r="AM97" s="117"/>
      <c r="AN97" s="117"/>
      <c r="AO97" s="117"/>
      <c r="AP97" s="117"/>
      <c r="AQ97" s="117"/>
      <c r="AR97" s="117"/>
      <c r="AS97" s="117"/>
      <c r="AT97" s="117"/>
      <c r="AU97" s="117"/>
      <c r="AV97" s="117"/>
      <c r="AW97" s="117"/>
      <c r="AX97" s="117"/>
      <c r="AY97" s="117"/>
      <c r="AZ97" s="117"/>
      <c r="BA97" s="117"/>
      <c r="BB97" s="117"/>
      <c r="BC97" s="117"/>
      <c r="BD97" s="117"/>
      <c r="BE97" s="117"/>
      <c r="BF97" s="117">
        <f>$C$87*BF$71</f>
        <v>1296.8853599827087</v>
      </c>
      <c r="BG97" s="117"/>
      <c r="BH97" s="117"/>
      <c r="BI97" s="117"/>
      <c r="BJ97" s="117"/>
      <c r="BK97" s="117">
        <f>$C$87*BK$71</f>
        <v>35015.904719533137</v>
      </c>
      <c r="BL97" s="117"/>
      <c r="BM97" s="117"/>
      <c r="BN97" s="117"/>
      <c r="BO97" s="117"/>
      <c r="BP97" s="117"/>
      <c r="BQ97" s="117"/>
      <c r="BR97" s="117"/>
      <c r="BS97" s="117"/>
      <c r="BT97" s="117">
        <f>$C$87*BT$71</f>
        <v>11347.746899848704</v>
      </c>
      <c r="BU97" s="117"/>
      <c r="BV97" s="117"/>
      <c r="BW97" s="117">
        <f>$C$87*BW$71</f>
        <v>1232.0410919835733</v>
      </c>
      <c r="BX97" s="117"/>
      <c r="BY97" s="117"/>
      <c r="BZ97" s="72">
        <f t="shared" si="73"/>
        <v>59008.283879213246</v>
      </c>
      <c r="CA97" s="129"/>
      <c r="CB97" s="117"/>
      <c r="CC97" s="117"/>
      <c r="CD97" s="117"/>
      <c r="CE97" s="117"/>
      <c r="CF97" s="117"/>
      <c r="CG97" s="117"/>
      <c r="CH97" s="117">
        <f>$C$87*CH$71</f>
        <v>810.52165679857762</v>
      </c>
      <c r="CI97" s="117"/>
      <c r="CJ97" s="117">
        <f>$C$87*CJ$71</f>
        <v>648.44267999135434</v>
      </c>
      <c r="CK97" s="117"/>
      <c r="CL97" s="117"/>
      <c r="CM97" s="117">
        <f>$C$87*CM$71</f>
        <v>950.79571846239628</v>
      </c>
      <c r="CN97" s="117">
        <f>$C$87*CN$71</f>
        <v>6439.105537333503</v>
      </c>
      <c r="CO97" s="117"/>
      <c r="CP97" s="117">
        <f>$C$87*CP$71</f>
        <v>12262.348994628299</v>
      </c>
      <c r="CQ97" s="117"/>
      <c r="CR97" s="117"/>
      <c r="CS97" s="117"/>
      <c r="CT97" s="117"/>
      <c r="CU97" s="117"/>
      <c r="CV97" s="117">
        <f>$C$87*CV$71</f>
        <v>32885.963313987602</v>
      </c>
      <c r="CW97" s="117"/>
      <c r="CX97" s="117"/>
      <c r="CY97" s="72">
        <f t="shared" si="74"/>
        <v>53997.177901201736</v>
      </c>
      <c r="CZ97" s="129"/>
      <c r="DA97" s="72">
        <f t="shared" si="75"/>
        <v>113005.46178041497</v>
      </c>
      <c r="DB97" s="130">
        <f t="shared" si="76"/>
        <v>2.5663879434583342E-2</v>
      </c>
      <c r="DC97" s="117">
        <f t="shared" si="77"/>
        <v>648.44267999135434</v>
      </c>
      <c r="DD97" s="117">
        <f t="shared" si="78"/>
        <v>35015.904719533137</v>
      </c>
      <c r="DE97" s="69"/>
    </row>
    <row r="98" spans="1:109" x14ac:dyDescent="0.25">
      <c r="A98" s="69"/>
      <c r="B98" s="69"/>
      <c r="C98" s="70" t="s">
        <v>331</v>
      </c>
      <c r="D98" s="117">
        <f>$C$87*D$72</f>
        <v>1324.1646972920271</v>
      </c>
      <c r="E98" s="117"/>
      <c r="F98" s="117"/>
      <c r="G98" s="117"/>
      <c r="H98" s="117"/>
      <c r="I98" s="117"/>
      <c r="J98" s="117"/>
      <c r="K98" s="117"/>
      <c r="L98" s="117"/>
      <c r="M98" s="117"/>
      <c r="N98" s="117">
        <f>$C$87*N$72</f>
        <v>6620.8234864601363</v>
      </c>
      <c r="O98" s="117"/>
      <c r="P98" s="117"/>
      <c r="Q98" s="117"/>
      <c r="R98" s="117"/>
      <c r="S98" s="117"/>
      <c r="T98" s="117"/>
      <c r="U98" s="117"/>
      <c r="V98" s="117"/>
      <c r="W98" s="117"/>
      <c r="X98" s="117"/>
      <c r="Y98" s="117">
        <f>$C$87*Y$72</f>
        <v>2383.4964551256489</v>
      </c>
      <c r="Z98" s="117"/>
      <c r="AA98" s="117"/>
      <c r="AB98" s="117"/>
      <c r="AC98" s="117"/>
      <c r="AD98" s="117"/>
      <c r="AE98" s="117"/>
      <c r="AF98" s="117"/>
      <c r="AG98" s="117"/>
      <c r="AH98" s="117"/>
      <c r="AI98" s="117"/>
      <c r="AJ98" s="117"/>
      <c r="AK98" s="117"/>
      <c r="AL98" s="117"/>
      <c r="AM98" s="117"/>
      <c r="AN98" s="117"/>
      <c r="AO98" s="117"/>
      <c r="AP98" s="117"/>
      <c r="AQ98" s="117"/>
      <c r="AR98" s="117"/>
      <c r="AS98" s="117"/>
      <c r="AT98" s="117"/>
      <c r="AU98" s="117"/>
      <c r="AV98" s="117"/>
      <c r="AW98" s="117"/>
      <c r="AX98" s="117"/>
      <c r="AY98" s="117"/>
      <c r="AZ98" s="117"/>
      <c r="BA98" s="117"/>
      <c r="BB98" s="117"/>
      <c r="BC98" s="117"/>
      <c r="BD98" s="117"/>
      <c r="BE98" s="117"/>
      <c r="BF98" s="117">
        <f>$C$87*BF$72</f>
        <v>1324.1646972920271</v>
      </c>
      <c r="BG98" s="117"/>
      <c r="BH98" s="117"/>
      <c r="BI98" s="117"/>
      <c r="BJ98" s="117"/>
      <c r="BK98" s="117">
        <f>$C$87*BK$72</f>
        <v>35752.446826884734</v>
      </c>
      <c r="BL98" s="117"/>
      <c r="BM98" s="117"/>
      <c r="BN98" s="117"/>
      <c r="BO98" s="117"/>
      <c r="BP98" s="117"/>
      <c r="BQ98" s="117"/>
      <c r="BR98" s="117"/>
      <c r="BS98" s="117"/>
      <c r="BT98" s="117">
        <f>$C$87*BT$72</f>
        <v>11586.441101305241</v>
      </c>
      <c r="BU98" s="117"/>
      <c r="BV98" s="117"/>
      <c r="BW98" s="117">
        <f>$C$87*BW$72</f>
        <v>1257.9564624274258</v>
      </c>
      <c r="BX98" s="117"/>
      <c r="BY98" s="117"/>
      <c r="BZ98" s="72">
        <f t="shared" si="73"/>
        <v>60249.493726787252</v>
      </c>
      <c r="CA98" s="129"/>
      <c r="CB98" s="117"/>
      <c r="CC98" s="117"/>
      <c r="CD98" s="117"/>
      <c r="CE98" s="117"/>
      <c r="CF98" s="117"/>
      <c r="CG98" s="117"/>
      <c r="CH98" s="117">
        <f>$C$87*CH$72</f>
        <v>827.57057596642983</v>
      </c>
      <c r="CI98" s="117"/>
      <c r="CJ98" s="117">
        <f>$C$87*CJ$72</f>
        <v>662.08234864601354</v>
      </c>
      <c r="CK98" s="117"/>
      <c r="CL98" s="117"/>
      <c r="CM98" s="117">
        <f>$C$87*CM$72</f>
        <v>970.79523261878808</v>
      </c>
      <c r="CN98" s="117">
        <f>$C$87*CN$72</f>
        <v>6574.5489137053064</v>
      </c>
      <c r="CO98" s="117"/>
      <c r="CP98" s="117">
        <f>$C$87*CP$72</f>
        <v>12520.28139540234</v>
      </c>
      <c r="CQ98" s="117"/>
      <c r="CR98" s="117"/>
      <c r="CS98" s="117"/>
      <c r="CT98" s="117"/>
      <c r="CU98" s="117"/>
      <c r="CV98" s="117">
        <f>$C$87*CV$72</f>
        <v>33577.703165223262</v>
      </c>
      <c r="CW98" s="117"/>
      <c r="CX98" s="117"/>
      <c r="CY98" s="72">
        <f t="shared" si="74"/>
        <v>55132.981631562143</v>
      </c>
      <c r="CZ98" s="129"/>
      <c r="DA98" s="72">
        <f t="shared" si="75"/>
        <v>115382.47535834939</v>
      </c>
      <c r="DB98" s="130">
        <f t="shared" si="76"/>
        <v>2.6203706350179812E-2</v>
      </c>
      <c r="DC98" s="117">
        <f t="shared" si="77"/>
        <v>662.08234864601354</v>
      </c>
      <c r="DD98" s="117">
        <f t="shared" si="78"/>
        <v>35752.446826884734</v>
      </c>
      <c r="DE98" s="69"/>
    </row>
    <row r="99" spans="1:109" x14ac:dyDescent="0.25">
      <c r="A99" s="69"/>
      <c r="B99" s="69"/>
      <c r="C99" s="143" t="s">
        <v>332</v>
      </c>
      <c r="D99" s="117" t="s">
        <v>630</v>
      </c>
      <c r="E99" s="117"/>
      <c r="F99" s="117"/>
      <c r="G99" s="117"/>
      <c r="H99" s="117"/>
      <c r="I99" s="117"/>
      <c r="J99" s="117"/>
      <c r="K99" s="117"/>
      <c r="L99" s="117"/>
      <c r="M99" s="117"/>
      <c r="N99" s="117" t="s">
        <v>630</v>
      </c>
      <c r="O99" s="117"/>
      <c r="P99" s="117"/>
      <c r="Q99" s="117"/>
      <c r="R99" s="117"/>
      <c r="S99" s="117"/>
      <c r="T99" s="117"/>
      <c r="U99" s="117"/>
      <c r="V99" s="117"/>
      <c r="W99" s="117"/>
      <c r="X99" s="117"/>
      <c r="Y99" s="117" t="s">
        <v>630</v>
      </c>
      <c r="Z99" s="117"/>
      <c r="AA99" s="117"/>
      <c r="AB99" s="117"/>
      <c r="AC99" s="117"/>
      <c r="AD99" s="117"/>
      <c r="AE99" s="117"/>
      <c r="AF99" s="117"/>
      <c r="AG99" s="117"/>
      <c r="AH99" s="117"/>
      <c r="AI99" s="117"/>
      <c r="AJ99" s="117"/>
      <c r="AK99" s="117"/>
      <c r="AL99" s="117"/>
      <c r="AM99" s="117"/>
      <c r="AN99" s="117"/>
      <c r="AO99" s="117"/>
      <c r="AP99" s="117"/>
      <c r="AQ99" s="117"/>
      <c r="AR99" s="117"/>
      <c r="AS99" s="117"/>
      <c r="AT99" s="117"/>
      <c r="AU99" s="117"/>
      <c r="AV99" s="117"/>
      <c r="AW99" s="117"/>
      <c r="AX99" s="117"/>
      <c r="AY99" s="117"/>
      <c r="AZ99" s="117"/>
      <c r="BA99" s="117"/>
      <c r="BB99" s="117"/>
      <c r="BC99" s="117"/>
      <c r="BD99" s="117"/>
      <c r="BE99" s="117"/>
      <c r="BF99" s="117" t="s">
        <v>630</v>
      </c>
      <c r="BG99" s="117"/>
      <c r="BH99" s="117"/>
      <c r="BI99" s="117"/>
      <c r="BJ99" s="117"/>
      <c r="BK99" s="117" t="s">
        <v>630</v>
      </c>
      <c r="BL99" s="117"/>
      <c r="BM99" s="117"/>
      <c r="BN99" s="117"/>
      <c r="BO99" s="117"/>
      <c r="BP99" s="117"/>
      <c r="BQ99" s="117"/>
      <c r="BR99" s="117"/>
      <c r="BS99" s="117"/>
      <c r="BT99" s="117" t="s">
        <v>630</v>
      </c>
      <c r="BU99" s="117"/>
      <c r="BV99" s="117"/>
      <c r="BW99" s="117" t="s">
        <v>630</v>
      </c>
      <c r="BX99" s="117"/>
      <c r="BY99" s="117"/>
      <c r="BZ99" s="117"/>
      <c r="CA99" s="129"/>
      <c r="CB99" s="117"/>
      <c r="CC99" s="117"/>
      <c r="CD99" s="117"/>
      <c r="CE99" s="117"/>
      <c r="CF99" s="117"/>
      <c r="CG99" s="117"/>
      <c r="CH99" s="117" t="s">
        <v>630</v>
      </c>
      <c r="CI99" s="117"/>
      <c r="CJ99" s="117" t="s">
        <v>630</v>
      </c>
      <c r="CK99" s="117"/>
      <c r="CL99" s="117"/>
      <c r="CM99" s="117" t="s">
        <v>630</v>
      </c>
      <c r="CN99" s="117" t="s">
        <v>630</v>
      </c>
      <c r="CO99" s="117"/>
      <c r="CP99" s="117" t="s">
        <v>630</v>
      </c>
      <c r="CQ99" s="117"/>
      <c r="CR99" s="117" t="s">
        <v>630</v>
      </c>
      <c r="CS99" s="117" t="s">
        <v>630</v>
      </c>
      <c r="CT99" s="117"/>
      <c r="CU99" s="117"/>
      <c r="CV99" s="117" t="s">
        <v>630</v>
      </c>
      <c r="CW99" s="117"/>
      <c r="CX99" s="117"/>
      <c r="CY99" s="117"/>
      <c r="CZ99" s="129"/>
      <c r="DA99" s="200">
        <f>SUM(DA100:DA105)</f>
        <v>1128419.5108680434</v>
      </c>
      <c r="DB99" s="69"/>
      <c r="DC99" s="117"/>
      <c r="DD99" s="117"/>
      <c r="DE99" s="69"/>
    </row>
    <row r="100" spans="1:109" x14ac:dyDescent="0.25">
      <c r="A100" s="153"/>
      <c r="B100" s="69"/>
      <c r="C100" s="70" t="s">
        <v>326</v>
      </c>
      <c r="D100" s="65">
        <f>$C$88*D$50</f>
        <v>729.37293231154547</v>
      </c>
      <c r="E100" s="117"/>
      <c r="F100" s="117"/>
      <c r="G100" s="117"/>
      <c r="H100" s="117"/>
      <c r="I100" s="117"/>
      <c r="J100" s="117"/>
      <c r="K100" s="117"/>
      <c r="L100" s="117"/>
      <c r="M100" s="117"/>
      <c r="N100" s="65">
        <f>$C$88*N$50</f>
        <v>3646.8646615577281</v>
      </c>
      <c r="O100" s="117"/>
      <c r="P100" s="117"/>
      <c r="Q100" s="117"/>
      <c r="R100" s="117"/>
      <c r="S100" s="117"/>
      <c r="T100" s="117"/>
      <c r="U100" s="117"/>
      <c r="V100" s="117"/>
      <c r="W100" s="117"/>
      <c r="X100" s="117"/>
      <c r="Y100" s="65">
        <f>$C$88*Y$50</f>
        <v>1312.8712781607821</v>
      </c>
      <c r="Z100" s="117"/>
      <c r="AA100" s="117"/>
      <c r="AB100" s="117"/>
      <c r="AC100" s="117"/>
      <c r="AD100" s="117"/>
      <c r="AE100" s="117"/>
      <c r="AF100" s="117"/>
      <c r="AG100" s="117"/>
      <c r="AH100" s="117"/>
      <c r="AI100" s="117"/>
      <c r="AJ100" s="117"/>
      <c r="AK100" s="117"/>
      <c r="AL100" s="117"/>
      <c r="AM100" s="117"/>
      <c r="AN100" s="117"/>
      <c r="AO100" s="117"/>
      <c r="AP100" s="117"/>
      <c r="AQ100" s="117"/>
      <c r="AR100" s="117"/>
      <c r="AS100" s="117"/>
      <c r="AT100" s="117"/>
      <c r="AU100" s="117"/>
      <c r="AV100" s="117"/>
      <c r="AW100" s="117"/>
      <c r="AX100" s="117"/>
      <c r="AY100" s="117"/>
      <c r="AZ100" s="117"/>
      <c r="BA100" s="117"/>
      <c r="BB100" s="117"/>
      <c r="BC100" s="117"/>
      <c r="BD100" s="117"/>
      <c r="BE100" s="117"/>
      <c r="BF100" s="65">
        <f>$C$88*BF$50</f>
        <v>729.37293231154547</v>
      </c>
      <c r="BG100" s="117"/>
      <c r="BH100" s="117"/>
      <c r="BI100" s="117"/>
      <c r="BJ100" s="117"/>
      <c r="BK100" s="65">
        <f>$C$88*BK$50</f>
        <v>19693.069172411731</v>
      </c>
      <c r="BL100" s="117"/>
      <c r="BM100" s="117"/>
      <c r="BN100" s="117"/>
      <c r="BO100" s="117"/>
      <c r="BP100" s="117"/>
      <c r="BQ100" s="117"/>
      <c r="BR100" s="117"/>
      <c r="BS100" s="117"/>
      <c r="BT100" s="65">
        <f>$C$88*BT$50</f>
        <v>6382.0131577260254</v>
      </c>
      <c r="BU100" s="117"/>
      <c r="BV100" s="117"/>
      <c r="BW100" s="65">
        <f>$C$88*BW$50</f>
        <v>692.90428569596827</v>
      </c>
      <c r="BX100" s="117"/>
      <c r="BY100" s="117"/>
      <c r="BZ100" s="72">
        <f t="shared" ref="BZ100:BZ105" si="79">SUM(D100:BY100)</f>
        <v>33186.468420175326</v>
      </c>
      <c r="CA100" s="129"/>
      <c r="CB100" s="117"/>
      <c r="CC100" s="117"/>
      <c r="CD100" s="117"/>
      <c r="CE100" s="117"/>
      <c r="CF100" s="117"/>
      <c r="CG100" s="117"/>
      <c r="CH100" s="65">
        <f>$C$88*CH$50</f>
        <v>455.84025833175627</v>
      </c>
      <c r="CI100" s="117"/>
      <c r="CJ100" s="65">
        <f>$C$88*CJ$50</f>
        <v>364.68646615577273</v>
      </c>
      <c r="CK100" s="117"/>
      <c r="CL100" s="117"/>
      <c r="CM100" s="65">
        <f>$C$88*CM$50</f>
        <v>534.73088879145575</v>
      </c>
      <c r="CN100" s="65">
        <f>$C$88*CN$50</f>
        <v>3621.3758225253355</v>
      </c>
      <c r="CO100" s="117"/>
      <c r="CP100" s="65">
        <f>$C$88*CP$50</f>
        <v>6896.3886240174861</v>
      </c>
      <c r="CQ100" s="117"/>
      <c r="CR100" s="65">
        <f t="shared" ref="CR100:CS102" si="80">CR50</f>
        <v>58929.977070862951</v>
      </c>
      <c r="CS100" s="65">
        <f t="shared" si="80"/>
        <v>3477.4451082242836</v>
      </c>
      <c r="CT100" s="117"/>
      <c r="CU100" s="117"/>
      <c r="CV100" s="65">
        <f>$C$88*CV$50</f>
        <v>0</v>
      </c>
      <c r="CW100" s="117"/>
      <c r="CX100" s="117"/>
      <c r="CY100" s="72">
        <f t="shared" ref="CY100:CY105" si="81">SUM(CB100:CX100)</f>
        <v>74280.444238909055</v>
      </c>
      <c r="CZ100" s="129"/>
      <c r="DA100" s="72">
        <f t="shared" ref="DA100:DA105" si="82">BZ100+CY100</f>
        <v>107466.91265908438</v>
      </c>
      <c r="DB100" s="130">
        <f t="shared" ref="DB100:DB105" si="83">DA100/DA$11</f>
        <v>2.4406058311135837E-2</v>
      </c>
      <c r="DC100" s="117">
        <f t="shared" ref="DC100:DC105" si="84">MIN(MIN($CB100:$CX100),MIN($D100:$BY100))</f>
        <v>0</v>
      </c>
      <c r="DD100" s="117">
        <f t="shared" ref="DD100:DD105" si="85">MAX(MAX($CB100:$CX100),MAX($D100:$BY100))</f>
        <v>58929.977070862951</v>
      </c>
      <c r="DE100" s="69"/>
    </row>
    <row r="101" spans="1:109" x14ac:dyDescent="0.25">
      <c r="A101" s="153"/>
      <c r="B101" s="69"/>
      <c r="C101" s="70" t="s">
        <v>327</v>
      </c>
      <c r="D101" s="65">
        <f>$C$88*D$51</f>
        <v>283.39399258682158</v>
      </c>
      <c r="E101" s="117"/>
      <c r="F101" s="117"/>
      <c r="G101" s="117"/>
      <c r="H101" s="117"/>
      <c r="I101" s="117"/>
      <c r="J101" s="117"/>
      <c r="K101" s="117"/>
      <c r="L101" s="117"/>
      <c r="M101" s="117"/>
      <c r="N101" s="65">
        <f>$C$88*N$51</f>
        <v>1416.9699629341083</v>
      </c>
      <c r="O101" s="117"/>
      <c r="P101" s="117"/>
      <c r="Q101" s="117"/>
      <c r="R101" s="117"/>
      <c r="S101" s="117"/>
      <c r="T101" s="117"/>
      <c r="U101" s="117"/>
      <c r="V101" s="117"/>
      <c r="W101" s="117"/>
      <c r="X101" s="117"/>
      <c r="Y101" s="65">
        <f>$C$88*Y$51</f>
        <v>510.10918665627889</v>
      </c>
      <c r="Z101" s="117"/>
      <c r="AA101" s="117"/>
      <c r="AB101" s="117"/>
      <c r="AC101" s="117"/>
      <c r="AD101" s="117"/>
      <c r="AE101" s="117"/>
      <c r="AF101" s="117"/>
      <c r="AG101" s="117"/>
      <c r="AH101" s="117"/>
      <c r="AI101" s="117"/>
      <c r="AJ101" s="117"/>
      <c r="AK101" s="117"/>
      <c r="AL101" s="117"/>
      <c r="AM101" s="117"/>
      <c r="AN101" s="117"/>
      <c r="AO101" s="117"/>
      <c r="AP101" s="117"/>
      <c r="AQ101" s="117"/>
      <c r="AR101" s="117"/>
      <c r="AS101" s="117"/>
      <c r="AT101" s="117"/>
      <c r="AU101" s="117"/>
      <c r="AV101" s="117"/>
      <c r="AW101" s="117"/>
      <c r="AX101" s="117"/>
      <c r="AY101" s="117"/>
      <c r="AZ101" s="117"/>
      <c r="BA101" s="117"/>
      <c r="BB101" s="117"/>
      <c r="BC101" s="117"/>
      <c r="BD101" s="117"/>
      <c r="BE101" s="117"/>
      <c r="BF101" s="65">
        <f>$C$88*BF$51</f>
        <v>283.39399258682158</v>
      </c>
      <c r="BG101" s="117"/>
      <c r="BH101" s="117"/>
      <c r="BI101" s="117"/>
      <c r="BJ101" s="117"/>
      <c r="BK101" s="65">
        <f>$C$88*BK$51</f>
        <v>7651.637799844184</v>
      </c>
      <c r="BL101" s="117"/>
      <c r="BM101" s="117"/>
      <c r="BN101" s="117"/>
      <c r="BO101" s="117"/>
      <c r="BP101" s="117"/>
      <c r="BQ101" s="117"/>
      <c r="BR101" s="117"/>
      <c r="BS101" s="117"/>
      <c r="BT101" s="65">
        <f>$C$88*BT$51</f>
        <v>2479.6974351346889</v>
      </c>
      <c r="BU101" s="117"/>
      <c r="BV101" s="117"/>
      <c r="BW101" s="65">
        <f>$C$88*BW$51</f>
        <v>269.22429295748043</v>
      </c>
      <c r="BX101" s="117"/>
      <c r="BY101" s="117"/>
      <c r="BZ101" s="72">
        <f t="shared" si="79"/>
        <v>12894.426662700384</v>
      </c>
      <c r="CA101" s="129"/>
      <c r="CB101" s="117"/>
      <c r="CC101" s="117"/>
      <c r="CD101" s="117"/>
      <c r="CE101" s="117"/>
      <c r="CF101" s="117"/>
      <c r="CG101" s="117"/>
      <c r="CH101" s="65">
        <f>$C$88*CH$51</f>
        <v>177.11431980487234</v>
      </c>
      <c r="CI101" s="117"/>
      <c r="CJ101" s="65">
        <f>$C$88*CJ$51</f>
        <v>141.69699629341079</v>
      </c>
      <c r="CK101" s="117"/>
      <c r="CL101" s="117"/>
      <c r="CM101" s="65">
        <f>$C$88*CM$51</f>
        <v>207.76685673520646</v>
      </c>
      <c r="CN101" s="65">
        <f>$C$88*CN$51</f>
        <v>1407.0664094297301</v>
      </c>
      <c r="CO101" s="117"/>
      <c r="CP101" s="65">
        <f>$C$88*CP$51</f>
        <v>2679.5553001901753</v>
      </c>
      <c r="CQ101" s="117"/>
      <c r="CR101" s="65">
        <f t="shared" si="80"/>
        <v>22896.930699408331</v>
      </c>
      <c r="CS101" s="65">
        <f t="shared" si="80"/>
        <v>1351.142892152528</v>
      </c>
      <c r="CT101" s="117"/>
      <c r="CU101" s="117"/>
      <c r="CV101" s="65">
        <f>$C$88*CV$51</f>
        <v>0</v>
      </c>
      <c r="CW101" s="117"/>
      <c r="CX101" s="117"/>
      <c r="CY101" s="72">
        <f t="shared" si="81"/>
        <v>28861.273474014255</v>
      </c>
      <c r="CZ101" s="129"/>
      <c r="DA101" s="72">
        <f t="shared" si="82"/>
        <v>41755.700136714637</v>
      </c>
      <c r="DB101" s="130">
        <f t="shared" si="83"/>
        <v>9.4828447858347799E-3</v>
      </c>
      <c r="DC101" s="117">
        <f t="shared" si="84"/>
        <v>0</v>
      </c>
      <c r="DD101" s="117">
        <f t="shared" si="85"/>
        <v>22896.930699408331</v>
      </c>
      <c r="DE101" s="69"/>
    </row>
    <row r="102" spans="1:109" x14ac:dyDescent="0.25">
      <c r="A102" s="153"/>
      <c r="B102" s="69"/>
      <c r="C102" s="70" t="s">
        <v>328</v>
      </c>
      <c r="D102" s="65">
        <f>$C$88*D$52</f>
        <v>3359.3971647393037</v>
      </c>
      <c r="E102" s="117"/>
      <c r="F102" s="117"/>
      <c r="G102" s="117"/>
      <c r="H102" s="117"/>
      <c r="I102" s="117"/>
      <c r="J102" s="117"/>
      <c r="K102" s="117"/>
      <c r="L102" s="117"/>
      <c r="M102" s="117"/>
      <c r="N102" s="65">
        <f>$C$88*N$52</f>
        <v>16796.985823696523</v>
      </c>
      <c r="O102" s="117"/>
      <c r="P102" s="117"/>
      <c r="Q102" s="117"/>
      <c r="R102" s="117"/>
      <c r="S102" s="117"/>
      <c r="T102" s="117"/>
      <c r="U102" s="117"/>
      <c r="V102" s="117"/>
      <c r="W102" s="117"/>
      <c r="X102" s="117"/>
      <c r="Y102" s="65">
        <f>$C$88*Y$52</f>
        <v>6046.9148965307477</v>
      </c>
      <c r="Z102" s="117"/>
      <c r="AA102" s="117"/>
      <c r="AB102" s="117"/>
      <c r="AC102" s="117"/>
      <c r="AD102" s="117"/>
      <c r="AE102" s="117"/>
      <c r="AF102" s="117"/>
      <c r="AG102" s="117"/>
      <c r="AH102" s="117"/>
      <c r="AI102" s="117"/>
      <c r="AJ102" s="117"/>
      <c r="AK102" s="117"/>
      <c r="AL102" s="117"/>
      <c r="AM102" s="117"/>
      <c r="AN102" s="117"/>
      <c r="AO102" s="117"/>
      <c r="AP102" s="117"/>
      <c r="AQ102" s="117"/>
      <c r="AR102" s="117"/>
      <c r="AS102" s="117"/>
      <c r="AT102" s="117"/>
      <c r="AU102" s="117"/>
      <c r="AV102" s="117"/>
      <c r="AW102" s="117"/>
      <c r="AX102" s="117"/>
      <c r="AY102" s="117"/>
      <c r="AZ102" s="117"/>
      <c r="BA102" s="117"/>
      <c r="BB102" s="117"/>
      <c r="BC102" s="117"/>
      <c r="BD102" s="117"/>
      <c r="BE102" s="117"/>
      <c r="BF102" s="65">
        <f>$C$88*BF$52</f>
        <v>3359.3971647393037</v>
      </c>
      <c r="BG102" s="117"/>
      <c r="BH102" s="117"/>
      <c r="BI102" s="117"/>
      <c r="BJ102" s="117"/>
      <c r="BK102" s="65">
        <f>$C$88*BK$52</f>
        <v>90703.723447961209</v>
      </c>
      <c r="BL102" s="117"/>
      <c r="BM102" s="117"/>
      <c r="BN102" s="117"/>
      <c r="BO102" s="117"/>
      <c r="BP102" s="117"/>
      <c r="BQ102" s="117"/>
      <c r="BR102" s="117"/>
      <c r="BS102" s="117"/>
      <c r="BT102" s="65">
        <f>$C$88*BT$52</f>
        <v>29394.725191468911</v>
      </c>
      <c r="BU102" s="117"/>
      <c r="BV102" s="117"/>
      <c r="BW102" s="65">
        <f>$C$88*BW$52</f>
        <v>3191.427306502339</v>
      </c>
      <c r="BX102" s="117"/>
      <c r="BY102" s="117"/>
      <c r="BZ102" s="72">
        <f t="shared" si="79"/>
        <v>152852.57099563835</v>
      </c>
      <c r="CA102" s="129"/>
      <c r="CB102" s="117"/>
      <c r="CC102" s="117"/>
      <c r="CD102" s="117"/>
      <c r="CE102" s="117"/>
      <c r="CF102" s="117"/>
      <c r="CG102" s="117"/>
      <c r="CH102" s="65">
        <f>$C$88*CH$52</f>
        <v>2099.5411312571596</v>
      </c>
      <c r="CI102" s="117"/>
      <c r="CJ102" s="65">
        <f>$C$88*CJ$52</f>
        <v>1679.6985823696518</v>
      </c>
      <c r="CK102" s="117"/>
      <c r="CL102" s="117"/>
      <c r="CM102" s="65">
        <f>$C$88*CM$52</f>
        <v>2462.9011471695781</v>
      </c>
      <c r="CN102" s="65">
        <f>$C$88*CN$52</f>
        <v>16679.587535681439</v>
      </c>
      <c r="CO102" s="117"/>
      <c r="CP102" s="65">
        <f>$C$88*CP$52</f>
        <v>31763.871901636234</v>
      </c>
      <c r="CQ102" s="117"/>
      <c r="CR102" s="65">
        <f t="shared" si="80"/>
        <v>271423.83425526996</v>
      </c>
      <c r="CS102" s="65">
        <f t="shared" si="80"/>
        <v>16016.661325889869</v>
      </c>
      <c r="CT102" s="117"/>
      <c r="CU102" s="117"/>
      <c r="CV102" s="65">
        <f>$C$88*CV$52</f>
        <v>0</v>
      </c>
      <c r="CW102" s="117"/>
      <c r="CX102" s="117"/>
      <c r="CY102" s="72">
        <f t="shared" si="81"/>
        <v>342126.0958792739</v>
      </c>
      <c r="CZ102" s="129"/>
      <c r="DA102" s="72">
        <f t="shared" si="82"/>
        <v>494978.66687491222</v>
      </c>
      <c r="DB102" s="130">
        <f t="shared" si="83"/>
        <v>0.11241114039295147</v>
      </c>
      <c r="DC102" s="117">
        <f t="shared" si="84"/>
        <v>0</v>
      </c>
      <c r="DD102" s="117">
        <f t="shared" si="85"/>
        <v>271423.83425526996</v>
      </c>
      <c r="DE102" s="69"/>
    </row>
    <row r="103" spans="1:109" x14ac:dyDescent="0.25">
      <c r="A103" s="153"/>
      <c r="B103" s="69"/>
      <c r="C103" s="70" t="s">
        <v>329</v>
      </c>
      <c r="D103" s="117">
        <f>$C$88*D$70</f>
        <v>250.72808866879998</v>
      </c>
      <c r="E103" s="117"/>
      <c r="F103" s="117"/>
      <c r="G103" s="117"/>
      <c r="H103" s="117"/>
      <c r="I103" s="117"/>
      <c r="J103" s="117"/>
      <c r="K103" s="117"/>
      <c r="L103" s="117"/>
      <c r="M103" s="117"/>
      <c r="N103" s="117">
        <f>$C$88*N$70</f>
        <v>1253.640443344</v>
      </c>
      <c r="O103" s="117"/>
      <c r="P103" s="117"/>
      <c r="Q103" s="117"/>
      <c r="R103" s="117"/>
      <c r="S103" s="117"/>
      <c r="T103" s="117"/>
      <c r="U103" s="117"/>
      <c r="V103" s="117"/>
      <c r="W103" s="117"/>
      <c r="X103" s="117"/>
      <c r="Y103" s="117">
        <f>$C$88*Y$70</f>
        <v>451.31055960383998</v>
      </c>
      <c r="Z103" s="117"/>
      <c r="AA103" s="117"/>
      <c r="AB103" s="117"/>
      <c r="AC103" s="117"/>
      <c r="AD103" s="117"/>
      <c r="AE103" s="117"/>
      <c r="AF103" s="117"/>
      <c r="AG103" s="117"/>
      <c r="AH103" s="117"/>
      <c r="AI103" s="117"/>
      <c r="AJ103" s="117"/>
      <c r="AK103" s="117"/>
      <c r="AL103" s="117"/>
      <c r="AM103" s="117"/>
      <c r="AN103" s="117"/>
      <c r="AO103" s="117"/>
      <c r="AP103" s="117"/>
      <c r="AQ103" s="117"/>
      <c r="AR103" s="117"/>
      <c r="AS103" s="117"/>
      <c r="AT103" s="117"/>
      <c r="AU103" s="117"/>
      <c r="AV103" s="117"/>
      <c r="AW103" s="117"/>
      <c r="AX103" s="117"/>
      <c r="AY103" s="117"/>
      <c r="AZ103" s="117"/>
      <c r="BA103" s="117"/>
      <c r="BB103" s="117"/>
      <c r="BC103" s="117"/>
      <c r="BD103" s="117"/>
      <c r="BE103" s="117"/>
      <c r="BF103" s="117">
        <f>$C$88*BF$70</f>
        <v>250.72808866879998</v>
      </c>
      <c r="BG103" s="117"/>
      <c r="BH103" s="117"/>
      <c r="BI103" s="117"/>
      <c r="BJ103" s="117"/>
      <c r="BK103" s="117">
        <f>$C$88*BK$70</f>
        <v>6769.6583940575993</v>
      </c>
      <c r="BL103" s="117"/>
      <c r="BM103" s="117"/>
      <c r="BN103" s="117"/>
      <c r="BO103" s="117"/>
      <c r="BP103" s="117"/>
      <c r="BQ103" s="117"/>
      <c r="BR103" s="117"/>
      <c r="BS103" s="117"/>
      <c r="BT103" s="117">
        <f>$C$88*BT$70</f>
        <v>2193.8707758520004</v>
      </c>
      <c r="BU103" s="117"/>
      <c r="BV103" s="117"/>
      <c r="BW103" s="117">
        <f>$C$88*BW$70</f>
        <v>238.19168423535999</v>
      </c>
      <c r="BX103" s="117"/>
      <c r="BY103" s="117"/>
      <c r="BZ103" s="72">
        <f t="shared" si="79"/>
        <v>11408.1280344304</v>
      </c>
      <c r="CA103" s="129"/>
      <c r="CB103" s="117"/>
      <c r="CC103" s="117"/>
      <c r="CD103" s="117"/>
      <c r="CE103" s="117"/>
      <c r="CF103" s="117"/>
      <c r="CG103" s="117"/>
      <c r="CH103" s="117">
        <f>$C$88*CH$70</f>
        <v>156.69892814310583</v>
      </c>
      <c r="CI103" s="117"/>
      <c r="CJ103" s="117">
        <f>$C$88*CJ$70</f>
        <v>125.36404433439999</v>
      </c>
      <c r="CK103" s="117"/>
      <c r="CL103" s="117"/>
      <c r="CM103" s="117">
        <f>$C$88*CM$70</f>
        <v>183.81824682463341</v>
      </c>
      <c r="CN103" s="117">
        <f>$C$88*CN$70</f>
        <v>1244.8784402453589</v>
      </c>
      <c r="CO103" s="117"/>
      <c r="CP103" s="117">
        <f>$C$88*CP$70</f>
        <v>2370.6916747475093</v>
      </c>
      <c r="CQ103" s="117"/>
      <c r="CR103" s="117">
        <f t="shared" ref="CR103:CS105" si="86">CR70</f>
        <v>20257.675959330074</v>
      </c>
      <c r="CS103" s="117">
        <f t="shared" si="86"/>
        <v>1195.4010449394093</v>
      </c>
      <c r="CT103" s="117"/>
      <c r="CU103" s="117"/>
      <c r="CV103" s="117">
        <f>$C$88*CV$70</f>
        <v>6357.8747822847827</v>
      </c>
      <c r="CW103" s="117"/>
      <c r="CX103" s="117"/>
      <c r="CY103" s="72">
        <f t="shared" si="81"/>
        <v>31892.403120849274</v>
      </c>
      <c r="CZ103" s="129"/>
      <c r="DA103" s="72">
        <f t="shared" si="82"/>
        <v>43300.531155279677</v>
      </c>
      <c r="DB103" s="130">
        <f t="shared" si="83"/>
        <v>9.8336805452983005E-3</v>
      </c>
      <c r="DC103" s="117">
        <f t="shared" si="84"/>
        <v>125.36404433439999</v>
      </c>
      <c r="DD103" s="117">
        <f t="shared" si="85"/>
        <v>20257.675959330074</v>
      </c>
      <c r="DE103" s="69"/>
    </row>
    <row r="104" spans="1:109" x14ac:dyDescent="0.25">
      <c r="A104" s="153"/>
      <c r="B104" s="69"/>
      <c r="C104" s="70" t="s">
        <v>330</v>
      </c>
      <c r="D104" s="117">
        <f>$C$88*D$71</f>
        <v>1263.2624062053792</v>
      </c>
      <c r="E104" s="117"/>
      <c r="F104" s="117"/>
      <c r="G104" s="117"/>
      <c r="H104" s="117"/>
      <c r="I104" s="117"/>
      <c r="J104" s="117"/>
      <c r="K104" s="117"/>
      <c r="L104" s="117"/>
      <c r="M104" s="117"/>
      <c r="N104" s="117">
        <f>$C$88*N$71</f>
        <v>6316.312031026896</v>
      </c>
      <c r="O104" s="117"/>
      <c r="P104" s="117"/>
      <c r="Q104" s="117"/>
      <c r="R104" s="117"/>
      <c r="S104" s="117"/>
      <c r="T104" s="117"/>
      <c r="U104" s="117"/>
      <c r="V104" s="117"/>
      <c r="W104" s="117"/>
      <c r="X104" s="117"/>
      <c r="Y104" s="117">
        <f>$C$88*Y$71</f>
        <v>2273.8723311696822</v>
      </c>
      <c r="Z104" s="117"/>
      <c r="AA104" s="117"/>
      <c r="AB104" s="117"/>
      <c r="AC104" s="117"/>
      <c r="AD104" s="117"/>
      <c r="AE104" s="117"/>
      <c r="AF104" s="117"/>
      <c r="AG104" s="117"/>
      <c r="AH104" s="117"/>
      <c r="AI104" s="117"/>
      <c r="AJ104" s="117"/>
      <c r="AK104" s="117"/>
      <c r="AL104" s="117"/>
      <c r="AM104" s="117"/>
      <c r="AN104" s="117"/>
      <c r="AO104" s="117"/>
      <c r="AP104" s="117"/>
      <c r="AQ104" s="117"/>
      <c r="AR104" s="117"/>
      <c r="AS104" s="117"/>
      <c r="AT104" s="117"/>
      <c r="AU104" s="117"/>
      <c r="AV104" s="117"/>
      <c r="AW104" s="117"/>
      <c r="AX104" s="117"/>
      <c r="AY104" s="117"/>
      <c r="AZ104" s="117"/>
      <c r="BA104" s="117"/>
      <c r="BB104" s="117"/>
      <c r="BC104" s="117"/>
      <c r="BD104" s="117"/>
      <c r="BE104" s="117"/>
      <c r="BF104" s="117">
        <f>$C$88*BF$71</f>
        <v>1263.2624062053792</v>
      </c>
      <c r="BG104" s="117"/>
      <c r="BH104" s="117"/>
      <c r="BI104" s="117"/>
      <c r="BJ104" s="117"/>
      <c r="BK104" s="117">
        <f>$C$88*BK$71</f>
        <v>34108.084967545241</v>
      </c>
      <c r="BL104" s="117"/>
      <c r="BM104" s="117"/>
      <c r="BN104" s="117"/>
      <c r="BO104" s="117"/>
      <c r="BP104" s="117"/>
      <c r="BQ104" s="117"/>
      <c r="BR104" s="117"/>
      <c r="BS104" s="117"/>
      <c r="BT104" s="117">
        <f>$C$88*BT$71</f>
        <v>11053.54605429707</v>
      </c>
      <c r="BU104" s="117"/>
      <c r="BV104" s="117"/>
      <c r="BW104" s="117">
        <f>$C$88*BW$71</f>
        <v>1200.0992858951101</v>
      </c>
      <c r="BX104" s="117"/>
      <c r="BY104" s="117"/>
      <c r="BZ104" s="72">
        <f t="shared" si="79"/>
        <v>57478.439482344751</v>
      </c>
      <c r="CA104" s="129"/>
      <c r="CB104" s="117"/>
      <c r="CC104" s="117"/>
      <c r="CD104" s="117"/>
      <c r="CE104" s="117"/>
      <c r="CF104" s="117"/>
      <c r="CG104" s="117"/>
      <c r="CH104" s="117">
        <f>$C$88*CH$71</f>
        <v>789.50813236305885</v>
      </c>
      <c r="CI104" s="117"/>
      <c r="CJ104" s="117">
        <f>$C$88*CJ$71</f>
        <v>631.6312031026896</v>
      </c>
      <c r="CK104" s="117"/>
      <c r="CL104" s="117"/>
      <c r="CM104" s="117">
        <f>$C$88*CM$71</f>
        <v>926.14545909485253</v>
      </c>
      <c r="CN104" s="117">
        <f>$C$88*CN$71</f>
        <v>6272.165764143374</v>
      </c>
      <c r="CO104" s="117"/>
      <c r="CP104" s="117">
        <f>$C$88*CP$71</f>
        <v>11944.436242915712</v>
      </c>
      <c r="CQ104" s="117"/>
      <c r="CR104" s="117">
        <f t="shared" si="86"/>
        <v>102065.79012500017</v>
      </c>
      <c r="CS104" s="117">
        <f t="shared" si="86"/>
        <v>6022.880038803155</v>
      </c>
      <c r="CT104" s="117"/>
      <c r="CU104" s="117"/>
      <c r="CV104" s="117">
        <f>$C$88*CV$71</f>
        <v>32033.36426510644</v>
      </c>
      <c r="CW104" s="117"/>
      <c r="CX104" s="117"/>
      <c r="CY104" s="72">
        <f t="shared" si="81"/>
        <v>160685.92123052946</v>
      </c>
      <c r="CZ104" s="129"/>
      <c r="DA104" s="72">
        <f t="shared" si="82"/>
        <v>218164.36071287422</v>
      </c>
      <c r="DB104" s="130">
        <f t="shared" si="83"/>
        <v>4.9545780903383824E-2</v>
      </c>
      <c r="DC104" s="117">
        <f t="shared" si="84"/>
        <v>631.6312031026896</v>
      </c>
      <c r="DD104" s="117">
        <f t="shared" si="85"/>
        <v>102065.79012500017</v>
      </c>
      <c r="DE104" s="69"/>
    </row>
    <row r="105" spans="1:109" x14ac:dyDescent="0.25">
      <c r="A105" s="153"/>
      <c r="B105" s="69"/>
      <c r="C105" s="70" t="s">
        <v>331</v>
      </c>
      <c r="D105" s="117">
        <f>$C$88*D$72</f>
        <v>1289.8345014363078</v>
      </c>
      <c r="E105" s="117"/>
      <c r="F105" s="117"/>
      <c r="G105" s="117"/>
      <c r="H105" s="117"/>
      <c r="I105" s="117"/>
      <c r="J105" s="117"/>
      <c r="K105" s="117"/>
      <c r="L105" s="117"/>
      <c r="M105" s="117"/>
      <c r="N105" s="117">
        <f>$C$88*N$72</f>
        <v>6449.172507181539</v>
      </c>
      <c r="O105" s="117"/>
      <c r="P105" s="117"/>
      <c r="Q105" s="117"/>
      <c r="R105" s="117"/>
      <c r="S105" s="117"/>
      <c r="T105" s="117"/>
      <c r="U105" s="117"/>
      <c r="V105" s="117"/>
      <c r="W105" s="117"/>
      <c r="X105" s="117"/>
      <c r="Y105" s="117">
        <f>$C$88*Y$72</f>
        <v>2321.7021025853542</v>
      </c>
      <c r="Z105" s="117"/>
      <c r="AA105" s="117"/>
      <c r="AB105" s="117"/>
      <c r="AC105" s="117"/>
      <c r="AD105" s="117"/>
      <c r="AE105" s="117"/>
      <c r="AF105" s="117"/>
      <c r="AG105" s="117"/>
      <c r="AH105" s="117"/>
      <c r="AI105" s="117"/>
      <c r="AJ105" s="117"/>
      <c r="AK105" s="117"/>
      <c r="AL105" s="117"/>
      <c r="AM105" s="117"/>
      <c r="AN105" s="117"/>
      <c r="AO105" s="117"/>
      <c r="AP105" s="117"/>
      <c r="AQ105" s="117"/>
      <c r="AR105" s="117"/>
      <c r="AS105" s="117"/>
      <c r="AT105" s="117"/>
      <c r="AU105" s="117"/>
      <c r="AV105" s="117"/>
      <c r="AW105" s="117"/>
      <c r="AX105" s="117"/>
      <c r="AY105" s="117"/>
      <c r="AZ105" s="117"/>
      <c r="BA105" s="117"/>
      <c r="BB105" s="117"/>
      <c r="BC105" s="117"/>
      <c r="BD105" s="117"/>
      <c r="BE105" s="117"/>
      <c r="BF105" s="117">
        <f>$C$88*BF$72</f>
        <v>1289.8345014363078</v>
      </c>
      <c r="BG105" s="117"/>
      <c r="BH105" s="117"/>
      <c r="BI105" s="117"/>
      <c r="BJ105" s="117"/>
      <c r="BK105" s="117">
        <f>$C$88*BK$72</f>
        <v>34825.531538780313</v>
      </c>
      <c r="BL105" s="117"/>
      <c r="BM105" s="117"/>
      <c r="BN105" s="117"/>
      <c r="BO105" s="117"/>
      <c r="BP105" s="117"/>
      <c r="BQ105" s="117"/>
      <c r="BR105" s="117"/>
      <c r="BS105" s="117"/>
      <c r="BT105" s="117">
        <f>$C$88*BT$72</f>
        <v>11286.051887567697</v>
      </c>
      <c r="BU105" s="117"/>
      <c r="BV105" s="117"/>
      <c r="BW105" s="117">
        <f>$C$88*BW$72</f>
        <v>1225.3427763644925</v>
      </c>
      <c r="BX105" s="117"/>
      <c r="BY105" s="117"/>
      <c r="BZ105" s="72">
        <f t="shared" si="79"/>
        <v>58687.469815352008</v>
      </c>
      <c r="CA105" s="129"/>
      <c r="CB105" s="117"/>
      <c r="CC105" s="117"/>
      <c r="CD105" s="117"/>
      <c r="CE105" s="117"/>
      <c r="CF105" s="117"/>
      <c r="CG105" s="117"/>
      <c r="CH105" s="117">
        <f>$C$88*CH$72</f>
        <v>806.11504251544818</v>
      </c>
      <c r="CI105" s="117"/>
      <c r="CJ105" s="117">
        <f>$C$88*CJ$72</f>
        <v>644.91725071815392</v>
      </c>
      <c r="CK105" s="117"/>
      <c r="CL105" s="117"/>
      <c r="CM105" s="117">
        <f>$C$88*CM$72</f>
        <v>945.62646732867131</v>
      </c>
      <c r="CN105" s="117">
        <f>$C$88*CN$72</f>
        <v>6404.0976455722048</v>
      </c>
      <c r="CO105" s="117"/>
      <c r="CP105" s="117">
        <f>$C$88*CP$72</f>
        <v>12195.681507373391</v>
      </c>
      <c r="CQ105" s="117"/>
      <c r="CR105" s="117">
        <f t="shared" si="86"/>
        <v>104212.69316090083</v>
      </c>
      <c r="CS105" s="117">
        <f t="shared" si="86"/>
        <v>6149.5683192185206</v>
      </c>
      <c r="CT105" s="117"/>
      <c r="CU105" s="117"/>
      <c r="CV105" s="117">
        <f>$C$88*CV$72</f>
        <v>32707.170120198949</v>
      </c>
      <c r="CW105" s="117"/>
      <c r="CX105" s="117"/>
      <c r="CY105" s="72">
        <f t="shared" si="81"/>
        <v>164065.86951382618</v>
      </c>
      <c r="CZ105" s="129"/>
      <c r="DA105" s="72">
        <f t="shared" si="82"/>
        <v>222753.33932917818</v>
      </c>
      <c r="DB105" s="130">
        <f t="shared" si="83"/>
        <v>5.0587951716026057E-2</v>
      </c>
      <c r="DC105" s="117">
        <f t="shared" si="84"/>
        <v>644.91725071815392</v>
      </c>
      <c r="DD105" s="117">
        <f t="shared" si="85"/>
        <v>104212.69316090083</v>
      </c>
      <c r="DE105" s="69"/>
    </row>
    <row r="106" spans="1:109" x14ac:dyDescent="0.25">
      <c r="A106" s="69"/>
      <c r="B106" s="69"/>
      <c r="C106" s="143" t="s">
        <v>333</v>
      </c>
      <c r="D106" s="117" t="s">
        <v>631</v>
      </c>
      <c r="E106" s="117"/>
      <c r="F106" s="117"/>
      <c r="G106" s="117"/>
      <c r="H106" s="117"/>
      <c r="I106" s="117"/>
      <c r="J106" s="117"/>
      <c r="K106" s="117"/>
      <c r="L106" s="117"/>
      <c r="M106" s="117"/>
      <c r="N106" s="117" t="s">
        <v>631</v>
      </c>
      <c r="O106" s="117"/>
      <c r="P106" s="117"/>
      <c r="Q106" s="117"/>
      <c r="R106" s="117"/>
      <c r="S106" s="117"/>
      <c r="T106" s="117"/>
      <c r="U106" s="117"/>
      <c r="V106" s="117"/>
      <c r="W106" s="117"/>
      <c r="X106" s="117"/>
      <c r="Y106" s="117" t="s">
        <v>631</v>
      </c>
      <c r="Z106" s="117"/>
      <c r="AA106" s="117"/>
      <c r="AB106" s="117"/>
      <c r="AC106" s="117"/>
      <c r="AD106" s="117"/>
      <c r="AE106" s="117"/>
      <c r="AF106" s="117"/>
      <c r="AG106" s="117"/>
      <c r="AH106" s="117"/>
      <c r="AI106" s="117"/>
      <c r="AJ106" s="117"/>
      <c r="AK106" s="117"/>
      <c r="AL106" s="117"/>
      <c r="AM106" s="117"/>
      <c r="AN106" s="117"/>
      <c r="AO106" s="117"/>
      <c r="AP106" s="117"/>
      <c r="AQ106" s="117"/>
      <c r="AR106" s="117"/>
      <c r="AS106" s="117"/>
      <c r="AT106" s="117"/>
      <c r="AU106" s="117"/>
      <c r="AV106" s="117"/>
      <c r="AW106" s="117"/>
      <c r="AX106" s="117"/>
      <c r="AY106" s="117"/>
      <c r="AZ106" s="117"/>
      <c r="BA106" s="117"/>
      <c r="BB106" s="117"/>
      <c r="BC106" s="117"/>
      <c r="BD106" s="117"/>
      <c r="BE106" s="117"/>
      <c r="BF106" s="117" t="s">
        <v>631</v>
      </c>
      <c r="BG106" s="117"/>
      <c r="BH106" s="117"/>
      <c r="BI106" s="117"/>
      <c r="BJ106" s="117"/>
      <c r="BK106" s="117" t="s">
        <v>631</v>
      </c>
      <c r="BL106" s="117"/>
      <c r="BM106" s="117"/>
      <c r="BN106" s="117"/>
      <c r="BO106" s="117"/>
      <c r="BP106" s="117"/>
      <c r="BQ106" s="117"/>
      <c r="BR106" s="117"/>
      <c r="BS106" s="117"/>
      <c r="BT106" s="117" t="s">
        <v>631</v>
      </c>
      <c r="BU106" s="117"/>
      <c r="BV106" s="117"/>
      <c r="BW106" s="117" t="s">
        <v>631</v>
      </c>
      <c r="BX106" s="117"/>
      <c r="BY106" s="117"/>
      <c r="BZ106" s="117"/>
      <c r="CA106" s="129"/>
      <c r="CB106" s="117"/>
      <c r="CC106" s="117"/>
      <c r="CD106" s="117"/>
      <c r="CE106" s="117"/>
      <c r="CF106" s="117"/>
      <c r="CG106" s="117"/>
      <c r="CH106" s="117" t="s">
        <v>631</v>
      </c>
      <c r="CI106" s="117"/>
      <c r="CJ106" s="117" t="s">
        <v>631</v>
      </c>
      <c r="CK106" s="117"/>
      <c r="CL106" s="117"/>
      <c r="CM106" s="117" t="s">
        <v>631</v>
      </c>
      <c r="CN106" s="117" t="s">
        <v>631</v>
      </c>
      <c r="CO106" s="117"/>
      <c r="CP106" s="117" t="s">
        <v>631</v>
      </c>
      <c r="CQ106" s="117"/>
      <c r="CR106" s="117"/>
      <c r="CS106" s="117"/>
      <c r="CT106" s="117"/>
      <c r="CU106" s="117"/>
      <c r="CV106" s="117" t="s">
        <v>631</v>
      </c>
      <c r="CW106" s="117"/>
      <c r="CX106" s="117"/>
      <c r="CY106" s="117"/>
      <c r="CZ106" s="129"/>
      <c r="DA106" s="200">
        <f>SUM(DA107:DA112)</f>
        <v>391193.54438634467</v>
      </c>
      <c r="DB106" s="69"/>
      <c r="DC106" s="117"/>
      <c r="DD106" s="117"/>
      <c r="DE106" s="69"/>
    </row>
    <row r="107" spans="1:109" x14ac:dyDescent="0.25">
      <c r="A107" s="69"/>
      <c r="B107" s="69"/>
      <c r="C107" s="70" t="s">
        <v>326</v>
      </c>
      <c r="D107" s="65">
        <f>$C$89*D$50</f>
        <v>554.65622229014878</v>
      </c>
      <c r="E107" s="117"/>
      <c r="F107" s="117"/>
      <c r="G107" s="117"/>
      <c r="H107" s="117"/>
      <c r="I107" s="117"/>
      <c r="J107" s="117"/>
      <c r="K107" s="117"/>
      <c r="L107" s="117"/>
      <c r="M107" s="117"/>
      <c r="N107" s="65">
        <f>$C$89*N$50</f>
        <v>2773.281111450744</v>
      </c>
      <c r="O107" s="117"/>
      <c r="P107" s="117"/>
      <c r="Q107" s="117"/>
      <c r="R107" s="117"/>
      <c r="S107" s="117"/>
      <c r="T107" s="117"/>
      <c r="U107" s="117"/>
      <c r="V107" s="117"/>
      <c r="W107" s="117"/>
      <c r="X107" s="117"/>
      <c r="Y107" s="65">
        <f>$C$89*Y$50</f>
        <v>998.38120012226784</v>
      </c>
      <c r="Z107" s="117"/>
      <c r="AA107" s="117"/>
      <c r="AB107" s="117"/>
      <c r="AC107" s="117"/>
      <c r="AD107" s="117"/>
      <c r="AE107" s="117"/>
      <c r="AF107" s="117"/>
      <c r="AG107" s="117"/>
      <c r="AH107" s="117"/>
      <c r="AI107" s="117"/>
      <c r="AJ107" s="117"/>
      <c r="AK107" s="117"/>
      <c r="AL107" s="117"/>
      <c r="AM107" s="117"/>
      <c r="AN107" s="117"/>
      <c r="AO107" s="117"/>
      <c r="AP107" s="117"/>
      <c r="AQ107" s="117"/>
      <c r="AR107" s="117"/>
      <c r="AS107" s="117"/>
      <c r="AT107" s="117"/>
      <c r="AU107" s="117"/>
      <c r="AV107" s="117"/>
      <c r="AW107" s="117"/>
      <c r="AX107" s="117"/>
      <c r="AY107" s="117"/>
      <c r="AZ107" s="117"/>
      <c r="BA107" s="117"/>
      <c r="BB107" s="117"/>
      <c r="BC107" s="117"/>
      <c r="BD107" s="117"/>
      <c r="BE107" s="117"/>
      <c r="BF107" s="65">
        <f>$C$89*BF$50</f>
        <v>554.65622229014878</v>
      </c>
      <c r="BG107" s="117"/>
      <c r="BH107" s="117"/>
      <c r="BI107" s="117"/>
      <c r="BJ107" s="117"/>
      <c r="BK107" s="65">
        <f>$C$89*BK$50</f>
        <v>14975.718001834017</v>
      </c>
      <c r="BL107" s="117"/>
      <c r="BM107" s="117"/>
      <c r="BN107" s="117"/>
      <c r="BO107" s="117"/>
      <c r="BP107" s="117"/>
      <c r="BQ107" s="117"/>
      <c r="BR107" s="117"/>
      <c r="BS107" s="117"/>
      <c r="BT107" s="65">
        <f>$C$89*BT$50</f>
        <v>4853.2419450388024</v>
      </c>
      <c r="BU107" s="117"/>
      <c r="BV107" s="117"/>
      <c r="BW107" s="65">
        <f>$C$89*BW$50</f>
        <v>526.92341117564126</v>
      </c>
      <c r="BX107" s="117"/>
      <c r="BY107" s="117"/>
      <c r="BZ107" s="72">
        <f t="shared" ref="BZ107:BZ112" si="87">SUM(D107:BY107)</f>
        <v>25236.858114201768</v>
      </c>
      <c r="CA107" s="129"/>
      <c r="CB107" s="117"/>
      <c r="CC107" s="117"/>
      <c r="CD107" s="117"/>
      <c r="CE107" s="117"/>
      <c r="CF107" s="117"/>
      <c r="CG107" s="117"/>
      <c r="CH107" s="65">
        <f>$C$89*CH$50</f>
        <v>346.6465842827044</v>
      </c>
      <c r="CI107" s="117"/>
      <c r="CJ107" s="65">
        <f>$C$89*CJ$50</f>
        <v>277.32811114507439</v>
      </c>
      <c r="CK107" s="117"/>
      <c r="CL107" s="117"/>
      <c r="CM107" s="65">
        <f>$C$89*CM$50</f>
        <v>406.63945915700066</v>
      </c>
      <c r="CN107" s="65">
        <f>$C$89*CN$50</f>
        <v>2753.8979638975934</v>
      </c>
      <c r="CO107" s="117"/>
      <c r="CP107" s="65">
        <f>$C$89*CP$50</f>
        <v>5244.4019954505602</v>
      </c>
      <c r="CQ107" s="117"/>
      <c r="CR107" s="65"/>
      <c r="CS107" s="65"/>
      <c r="CT107" s="117"/>
      <c r="CU107" s="117"/>
      <c r="CV107" s="65">
        <f>$C$89*CV$50</f>
        <v>0</v>
      </c>
      <c r="CW107" s="117"/>
      <c r="CX107" s="117"/>
      <c r="CY107" s="72">
        <f t="shared" ref="CY107:CY112" si="88">SUM(CB107:CX107)</f>
        <v>9028.9141139329331</v>
      </c>
      <c r="CZ107" s="129"/>
      <c r="DA107" s="72">
        <f t="shared" ref="DA107:DA112" si="89">BZ107+CY107</f>
        <v>34265.772228134701</v>
      </c>
      <c r="DB107" s="130">
        <f t="shared" ref="DB107:DB112" si="90">DA107/DA$11</f>
        <v>7.7818596848400392E-3</v>
      </c>
      <c r="DC107" s="117">
        <f t="shared" ref="DC107:DC112" si="91">MIN(MIN($CB107:$CX107),MIN($D107:$BY107))</f>
        <v>0</v>
      </c>
      <c r="DD107" s="117">
        <f t="shared" ref="DD107:DD112" si="92">MAX(MAX($CB107:$CX107),MAX($D107:$BY107))</f>
        <v>14975.718001834017</v>
      </c>
      <c r="DE107" s="69"/>
    </row>
    <row r="108" spans="1:109" x14ac:dyDescent="0.25">
      <c r="A108" s="69"/>
      <c r="B108" s="69"/>
      <c r="C108" s="70" t="s">
        <v>327</v>
      </c>
      <c r="D108" s="65">
        <f>$C$89*D$51</f>
        <v>215.50873960975025</v>
      </c>
      <c r="E108" s="117"/>
      <c r="F108" s="117"/>
      <c r="G108" s="117"/>
      <c r="H108" s="117"/>
      <c r="I108" s="117"/>
      <c r="J108" s="117"/>
      <c r="K108" s="117"/>
      <c r="L108" s="117"/>
      <c r="M108" s="117"/>
      <c r="N108" s="65">
        <f>$C$89*N$51</f>
        <v>1077.5436980487516</v>
      </c>
      <c r="O108" s="117"/>
      <c r="P108" s="117"/>
      <c r="Q108" s="117"/>
      <c r="R108" s="117"/>
      <c r="S108" s="117"/>
      <c r="T108" s="117"/>
      <c r="U108" s="117"/>
      <c r="V108" s="117"/>
      <c r="W108" s="117"/>
      <c r="X108" s="117"/>
      <c r="Y108" s="65">
        <f>$C$89*Y$51</f>
        <v>387.91573129755051</v>
      </c>
      <c r="Z108" s="117"/>
      <c r="AA108" s="117"/>
      <c r="AB108" s="117"/>
      <c r="AC108" s="117"/>
      <c r="AD108" s="117"/>
      <c r="AE108" s="117"/>
      <c r="AF108" s="117"/>
      <c r="AG108" s="117"/>
      <c r="AH108" s="117"/>
      <c r="AI108" s="117"/>
      <c r="AJ108" s="117"/>
      <c r="AK108" s="117"/>
      <c r="AL108" s="117"/>
      <c r="AM108" s="117"/>
      <c r="AN108" s="117"/>
      <c r="AO108" s="117"/>
      <c r="AP108" s="117"/>
      <c r="AQ108" s="117"/>
      <c r="AR108" s="117"/>
      <c r="AS108" s="117"/>
      <c r="AT108" s="117"/>
      <c r="AU108" s="117"/>
      <c r="AV108" s="117"/>
      <c r="AW108" s="117"/>
      <c r="AX108" s="117"/>
      <c r="AY108" s="117"/>
      <c r="AZ108" s="117"/>
      <c r="BA108" s="117"/>
      <c r="BB108" s="117"/>
      <c r="BC108" s="117"/>
      <c r="BD108" s="117"/>
      <c r="BE108" s="117"/>
      <c r="BF108" s="65">
        <f>$C$89*BF$51</f>
        <v>215.50873960975025</v>
      </c>
      <c r="BG108" s="117"/>
      <c r="BH108" s="117"/>
      <c r="BI108" s="117"/>
      <c r="BJ108" s="117"/>
      <c r="BK108" s="65">
        <f>$C$89*BK$51</f>
        <v>5818.7359694632578</v>
      </c>
      <c r="BL108" s="117"/>
      <c r="BM108" s="117"/>
      <c r="BN108" s="117"/>
      <c r="BO108" s="117"/>
      <c r="BP108" s="117"/>
      <c r="BQ108" s="117"/>
      <c r="BR108" s="117"/>
      <c r="BS108" s="117"/>
      <c r="BT108" s="65">
        <f>$C$89*BT$51</f>
        <v>1885.7014715853149</v>
      </c>
      <c r="BU108" s="117"/>
      <c r="BV108" s="117"/>
      <c r="BW108" s="65">
        <f>$C$89*BW$51</f>
        <v>204.73330262926271</v>
      </c>
      <c r="BX108" s="117"/>
      <c r="BY108" s="117"/>
      <c r="BZ108" s="72">
        <f t="shared" si="87"/>
        <v>9805.6476522436387</v>
      </c>
      <c r="CA108" s="129"/>
      <c r="CB108" s="117"/>
      <c r="CC108" s="117"/>
      <c r="CD108" s="117"/>
      <c r="CE108" s="117"/>
      <c r="CF108" s="117"/>
      <c r="CG108" s="117"/>
      <c r="CH108" s="65">
        <f>$C$89*CH$51</f>
        <v>134.68769566910444</v>
      </c>
      <c r="CI108" s="117"/>
      <c r="CJ108" s="65">
        <f>$C$89*CJ$51</f>
        <v>107.75436980487513</v>
      </c>
      <c r="CK108" s="117"/>
      <c r="CL108" s="117"/>
      <c r="CM108" s="65">
        <f>$C$89*CM$51</f>
        <v>157.99760968456766</v>
      </c>
      <c r="CN108" s="65">
        <f>$C$89*CN$51</f>
        <v>1070.0124786537872</v>
      </c>
      <c r="CO108" s="117"/>
      <c r="CP108" s="65">
        <f>$C$89*CP$51</f>
        <v>2037.6846389278901</v>
      </c>
      <c r="CQ108" s="117"/>
      <c r="CR108" s="65"/>
      <c r="CS108" s="65"/>
      <c r="CT108" s="117"/>
      <c r="CU108" s="117"/>
      <c r="CV108" s="65">
        <f>$C$89*CV$51</f>
        <v>0</v>
      </c>
      <c r="CW108" s="117"/>
      <c r="CX108" s="117"/>
      <c r="CY108" s="72">
        <f t="shared" si="88"/>
        <v>3508.1367927402243</v>
      </c>
      <c r="CZ108" s="129"/>
      <c r="DA108" s="72">
        <f t="shared" si="89"/>
        <v>13313.784444983863</v>
      </c>
      <c r="DB108" s="130">
        <f t="shared" si="90"/>
        <v>3.0236003944484943E-3</v>
      </c>
      <c r="DC108" s="117">
        <f t="shared" si="91"/>
        <v>0</v>
      </c>
      <c r="DD108" s="117">
        <f t="shared" si="92"/>
        <v>5818.7359694632578</v>
      </c>
      <c r="DE108" s="69"/>
    </row>
    <row r="109" spans="1:109" x14ac:dyDescent="0.25">
      <c r="A109" s="69"/>
      <c r="B109" s="69"/>
      <c r="C109" s="70" t="s">
        <v>328</v>
      </c>
      <c r="D109" s="65">
        <f>$C$89*D$52</f>
        <v>2554.6746499918659</v>
      </c>
      <c r="E109" s="117"/>
      <c r="F109" s="117"/>
      <c r="G109" s="117"/>
      <c r="H109" s="117"/>
      <c r="I109" s="117"/>
      <c r="J109" s="117"/>
      <c r="K109" s="117"/>
      <c r="L109" s="117"/>
      <c r="M109" s="117"/>
      <c r="N109" s="65">
        <f>$C$89*N$52</f>
        <v>12773.373249959333</v>
      </c>
      <c r="O109" s="117"/>
      <c r="P109" s="117"/>
      <c r="Q109" s="117"/>
      <c r="R109" s="117"/>
      <c r="S109" s="117"/>
      <c r="T109" s="117"/>
      <c r="U109" s="117"/>
      <c r="V109" s="117"/>
      <c r="W109" s="117"/>
      <c r="X109" s="117"/>
      <c r="Y109" s="65">
        <f>$C$89*Y$52</f>
        <v>4598.4143699853594</v>
      </c>
      <c r="Z109" s="117"/>
      <c r="AA109" s="117"/>
      <c r="AB109" s="117"/>
      <c r="AC109" s="117"/>
      <c r="AD109" s="117"/>
      <c r="AE109" s="117"/>
      <c r="AF109" s="117"/>
      <c r="AG109" s="117"/>
      <c r="AH109" s="117"/>
      <c r="AI109" s="117"/>
      <c r="AJ109" s="117"/>
      <c r="AK109" s="117"/>
      <c r="AL109" s="117"/>
      <c r="AM109" s="117"/>
      <c r="AN109" s="117"/>
      <c r="AO109" s="117"/>
      <c r="AP109" s="117"/>
      <c r="AQ109" s="117"/>
      <c r="AR109" s="117"/>
      <c r="AS109" s="117"/>
      <c r="AT109" s="117"/>
      <c r="AU109" s="117"/>
      <c r="AV109" s="117"/>
      <c r="AW109" s="117"/>
      <c r="AX109" s="117"/>
      <c r="AY109" s="117"/>
      <c r="AZ109" s="117"/>
      <c r="BA109" s="117"/>
      <c r="BB109" s="117"/>
      <c r="BC109" s="117"/>
      <c r="BD109" s="117"/>
      <c r="BE109" s="117"/>
      <c r="BF109" s="65">
        <f>$C$89*BF$52</f>
        <v>2554.6746499918659</v>
      </c>
      <c r="BG109" s="117"/>
      <c r="BH109" s="117"/>
      <c r="BI109" s="117"/>
      <c r="BJ109" s="117"/>
      <c r="BK109" s="65">
        <f>$C$89*BK$52</f>
        <v>68976.215549780391</v>
      </c>
      <c r="BL109" s="117"/>
      <c r="BM109" s="117"/>
      <c r="BN109" s="117"/>
      <c r="BO109" s="117"/>
      <c r="BP109" s="117"/>
      <c r="BQ109" s="117"/>
      <c r="BR109" s="117"/>
      <c r="BS109" s="117"/>
      <c r="BT109" s="65">
        <f>$C$89*BT$52</f>
        <v>22353.40318742883</v>
      </c>
      <c r="BU109" s="117"/>
      <c r="BV109" s="117"/>
      <c r="BW109" s="65">
        <f>$C$89*BW$52</f>
        <v>2426.940917492273</v>
      </c>
      <c r="BX109" s="117"/>
      <c r="BY109" s="117"/>
      <c r="BZ109" s="72">
        <f t="shared" si="87"/>
        <v>116237.69657462992</v>
      </c>
      <c r="CA109" s="129"/>
      <c r="CB109" s="117"/>
      <c r="CC109" s="117"/>
      <c r="CD109" s="117"/>
      <c r="CE109" s="117"/>
      <c r="CF109" s="117"/>
      <c r="CG109" s="117"/>
      <c r="CH109" s="65">
        <f>$C$89*CH$52</f>
        <v>1596.6092252906155</v>
      </c>
      <c r="CI109" s="117"/>
      <c r="CJ109" s="65">
        <f>$C$89*CJ$52</f>
        <v>1277.3373249959329</v>
      </c>
      <c r="CK109" s="117"/>
      <c r="CL109" s="117"/>
      <c r="CM109" s="65">
        <f>$C$89*CM$52</f>
        <v>1872.9286290262951</v>
      </c>
      <c r="CN109" s="65">
        <f>$C$89*CN$52</f>
        <v>12684.096985309079</v>
      </c>
      <c r="CO109" s="117"/>
      <c r="CP109" s="65">
        <f>$C$89*CP$52</f>
        <v>24155.035666643525</v>
      </c>
      <c r="CQ109" s="117"/>
      <c r="CR109" s="65"/>
      <c r="CS109" s="65"/>
      <c r="CT109" s="117"/>
      <c r="CU109" s="117"/>
      <c r="CV109" s="65">
        <f>$C$89*CV$52</f>
        <v>0</v>
      </c>
      <c r="CW109" s="117"/>
      <c r="CX109" s="117"/>
      <c r="CY109" s="72">
        <f t="shared" si="88"/>
        <v>41586.007831265451</v>
      </c>
      <c r="CZ109" s="129"/>
      <c r="DA109" s="72">
        <f t="shared" si="89"/>
        <v>157823.70440589538</v>
      </c>
      <c r="DB109" s="130">
        <f t="shared" si="90"/>
        <v>3.5842236808541497E-2</v>
      </c>
      <c r="DC109" s="117">
        <f t="shared" si="91"/>
        <v>0</v>
      </c>
      <c r="DD109" s="117">
        <f t="shared" si="92"/>
        <v>68976.215549780391</v>
      </c>
      <c r="DE109" s="69"/>
    </row>
    <row r="110" spans="1:109" x14ac:dyDescent="0.25">
      <c r="A110" s="69"/>
      <c r="B110" s="69"/>
      <c r="C110" s="70" t="s">
        <v>329</v>
      </c>
      <c r="D110" s="117">
        <f>$C$89*D$70</f>
        <v>190.66774803711027</v>
      </c>
      <c r="E110" s="117"/>
      <c r="F110" s="117"/>
      <c r="G110" s="117"/>
      <c r="H110" s="117"/>
      <c r="I110" s="117"/>
      <c r="J110" s="117"/>
      <c r="K110" s="117"/>
      <c r="L110" s="117"/>
      <c r="M110" s="117"/>
      <c r="N110" s="117">
        <f>$C$89*N$70</f>
        <v>953.33874018555139</v>
      </c>
      <c r="O110" s="117"/>
      <c r="P110" s="117"/>
      <c r="Q110" s="117"/>
      <c r="R110" s="117"/>
      <c r="S110" s="117"/>
      <c r="T110" s="117"/>
      <c r="U110" s="117"/>
      <c r="V110" s="117"/>
      <c r="W110" s="117"/>
      <c r="X110" s="117"/>
      <c r="Y110" s="117">
        <f>$C$89*Y$70</f>
        <v>343.20194646679852</v>
      </c>
      <c r="Z110" s="117"/>
      <c r="AA110" s="117"/>
      <c r="AB110" s="117"/>
      <c r="AC110" s="117"/>
      <c r="AD110" s="117"/>
      <c r="AE110" s="117"/>
      <c r="AF110" s="117"/>
      <c r="AG110" s="117"/>
      <c r="AH110" s="117"/>
      <c r="AI110" s="117"/>
      <c r="AJ110" s="117"/>
      <c r="AK110" s="117"/>
      <c r="AL110" s="117"/>
      <c r="AM110" s="117"/>
      <c r="AN110" s="117"/>
      <c r="AO110" s="117"/>
      <c r="AP110" s="117"/>
      <c r="AQ110" s="117"/>
      <c r="AR110" s="117"/>
      <c r="AS110" s="117"/>
      <c r="AT110" s="117"/>
      <c r="AU110" s="117"/>
      <c r="AV110" s="117"/>
      <c r="AW110" s="117"/>
      <c r="AX110" s="117"/>
      <c r="AY110" s="117"/>
      <c r="AZ110" s="117"/>
      <c r="BA110" s="117"/>
      <c r="BB110" s="117"/>
      <c r="BC110" s="117"/>
      <c r="BD110" s="117"/>
      <c r="BE110" s="117"/>
      <c r="BF110" s="117">
        <f>$C$89*BF$70</f>
        <v>190.66774803711027</v>
      </c>
      <c r="BG110" s="117"/>
      <c r="BH110" s="117"/>
      <c r="BI110" s="117"/>
      <c r="BJ110" s="117"/>
      <c r="BK110" s="117">
        <f>$C$89*BK$70</f>
        <v>5148.0291970019771</v>
      </c>
      <c r="BL110" s="117"/>
      <c r="BM110" s="117"/>
      <c r="BN110" s="117"/>
      <c r="BO110" s="117"/>
      <c r="BP110" s="117"/>
      <c r="BQ110" s="117"/>
      <c r="BR110" s="117"/>
      <c r="BS110" s="117"/>
      <c r="BT110" s="117">
        <f>$C$89*BT$70</f>
        <v>1668.3427953247151</v>
      </c>
      <c r="BU110" s="117"/>
      <c r="BV110" s="117"/>
      <c r="BW110" s="117">
        <f>$C$89*BW$70</f>
        <v>181.13436063525475</v>
      </c>
      <c r="BX110" s="117"/>
      <c r="BY110" s="117"/>
      <c r="BZ110" s="72">
        <f t="shared" si="87"/>
        <v>8675.3825356885172</v>
      </c>
      <c r="CA110" s="129"/>
      <c r="CB110" s="117"/>
      <c r="CC110" s="117"/>
      <c r="CD110" s="117"/>
      <c r="CE110" s="117"/>
      <c r="CF110" s="117"/>
      <c r="CG110" s="117"/>
      <c r="CH110" s="117">
        <f>$C$89*CH$70</f>
        <v>119.16268299855957</v>
      </c>
      <c r="CI110" s="117"/>
      <c r="CJ110" s="117">
        <f>$C$89*CJ$70</f>
        <v>95.333874018555136</v>
      </c>
      <c r="CK110" s="117"/>
      <c r="CL110" s="117"/>
      <c r="CM110" s="117">
        <f>$C$89*CM$70</f>
        <v>139.7857390301395</v>
      </c>
      <c r="CN110" s="117">
        <f>$C$89*CN$70</f>
        <v>946.6756199584479</v>
      </c>
      <c r="CO110" s="117"/>
      <c r="CP110" s="117">
        <f>$C$89*CP$70</f>
        <v>1802.8073572224407</v>
      </c>
      <c r="CQ110" s="117"/>
      <c r="CR110" s="117"/>
      <c r="CS110" s="117"/>
      <c r="CT110" s="117"/>
      <c r="CU110" s="117"/>
      <c r="CV110" s="117">
        <f>$C$89*CV$70</f>
        <v>4834.8857659960331</v>
      </c>
      <c r="CW110" s="117"/>
      <c r="CX110" s="117"/>
      <c r="CY110" s="72">
        <f t="shared" si="88"/>
        <v>7938.6510392241762</v>
      </c>
      <c r="CZ110" s="129"/>
      <c r="DA110" s="72">
        <f t="shared" si="89"/>
        <v>16614.033574912693</v>
      </c>
      <c r="DB110" s="130">
        <f t="shared" si="90"/>
        <v>3.773096874000609E-3</v>
      </c>
      <c r="DC110" s="117">
        <f t="shared" si="91"/>
        <v>95.333874018555136</v>
      </c>
      <c r="DD110" s="117">
        <f t="shared" si="92"/>
        <v>5148.0291970019771</v>
      </c>
      <c r="DE110" s="69"/>
    </row>
    <row r="111" spans="1:109" x14ac:dyDescent="0.25">
      <c r="A111" s="69"/>
      <c r="B111" s="69"/>
      <c r="C111" s="70" t="s">
        <v>330</v>
      </c>
      <c r="D111" s="117">
        <f>$C$89*D$71</f>
        <v>960.65582220941383</v>
      </c>
      <c r="E111" s="117"/>
      <c r="F111" s="117"/>
      <c r="G111" s="117"/>
      <c r="H111" s="117"/>
      <c r="I111" s="117"/>
      <c r="J111" s="117"/>
      <c r="K111" s="117"/>
      <c r="L111" s="117"/>
      <c r="M111" s="117"/>
      <c r="N111" s="117">
        <f>$C$89*N$71</f>
        <v>4803.2791110470698</v>
      </c>
      <c r="O111" s="117"/>
      <c r="P111" s="117"/>
      <c r="Q111" s="117"/>
      <c r="R111" s="117"/>
      <c r="S111" s="117"/>
      <c r="T111" s="117"/>
      <c r="U111" s="117"/>
      <c r="V111" s="117"/>
      <c r="W111" s="117"/>
      <c r="X111" s="117"/>
      <c r="Y111" s="117">
        <f>$C$89*Y$71</f>
        <v>1729.180479976945</v>
      </c>
      <c r="Z111" s="117"/>
      <c r="AA111" s="117"/>
      <c r="AB111" s="117"/>
      <c r="AC111" s="117"/>
      <c r="AD111" s="117"/>
      <c r="AE111" s="117"/>
      <c r="AF111" s="117"/>
      <c r="AG111" s="117"/>
      <c r="AH111" s="117"/>
      <c r="AI111" s="117"/>
      <c r="AJ111" s="117"/>
      <c r="AK111" s="117"/>
      <c r="AL111" s="117"/>
      <c r="AM111" s="117"/>
      <c r="AN111" s="117"/>
      <c r="AO111" s="117"/>
      <c r="AP111" s="117"/>
      <c r="AQ111" s="117"/>
      <c r="AR111" s="117"/>
      <c r="AS111" s="117"/>
      <c r="AT111" s="117"/>
      <c r="AU111" s="117"/>
      <c r="AV111" s="117"/>
      <c r="AW111" s="117"/>
      <c r="AX111" s="117"/>
      <c r="AY111" s="117"/>
      <c r="AZ111" s="117"/>
      <c r="BA111" s="117"/>
      <c r="BB111" s="117"/>
      <c r="BC111" s="117"/>
      <c r="BD111" s="117"/>
      <c r="BE111" s="117"/>
      <c r="BF111" s="117">
        <f>$C$89*BF$71</f>
        <v>960.65582220941383</v>
      </c>
      <c r="BG111" s="117"/>
      <c r="BH111" s="117"/>
      <c r="BI111" s="117"/>
      <c r="BJ111" s="117"/>
      <c r="BK111" s="117">
        <f>$C$89*BK$71</f>
        <v>25937.707199654174</v>
      </c>
      <c r="BL111" s="117"/>
      <c r="BM111" s="117"/>
      <c r="BN111" s="117"/>
      <c r="BO111" s="117"/>
      <c r="BP111" s="117"/>
      <c r="BQ111" s="117"/>
      <c r="BR111" s="117"/>
      <c r="BS111" s="117"/>
      <c r="BT111" s="117">
        <f>$C$89*BT$71</f>
        <v>8405.7384443323735</v>
      </c>
      <c r="BU111" s="117"/>
      <c r="BV111" s="117"/>
      <c r="BW111" s="117">
        <f>$C$89*BW$71</f>
        <v>912.6230310989431</v>
      </c>
      <c r="BX111" s="117"/>
      <c r="BY111" s="117"/>
      <c r="BZ111" s="72">
        <f t="shared" si="87"/>
        <v>43709.839910528332</v>
      </c>
      <c r="CA111" s="129"/>
      <c r="CB111" s="117"/>
      <c r="CC111" s="117"/>
      <c r="CD111" s="117"/>
      <c r="CE111" s="117"/>
      <c r="CF111" s="117"/>
      <c r="CG111" s="117"/>
      <c r="CH111" s="117">
        <f>$C$89*CH$71</f>
        <v>600.38641244339078</v>
      </c>
      <c r="CI111" s="117"/>
      <c r="CJ111" s="117">
        <f>$C$89*CJ$71</f>
        <v>480.32791110470691</v>
      </c>
      <c r="CK111" s="117"/>
      <c r="CL111" s="117"/>
      <c r="CM111" s="117">
        <f>$C$89*CM$71</f>
        <v>704.29312478696022</v>
      </c>
      <c r="CN111" s="117">
        <f>$C$89*CN$71</f>
        <v>4769.7078054322237</v>
      </c>
      <c r="CO111" s="117"/>
      <c r="CP111" s="117">
        <f>$C$89*CP$71</f>
        <v>9083.2214775024422</v>
      </c>
      <c r="CQ111" s="117"/>
      <c r="CR111" s="117"/>
      <c r="CS111" s="117"/>
      <c r="CT111" s="117"/>
      <c r="CU111" s="117"/>
      <c r="CV111" s="117">
        <f>$C$89*CV$71</f>
        <v>24359.972825176003</v>
      </c>
      <c r="CW111" s="117"/>
      <c r="CX111" s="117"/>
      <c r="CY111" s="72">
        <f t="shared" si="88"/>
        <v>39997.909556445724</v>
      </c>
      <c r="CZ111" s="129"/>
      <c r="DA111" s="72">
        <f t="shared" si="89"/>
        <v>83707.749466974055</v>
      </c>
      <c r="DB111" s="130">
        <f t="shared" si="90"/>
        <v>1.9010281062654327E-2</v>
      </c>
      <c r="DC111" s="117">
        <f t="shared" si="91"/>
        <v>480.32791110470691</v>
      </c>
      <c r="DD111" s="117">
        <f t="shared" si="92"/>
        <v>25937.707199654174</v>
      </c>
      <c r="DE111" s="69"/>
    </row>
    <row r="112" spans="1:109" x14ac:dyDescent="0.25">
      <c r="A112" s="69"/>
      <c r="B112" s="69"/>
      <c r="C112" s="70" t="s">
        <v>331</v>
      </c>
      <c r="D112" s="117">
        <f>$C$89*D$72</f>
        <v>980.86273873483492</v>
      </c>
      <c r="E112" s="117"/>
      <c r="F112" s="117"/>
      <c r="G112" s="117"/>
      <c r="H112" s="117"/>
      <c r="I112" s="117"/>
      <c r="J112" s="117"/>
      <c r="K112" s="117"/>
      <c r="L112" s="117"/>
      <c r="M112" s="117"/>
      <c r="N112" s="117">
        <f>$C$89*N$72</f>
        <v>4904.3136936741748</v>
      </c>
      <c r="O112" s="117"/>
      <c r="P112" s="117"/>
      <c r="Q112" s="117"/>
      <c r="R112" s="117"/>
      <c r="S112" s="117"/>
      <c r="T112" s="117"/>
      <c r="U112" s="117"/>
      <c r="V112" s="117"/>
      <c r="W112" s="117"/>
      <c r="X112" s="117"/>
      <c r="Y112" s="117">
        <f>$C$89*Y$72</f>
        <v>1765.5529297227029</v>
      </c>
      <c r="Z112" s="117"/>
      <c r="AA112" s="117"/>
      <c r="AB112" s="117"/>
      <c r="AC112" s="117"/>
      <c r="AD112" s="117"/>
      <c r="AE112" s="117"/>
      <c r="AF112" s="117"/>
      <c r="AG112" s="117"/>
      <c r="AH112" s="117"/>
      <c r="AI112" s="117"/>
      <c r="AJ112" s="117"/>
      <c r="AK112" s="117"/>
      <c r="AL112" s="117"/>
      <c r="AM112" s="117"/>
      <c r="AN112" s="117"/>
      <c r="AO112" s="117"/>
      <c r="AP112" s="117"/>
      <c r="AQ112" s="117"/>
      <c r="AR112" s="117"/>
      <c r="AS112" s="117"/>
      <c r="AT112" s="117"/>
      <c r="AU112" s="117"/>
      <c r="AV112" s="117"/>
      <c r="AW112" s="117"/>
      <c r="AX112" s="117"/>
      <c r="AY112" s="117"/>
      <c r="AZ112" s="117"/>
      <c r="BA112" s="117"/>
      <c r="BB112" s="117"/>
      <c r="BC112" s="117"/>
      <c r="BD112" s="117"/>
      <c r="BE112" s="117"/>
      <c r="BF112" s="117">
        <f>$C$89*BF$72</f>
        <v>980.86273873483492</v>
      </c>
      <c r="BG112" s="117"/>
      <c r="BH112" s="117"/>
      <c r="BI112" s="117"/>
      <c r="BJ112" s="117"/>
      <c r="BK112" s="117">
        <f>$C$89*BK$72</f>
        <v>26483.293945840542</v>
      </c>
      <c r="BL112" s="117"/>
      <c r="BM112" s="117"/>
      <c r="BN112" s="117"/>
      <c r="BO112" s="117"/>
      <c r="BP112" s="117"/>
      <c r="BQ112" s="117"/>
      <c r="BR112" s="117"/>
      <c r="BS112" s="117"/>
      <c r="BT112" s="117">
        <f>$C$89*BT$72</f>
        <v>8582.5489639298085</v>
      </c>
      <c r="BU112" s="117"/>
      <c r="BV112" s="117"/>
      <c r="BW112" s="117">
        <f>$C$89*BW$72</f>
        <v>931.81960179809323</v>
      </c>
      <c r="BX112" s="117"/>
      <c r="BY112" s="117"/>
      <c r="BZ112" s="72">
        <f t="shared" si="87"/>
        <v>44629.254612434997</v>
      </c>
      <c r="CA112" s="129"/>
      <c r="CB112" s="117"/>
      <c r="CC112" s="117"/>
      <c r="CD112" s="117"/>
      <c r="CE112" s="117"/>
      <c r="CF112" s="117"/>
      <c r="CG112" s="117"/>
      <c r="CH112" s="117">
        <f>$C$89*CH$72</f>
        <v>613.0152414566146</v>
      </c>
      <c r="CI112" s="117"/>
      <c r="CJ112" s="117">
        <f>$C$89*CJ$72</f>
        <v>490.43136936741746</v>
      </c>
      <c r="CK112" s="117"/>
      <c r="CL112" s="117"/>
      <c r="CM112" s="117">
        <f>$C$89*CM$72</f>
        <v>719.10757971762075</v>
      </c>
      <c r="CN112" s="117">
        <f>$C$89*CN$72</f>
        <v>4870.0362323743011</v>
      </c>
      <c r="CO112" s="117"/>
      <c r="CP112" s="117">
        <f>$C$89*CP$72</f>
        <v>9274.2825151128436</v>
      </c>
      <c r="CQ112" s="117"/>
      <c r="CR112" s="117"/>
      <c r="CS112" s="117"/>
      <c r="CT112" s="117"/>
      <c r="CU112" s="117"/>
      <c r="CV112" s="117">
        <f>$C$89*CV$72</f>
        <v>24872.372714980193</v>
      </c>
      <c r="CW112" s="117"/>
      <c r="CX112" s="117"/>
      <c r="CY112" s="72">
        <f t="shared" si="88"/>
        <v>40839.245653008991</v>
      </c>
      <c r="CZ112" s="129"/>
      <c r="DA112" s="72">
        <f t="shared" si="89"/>
        <v>85468.500265443989</v>
      </c>
      <c r="DB112" s="130">
        <f t="shared" si="90"/>
        <v>1.9410152851985048E-2</v>
      </c>
      <c r="DC112" s="117">
        <f t="shared" si="91"/>
        <v>490.43136936741746</v>
      </c>
      <c r="DD112" s="117">
        <f t="shared" si="92"/>
        <v>26483.293945840542</v>
      </c>
      <c r="DE112" s="69"/>
    </row>
    <row r="113" spans="1:109" x14ac:dyDescent="0.25">
      <c r="A113" s="69"/>
      <c r="B113" s="69"/>
      <c r="C113" s="69"/>
      <c r="D113" s="174"/>
      <c r="E113" s="69"/>
      <c r="F113" s="69"/>
      <c r="G113" s="69"/>
      <c r="H113" s="69"/>
      <c r="I113" s="69"/>
      <c r="J113" s="69"/>
      <c r="K113" s="69"/>
      <c r="L113" s="69"/>
      <c r="M113" s="69"/>
      <c r="N113" s="174"/>
      <c r="O113" s="69"/>
      <c r="P113" s="69"/>
      <c r="Q113" s="69"/>
      <c r="R113" s="69"/>
      <c r="S113" s="69"/>
      <c r="T113" s="69"/>
      <c r="U113" s="69"/>
      <c r="V113" s="69"/>
      <c r="W113" s="69"/>
      <c r="X113" s="69"/>
      <c r="Y113" s="174"/>
      <c r="Z113" s="69"/>
      <c r="AA113" s="69"/>
      <c r="AB113" s="69"/>
      <c r="AC113" s="69"/>
      <c r="AD113" s="69"/>
      <c r="AE113" s="69"/>
      <c r="AF113" s="69"/>
      <c r="AG113" s="69"/>
      <c r="AH113" s="69"/>
      <c r="AI113" s="69"/>
      <c r="AJ113" s="69"/>
      <c r="AK113" s="69"/>
      <c r="AL113" s="69"/>
      <c r="AM113" s="69"/>
      <c r="AN113" s="69"/>
      <c r="AO113" s="69"/>
      <c r="AP113" s="69"/>
      <c r="AQ113" s="69"/>
      <c r="AR113" s="69"/>
      <c r="AS113" s="69"/>
      <c r="AT113" s="69"/>
      <c r="AU113" s="69"/>
      <c r="AV113" s="69"/>
      <c r="AW113" s="69"/>
      <c r="AX113" s="69"/>
      <c r="AY113" s="69"/>
      <c r="AZ113" s="69"/>
      <c r="BA113" s="69"/>
      <c r="BB113" s="69"/>
      <c r="BC113" s="69"/>
      <c r="BD113" s="69"/>
      <c r="BE113" s="69"/>
      <c r="BF113" s="174"/>
      <c r="BG113" s="69"/>
      <c r="BH113" s="69"/>
      <c r="BI113" s="69"/>
      <c r="BJ113" s="69"/>
      <c r="BK113" s="174"/>
      <c r="BL113" s="69"/>
      <c r="BM113" s="69"/>
      <c r="BN113" s="69"/>
      <c r="BO113" s="69"/>
      <c r="BP113" s="69"/>
      <c r="BQ113" s="69"/>
      <c r="BR113" s="69"/>
      <c r="BS113" s="69"/>
      <c r="BT113" s="174"/>
      <c r="BU113" s="69"/>
      <c r="BV113" s="69"/>
      <c r="BW113" s="174"/>
      <c r="BX113" s="69"/>
      <c r="BY113" s="69"/>
      <c r="BZ113" s="69"/>
      <c r="CA113" s="76"/>
      <c r="CB113" s="69"/>
      <c r="CC113" s="69"/>
      <c r="CD113" s="69"/>
      <c r="CE113" s="69"/>
      <c r="CF113" s="69"/>
      <c r="CG113" s="69"/>
      <c r="CH113" s="174"/>
      <c r="CI113" s="69"/>
      <c r="CJ113" s="174"/>
      <c r="CK113" s="69"/>
      <c r="CL113" s="69"/>
      <c r="CM113" s="174"/>
      <c r="CN113" s="174"/>
      <c r="CO113" s="69"/>
      <c r="CP113" s="174"/>
      <c r="CQ113" s="69"/>
      <c r="CR113" s="174"/>
      <c r="CS113" s="174"/>
      <c r="CT113" s="69"/>
      <c r="CU113" s="69"/>
      <c r="CV113" s="174"/>
      <c r="CW113" s="69"/>
      <c r="CX113" s="69"/>
      <c r="CY113" s="69"/>
      <c r="CZ113" s="76"/>
      <c r="DA113" s="69"/>
      <c r="DB113" s="69"/>
      <c r="DC113" s="69"/>
      <c r="DD113" s="69"/>
      <c r="DE113" s="69"/>
    </row>
    <row r="114" spans="1:109" ht="26.1" customHeight="1" x14ac:dyDescent="0.25">
      <c r="A114" s="255" t="s">
        <v>701</v>
      </c>
      <c r="B114" s="255"/>
      <c r="C114" s="255"/>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c r="AE114" s="69"/>
      <c r="AF114" s="69"/>
      <c r="AG114" s="69"/>
      <c r="AH114" s="69"/>
      <c r="AI114" s="69"/>
      <c r="AJ114" s="69"/>
      <c r="AK114" s="69"/>
      <c r="AL114" s="69"/>
      <c r="AM114" s="69"/>
      <c r="AN114" s="69"/>
      <c r="AO114" s="69"/>
      <c r="AP114" s="69"/>
      <c r="AQ114" s="69"/>
      <c r="AR114" s="69"/>
      <c r="AS114" s="69"/>
      <c r="AT114" s="69"/>
      <c r="AU114" s="69"/>
      <c r="AV114" s="69"/>
      <c r="AW114" s="69"/>
      <c r="AX114" s="69"/>
      <c r="AY114" s="69"/>
      <c r="AZ114" s="69"/>
      <c r="BA114" s="69"/>
      <c r="BB114" s="69"/>
      <c r="BC114" s="69"/>
      <c r="BD114" s="69"/>
      <c r="BE114" s="69"/>
      <c r="BF114" s="69"/>
      <c r="BG114" s="69"/>
      <c r="BH114" s="69"/>
      <c r="BI114" s="69"/>
      <c r="BJ114" s="69"/>
      <c r="BK114" s="69"/>
      <c r="BL114" s="69"/>
      <c r="BM114" s="69"/>
      <c r="BN114" s="69"/>
      <c r="BO114" s="69"/>
      <c r="BP114" s="69"/>
      <c r="BQ114" s="69"/>
      <c r="BR114" s="69"/>
      <c r="BS114" s="69"/>
      <c r="BT114" s="69"/>
      <c r="BU114" s="69"/>
      <c r="BV114" s="69"/>
      <c r="BW114" s="69"/>
      <c r="BX114" s="69"/>
      <c r="BY114" s="69"/>
      <c r="BZ114" s="69"/>
      <c r="CA114" s="76"/>
      <c r="CB114" s="69"/>
      <c r="CC114" s="69"/>
      <c r="CD114" s="69"/>
      <c r="CE114" s="69"/>
      <c r="CF114" s="69"/>
      <c r="CG114" s="69"/>
      <c r="CH114" s="69"/>
      <c r="CI114" s="69"/>
      <c r="CJ114" s="69"/>
      <c r="CK114" s="69"/>
      <c r="CL114" s="69"/>
      <c r="CM114" s="69"/>
      <c r="CN114" s="69"/>
      <c r="CO114" s="69"/>
      <c r="CP114" s="69"/>
      <c r="CQ114" s="69"/>
      <c r="CR114" s="69"/>
      <c r="CS114" s="69"/>
      <c r="CT114" s="69"/>
      <c r="CU114" s="69"/>
      <c r="CV114" s="69"/>
      <c r="CW114" s="69"/>
      <c r="CX114" s="69"/>
      <c r="CY114" s="69"/>
      <c r="CZ114" s="76"/>
      <c r="DA114" s="201">
        <f>SUM(DA115:DA120)</f>
        <v>4379878.7878787881</v>
      </c>
      <c r="DB114" s="69"/>
      <c r="DC114" s="69"/>
      <c r="DD114" s="69"/>
      <c r="DE114" s="69"/>
    </row>
    <row r="115" spans="1:109" x14ac:dyDescent="0.25">
      <c r="A115" s="69"/>
      <c r="B115" s="69"/>
      <c r="C115" s="70" t="s">
        <v>326</v>
      </c>
      <c r="D115" s="117">
        <f>D45+D50</f>
        <v>2032.815054693395</v>
      </c>
      <c r="E115" s="117">
        <f t="shared" ref="E115:BJ115" si="93">E45+E50</f>
        <v>4065.6301093867901</v>
      </c>
      <c r="F115" s="117">
        <f t="shared" si="93"/>
        <v>0</v>
      </c>
      <c r="G115" s="117">
        <f t="shared" si="93"/>
        <v>2381.4232416937616</v>
      </c>
      <c r="H115" s="117">
        <f t="shared" si="93"/>
        <v>8796.0824232628293</v>
      </c>
      <c r="I115" s="117">
        <f t="shared" si="93"/>
        <v>794.07412566992195</v>
      </c>
      <c r="J115" s="117">
        <f t="shared" si="93"/>
        <v>398.63533346697017</v>
      </c>
      <c r="K115" s="117">
        <f t="shared" si="93"/>
        <v>1759.0300197454976</v>
      </c>
      <c r="L115" s="117">
        <f t="shared" si="93"/>
        <v>0</v>
      </c>
      <c r="M115" s="117">
        <f t="shared" si="93"/>
        <v>8436.1824769775903</v>
      </c>
      <c r="N115" s="117">
        <f t="shared" si="93"/>
        <v>10164.075273466977</v>
      </c>
      <c r="O115" s="117">
        <f t="shared" si="93"/>
        <v>280.7628743562891</v>
      </c>
      <c r="P115" s="117">
        <f t="shared" si="93"/>
        <v>4828.242390080567</v>
      </c>
      <c r="Q115" s="117">
        <f t="shared" si="93"/>
        <v>181.13733829438004</v>
      </c>
      <c r="R115" s="117">
        <f t="shared" si="93"/>
        <v>0</v>
      </c>
      <c r="S115" s="117">
        <f t="shared" si="93"/>
        <v>0</v>
      </c>
      <c r="T115" s="117">
        <f t="shared" si="93"/>
        <v>0</v>
      </c>
      <c r="U115" s="117">
        <f t="shared" si="93"/>
        <v>0</v>
      </c>
      <c r="V115" s="117">
        <f t="shared" si="93"/>
        <v>0</v>
      </c>
      <c r="W115" s="117">
        <f t="shared" si="93"/>
        <v>1688.8393011564256</v>
      </c>
      <c r="X115" s="117">
        <f t="shared" si="93"/>
        <v>105.88542937061187</v>
      </c>
      <c r="Y115" s="117">
        <f t="shared" si="93"/>
        <v>3659.0670984481117</v>
      </c>
      <c r="Z115" s="117">
        <f t="shared" si="93"/>
        <v>1897.5468078529652</v>
      </c>
      <c r="AA115" s="117">
        <f t="shared" si="93"/>
        <v>0</v>
      </c>
      <c r="AB115" s="117">
        <f t="shared" si="93"/>
        <v>0</v>
      </c>
      <c r="AC115" s="117">
        <f t="shared" si="93"/>
        <v>0</v>
      </c>
      <c r="AD115" s="117">
        <f t="shared" si="93"/>
        <v>0</v>
      </c>
      <c r="AE115" s="117">
        <f t="shared" si="93"/>
        <v>0</v>
      </c>
      <c r="AF115" s="117">
        <f t="shared" si="93"/>
        <v>0</v>
      </c>
      <c r="AG115" s="117">
        <f t="shared" si="93"/>
        <v>0</v>
      </c>
      <c r="AH115" s="117">
        <f t="shared" si="93"/>
        <v>0</v>
      </c>
      <c r="AI115" s="117">
        <f t="shared" si="93"/>
        <v>559.52791042256661</v>
      </c>
      <c r="AJ115" s="117">
        <f t="shared" si="93"/>
        <v>0</v>
      </c>
      <c r="AK115" s="117">
        <f t="shared" si="93"/>
        <v>0</v>
      </c>
      <c r="AL115" s="117">
        <f t="shared" si="93"/>
        <v>4751.3922105247884</v>
      </c>
      <c r="AM115" s="117">
        <f t="shared" si="93"/>
        <v>0</v>
      </c>
      <c r="AN115" s="117">
        <f t="shared" si="93"/>
        <v>0</v>
      </c>
      <c r="AO115" s="117">
        <f t="shared" si="93"/>
        <v>2593.0811394155876</v>
      </c>
      <c r="AP115" s="117">
        <f t="shared" si="93"/>
        <v>456.14144262450526</v>
      </c>
      <c r="AQ115" s="117">
        <f t="shared" si="93"/>
        <v>0</v>
      </c>
      <c r="AR115" s="117">
        <f t="shared" si="93"/>
        <v>3063.3520446843686</v>
      </c>
      <c r="AS115" s="117">
        <f t="shared" si="93"/>
        <v>711.48526914268837</v>
      </c>
      <c r="AT115" s="117">
        <f t="shared" si="93"/>
        <v>724.59139052020839</v>
      </c>
      <c r="AU115" s="117">
        <f t="shared" si="93"/>
        <v>0</v>
      </c>
      <c r="AV115" s="117">
        <f t="shared" si="93"/>
        <v>709.36578217343242</v>
      </c>
      <c r="AW115" s="117">
        <f t="shared" si="93"/>
        <v>944.71113273679236</v>
      </c>
      <c r="AX115" s="117">
        <f t="shared" si="93"/>
        <v>0</v>
      </c>
      <c r="AY115" s="117">
        <f t="shared" si="93"/>
        <v>1779.4079703036155</v>
      </c>
      <c r="AZ115" s="117">
        <f t="shared" si="93"/>
        <v>597.48683793278599</v>
      </c>
      <c r="BA115" s="117">
        <f>BA45+BA50</f>
        <v>320.98601859518817</v>
      </c>
      <c r="BB115" s="117">
        <f t="shared" si="93"/>
        <v>423.94128514044974</v>
      </c>
      <c r="BC115" s="117">
        <f t="shared" si="93"/>
        <v>2579.3424216242383</v>
      </c>
      <c r="BD115" s="117">
        <f t="shared" si="93"/>
        <v>1420.5962134175425</v>
      </c>
      <c r="BE115" s="117">
        <f t="shared" si="93"/>
        <v>0</v>
      </c>
      <c r="BF115" s="117">
        <f t="shared" si="93"/>
        <v>2032.815054693395</v>
      </c>
      <c r="BG115" s="117">
        <f t="shared" si="93"/>
        <v>6438.5000518298702</v>
      </c>
      <c r="BH115" s="117">
        <f t="shared" si="93"/>
        <v>1016.4075273466975</v>
      </c>
      <c r="BI115" s="117">
        <f t="shared" si="93"/>
        <v>0.26637843866820593</v>
      </c>
      <c r="BJ115" s="117">
        <f t="shared" si="93"/>
        <v>13213.297855507066</v>
      </c>
      <c r="BK115" s="117">
        <f t="shared" ref="BK115:BY115" si="94">BK45+BK50</f>
        <v>54886.006476721668</v>
      </c>
      <c r="BL115" s="117">
        <f t="shared" si="94"/>
        <v>62000.859168148549</v>
      </c>
      <c r="BM115" s="117">
        <f t="shared" si="94"/>
        <v>639.84100968103064</v>
      </c>
      <c r="BN115" s="117">
        <f t="shared" si="94"/>
        <v>477.08378365475687</v>
      </c>
      <c r="BO115" s="117">
        <f t="shared" si="94"/>
        <v>9363.4684976261087</v>
      </c>
      <c r="BP115" s="117">
        <f t="shared" si="94"/>
        <v>15246.112910200462</v>
      </c>
      <c r="BQ115" s="117">
        <f t="shared" si="94"/>
        <v>625.85614165095001</v>
      </c>
      <c r="BR115" s="117">
        <f t="shared" si="94"/>
        <v>44303.928730076681</v>
      </c>
      <c r="BS115" s="117">
        <f t="shared" si="94"/>
        <v>0</v>
      </c>
      <c r="BT115" s="117">
        <f t="shared" si="94"/>
        <v>17787.131728567212</v>
      </c>
      <c r="BU115" s="117">
        <f t="shared" si="94"/>
        <v>0</v>
      </c>
      <c r="BV115" s="117">
        <f t="shared" si="94"/>
        <v>0</v>
      </c>
      <c r="BW115" s="117">
        <f t="shared" si="94"/>
        <v>1931.1743019587252</v>
      </c>
      <c r="BX115" s="117">
        <f t="shared" si="94"/>
        <v>148.03980603583378</v>
      </c>
      <c r="BY115" s="117">
        <f t="shared" si="94"/>
        <v>0</v>
      </c>
      <c r="BZ115" s="72">
        <f t="shared" ref="BZ115:BZ123" si="95">SUM(D115:BY115)</f>
        <v>303215.62778931943</v>
      </c>
      <c r="CA115" s="129"/>
      <c r="CB115" s="117">
        <f t="shared" ref="CB115:CX115" si="96">CB45+CB50</f>
        <v>6521.3225146818759</v>
      </c>
      <c r="CC115" s="117">
        <f t="shared" si="96"/>
        <v>2336.6832818437611</v>
      </c>
      <c r="CD115" s="117">
        <f t="shared" si="96"/>
        <v>7083.0047949189484</v>
      </c>
      <c r="CE115" s="117">
        <f t="shared" si="96"/>
        <v>3622.9569526010418</v>
      </c>
      <c r="CF115" s="117">
        <f t="shared" si="96"/>
        <v>2898.3655620808336</v>
      </c>
      <c r="CG115" s="117">
        <f t="shared" si="96"/>
        <v>3622.9569526010418</v>
      </c>
      <c r="CH115" s="117">
        <f t="shared" si="96"/>
        <v>1270.4597313961117</v>
      </c>
      <c r="CI115" s="117">
        <f t="shared" si="96"/>
        <v>1270.5590869706323</v>
      </c>
      <c r="CJ115" s="117">
        <f t="shared" si="96"/>
        <v>1016.4075273466975</v>
      </c>
      <c r="CK115" s="117">
        <f t="shared" si="96"/>
        <v>1016.4075273466975</v>
      </c>
      <c r="CL115" s="117">
        <f t="shared" si="96"/>
        <v>40.636429978963768</v>
      </c>
      <c r="CM115" s="117">
        <f t="shared" si="96"/>
        <v>1490.3336178104073</v>
      </c>
      <c r="CN115" s="117">
        <f t="shared" si="96"/>
        <v>10093.03603768468</v>
      </c>
      <c r="CO115" s="117">
        <f t="shared" si="96"/>
        <v>457.43306509327431</v>
      </c>
      <c r="CP115" s="117">
        <f t="shared" si="96"/>
        <v>19220.733313326302</v>
      </c>
      <c r="CQ115" s="117">
        <f t="shared" si="96"/>
        <v>968.71685157676472</v>
      </c>
      <c r="CR115" s="117">
        <f t="shared" si="96"/>
        <v>58929.977070862951</v>
      </c>
      <c r="CS115" s="117">
        <f t="shared" si="96"/>
        <v>3477.4451082242836</v>
      </c>
      <c r="CT115" s="117">
        <f t="shared" si="96"/>
        <v>0</v>
      </c>
      <c r="CU115" s="117">
        <f t="shared" si="96"/>
        <v>0</v>
      </c>
      <c r="CV115" s="117">
        <f t="shared" si="96"/>
        <v>0</v>
      </c>
      <c r="CW115" s="117">
        <f t="shared" si="96"/>
        <v>0</v>
      </c>
      <c r="CX115" s="117">
        <f t="shared" si="96"/>
        <v>0</v>
      </c>
      <c r="CY115" s="72">
        <f t="shared" ref="CY115:CY122" si="97">SUM(CB115:CX115)</f>
        <v>125337.43542634527</v>
      </c>
      <c r="CZ115" s="129"/>
      <c r="DA115" s="72">
        <f t="shared" ref="DA115:DA120" si="98">BZ115+CY115</f>
        <v>428553.0632156647</v>
      </c>
      <c r="DB115" s="130">
        <f t="shared" ref="DB115:DB120" si="99">DA115/DA$11</f>
        <v>9.7325686496989458E-2</v>
      </c>
      <c r="DC115" s="117">
        <f t="shared" ref="DC115:DC120" si="100">MIN(MIN($CB115:$CX115),MIN($D115:$BY115))</f>
        <v>0</v>
      </c>
      <c r="DD115" s="117">
        <f t="shared" ref="DD115:DD120" si="101">MAX(MAX($CB115:$CX115),MAX($D115:$BY115))</f>
        <v>62000.859168148549</v>
      </c>
      <c r="DE115" s="69"/>
    </row>
    <row r="116" spans="1:109" x14ac:dyDescent="0.25">
      <c r="A116" s="69"/>
      <c r="B116" s="69"/>
      <c r="C116" s="70" t="s">
        <v>327</v>
      </c>
      <c r="D116" s="117">
        <f>D46+D51</f>
        <v>789.8395306697347</v>
      </c>
      <c r="E116" s="117">
        <f t="shared" ref="E116:BJ116" si="102">E46+E51</f>
        <v>1579.6790613394694</v>
      </c>
      <c r="F116" s="117">
        <f t="shared" si="102"/>
        <v>0</v>
      </c>
      <c r="G116" s="117">
        <f t="shared" si="102"/>
        <v>925.28939669285205</v>
      </c>
      <c r="H116" s="117">
        <f t="shared" si="102"/>
        <v>3417.6712716101415</v>
      </c>
      <c r="I116" s="117">
        <f t="shared" si="102"/>
        <v>308.53329883013333</v>
      </c>
      <c r="J116" s="117">
        <f t="shared" si="102"/>
        <v>154.88764901016253</v>
      </c>
      <c r="K116" s="117">
        <f t="shared" si="102"/>
        <v>683.46180436926716</v>
      </c>
      <c r="L116" s="117">
        <f t="shared" si="102"/>
        <v>0</v>
      </c>
      <c r="M116" s="117">
        <f t="shared" si="102"/>
        <v>3277.8340522793997</v>
      </c>
      <c r="N116" s="117">
        <f t="shared" si="102"/>
        <v>3949.1976533486745</v>
      </c>
      <c r="O116" s="117">
        <f t="shared" si="102"/>
        <v>109.08892887184183</v>
      </c>
      <c r="P116" s="117">
        <f t="shared" si="102"/>
        <v>1875.988026818377</v>
      </c>
      <c r="Q116" s="117">
        <f t="shared" si="102"/>
        <v>70.379954110865697</v>
      </c>
      <c r="R116" s="117">
        <f t="shared" si="102"/>
        <v>0</v>
      </c>
      <c r="S116" s="117">
        <f t="shared" si="102"/>
        <v>0</v>
      </c>
      <c r="T116" s="117">
        <f t="shared" si="102"/>
        <v>0</v>
      </c>
      <c r="U116" s="117">
        <f t="shared" si="102"/>
        <v>0</v>
      </c>
      <c r="V116" s="117">
        <f t="shared" si="102"/>
        <v>0</v>
      </c>
      <c r="W116" s="117">
        <f t="shared" si="102"/>
        <v>656.18957215130672</v>
      </c>
      <c r="X116" s="117">
        <f t="shared" si="102"/>
        <v>41.141223175101651</v>
      </c>
      <c r="Y116" s="117">
        <f t="shared" si="102"/>
        <v>1421.7111552055226</v>
      </c>
      <c r="Z116" s="117">
        <f t="shared" si="102"/>
        <v>737.28176927757636</v>
      </c>
      <c r="AA116" s="117">
        <f t="shared" si="102"/>
        <v>0</v>
      </c>
      <c r="AB116" s="117">
        <f t="shared" si="102"/>
        <v>0</v>
      </c>
      <c r="AC116" s="117">
        <f t="shared" si="102"/>
        <v>0</v>
      </c>
      <c r="AD116" s="117">
        <f t="shared" si="102"/>
        <v>0</v>
      </c>
      <c r="AE116" s="117">
        <f t="shared" si="102"/>
        <v>0</v>
      </c>
      <c r="AF116" s="117">
        <f t="shared" si="102"/>
        <v>0</v>
      </c>
      <c r="AG116" s="117">
        <f t="shared" si="102"/>
        <v>0</v>
      </c>
      <c r="AH116" s="117">
        <f t="shared" si="102"/>
        <v>0</v>
      </c>
      <c r="AI116" s="117">
        <f t="shared" si="102"/>
        <v>217.40160824981382</v>
      </c>
      <c r="AJ116" s="117">
        <f t="shared" si="102"/>
        <v>0</v>
      </c>
      <c r="AK116" s="117">
        <f t="shared" si="102"/>
        <v>0</v>
      </c>
      <c r="AL116" s="117">
        <f t="shared" si="102"/>
        <v>1846.1282962875168</v>
      </c>
      <c r="AM116" s="117">
        <f t="shared" si="102"/>
        <v>0</v>
      </c>
      <c r="AN116" s="117">
        <f t="shared" si="102"/>
        <v>0</v>
      </c>
      <c r="AO116" s="117">
        <f t="shared" si="102"/>
        <v>1007.5279526368234</v>
      </c>
      <c r="AP116" s="117">
        <f t="shared" si="102"/>
        <v>177.23134336777872</v>
      </c>
      <c r="AQ116" s="117">
        <f t="shared" si="102"/>
        <v>0</v>
      </c>
      <c r="AR116" s="117">
        <f t="shared" si="102"/>
        <v>1190.2492239337582</v>
      </c>
      <c r="AS116" s="117">
        <f t="shared" si="102"/>
        <v>276.44383573440717</v>
      </c>
      <c r="AT116" s="117">
        <f t="shared" si="102"/>
        <v>281.53614983047839</v>
      </c>
      <c r="AU116" s="117">
        <f t="shared" si="102"/>
        <v>0</v>
      </c>
      <c r="AV116" s="117">
        <f t="shared" si="102"/>
        <v>275.62032029005201</v>
      </c>
      <c r="AW116" s="117">
        <f t="shared" si="102"/>
        <v>367.06251066791941</v>
      </c>
      <c r="AX116" s="117">
        <f t="shared" si="102"/>
        <v>0</v>
      </c>
      <c r="AY116" s="117">
        <f t="shared" si="102"/>
        <v>691.37954920673963</v>
      </c>
      <c r="AZ116" s="117">
        <f t="shared" si="102"/>
        <v>232.15034863334091</v>
      </c>
      <c r="BA116" s="117">
        <f>BA46+BA51</f>
        <v>124.71741868175465</v>
      </c>
      <c r="BB116" s="117">
        <f t="shared" si="102"/>
        <v>164.72014259918052</v>
      </c>
      <c r="BC116" s="117">
        <f t="shared" si="102"/>
        <v>1002.1898465522244</v>
      </c>
      <c r="BD116" s="117">
        <f t="shared" si="102"/>
        <v>551.96514010771591</v>
      </c>
      <c r="BE116" s="117">
        <f t="shared" si="102"/>
        <v>0</v>
      </c>
      <c r="BF116" s="117">
        <f t="shared" si="102"/>
        <v>789.8395306697347</v>
      </c>
      <c r="BG116" s="117">
        <f t="shared" si="102"/>
        <v>2501.6451188774695</v>
      </c>
      <c r="BH116" s="117">
        <f t="shared" si="102"/>
        <v>394.91976533486735</v>
      </c>
      <c r="BI116" s="117">
        <f t="shared" si="102"/>
        <v>0.10349993251597898</v>
      </c>
      <c r="BJ116" s="117">
        <f t="shared" si="102"/>
        <v>5133.9569493532763</v>
      </c>
      <c r="BK116" s="117">
        <f t="shared" ref="BK116:BY116" si="103">BK46+BK51</f>
        <v>21325.66732808284</v>
      </c>
      <c r="BL116" s="117">
        <f t="shared" si="103"/>
        <v>24090.105685426905</v>
      </c>
      <c r="BM116" s="117">
        <f t="shared" si="103"/>
        <v>248.60683790338149</v>
      </c>
      <c r="BN116" s="117">
        <f t="shared" si="103"/>
        <v>185.36837913611831</v>
      </c>
      <c r="BO116" s="117">
        <f t="shared" si="103"/>
        <v>3638.1261278691773</v>
      </c>
      <c r="BP116" s="117">
        <f t="shared" si="103"/>
        <v>5923.7964800230111</v>
      </c>
      <c r="BQ116" s="117">
        <f t="shared" si="103"/>
        <v>243.17309144629263</v>
      </c>
      <c r="BR116" s="117">
        <f t="shared" si="103"/>
        <v>17214.057026091363</v>
      </c>
      <c r="BS116" s="117">
        <f t="shared" si="103"/>
        <v>0</v>
      </c>
      <c r="BT116" s="117">
        <f t="shared" si="103"/>
        <v>6911.0958933601796</v>
      </c>
      <c r="BU116" s="117">
        <f t="shared" si="103"/>
        <v>0</v>
      </c>
      <c r="BV116" s="117">
        <f t="shared" si="103"/>
        <v>0</v>
      </c>
      <c r="BW116" s="117">
        <f t="shared" si="103"/>
        <v>750.34755413624782</v>
      </c>
      <c r="BX116" s="117">
        <f t="shared" si="103"/>
        <v>57.520083123064751</v>
      </c>
      <c r="BY116" s="117">
        <f t="shared" si="103"/>
        <v>0</v>
      </c>
      <c r="BZ116" s="72">
        <f t="shared" si="95"/>
        <v>117812.82738530637</v>
      </c>
      <c r="CA116" s="129"/>
      <c r="CB116" s="117">
        <f t="shared" ref="CB116:CX116" si="104">CB46+CB51</f>
        <v>2533.8253484743059</v>
      </c>
      <c r="CC116" s="117">
        <f t="shared" si="104"/>
        <v>907.90592208284306</v>
      </c>
      <c r="CD116" s="117">
        <f t="shared" si="104"/>
        <v>2752.0640257133769</v>
      </c>
      <c r="CE116" s="117">
        <f t="shared" si="104"/>
        <v>1407.6807491523923</v>
      </c>
      <c r="CF116" s="117">
        <f t="shared" si="104"/>
        <v>1126.1445993219136</v>
      </c>
      <c r="CG116" s="117">
        <f t="shared" si="104"/>
        <v>1407.6807491523923</v>
      </c>
      <c r="CH116" s="117">
        <f t="shared" si="104"/>
        <v>493.63040462726781</v>
      </c>
      <c r="CI116" s="117">
        <f t="shared" si="104"/>
        <v>493.66900870990071</v>
      </c>
      <c r="CJ116" s="117">
        <f t="shared" si="104"/>
        <v>394.91976533486735</v>
      </c>
      <c r="CK116" s="117">
        <f t="shared" si="104"/>
        <v>394.91976533486735</v>
      </c>
      <c r="CL116" s="117">
        <f t="shared" si="104"/>
        <v>15.789069796868109</v>
      </c>
      <c r="CM116" s="117">
        <f t="shared" si="104"/>
        <v>579.06123949394043</v>
      </c>
      <c r="CN116" s="117">
        <f t="shared" si="104"/>
        <v>3921.59573426613</v>
      </c>
      <c r="CO116" s="117">
        <f t="shared" si="104"/>
        <v>177.7331964420068</v>
      </c>
      <c r="CP116" s="117">
        <f t="shared" si="104"/>
        <v>7468.1142016707172</v>
      </c>
      <c r="CQ116" s="117">
        <f t="shared" si="104"/>
        <v>376.38980567106137</v>
      </c>
      <c r="CR116" s="117">
        <f t="shared" si="104"/>
        <v>22896.930699408331</v>
      </c>
      <c r="CS116" s="117">
        <f t="shared" si="104"/>
        <v>1351.142892152528</v>
      </c>
      <c r="CT116" s="117">
        <f t="shared" si="104"/>
        <v>0</v>
      </c>
      <c r="CU116" s="117">
        <f t="shared" si="104"/>
        <v>0</v>
      </c>
      <c r="CV116" s="117">
        <f t="shared" si="104"/>
        <v>0</v>
      </c>
      <c r="CW116" s="117">
        <f t="shared" si="104"/>
        <v>0</v>
      </c>
      <c r="CX116" s="117">
        <f t="shared" si="104"/>
        <v>0</v>
      </c>
      <c r="CY116" s="72">
        <f t="shared" si="97"/>
        <v>48699.197176805712</v>
      </c>
      <c r="CZ116" s="129"/>
      <c r="DA116" s="72">
        <f t="shared" si="98"/>
        <v>166512.02456211208</v>
      </c>
      <c r="DB116" s="130">
        <f t="shared" si="99"/>
        <v>3.7815380384658891E-2</v>
      </c>
      <c r="DC116" s="117">
        <f t="shared" si="100"/>
        <v>0</v>
      </c>
      <c r="DD116" s="117">
        <f t="shared" si="101"/>
        <v>24090.105685426905</v>
      </c>
      <c r="DE116" s="69"/>
    </row>
    <row r="117" spans="1:109" x14ac:dyDescent="0.25">
      <c r="A117" s="69"/>
      <c r="B117" s="69"/>
      <c r="C117" s="70" t="s">
        <v>328</v>
      </c>
      <c r="D117" s="117">
        <f>D47+D52</f>
        <v>9362.8825922201886</v>
      </c>
      <c r="E117" s="117">
        <f t="shared" ref="E117:BJ117" si="105">E47+E52</f>
        <v>18725.765184440377</v>
      </c>
      <c r="F117" s="117">
        <f t="shared" si="105"/>
        <v>0</v>
      </c>
      <c r="G117" s="117">
        <f t="shared" si="105"/>
        <v>10968.526705311171</v>
      </c>
      <c r="H117" s="117">
        <f t="shared" si="105"/>
        <v>40513.61525012082</v>
      </c>
      <c r="I117" s="117">
        <f t="shared" si="105"/>
        <v>3657.4024729902239</v>
      </c>
      <c r="J117" s="117">
        <f t="shared" si="105"/>
        <v>1836.0626638141125</v>
      </c>
      <c r="K117" s="117">
        <f t="shared" si="105"/>
        <v>8101.864216836947</v>
      </c>
      <c r="L117" s="117">
        <f t="shared" si="105"/>
        <v>0</v>
      </c>
      <c r="M117" s="117">
        <f t="shared" si="105"/>
        <v>38855.962757713794</v>
      </c>
      <c r="N117" s="117">
        <f t="shared" si="105"/>
        <v>46814.412961100956</v>
      </c>
      <c r="O117" s="117">
        <f t="shared" si="105"/>
        <v>1293.1573990378045</v>
      </c>
      <c r="P117" s="117">
        <f t="shared" si="105"/>
        <v>22238.258478424792</v>
      </c>
      <c r="Q117" s="117">
        <f t="shared" si="105"/>
        <v>834.29509615342204</v>
      </c>
      <c r="R117" s="117">
        <f t="shared" si="105"/>
        <v>0</v>
      </c>
      <c r="S117" s="117">
        <f t="shared" si="105"/>
        <v>0</v>
      </c>
      <c r="T117" s="117">
        <f t="shared" si="105"/>
        <v>0</v>
      </c>
      <c r="U117" s="117">
        <f t="shared" si="105"/>
        <v>0</v>
      </c>
      <c r="V117" s="117">
        <f t="shared" si="105"/>
        <v>0</v>
      </c>
      <c r="W117" s="117">
        <f t="shared" si="105"/>
        <v>7778.5748670774956</v>
      </c>
      <c r="X117" s="117">
        <f t="shared" si="105"/>
        <v>487.69455988380196</v>
      </c>
      <c r="Y117" s="117">
        <f t="shared" si="105"/>
        <v>16853.188665996342</v>
      </c>
      <c r="Z117" s="117">
        <f t="shared" si="105"/>
        <v>8739.8545844836826</v>
      </c>
      <c r="AA117" s="117">
        <f t="shared" si="105"/>
        <v>0</v>
      </c>
      <c r="AB117" s="117">
        <f t="shared" si="105"/>
        <v>0</v>
      </c>
      <c r="AC117" s="117">
        <f t="shared" si="105"/>
        <v>0</v>
      </c>
      <c r="AD117" s="117">
        <f t="shared" si="105"/>
        <v>0</v>
      </c>
      <c r="AE117" s="117">
        <f t="shared" si="105"/>
        <v>0</v>
      </c>
      <c r="AF117" s="117">
        <f t="shared" si="105"/>
        <v>0</v>
      </c>
      <c r="AG117" s="117">
        <f t="shared" si="105"/>
        <v>0</v>
      </c>
      <c r="AH117" s="117">
        <f t="shared" si="105"/>
        <v>0</v>
      </c>
      <c r="AI117" s="117">
        <f t="shared" si="105"/>
        <v>2577.1130139268585</v>
      </c>
      <c r="AJ117" s="117">
        <f t="shared" si="105"/>
        <v>0</v>
      </c>
      <c r="AK117" s="117">
        <f t="shared" si="105"/>
        <v>0</v>
      </c>
      <c r="AL117" s="117">
        <f t="shared" si="105"/>
        <v>21884.296514836162</v>
      </c>
      <c r="AM117" s="117">
        <f t="shared" si="105"/>
        <v>0</v>
      </c>
      <c r="AN117" s="117">
        <f t="shared" si="105"/>
        <v>0</v>
      </c>
      <c r="AO117" s="117">
        <f t="shared" si="105"/>
        <v>11943.395541268561</v>
      </c>
      <c r="AP117" s="117">
        <f t="shared" si="105"/>
        <v>2100.9283470617247</v>
      </c>
      <c r="AQ117" s="117">
        <f t="shared" si="105"/>
        <v>0</v>
      </c>
      <c r="AR117" s="117">
        <f t="shared" si="105"/>
        <v>14109.40236141817</v>
      </c>
      <c r="AS117" s="117">
        <f t="shared" si="105"/>
        <v>3277.008907277067</v>
      </c>
      <c r="AT117" s="117">
        <f t="shared" si="105"/>
        <v>3993.8724596493134</v>
      </c>
      <c r="AU117" s="117">
        <f t="shared" si="105"/>
        <v>0</v>
      </c>
      <c r="AV117" s="117">
        <f t="shared" si="105"/>
        <v>3267.2468250831816</v>
      </c>
      <c r="AW117" s="117">
        <f t="shared" si="105"/>
        <v>4351.2169978060483</v>
      </c>
      <c r="AX117" s="117">
        <f t="shared" si="105"/>
        <v>0</v>
      </c>
      <c r="AY117" s="117">
        <f t="shared" si="105"/>
        <v>8195.7224151542068</v>
      </c>
      <c r="AZ117" s="117">
        <f t="shared" si="105"/>
        <v>2751.946912753127</v>
      </c>
      <c r="BA117" s="117">
        <f>BA47+BA52</f>
        <v>1478.4199865659909</v>
      </c>
      <c r="BB117" s="117">
        <f t="shared" si="105"/>
        <v>1952.618596364958</v>
      </c>
      <c r="BC117" s="117">
        <f t="shared" si="105"/>
        <v>11880.116788314101</v>
      </c>
      <c r="BD117" s="117">
        <f t="shared" si="105"/>
        <v>6543.0819820385323</v>
      </c>
      <c r="BE117" s="117">
        <f t="shared" si="105"/>
        <v>0</v>
      </c>
      <c r="BF117" s="117">
        <f t="shared" si="105"/>
        <v>9362.8825922201886</v>
      </c>
      <c r="BG117" s="117">
        <f t="shared" si="105"/>
        <v>29654.896502318075</v>
      </c>
      <c r="BH117" s="117">
        <f t="shared" si="105"/>
        <v>4681.4412961100943</v>
      </c>
      <c r="BI117" s="117">
        <f t="shared" si="105"/>
        <v>1.2269045531667975</v>
      </c>
      <c r="BJ117" s="117">
        <f t="shared" si="105"/>
        <v>60858.73684943124</v>
      </c>
      <c r="BK117" s="117">
        <f t="shared" ref="BK117:BY117" si="106">BK47+BK52</f>
        <v>252797.82998994514</v>
      </c>
      <c r="BL117" s="117">
        <f t="shared" si="106"/>
        <v>285567.91906271584</v>
      </c>
      <c r="BM117" s="117">
        <f t="shared" si="106"/>
        <v>2947.0247367066472</v>
      </c>
      <c r="BN117" s="117">
        <f t="shared" si="106"/>
        <v>2197.3860547217341</v>
      </c>
      <c r="BO117" s="117">
        <f t="shared" si="106"/>
        <v>43126.9219483661</v>
      </c>
      <c r="BP117" s="117">
        <f t="shared" si="106"/>
        <v>70221.619441651419</v>
      </c>
      <c r="BQ117" s="117">
        <f t="shared" si="106"/>
        <v>2882.6122476653909</v>
      </c>
      <c r="BR117" s="117">
        <f t="shared" si="106"/>
        <v>204058.15183042519</v>
      </c>
      <c r="BS117" s="117">
        <f t="shared" si="106"/>
        <v>0</v>
      </c>
      <c r="BT117" s="117">
        <f t="shared" si="106"/>
        <v>81925.222681926665</v>
      </c>
      <c r="BU117" s="117">
        <f t="shared" si="106"/>
        <v>0</v>
      </c>
      <c r="BV117" s="117">
        <f t="shared" si="106"/>
        <v>0</v>
      </c>
      <c r="BW117" s="117">
        <f t="shared" si="106"/>
        <v>8894.7384626091807</v>
      </c>
      <c r="BX117" s="117">
        <f t="shared" si="106"/>
        <v>681.85215358788298</v>
      </c>
      <c r="BY117" s="117">
        <f t="shared" si="106"/>
        <v>0</v>
      </c>
      <c r="BZ117" s="72">
        <f t="shared" si="95"/>
        <v>1397228.368860078</v>
      </c>
      <c r="CA117" s="129"/>
      <c r="CB117" s="117">
        <f t="shared" ref="CB117:CX117" si="107">CB47+CB52</f>
        <v>35944.852136843831</v>
      </c>
      <c r="CC117" s="117">
        <f t="shared" si="107"/>
        <v>12879.555468605166</v>
      </c>
      <c r="CD117" s="117">
        <f t="shared" si="107"/>
        <v>39040.78650683591</v>
      </c>
      <c r="CE117" s="117">
        <f t="shared" si="107"/>
        <v>19969.362298246571</v>
      </c>
      <c r="CF117" s="117">
        <f t="shared" si="107"/>
        <v>15975.489838597254</v>
      </c>
      <c r="CG117" s="117">
        <f t="shared" si="107"/>
        <v>19969.362298246571</v>
      </c>
      <c r="CH117" s="117">
        <f t="shared" si="107"/>
        <v>5851.5728106901061</v>
      </c>
      <c r="CI117" s="117">
        <f t="shared" si="107"/>
        <v>5852.030429585132</v>
      </c>
      <c r="CJ117" s="117">
        <f t="shared" si="107"/>
        <v>4681.4412961100943</v>
      </c>
      <c r="CK117" s="117">
        <f t="shared" si="107"/>
        <v>4681.4412961100943</v>
      </c>
      <c r="CL117" s="117">
        <f t="shared" si="107"/>
        <v>187.16612806539871</v>
      </c>
      <c r="CM117" s="117">
        <f t="shared" si="107"/>
        <v>6864.2834253813717</v>
      </c>
      <c r="CN117" s="117">
        <f t="shared" si="107"/>
        <v>46487.215451157776</v>
      </c>
      <c r="CO117" s="117">
        <f t="shared" si="107"/>
        <v>2106.8773926970557</v>
      </c>
      <c r="CP117" s="117">
        <f t="shared" si="107"/>
        <v>88528.205718248515</v>
      </c>
      <c r="CQ117" s="117">
        <f t="shared" si="107"/>
        <v>4461.7842264978917</v>
      </c>
      <c r="CR117" s="117">
        <f t="shared" si="107"/>
        <v>271423.83425526996</v>
      </c>
      <c r="CS117" s="117">
        <f t="shared" si="107"/>
        <v>16016.661325889869</v>
      </c>
      <c r="CT117" s="117">
        <f t="shared" si="107"/>
        <v>0</v>
      </c>
      <c r="CU117" s="117">
        <f t="shared" si="107"/>
        <v>0</v>
      </c>
      <c r="CV117" s="117">
        <f t="shared" si="107"/>
        <v>0</v>
      </c>
      <c r="CW117" s="117">
        <f t="shared" si="107"/>
        <v>0</v>
      </c>
      <c r="CX117" s="117">
        <f t="shared" si="107"/>
        <v>0</v>
      </c>
      <c r="CY117" s="72">
        <f t="shared" si="97"/>
        <v>600921.92230307858</v>
      </c>
      <c r="CZ117" s="129"/>
      <c r="DA117" s="72">
        <f t="shared" si="98"/>
        <v>1998150.2911631567</v>
      </c>
      <c r="DB117" s="130">
        <f t="shared" si="99"/>
        <v>0.45378592642038357</v>
      </c>
      <c r="DC117" s="117">
        <f t="shared" si="100"/>
        <v>0</v>
      </c>
      <c r="DD117" s="117">
        <f t="shared" si="101"/>
        <v>285567.91906271584</v>
      </c>
      <c r="DE117" s="69"/>
    </row>
    <row r="118" spans="1:109" x14ac:dyDescent="0.25">
      <c r="A118" s="69"/>
      <c r="B118" s="69"/>
      <c r="C118" s="70" t="s">
        <v>329</v>
      </c>
      <c r="D118" s="117">
        <f>D65+D70</f>
        <v>698.79729655600909</v>
      </c>
      <c r="E118" s="117">
        <f t="shared" ref="E118:BJ118" si="108">E65+E70</f>
        <v>1397.5945931120182</v>
      </c>
      <c r="F118" s="117">
        <f t="shared" si="108"/>
        <v>0</v>
      </c>
      <c r="G118" s="117">
        <f t="shared" si="108"/>
        <v>286.40287087138046</v>
      </c>
      <c r="H118" s="117">
        <f t="shared" si="108"/>
        <v>1057.8645636514379</v>
      </c>
      <c r="I118" s="117">
        <f t="shared" si="108"/>
        <v>95.499659739103464</v>
      </c>
      <c r="J118" s="117">
        <f t="shared" si="108"/>
        <v>47.942046561411736</v>
      </c>
      <c r="K118" s="117">
        <f t="shared" si="108"/>
        <v>211.55048744957068</v>
      </c>
      <c r="L118" s="117">
        <f t="shared" si="108"/>
        <v>0</v>
      </c>
      <c r="M118" s="117">
        <f t="shared" si="108"/>
        <v>2900.0087807074378</v>
      </c>
      <c r="N118" s="117">
        <f t="shared" si="108"/>
        <v>3493.9864827800457</v>
      </c>
      <c r="O118" s="117">
        <f t="shared" si="108"/>
        <v>33.766065536737713</v>
      </c>
      <c r="P118" s="117">
        <f t="shared" si="108"/>
        <v>580.67060805136521</v>
      </c>
      <c r="Q118" s="117">
        <f t="shared" si="108"/>
        <v>21.784558410798528</v>
      </c>
      <c r="R118" s="117">
        <f t="shared" si="108"/>
        <v>0</v>
      </c>
      <c r="S118" s="117">
        <f t="shared" si="108"/>
        <v>0</v>
      </c>
      <c r="T118" s="117">
        <f t="shared" si="108"/>
        <v>0</v>
      </c>
      <c r="U118" s="117">
        <f t="shared" si="108"/>
        <v>0</v>
      </c>
      <c r="V118" s="117">
        <f t="shared" si="108"/>
        <v>0</v>
      </c>
      <c r="W118" s="117">
        <f t="shared" si="108"/>
        <v>203.10897106538621</v>
      </c>
      <c r="X118" s="117">
        <f t="shared" si="108"/>
        <v>12.734355835724138</v>
      </c>
      <c r="Y118" s="117">
        <f t="shared" si="108"/>
        <v>1257.8351338008165</v>
      </c>
      <c r="Z118" s="117">
        <f t="shared" si="108"/>
        <v>228.20926741076937</v>
      </c>
      <c r="AA118" s="117">
        <f t="shared" si="108"/>
        <v>0</v>
      </c>
      <c r="AB118" s="117">
        <f t="shared" si="108"/>
        <v>0</v>
      </c>
      <c r="AC118" s="117">
        <f t="shared" si="108"/>
        <v>0</v>
      </c>
      <c r="AD118" s="117">
        <f t="shared" si="108"/>
        <v>0</v>
      </c>
      <c r="AE118" s="117">
        <f t="shared" si="108"/>
        <v>0</v>
      </c>
      <c r="AF118" s="117">
        <f t="shared" si="108"/>
        <v>0</v>
      </c>
      <c r="AG118" s="117">
        <f t="shared" si="108"/>
        <v>0</v>
      </c>
      <c r="AH118" s="117">
        <f t="shared" si="108"/>
        <v>0</v>
      </c>
      <c r="AI118" s="117">
        <f t="shared" si="108"/>
        <v>67.291860208650377</v>
      </c>
      <c r="AJ118" s="117">
        <f t="shared" si="108"/>
        <v>0</v>
      </c>
      <c r="AK118" s="117">
        <f t="shared" si="108"/>
        <v>0</v>
      </c>
      <c r="AL118" s="117">
        <f t="shared" si="108"/>
        <v>571.42818878443154</v>
      </c>
      <c r="AM118" s="117">
        <f t="shared" si="108"/>
        <v>0</v>
      </c>
      <c r="AN118" s="117">
        <f t="shared" si="108"/>
        <v>0</v>
      </c>
      <c r="AO118" s="117">
        <f t="shared" si="108"/>
        <v>891.39348205353292</v>
      </c>
      <c r="AP118" s="117">
        <f t="shared" si="108"/>
        <v>156.80246278048088</v>
      </c>
      <c r="AQ118" s="117">
        <f t="shared" si="108"/>
        <v>0</v>
      </c>
      <c r="AR118" s="117">
        <f t="shared" si="108"/>
        <v>368.41532606497503</v>
      </c>
      <c r="AS118" s="117">
        <f t="shared" si="108"/>
        <v>244.5790537946032</v>
      </c>
      <c r="AT118" s="117">
        <f t="shared" si="108"/>
        <v>0</v>
      </c>
      <c r="AU118" s="117">
        <f t="shared" si="108"/>
        <v>0</v>
      </c>
      <c r="AV118" s="117">
        <f t="shared" si="108"/>
        <v>85.312175070524191</v>
      </c>
      <c r="AW118" s="117">
        <f t="shared" si="108"/>
        <v>113.61608294690716</v>
      </c>
      <c r="AX118" s="117">
        <f t="shared" si="108"/>
        <v>0</v>
      </c>
      <c r="AY118" s="117">
        <f t="shared" si="108"/>
        <v>214.00125027078542</v>
      </c>
      <c r="AZ118" s="117">
        <f t="shared" si="108"/>
        <v>71.857006640325096</v>
      </c>
      <c r="BA118" s="117">
        <f>BA65+BA70</f>
        <v>38.603518948547368</v>
      </c>
      <c r="BB118" s="117">
        <f t="shared" si="108"/>
        <v>50.985477515861561</v>
      </c>
      <c r="BC118" s="117">
        <f t="shared" si="108"/>
        <v>310.20570454670877</v>
      </c>
      <c r="BD118" s="117">
        <f t="shared" si="108"/>
        <v>170.84860294821829</v>
      </c>
      <c r="BE118" s="117">
        <f t="shared" si="108"/>
        <v>0</v>
      </c>
      <c r="BF118" s="117">
        <f t="shared" si="108"/>
        <v>698.79729655600909</v>
      </c>
      <c r="BG118" s="117">
        <f t="shared" si="108"/>
        <v>774.32892510030263</v>
      </c>
      <c r="BH118" s="117">
        <f t="shared" si="108"/>
        <v>349.39864827800454</v>
      </c>
      <c r="BI118" s="117">
        <f t="shared" si="108"/>
        <v>3.2036115309997837E-2</v>
      </c>
      <c r="BJ118" s="117">
        <f t="shared" si="108"/>
        <v>4542.1824276140605</v>
      </c>
      <c r="BK118" s="117">
        <f t="shared" ref="BK118:BY118" si="109">BK65+BK70</f>
        <v>18867.527007012246</v>
      </c>
      <c r="BL118" s="117">
        <f t="shared" si="109"/>
        <v>21313.317544958274</v>
      </c>
      <c r="BM118" s="117">
        <f t="shared" si="109"/>
        <v>76.950748974614768</v>
      </c>
      <c r="BN118" s="117">
        <f t="shared" si="109"/>
        <v>57.376682520206124</v>
      </c>
      <c r="BO118" s="117">
        <f t="shared" si="109"/>
        <v>1126.1014892617336</v>
      </c>
      <c r="BP118" s="117">
        <f t="shared" si="109"/>
        <v>5240.979724170068</v>
      </c>
      <c r="BQ118" s="117">
        <f t="shared" si="109"/>
        <v>75.268852920839876</v>
      </c>
      <c r="BR118" s="117">
        <f t="shared" si="109"/>
        <v>5328.2306803011797</v>
      </c>
      <c r="BS118" s="117">
        <f t="shared" si="109"/>
        <v>0</v>
      </c>
      <c r="BT118" s="117">
        <f t="shared" si="109"/>
        <v>6114.476344865081</v>
      </c>
      <c r="BU118" s="117">
        <f t="shared" si="109"/>
        <v>0</v>
      </c>
      <c r="BV118" s="117">
        <f t="shared" si="109"/>
        <v>0</v>
      </c>
      <c r="BW118" s="117">
        <f t="shared" si="109"/>
        <v>663.85743172820867</v>
      </c>
      <c r="BX118" s="117">
        <f t="shared" si="109"/>
        <v>50.889930198849157</v>
      </c>
      <c r="BY118" s="117">
        <f t="shared" si="109"/>
        <v>0</v>
      </c>
      <c r="BZ118" s="72">
        <f t="shared" si="95"/>
        <v>81162.81170468952</v>
      </c>
      <c r="CA118" s="129"/>
      <c r="CB118" s="117">
        <f t="shared" ref="CB118:CX118" si="110">CB65+CB70</f>
        <v>-6.506422291833354E-13</v>
      </c>
      <c r="CC118" s="117">
        <f t="shared" si="110"/>
        <v>1.6266055729583385E-13</v>
      </c>
      <c r="CD118" s="117">
        <f t="shared" si="110"/>
        <v>0</v>
      </c>
      <c r="CE118" s="117">
        <f t="shared" si="110"/>
        <v>-3.253211145916677E-13</v>
      </c>
      <c r="CF118" s="117">
        <f t="shared" si="110"/>
        <v>0</v>
      </c>
      <c r="CG118" s="117">
        <f t="shared" si="110"/>
        <v>-3.253211145916677E-13</v>
      </c>
      <c r="CH118" s="117">
        <f t="shared" si="110"/>
        <v>436.73123318972085</v>
      </c>
      <c r="CI118" s="117">
        <f t="shared" si="110"/>
        <v>436.76538750529062</v>
      </c>
      <c r="CJ118" s="117">
        <f t="shared" si="110"/>
        <v>349.39864827800454</v>
      </c>
      <c r="CK118" s="117">
        <f t="shared" si="110"/>
        <v>349.39864827800454</v>
      </c>
      <c r="CL118" s="117">
        <f t="shared" si="110"/>
        <v>13.969115068006241</v>
      </c>
      <c r="CM118" s="117">
        <f t="shared" si="110"/>
        <v>512.31473354546119</v>
      </c>
      <c r="CN118" s="117">
        <f t="shared" si="110"/>
        <v>3469.5661471477115</v>
      </c>
      <c r="CO118" s="117">
        <f t="shared" si="110"/>
        <v>157.24646888288689</v>
      </c>
      <c r="CP118" s="117">
        <f t="shared" si="110"/>
        <v>6607.2889642202454</v>
      </c>
      <c r="CQ118" s="117">
        <f t="shared" si="110"/>
        <v>333.00457680454974</v>
      </c>
      <c r="CR118" s="117">
        <f t="shared" si="110"/>
        <v>20257.675959330074</v>
      </c>
      <c r="CS118" s="117">
        <f t="shared" si="110"/>
        <v>1195.4010449394093</v>
      </c>
      <c r="CT118" s="117">
        <f t="shared" si="110"/>
        <v>151.48687818308886</v>
      </c>
      <c r="CU118" s="117">
        <f t="shared" si="110"/>
        <v>3496.5234433488486</v>
      </c>
      <c r="CV118" s="117">
        <f t="shared" si="110"/>
        <v>17719.856332375461</v>
      </c>
      <c r="CW118" s="117">
        <f t="shared" si="110"/>
        <v>22699.779846565059</v>
      </c>
      <c r="CX118" s="117">
        <f t="shared" si="110"/>
        <v>420.63177023486645</v>
      </c>
      <c r="CY118" s="72">
        <f t="shared" si="97"/>
        <v>78607.03919789668</v>
      </c>
      <c r="CZ118" s="129"/>
      <c r="DA118" s="72">
        <f t="shared" si="98"/>
        <v>159769.85090258619</v>
      </c>
      <c r="DB118" s="130">
        <f t="shared" si="99"/>
        <v>3.6284212517203797E-2</v>
      </c>
      <c r="DC118" s="117">
        <f t="shared" si="100"/>
        <v>-6.506422291833354E-13</v>
      </c>
      <c r="DD118" s="117">
        <f t="shared" si="101"/>
        <v>22699.779846565059</v>
      </c>
      <c r="DE118" s="69"/>
    </row>
    <row r="119" spans="1:109" x14ac:dyDescent="0.25">
      <c r="A119" s="69"/>
      <c r="B119" s="69"/>
      <c r="C119" s="70" t="s">
        <v>330</v>
      </c>
      <c r="D119" s="117">
        <f>D66+D71</f>
        <v>3520.8035883975017</v>
      </c>
      <c r="E119" s="117">
        <f t="shared" ref="E119:BJ119" si="111">E66+E71</f>
        <v>7041.6071767950034</v>
      </c>
      <c r="F119" s="117">
        <f t="shared" si="111"/>
        <v>0</v>
      </c>
      <c r="G119" s="117">
        <f t="shared" si="111"/>
        <v>1443.0053757520243</v>
      </c>
      <c r="H119" s="117">
        <f t="shared" si="111"/>
        <v>5329.9195204370917</v>
      </c>
      <c r="I119" s="117">
        <f t="shared" si="111"/>
        <v>481.16320191462904</v>
      </c>
      <c r="J119" s="117">
        <f t="shared" si="111"/>
        <v>241.55006094104078</v>
      </c>
      <c r="K119" s="117">
        <f t="shared" si="111"/>
        <v>1065.8709170893173</v>
      </c>
      <c r="L119" s="117">
        <f t="shared" si="111"/>
        <v>0</v>
      </c>
      <c r="M119" s="117">
        <f t="shared" si="111"/>
        <v>14611.334891849632</v>
      </c>
      <c r="N119" s="117">
        <f t="shared" si="111"/>
        <v>17604.017941987509</v>
      </c>
      <c r="O119" s="117">
        <f t="shared" si="111"/>
        <v>170.12613714123427</v>
      </c>
      <c r="P119" s="117">
        <f t="shared" si="111"/>
        <v>2925.6369058381779</v>
      </c>
      <c r="Q119" s="117">
        <f t="shared" si="111"/>
        <v>109.75879815563503</v>
      </c>
      <c r="R119" s="117">
        <f t="shared" si="111"/>
        <v>0</v>
      </c>
      <c r="S119" s="117">
        <f t="shared" si="111"/>
        <v>0</v>
      </c>
      <c r="T119" s="117">
        <f t="shared" si="111"/>
        <v>0</v>
      </c>
      <c r="U119" s="117">
        <f t="shared" si="111"/>
        <v>0</v>
      </c>
      <c r="V119" s="117">
        <f t="shared" si="111"/>
        <v>0</v>
      </c>
      <c r="W119" s="117">
        <f t="shared" si="111"/>
        <v>1023.3393828040087</v>
      </c>
      <c r="X119" s="117">
        <f t="shared" si="111"/>
        <v>64.160473921860174</v>
      </c>
      <c r="Y119" s="117">
        <f t="shared" si="111"/>
        <v>6337.4464591155029</v>
      </c>
      <c r="Z119" s="117">
        <f t="shared" si="111"/>
        <v>1149.8041156789197</v>
      </c>
      <c r="AA119" s="117">
        <f t="shared" si="111"/>
        <v>0</v>
      </c>
      <c r="AB119" s="117">
        <f t="shared" si="111"/>
        <v>0</v>
      </c>
      <c r="AC119" s="117">
        <f t="shared" si="111"/>
        <v>0</v>
      </c>
      <c r="AD119" s="117">
        <f t="shared" si="111"/>
        <v>0</v>
      </c>
      <c r="AE119" s="117">
        <f t="shared" si="111"/>
        <v>0</v>
      </c>
      <c r="AF119" s="117">
        <f t="shared" si="111"/>
        <v>0</v>
      </c>
      <c r="AG119" s="117">
        <f t="shared" si="111"/>
        <v>0</v>
      </c>
      <c r="AH119" s="117">
        <f t="shared" si="111"/>
        <v>0</v>
      </c>
      <c r="AI119" s="117">
        <f t="shared" si="111"/>
        <v>339.0416993028104</v>
      </c>
      <c r="AJ119" s="117">
        <f t="shared" si="111"/>
        <v>0</v>
      </c>
      <c r="AK119" s="117">
        <f t="shared" si="111"/>
        <v>0</v>
      </c>
      <c r="AL119" s="117">
        <f t="shared" si="111"/>
        <v>2879.0701216206803</v>
      </c>
      <c r="AM119" s="117">
        <f t="shared" si="111"/>
        <v>0</v>
      </c>
      <c r="AN119" s="117">
        <f t="shared" si="111"/>
        <v>0</v>
      </c>
      <c r="AO119" s="117">
        <f t="shared" si="111"/>
        <v>4491.1756037921023</v>
      </c>
      <c r="AP119" s="117">
        <f t="shared" si="111"/>
        <v>790.02977880415131</v>
      </c>
      <c r="AQ119" s="117">
        <f t="shared" si="111"/>
        <v>0</v>
      </c>
      <c r="AR119" s="117">
        <f t="shared" si="111"/>
        <v>1856.2149688085333</v>
      </c>
      <c r="AS119" s="117">
        <f t="shared" si="111"/>
        <v>1232.2812559391257</v>
      </c>
      <c r="AT119" s="117">
        <f t="shared" si="111"/>
        <v>0</v>
      </c>
      <c r="AU119" s="117">
        <f t="shared" si="111"/>
        <v>0</v>
      </c>
      <c r="AV119" s="117">
        <f t="shared" si="111"/>
        <v>429.83482277714108</v>
      </c>
      <c r="AW119" s="117">
        <f t="shared" si="111"/>
        <v>572.44055538082216</v>
      </c>
      <c r="AX119" s="117">
        <f t="shared" si="111"/>
        <v>0</v>
      </c>
      <c r="AY119" s="117">
        <f t="shared" si="111"/>
        <v>1078.2187818818259</v>
      </c>
      <c r="AZ119" s="117">
        <f t="shared" si="111"/>
        <v>362.0426239163076</v>
      </c>
      <c r="BA119" s="117">
        <f>BA66+BA71</f>
        <v>194.49904673167669</v>
      </c>
      <c r="BB119" s="117">
        <f t="shared" si="111"/>
        <v>256.88401068337231</v>
      </c>
      <c r="BC119" s="117">
        <f t="shared" si="111"/>
        <v>1562.933003736784</v>
      </c>
      <c r="BD119" s="117">
        <f t="shared" si="111"/>
        <v>860.79951553529554</v>
      </c>
      <c r="BE119" s="117">
        <f t="shared" si="111"/>
        <v>0</v>
      </c>
      <c r="BF119" s="117">
        <f t="shared" si="111"/>
        <v>3520.8035883975017</v>
      </c>
      <c r="BG119" s="117">
        <f t="shared" si="111"/>
        <v>3901.360339442318</v>
      </c>
      <c r="BH119" s="117">
        <f t="shared" si="111"/>
        <v>1760.4017941987508</v>
      </c>
      <c r="BI119" s="117">
        <f t="shared" si="111"/>
        <v>0.16140999728769856</v>
      </c>
      <c r="BJ119" s="117">
        <f t="shared" si="111"/>
        <v>22885.223324583767</v>
      </c>
      <c r="BK119" s="117">
        <f t="shared" ref="BK119:BY119" si="112">BK66+BK71</f>
        <v>95061.696886732549</v>
      </c>
      <c r="BL119" s="117">
        <f t="shared" si="112"/>
        <v>107384.50944612377</v>
      </c>
      <c r="BM119" s="117">
        <f t="shared" si="112"/>
        <v>387.70681348505178</v>
      </c>
      <c r="BN119" s="117">
        <f t="shared" si="112"/>
        <v>289.08530514226811</v>
      </c>
      <c r="BO119" s="117">
        <f t="shared" si="112"/>
        <v>5673.7228146598909</v>
      </c>
      <c r="BP119" s="117">
        <f t="shared" si="112"/>
        <v>26406.026912981262</v>
      </c>
      <c r="BQ119" s="117">
        <f t="shared" si="112"/>
        <v>379.23278862744758</v>
      </c>
      <c r="BR119" s="117">
        <f t="shared" si="112"/>
        <v>26845.630043891357</v>
      </c>
      <c r="BS119" s="117">
        <f t="shared" si="112"/>
        <v>0</v>
      </c>
      <c r="BT119" s="117">
        <f t="shared" si="112"/>
        <v>30807.031398478146</v>
      </c>
      <c r="BU119" s="117">
        <f t="shared" si="112"/>
        <v>0</v>
      </c>
      <c r="BV119" s="117">
        <f t="shared" si="112"/>
        <v>0</v>
      </c>
      <c r="BW119" s="117">
        <f t="shared" si="112"/>
        <v>3344.7634089776266</v>
      </c>
      <c r="BX119" s="117">
        <f t="shared" si="112"/>
        <v>256.40260736619149</v>
      </c>
      <c r="BY119" s="117">
        <f t="shared" si="112"/>
        <v>0</v>
      </c>
      <c r="BZ119" s="72">
        <f t="shared" si="95"/>
        <v>408928.76961981494</v>
      </c>
      <c r="CA119" s="129"/>
      <c r="CB119" s="117">
        <f t="shared" ref="CB119:CX119" si="113">CB66+CB71</f>
        <v>-3.2781802484950356E-12</v>
      </c>
      <c r="CC119" s="117">
        <f t="shared" si="113"/>
        <v>8.1954506212375889E-13</v>
      </c>
      <c r="CD119" s="117">
        <f t="shared" si="113"/>
        <v>0</v>
      </c>
      <c r="CE119" s="117">
        <f t="shared" si="113"/>
        <v>-1.6390901242475178E-12</v>
      </c>
      <c r="CF119" s="117">
        <f t="shared" si="113"/>
        <v>0</v>
      </c>
      <c r="CG119" s="117">
        <f t="shared" si="113"/>
        <v>-1.6390901242475178E-12</v>
      </c>
      <c r="CH119" s="117">
        <f t="shared" si="113"/>
        <v>2200.4162016050273</v>
      </c>
      <c r="CI119" s="117">
        <f t="shared" si="113"/>
        <v>2200.5882838918506</v>
      </c>
      <c r="CJ119" s="117">
        <f t="shared" si="113"/>
        <v>1760.4017941987508</v>
      </c>
      <c r="CK119" s="117">
        <f t="shared" si="113"/>
        <v>1760.4017941987508</v>
      </c>
      <c r="CL119" s="117">
        <f t="shared" si="113"/>
        <v>70.38165531058543</v>
      </c>
      <c r="CM119" s="117">
        <f t="shared" si="113"/>
        <v>2581.234302344209</v>
      </c>
      <c r="CN119" s="117">
        <f t="shared" si="113"/>
        <v>17480.979106909101</v>
      </c>
      <c r="CO119" s="117">
        <f t="shared" si="113"/>
        <v>792.26684853284939</v>
      </c>
      <c r="CP119" s="117">
        <f t="shared" si="113"/>
        <v>33290.006715046453</v>
      </c>
      <c r="CQ119" s="117">
        <f t="shared" si="113"/>
        <v>1677.8022965237358</v>
      </c>
      <c r="CR119" s="117">
        <f t="shared" si="113"/>
        <v>102065.79012500017</v>
      </c>
      <c r="CS119" s="117">
        <f t="shared" si="113"/>
        <v>6022.880038803155</v>
      </c>
      <c r="CT119" s="117">
        <f t="shared" si="113"/>
        <v>763.24786448197949</v>
      </c>
      <c r="CU119" s="117">
        <f t="shared" si="113"/>
        <v>17616.80010345019</v>
      </c>
      <c r="CV119" s="117">
        <f t="shared" si="113"/>
        <v>89279.300404270049</v>
      </c>
      <c r="CW119" s="117">
        <f t="shared" si="113"/>
        <v>114370.02795160898</v>
      </c>
      <c r="CX119" s="117">
        <f t="shared" si="113"/>
        <v>2119.3010524450578</v>
      </c>
      <c r="CY119" s="72">
        <f t="shared" si="97"/>
        <v>396051.82653862092</v>
      </c>
      <c r="CZ119" s="129"/>
      <c r="DA119" s="72">
        <f t="shared" si="98"/>
        <v>804980.5961584358</v>
      </c>
      <c r="DB119" s="130">
        <f t="shared" si="99"/>
        <v>0.18281350867033513</v>
      </c>
      <c r="DC119" s="117">
        <f t="shared" si="100"/>
        <v>-3.2781802484950356E-12</v>
      </c>
      <c r="DD119" s="117">
        <f t="shared" si="101"/>
        <v>114370.02795160898</v>
      </c>
      <c r="DE119" s="69"/>
    </row>
    <row r="120" spans="1:109" x14ac:dyDescent="0.25">
      <c r="A120" s="69"/>
      <c r="B120" s="69"/>
      <c r="C120" s="70" t="s">
        <v>331</v>
      </c>
      <c r="D120" s="117">
        <f>D67+D72</f>
        <v>3594.8619374631699</v>
      </c>
      <c r="E120" s="117">
        <f t="shared" ref="E120:BJ120" si="114">E67+E72</f>
        <v>7189.7238749263397</v>
      </c>
      <c r="F120" s="117">
        <f t="shared" si="114"/>
        <v>0</v>
      </c>
      <c r="G120" s="117">
        <f t="shared" si="114"/>
        <v>1473.3582747814528</v>
      </c>
      <c r="H120" s="117">
        <f t="shared" si="114"/>
        <v>5442.0317216508229</v>
      </c>
      <c r="I120" s="117">
        <f t="shared" si="114"/>
        <v>491.2842301033009</v>
      </c>
      <c r="J120" s="117">
        <f t="shared" si="114"/>
        <v>246.63094610855083</v>
      </c>
      <c r="K120" s="117">
        <f t="shared" si="114"/>
        <v>1088.29098070686</v>
      </c>
      <c r="L120" s="117">
        <f t="shared" si="114"/>
        <v>0</v>
      </c>
      <c r="M120" s="117">
        <f t="shared" si="114"/>
        <v>14918.677040472156</v>
      </c>
      <c r="N120" s="117">
        <f t="shared" si="114"/>
        <v>17974.30968731585</v>
      </c>
      <c r="O120" s="117">
        <f t="shared" si="114"/>
        <v>173.70465566215347</v>
      </c>
      <c r="P120" s="117">
        <f t="shared" si="114"/>
        <v>2987.1762203077424</v>
      </c>
      <c r="Q120" s="117">
        <f t="shared" si="114"/>
        <v>112.06751978203452</v>
      </c>
      <c r="R120" s="117">
        <f t="shared" si="114"/>
        <v>0</v>
      </c>
      <c r="S120" s="117">
        <f t="shared" si="114"/>
        <v>0</v>
      </c>
      <c r="T120" s="117">
        <f t="shared" si="114"/>
        <v>0</v>
      </c>
      <c r="U120" s="117">
        <f t="shared" si="114"/>
        <v>0</v>
      </c>
      <c r="V120" s="117">
        <f t="shared" si="114"/>
        <v>0</v>
      </c>
      <c r="W120" s="117">
        <f t="shared" si="114"/>
        <v>1044.8648167913216</v>
      </c>
      <c r="X120" s="117">
        <f t="shared" si="114"/>
        <v>65.510057519645173</v>
      </c>
      <c r="Y120" s="117">
        <f t="shared" si="114"/>
        <v>6470.7514874337057</v>
      </c>
      <c r="Z120" s="117">
        <f t="shared" si="114"/>
        <v>1173.9896723048855</v>
      </c>
      <c r="AA120" s="117">
        <f t="shared" si="114"/>
        <v>0</v>
      </c>
      <c r="AB120" s="117">
        <f t="shared" si="114"/>
        <v>0</v>
      </c>
      <c r="AC120" s="117">
        <f t="shared" si="114"/>
        <v>0</v>
      </c>
      <c r="AD120" s="117">
        <f t="shared" si="114"/>
        <v>0</v>
      </c>
      <c r="AE120" s="117">
        <f t="shared" si="114"/>
        <v>0</v>
      </c>
      <c r="AF120" s="117">
        <f t="shared" si="114"/>
        <v>0</v>
      </c>
      <c r="AG120" s="117">
        <f t="shared" si="114"/>
        <v>0</v>
      </c>
      <c r="AH120" s="117">
        <f t="shared" si="114"/>
        <v>0</v>
      </c>
      <c r="AI120" s="117">
        <f t="shared" si="114"/>
        <v>346.17327250318118</v>
      </c>
      <c r="AJ120" s="117">
        <f t="shared" si="114"/>
        <v>0</v>
      </c>
      <c r="AK120" s="117">
        <f t="shared" si="114"/>
        <v>0</v>
      </c>
      <c r="AL120" s="117">
        <f t="shared" si="114"/>
        <v>2939.6299269884566</v>
      </c>
      <c r="AM120" s="117">
        <f t="shared" si="114"/>
        <v>0</v>
      </c>
      <c r="AN120" s="117">
        <f t="shared" si="114"/>
        <v>0</v>
      </c>
      <c r="AO120" s="117">
        <f t="shared" si="114"/>
        <v>4585.6452446652629</v>
      </c>
      <c r="AP120" s="117">
        <f t="shared" si="114"/>
        <v>806.64766152949255</v>
      </c>
      <c r="AQ120" s="117">
        <f t="shared" si="114"/>
        <v>0</v>
      </c>
      <c r="AR120" s="117">
        <f t="shared" si="114"/>
        <v>1895.2595257255834</v>
      </c>
      <c r="AS120" s="117">
        <f t="shared" si="114"/>
        <v>1258.2016781121094</v>
      </c>
      <c r="AT120" s="117">
        <f t="shared" si="114"/>
        <v>0</v>
      </c>
      <c r="AU120" s="117">
        <f t="shared" si="114"/>
        <v>0</v>
      </c>
      <c r="AV120" s="117">
        <f t="shared" si="114"/>
        <v>438.87618408758499</v>
      </c>
      <c r="AW120" s="117">
        <f t="shared" si="114"/>
        <v>584.4815572161541</v>
      </c>
      <c r="AX120" s="117">
        <f t="shared" si="114"/>
        <v>0</v>
      </c>
      <c r="AY120" s="117">
        <f t="shared" si="114"/>
        <v>1100.8985766823384</v>
      </c>
      <c r="AZ120" s="117">
        <f t="shared" si="114"/>
        <v>369.65801010456357</v>
      </c>
      <c r="BA120" s="117">
        <f>BA67+BA72</f>
        <v>198.59023726081105</v>
      </c>
      <c r="BB120" s="117">
        <f t="shared" si="114"/>
        <v>262.28743784280584</v>
      </c>
      <c r="BC120" s="117">
        <f t="shared" si="114"/>
        <v>1595.8085206609403</v>
      </c>
      <c r="BD120" s="117">
        <f t="shared" si="114"/>
        <v>878.90600440821981</v>
      </c>
      <c r="BE120" s="117">
        <f t="shared" si="114"/>
        <v>0</v>
      </c>
      <c r="BF120" s="117">
        <f t="shared" si="114"/>
        <v>3594.8619374631699</v>
      </c>
      <c r="BG120" s="117">
        <f t="shared" si="114"/>
        <v>3983.4235101348013</v>
      </c>
      <c r="BH120" s="117">
        <f t="shared" si="114"/>
        <v>1797.4309687315849</v>
      </c>
      <c r="BI120" s="117">
        <f t="shared" si="114"/>
        <v>0.16480517615005075</v>
      </c>
      <c r="BJ120" s="117">
        <f t="shared" si="114"/>
        <v>23366.602593510612</v>
      </c>
      <c r="BK120" s="117">
        <f t="shared" ref="BK120:BY120" si="115">BK67+BK72</f>
        <v>97061.272311505585</v>
      </c>
      <c r="BL120" s="117">
        <f t="shared" si="115"/>
        <v>109643.28909262666</v>
      </c>
      <c r="BM120" s="117">
        <f t="shared" si="115"/>
        <v>395.86203311242173</v>
      </c>
      <c r="BN120" s="117">
        <f t="shared" si="115"/>
        <v>295.16607048474089</v>
      </c>
      <c r="BO120" s="117">
        <f t="shared" si="115"/>
        <v>5793.0667468504325</v>
      </c>
      <c r="BP120" s="117">
        <f t="shared" si="115"/>
        <v>26961.464530973775</v>
      </c>
      <c r="BQ120" s="117">
        <f t="shared" si="115"/>
        <v>387.20976136454408</v>
      </c>
      <c r="BR120" s="117">
        <f t="shared" si="115"/>
        <v>27410.31449468834</v>
      </c>
      <c r="BS120" s="117">
        <f t="shared" si="115"/>
        <v>0</v>
      </c>
      <c r="BT120" s="117">
        <f t="shared" si="115"/>
        <v>31455.041952802745</v>
      </c>
      <c r="BU120" s="117">
        <f t="shared" si="115"/>
        <v>0</v>
      </c>
      <c r="BV120" s="117">
        <f t="shared" si="115"/>
        <v>0</v>
      </c>
      <c r="BW120" s="117">
        <f t="shared" si="115"/>
        <v>3415.1188405900116</v>
      </c>
      <c r="BX120" s="117">
        <f t="shared" si="115"/>
        <v>261.79590844673135</v>
      </c>
      <c r="BY120" s="117">
        <f t="shared" si="115"/>
        <v>0</v>
      </c>
      <c r="BZ120" s="72">
        <f t="shared" si="95"/>
        <v>417530.38251957978</v>
      </c>
      <c r="CA120" s="129"/>
      <c r="CB120" s="117">
        <f t="shared" ref="CB120:CX120" si="116">CB67+CB72</f>
        <v>-3.347135136505055E-12</v>
      </c>
      <c r="CC120" s="117">
        <f t="shared" si="116"/>
        <v>8.3678378412626376E-13</v>
      </c>
      <c r="CD120" s="117">
        <f t="shared" si="116"/>
        <v>0</v>
      </c>
      <c r="CE120" s="117">
        <f t="shared" si="116"/>
        <v>-1.6735675682525275E-12</v>
      </c>
      <c r="CF120" s="117">
        <f t="shared" si="116"/>
        <v>0</v>
      </c>
      <c r="CG120" s="117">
        <f t="shared" si="116"/>
        <v>-1.6735675682525275E-12</v>
      </c>
      <c r="CH120" s="117">
        <f t="shared" si="116"/>
        <v>2246.7008599384926</v>
      </c>
      <c r="CI120" s="117">
        <f t="shared" si="116"/>
        <v>2246.8765618904704</v>
      </c>
      <c r="CJ120" s="117">
        <f t="shared" si="116"/>
        <v>1797.4309687315849</v>
      </c>
      <c r="CK120" s="117">
        <f t="shared" si="116"/>
        <v>1797.4309687315849</v>
      </c>
      <c r="CL120" s="117">
        <f t="shared" si="116"/>
        <v>71.862098358867854</v>
      </c>
      <c r="CM120" s="117">
        <f t="shared" si="116"/>
        <v>2635.5292796650801</v>
      </c>
      <c r="CN120" s="117">
        <f t="shared" si="116"/>
        <v>17848.682791651812</v>
      </c>
      <c r="CO120" s="117">
        <f t="shared" si="116"/>
        <v>808.9317869052021</v>
      </c>
      <c r="CP120" s="117">
        <f t="shared" si="116"/>
        <v>33990.245417888575</v>
      </c>
      <c r="CQ120" s="117">
        <f t="shared" si="116"/>
        <v>1713.0940317823022</v>
      </c>
      <c r="CR120" s="117">
        <f t="shared" si="116"/>
        <v>104212.69316090083</v>
      </c>
      <c r="CS120" s="117">
        <f t="shared" si="116"/>
        <v>6149.5683192185206</v>
      </c>
      <c r="CT120" s="117">
        <f t="shared" si="116"/>
        <v>779.30240298498063</v>
      </c>
      <c r="CU120" s="117">
        <f t="shared" si="116"/>
        <v>17987.36071517555</v>
      </c>
      <c r="CV120" s="117">
        <f t="shared" si="116"/>
        <v>91157.246000402403</v>
      </c>
      <c r="CW120" s="117">
        <f t="shared" si="116"/>
        <v>116775.74449899117</v>
      </c>
      <c r="CX120" s="117">
        <f t="shared" si="116"/>
        <v>2163.8794940356183</v>
      </c>
      <c r="CY120" s="72">
        <f t="shared" si="97"/>
        <v>404382.57935725304</v>
      </c>
      <c r="CZ120" s="129"/>
      <c r="DA120" s="72">
        <f t="shared" si="98"/>
        <v>821912.96187683288</v>
      </c>
      <c r="DB120" s="130">
        <f t="shared" si="99"/>
        <v>0.18665889972925231</v>
      </c>
      <c r="DC120" s="117">
        <f t="shared" si="100"/>
        <v>-3.347135136505055E-12</v>
      </c>
      <c r="DD120" s="117">
        <f t="shared" si="101"/>
        <v>116775.74449899117</v>
      </c>
      <c r="DE120" s="69"/>
    </row>
    <row r="121" spans="1:109" x14ac:dyDescent="0.25">
      <c r="A121" s="69"/>
      <c r="B121" s="69"/>
      <c r="C121" s="69"/>
      <c r="D121" s="117"/>
      <c r="E121" s="117"/>
      <c r="F121" s="117"/>
      <c r="G121" s="117"/>
      <c r="H121" s="117"/>
      <c r="I121" s="117"/>
      <c r="J121" s="117"/>
      <c r="K121" s="117"/>
      <c r="L121" s="117"/>
      <c r="M121" s="117"/>
      <c r="N121" s="117"/>
      <c r="O121" s="117"/>
      <c r="P121" s="117"/>
      <c r="Q121" s="117"/>
      <c r="R121" s="117"/>
      <c r="S121" s="117"/>
      <c r="T121" s="117"/>
      <c r="U121" s="117"/>
      <c r="V121" s="117"/>
      <c r="W121" s="117"/>
      <c r="X121" s="117"/>
      <c r="Y121" s="117"/>
      <c r="Z121" s="117"/>
      <c r="AA121" s="117"/>
      <c r="AB121" s="117"/>
      <c r="AC121" s="117"/>
      <c r="AD121" s="117"/>
      <c r="AE121" s="117"/>
      <c r="AF121" s="117"/>
      <c r="AG121" s="117"/>
      <c r="AH121" s="117"/>
      <c r="AI121" s="117"/>
      <c r="AJ121" s="117"/>
      <c r="AK121" s="117"/>
      <c r="AL121" s="117"/>
      <c r="AM121" s="117"/>
      <c r="AN121" s="117"/>
      <c r="AO121" s="117"/>
      <c r="AP121" s="117"/>
      <c r="AQ121" s="117"/>
      <c r="AR121" s="117"/>
      <c r="AS121" s="117"/>
      <c r="AT121" s="117"/>
      <c r="AU121" s="117"/>
      <c r="AV121" s="117"/>
      <c r="AW121" s="117"/>
      <c r="AX121" s="117"/>
      <c r="AY121" s="117"/>
      <c r="AZ121" s="117"/>
      <c r="BA121" s="117"/>
      <c r="BB121" s="117"/>
      <c r="BC121" s="117"/>
      <c r="BD121" s="117"/>
      <c r="BE121" s="117"/>
      <c r="BF121" s="117"/>
      <c r="BG121" s="117"/>
      <c r="BH121" s="117"/>
      <c r="BI121" s="117"/>
      <c r="BJ121" s="117"/>
      <c r="BK121" s="117"/>
      <c r="BL121" s="117"/>
      <c r="BM121" s="117"/>
      <c r="BN121" s="117"/>
      <c r="BO121" s="117"/>
      <c r="BP121" s="117"/>
      <c r="BQ121" s="117"/>
      <c r="BR121" s="117"/>
      <c r="BS121" s="117"/>
      <c r="BT121" s="117"/>
      <c r="BU121" s="117"/>
      <c r="BV121" s="117"/>
      <c r="BW121" s="117"/>
      <c r="BX121" s="117"/>
      <c r="BY121" s="117"/>
      <c r="BZ121" s="117"/>
      <c r="CA121" s="129"/>
      <c r="CB121" s="117"/>
      <c r="CC121" s="117"/>
      <c r="CD121" s="117"/>
      <c r="CE121" s="117"/>
      <c r="CF121" s="117"/>
      <c r="CG121" s="117"/>
      <c r="CH121" s="117"/>
      <c r="CI121" s="117"/>
      <c r="CJ121" s="117"/>
      <c r="CK121" s="117"/>
      <c r="CL121" s="117"/>
      <c r="CM121" s="117"/>
      <c r="CN121" s="117"/>
      <c r="CO121" s="117"/>
      <c r="CP121" s="117"/>
      <c r="CQ121" s="117"/>
      <c r="CR121" s="117"/>
      <c r="CS121" s="117"/>
      <c r="CT121" s="117"/>
      <c r="CU121" s="117"/>
      <c r="CV121" s="117"/>
      <c r="CW121" s="117"/>
      <c r="CX121" s="117"/>
      <c r="CY121" s="117"/>
      <c r="CZ121" s="129"/>
      <c r="DA121" s="117"/>
      <c r="DB121" s="69"/>
      <c r="DC121" s="117"/>
      <c r="DD121" s="117"/>
      <c r="DE121" s="69"/>
    </row>
    <row r="122" spans="1:109" x14ac:dyDescent="0.25">
      <c r="A122" s="69"/>
      <c r="B122" s="69"/>
      <c r="C122" s="70" t="s">
        <v>639</v>
      </c>
      <c r="D122" s="117">
        <f>SUM(D115:D120)</f>
        <v>20000</v>
      </c>
      <c r="E122" s="117">
        <f t="shared" ref="E122:BJ122" si="117">SUM(E115:E120)</f>
        <v>40000</v>
      </c>
      <c r="F122" s="117">
        <f t="shared" si="117"/>
        <v>0</v>
      </c>
      <c r="G122" s="117">
        <f t="shared" si="117"/>
        <v>17478.005865102641</v>
      </c>
      <c r="H122" s="117">
        <f t="shared" si="117"/>
        <v>64557.18475073314</v>
      </c>
      <c r="I122" s="117">
        <f t="shared" si="117"/>
        <v>5827.9569892473128</v>
      </c>
      <c r="J122" s="117">
        <f t="shared" si="117"/>
        <v>2925.7086999022481</v>
      </c>
      <c r="K122" s="117">
        <f t="shared" si="117"/>
        <v>12910.06842619746</v>
      </c>
      <c r="L122" s="117">
        <f t="shared" si="117"/>
        <v>0</v>
      </c>
      <c r="M122" s="117">
        <f t="shared" si="117"/>
        <v>83000.000000000015</v>
      </c>
      <c r="N122" s="117">
        <f t="shared" si="117"/>
        <v>100000.00000000001</v>
      </c>
      <c r="O122" s="117">
        <f t="shared" si="117"/>
        <v>2060.606060606061</v>
      </c>
      <c r="P122" s="117">
        <f t="shared" si="117"/>
        <v>35435.97262952102</v>
      </c>
      <c r="Q122" s="117">
        <f t="shared" si="117"/>
        <v>1329.4232649071359</v>
      </c>
      <c r="R122" s="117">
        <f t="shared" si="117"/>
        <v>0</v>
      </c>
      <c r="S122" s="117">
        <f t="shared" si="117"/>
        <v>0</v>
      </c>
      <c r="T122" s="117">
        <f t="shared" si="117"/>
        <v>0</v>
      </c>
      <c r="U122" s="117">
        <f t="shared" si="117"/>
        <v>0</v>
      </c>
      <c r="V122" s="117">
        <f t="shared" si="117"/>
        <v>0</v>
      </c>
      <c r="W122" s="117">
        <f t="shared" si="117"/>
        <v>12394.916911045944</v>
      </c>
      <c r="X122" s="117">
        <f t="shared" si="117"/>
        <v>777.12609970674509</v>
      </c>
      <c r="Y122" s="117">
        <f t="shared" si="117"/>
        <v>36000</v>
      </c>
      <c r="Z122" s="117">
        <f t="shared" si="117"/>
        <v>13926.686217008801</v>
      </c>
      <c r="AA122" s="117">
        <f t="shared" si="117"/>
        <v>0</v>
      </c>
      <c r="AB122" s="117">
        <f t="shared" si="117"/>
        <v>0</v>
      </c>
      <c r="AC122" s="117">
        <f t="shared" si="117"/>
        <v>0</v>
      </c>
      <c r="AD122" s="117">
        <f t="shared" si="117"/>
        <v>0</v>
      </c>
      <c r="AE122" s="117">
        <f t="shared" si="117"/>
        <v>0</v>
      </c>
      <c r="AF122" s="117">
        <f t="shared" si="117"/>
        <v>0</v>
      </c>
      <c r="AG122" s="117">
        <f t="shared" si="117"/>
        <v>0</v>
      </c>
      <c r="AH122" s="117">
        <f t="shared" si="117"/>
        <v>0</v>
      </c>
      <c r="AI122" s="117">
        <f t="shared" si="117"/>
        <v>4106.5493646138812</v>
      </c>
      <c r="AJ122" s="117">
        <f t="shared" si="117"/>
        <v>0</v>
      </c>
      <c r="AK122" s="117">
        <f t="shared" si="117"/>
        <v>0</v>
      </c>
      <c r="AL122" s="117">
        <f t="shared" si="117"/>
        <v>34871.945259042033</v>
      </c>
      <c r="AM122" s="117">
        <f t="shared" si="117"/>
        <v>0</v>
      </c>
      <c r="AN122" s="117">
        <f t="shared" si="117"/>
        <v>0</v>
      </c>
      <c r="AO122" s="117">
        <f t="shared" si="117"/>
        <v>25512.218963831867</v>
      </c>
      <c r="AP122" s="117">
        <f t="shared" si="117"/>
        <v>4487.7810361681331</v>
      </c>
      <c r="AQ122" s="117">
        <f t="shared" si="117"/>
        <v>0</v>
      </c>
      <c r="AR122" s="117">
        <f t="shared" si="117"/>
        <v>22482.893450635391</v>
      </c>
      <c r="AS122" s="117">
        <f t="shared" si="117"/>
        <v>7000.0000000000009</v>
      </c>
      <c r="AT122" s="117">
        <f t="shared" si="117"/>
        <v>5000</v>
      </c>
      <c r="AU122" s="117">
        <f t="shared" si="117"/>
        <v>0</v>
      </c>
      <c r="AV122" s="117">
        <f t="shared" si="117"/>
        <v>5206.2561094819166</v>
      </c>
      <c r="AW122" s="117">
        <f t="shared" si="117"/>
        <v>6933.5288367546436</v>
      </c>
      <c r="AX122" s="117">
        <f t="shared" si="117"/>
        <v>0</v>
      </c>
      <c r="AY122" s="117">
        <f t="shared" si="117"/>
        <v>13059.628543499512</v>
      </c>
      <c r="AZ122" s="117">
        <f t="shared" si="117"/>
        <v>4385.1417399804504</v>
      </c>
      <c r="BA122" s="117">
        <f>SUM(BA115:BA120)</f>
        <v>2355.8162267839689</v>
      </c>
      <c r="BB122" s="117">
        <f t="shared" si="117"/>
        <v>3111.4369501466276</v>
      </c>
      <c r="BC122" s="117">
        <f t="shared" si="117"/>
        <v>18930.596285434996</v>
      </c>
      <c r="BD122" s="117">
        <f t="shared" si="117"/>
        <v>10426.197458455523</v>
      </c>
      <c r="BE122" s="117">
        <f t="shared" si="117"/>
        <v>0</v>
      </c>
      <c r="BF122" s="117">
        <f t="shared" si="117"/>
        <v>20000</v>
      </c>
      <c r="BG122" s="117">
        <f t="shared" si="117"/>
        <v>47254.154447702836</v>
      </c>
      <c r="BH122" s="117">
        <f t="shared" si="117"/>
        <v>10000</v>
      </c>
      <c r="BI122" s="117">
        <f t="shared" si="117"/>
        <v>1.9550342130987297</v>
      </c>
      <c r="BJ122" s="117">
        <f t="shared" si="117"/>
        <v>130000.00000000001</v>
      </c>
      <c r="BK122" s="117">
        <f t="shared" ref="BK122:BY122" si="118">SUM(BK115:BK120)</f>
        <v>540000</v>
      </c>
      <c r="BL122" s="117">
        <f t="shared" si="118"/>
        <v>610000</v>
      </c>
      <c r="BM122" s="117">
        <f t="shared" si="118"/>
        <v>4695.9921798631476</v>
      </c>
      <c r="BN122" s="117">
        <f t="shared" si="118"/>
        <v>3501.4662756598245</v>
      </c>
      <c r="BO122" s="117">
        <f t="shared" si="118"/>
        <v>68721.407624633444</v>
      </c>
      <c r="BP122" s="117">
        <f t="shared" si="118"/>
        <v>150000</v>
      </c>
      <c r="BQ122" s="117">
        <f t="shared" si="118"/>
        <v>4593.3528836754649</v>
      </c>
      <c r="BR122" s="117">
        <f t="shared" si="118"/>
        <v>325160.31280547415</v>
      </c>
      <c r="BS122" s="117">
        <f t="shared" si="118"/>
        <v>0</v>
      </c>
      <c r="BT122" s="117">
        <f t="shared" si="118"/>
        <v>175000.00000000003</v>
      </c>
      <c r="BU122" s="117">
        <f t="shared" si="118"/>
        <v>0</v>
      </c>
      <c r="BV122" s="117">
        <f t="shared" si="118"/>
        <v>0</v>
      </c>
      <c r="BW122" s="117">
        <f t="shared" si="118"/>
        <v>19000</v>
      </c>
      <c r="BX122" s="117">
        <f t="shared" si="118"/>
        <v>1456.5004887585535</v>
      </c>
      <c r="BY122" s="117">
        <f t="shared" si="118"/>
        <v>0</v>
      </c>
      <c r="BZ122" s="72">
        <f t="shared" si="95"/>
        <v>2725878.7878787885</v>
      </c>
      <c r="CA122" s="129"/>
      <c r="CB122" s="117">
        <f t="shared" ref="CB122:CX122" si="119">SUM(CB115:CB120)</f>
        <v>45000.000000000015</v>
      </c>
      <c r="CC122" s="117">
        <f t="shared" si="119"/>
        <v>16124.144672531769</v>
      </c>
      <c r="CD122" s="117">
        <f t="shared" si="119"/>
        <v>48875.855327468234</v>
      </c>
      <c r="CE122" s="117">
        <f t="shared" si="119"/>
        <v>25000.000000000007</v>
      </c>
      <c r="CF122" s="117">
        <f t="shared" si="119"/>
        <v>20000</v>
      </c>
      <c r="CG122" s="117">
        <f t="shared" si="119"/>
        <v>25000.000000000007</v>
      </c>
      <c r="CH122" s="117">
        <f t="shared" si="119"/>
        <v>12499.511241446726</v>
      </c>
      <c r="CI122" s="117">
        <f t="shared" si="119"/>
        <v>12500.488758553276</v>
      </c>
      <c r="CJ122" s="117">
        <f t="shared" si="119"/>
        <v>10000</v>
      </c>
      <c r="CK122" s="117">
        <f t="shared" si="119"/>
        <v>10000</v>
      </c>
      <c r="CL122" s="117">
        <f t="shared" si="119"/>
        <v>399.80449657869013</v>
      </c>
      <c r="CM122" s="117">
        <f t="shared" si="119"/>
        <v>14662.75659824047</v>
      </c>
      <c r="CN122" s="117">
        <f t="shared" si="119"/>
        <v>99301.075268817207</v>
      </c>
      <c r="CO122" s="117">
        <f t="shared" si="119"/>
        <v>4500.4887585532751</v>
      </c>
      <c r="CP122" s="117">
        <f t="shared" si="119"/>
        <v>189104.59433040081</v>
      </c>
      <c r="CQ122" s="117">
        <f t="shared" si="119"/>
        <v>9530.7917888563061</v>
      </c>
      <c r="CR122" s="117">
        <f t="shared" si="119"/>
        <v>579786.90127077233</v>
      </c>
      <c r="CS122" s="117">
        <f t="shared" si="119"/>
        <v>34213.098729227764</v>
      </c>
      <c r="CT122" s="117">
        <f t="shared" si="119"/>
        <v>1694.0371456500488</v>
      </c>
      <c r="CU122" s="117">
        <f t="shared" si="119"/>
        <v>39100.684261974588</v>
      </c>
      <c r="CV122" s="117">
        <f t="shared" si="119"/>
        <v>198156.40273704793</v>
      </c>
      <c r="CW122" s="117">
        <f t="shared" si="119"/>
        <v>253845.55229716521</v>
      </c>
      <c r="CX122" s="117">
        <f t="shared" si="119"/>
        <v>4703.8123167155427</v>
      </c>
      <c r="CY122" s="72">
        <f t="shared" si="97"/>
        <v>1654000</v>
      </c>
      <c r="CZ122" s="129"/>
      <c r="DA122" s="72">
        <f>BZ122+CY122</f>
        <v>4379878.787878789</v>
      </c>
      <c r="DB122" s="130">
        <f>SUM(DB115:DB120)</f>
        <v>0.99468361421882323</v>
      </c>
      <c r="DC122" s="117">
        <f>MIN(MIN($CB122:$CX122),MIN($D122:$BY122))</f>
        <v>0</v>
      </c>
      <c r="DD122" s="117">
        <f>MAX(MAX($CB122:$CX122),MAX($D122:$BY122))</f>
        <v>610000</v>
      </c>
      <c r="DE122" s="69"/>
    </row>
    <row r="123" spans="1:109" x14ac:dyDescent="0.25">
      <c r="A123" s="69"/>
      <c r="B123" s="69"/>
      <c r="C123" s="70" t="s">
        <v>640</v>
      </c>
      <c r="D123" s="117">
        <f t="shared" ref="D123:AI123" si="120">D11-D122</f>
        <v>0</v>
      </c>
      <c r="E123" s="117">
        <f t="shared" si="120"/>
        <v>0</v>
      </c>
      <c r="F123" s="117">
        <f t="shared" si="120"/>
        <v>2081.1339198435976</v>
      </c>
      <c r="G123" s="117">
        <f t="shared" si="120"/>
        <v>0</v>
      </c>
      <c r="H123" s="117">
        <f t="shared" si="120"/>
        <v>0</v>
      </c>
      <c r="I123" s="117">
        <f t="shared" si="120"/>
        <v>0</v>
      </c>
      <c r="J123" s="117">
        <f t="shared" si="120"/>
        <v>0</v>
      </c>
      <c r="K123" s="117">
        <f t="shared" si="120"/>
        <v>0</v>
      </c>
      <c r="L123" s="117">
        <f t="shared" si="120"/>
        <v>880.74291300097764</v>
      </c>
      <c r="M123" s="117">
        <f t="shared" si="120"/>
        <v>0</v>
      </c>
      <c r="N123" s="117">
        <f t="shared" si="120"/>
        <v>0</v>
      </c>
      <c r="O123" s="117">
        <f t="shared" si="120"/>
        <v>0</v>
      </c>
      <c r="P123" s="117">
        <f t="shared" si="120"/>
        <v>0</v>
      </c>
      <c r="Q123" s="117">
        <f t="shared" si="120"/>
        <v>0</v>
      </c>
      <c r="R123" s="117">
        <f t="shared" si="120"/>
        <v>556.2072336265885</v>
      </c>
      <c r="S123" s="117">
        <f t="shared" si="120"/>
        <v>467.25317693059634</v>
      </c>
      <c r="T123" s="117">
        <f t="shared" si="120"/>
        <v>1671.5542521994137</v>
      </c>
      <c r="U123" s="117">
        <f t="shared" si="120"/>
        <v>895.40566959921807</v>
      </c>
      <c r="V123" s="117">
        <f t="shared" si="120"/>
        <v>62.561094819159344</v>
      </c>
      <c r="W123" s="117">
        <f t="shared" si="120"/>
        <v>0</v>
      </c>
      <c r="X123" s="117">
        <f t="shared" si="120"/>
        <v>0</v>
      </c>
      <c r="Y123" s="117">
        <f t="shared" si="120"/>
        <v>0</v>
      </c>
      <c r="Z123" s="117">
        <f t="shared" si="120"/>
        <v>0</v>
      </c>
      <c r="AA123" s="117">
        <f t="shared" si="120"/>
        <v>466.27565982404695</v>
      </c>
      <c r="AB123" s="117">
        <f t="shared" si="120"/>
        <v>274.68230694037146</v>
      </c>
      <c r="AC123" s="117">
        <f t="shared" si="120"/>
        <v>1271.7497556207234</v>
      </c>
      <c r="AD123" s="117">
        <f t="shared" si="120"/>
        <v>1036.1681329423266</v>
      </c>
      <c r="AE123" s="117">
        <f t="shared" si="120"/>
        <v>190.61583577712611</v>
      </c>
      <c r="AF123" s="117">
        <f t="shared" si="120"/>
        <v>98.729227761485831</v>
      </c>
      <c r="AG123" s="117">
        <f t="shared" si="120"/>
        <v>602.15053763440869</v>
      </c>
      <c r="AH123" s="117">
        <f t="shared" si="120"/>
        <v>34.213098729227767</v>
      </c>
      <c r="AI123" s="117">
        <f t="shared" si="120"/>
        <v>0</v>
      </c>
      <c r="AJ123" s="117">
        <f t="shared" ref="AJ123:BO123" si="121">AJ11-AJ122</f>
        <v>2921.798631476051</v>
      </c>
      <c r="AK123" s="117">
        <f t="shared" si="121"/>
        <v>226.78396871945262</v>
      </c>
      <c r="AL123" s="117">
        <f t="shared" si="121"/>
        <v>0</v>
      </c>
      <c r="AM123" s="117">
        <f t="shared" si="121"/>
        <v>1864.1251221896384</v>
      </c>
      <c r="AN123" s="117">
        <f t="shared" si="121"/>
        <v>1280.5474095796678</v>
      </c>
      <c r="AO123" s="117">
        <f t="shared" si="121"/>
        <v>0</v>
      </c>
      <c r="AP123" s="117">
        <f t="shared" si="121"/>
        <v>0</v>
      </c>
      <c r="AQ123" s="117">
        <f t="shared" si="121"/>
        <v>313.78299120234607</v>
      </c>
      <c r="AR123" s="117">
        <f t="shared" si="121"/>
        <v>0</v>
      </c>
      <c r="AS123" s="117">
        <f t="shared" si="121"/>
        <v>0</v>
      </c>
      <c r="AT123" s="117">
        <f t="shared" si="121"/>
        <v>0</v>
      </c>
      <c r="AU123" s="117">
        <f t="shared" si="121"/>
        <v>717.49755620723374</v>
      </c>
      <c r="AV123" s="117">
        <f t="shared" si="121"/>
        <v>0</v>
      </c>
      <c r="AW123" s="117">
        <f t="shared" si="121"/>
        <v>0</v>
      </c>
      <c r="AX123" s="117">
        <f t="shared" si="121"/>
        <v>144.67253176930598</v>
      </c>
      <c r="AY123" s="117">
        <f t="shared" si="121"/>
        <v>0</v>
      </c>
      <c r="AZ123" s="117">
        <f t="shared" si="121"/>
        <v>0</v>
      </c>
      <c r="BA123" s="117">
        <f t="shared" si="121"/>
        <v>0</v>
      </c>
      <c r="BB123" s="117">
        <f t="shared" si="121"/>
        <v>0</v>
      </c>
      <c r="BC123" s="117">
        <f t="shared" si="121"/>
        <v>0</v>
      </c>
      <c r="BD123" s="117">
        <f t="shared" si="121"/>
        <v>0</v>
      </c>
      <c r="BE123" s="117">
        <f t="shared" si="121"/>
        <v>4630.4985337243406</v>
      </c>
      <c r="BF123" s="117">
        <f t="shared" si="121"/>
        <v>0</v>
      </c>
      <c r="BG123" s="117">
        <f t="shared" si="121"/>
        <v>0</v>
      </c>
      <c r="BH123" s="117">
        <f t="shared" si="121"/>
        <v>0</v>
      </c>
      <c r="BI123" s="117">
        <f t="shared" si="121"/>
        <v>0</v>
      </c>
      <c r="BJ123" s="117">
        <f t="shared" si="121"/>
        <v>0</v>
      </c>
      <c r="BK123" s="117">
        <f t="shared" si="121"/>
        <v>0</v>
      </c>
      <c r="BL123" s="117">
        <f t="shared" si="121"/>
        <v>0</v>
      </c>
      <c r="BM123" s="117">
        <f t="shared" si="121"/>
        <v>0</v>
      </c>
      <c r="BN123" s="117">
        <f t="shared" si="121"/>
        <v>0</v>
      </c>
      <c r="BO123" s="117">
        <f t="shared" si="121"/>
        <v>0</v>
      </c>
      <c r="BP123" s="117">
        <f t="shared" ref="BP123:BY123" si="122">BP11-BP122</f>
        <v>0</v>
      </c>
      <c r="BQ123" s="117">
        <f t="shared" si="122"/>
        <v>0</v>
      </c>
      <c r="BR123" s="117">
        <f t="shared" si="122"/>
        <v>0</v>
      </c>
      <c r="BS123" s="117">
        <f t="shared" si="122"/>
        <v>96.774193548387103</v>
      </c>
      <c r="BT123" s="117">
        <f t="shared" si="122"/>
        <v>0</v>
      </c>
      <c r="BU123" s="117">
        <f t="shared" si="122"/>
        <v>10.752688172043012</v>
      </c>
      <c r="BV123" s="117">
        <f t="shared" si="122"/>
        <v>213.09872922776151</v>
      </c>
      <c r="BW123" s="117">
        <f t="shared" si="122"/>
        <v>0</v>
      </c>
      <c r="BX123" s="117">
        <f t="shared" si="122"/>
        <v>0</v>
      </c>
      <c r="BY123" s="117">
        <f t="shared" si="122"/>
        <v>399.80449657869013</v>
      </c>
      <c r="BZ123" s="72">
        <f t="shared" si="95"/>
        <v>23409.579667644182</v>
      </c>
      <c r="CA123" s="129"/>
      <c r="CB123" s="117">
        <f t="shared" ref="CB123:CX123" si="123">CB11-CB122</f>
        <v>0</v>
      </c>
      <c r="CC123" s="117">
        <f t="shared" si="123"/>
        <v>0</v>
      </c>
      <c r="CD123" s="117">
        <f t="shared" si="123"/>
        <v>0</v>
      </c>
      <c r="CE123" s="117">
        <f t="shared" si="123"/>
        <v>0</v>
      </c>
      <c r="CF123" s="117">
        <f t="shared" si="123"/>
        <v>0</v>
      </c>
      <c r="CG123" s="117">
        <f t="shared" si="123"/>
        <v>0</v>
      </c>
      <c r="CH123" s="117">
        <f t="shared" si="123"/>
        <v>0</v>
      </c>
      <c r="CI123" s="117">
        <f t="shared" si="123"/>
        <v>0</v>
      </c>
      <c r="CJ123" s="117">
        <f t="shared" si="123"/>
        <v>0</v>
      </c>
      <c r="CK123" s="117">
        <f t="shared" si="123"/>
        <v>0</v>
      </c>
      <c r="CL123" s="117">
        <f t="shared" si="123"/>
        <v>0</v>
      </c>
      <c r="CM123" s="117">
        <f t="shared" si="123"/>
        <v>0</v>
      </c>
      <c r="CN123" s="117">
        <f t="shared" si="123"/>
        <v>0</v>
      </c>
      <c r="CO123" s="117">
        <f t="shared" si="123"/>
        <v>0</v>
      </c>
      <c r="CP123" s="117">
        <f t="shared" si="123"/>
        <v>0</v>
      </c>
      <c r="CQ123" s="117">
        <f t="shared" si="123"/>
        <v>0</v>
      </c>
      <c r="CR123" s="117">
        <f t="shared" si="123"/>
        <v>0</v>
      </c>
      <c r="CS123" s="117">
        <f t="shared" si="123"/>
        <v>0</v>
      </c>
      <c r="CT123" s="117">
        <f t="shared" si="123"/>
        <v>0</v>
      </c>
      <c r="CU123" s="117">
        <f t="shared" si="123"/>
        <v>0</v>
      </c>
      <c r="CV123" s="117">
        <f t="shared" si="123"/>
        <v>0</v>
      </c>
      <c r="CW123" s="117">
        <f t="shared" si="123"/>
        <v>0</v>
      </c>
      <c r="CX123" s="117">
        <f t="shared" si="123"/>
        <v>0</v>
      </c>
      <c r="CY123" s="72">
        <f>SUM(CB123:CX123)</f>
        <v>0</v>
      </c>
      <c r="CZ123" s="129"/>
      <c r="DA123" s="72">
        <f>BZ123+CY123</f>
        <v>23409.579667644182</v>
      </c>
      <c r="DB123" s="202"/>
      <c r="DC123" s="69"/>
      <c r="DD123" s="69"/>
      <c r="DE123" s="69"/>
    </row>
    <row r="124" spans="1:109"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c r="AE124" s="69"/>
      <c r="AF124" s="69"/>
      <c r="AG124" s="69"/>
      <c r="AH124" s="69"/>
      <c r="AI124" s="69"/>
      <c r="AJ124" s="69"/>
      <c r="AK124" s="69"/>
      <c r="AL124" s="69"/>
      <c r="AM124" s="69"/>
      <c r="AN124" s="69"/>
      <c r="AO124" s="69"/>
      <c r="AP124" s="69"/>
      <c r="AQ124" s="69"/>
      <c r="AR124" s="69"/>
      <c r="AS124" s="69"/>
      <c r="AT124" s="69"/>
      <c r="AU124" s="69"/>
      <c r="AV124" s="69"/>
      <c r="AW124" s="69"/>
      <c r="AX124" s="69"/>
      <c r="AY124" s="69"/>
      <c r="AZ124" s="69"/>
      <c r="BA124" s="69"/>
      <c r="BB124" s="69"/>
      <c r="BC124" s="69"/>
      <c r="BD124" s="69"/>
      <c r="BE124" s="69"/>
      <c r="BF124" s="69"/>
      <c r="BG124" s="69"/>
      <c r="BH124" s="69"/>
      <c r="BI124" s="69"/>
      <c r="BJ124" s="69"/>
      <c r="BK124" s="69"/>
      <c r="BL124" s="69"/>
      <c r="BM124" s="69"/>
      <c r="BN124" s="69"/>
      <c r="BO124" s="69"/>
      <c r="BP124" s="69"/>
      <c r="BQ124" s="69"/>
      <c r="BR124" s="69"/>
      <c r="BS124" s="69"/>
      <c r="BT124" s="69"/>
      <c r="BU124" s="69"/>
      <c r="BV124" s="69"/>
      <c r="BW124" s="69"/>
      <c r="BX124" s="69"/>
      <c r="BY124" s="69"/>
      <c r="BZ124" s="69"/>
      <c r="CA124" s="76"/>
      <c r="CB124" s="69"/>
      <c r="CC124" s="69"/>
      <c r="CD124" s="69"/>
      <c r="CE124" s="69"/>
      <c r="CF124" s="69"/>
      <c r="CG124" s="69"/>
      <c r="CH124" s="69"/>
      <c r="CI124" s="69"/>
      <c r="CJ124" s="69"/>
      <c r="CK124" s="69"/>
      <c r="CL124" s="69"/>
      <c r="CM124" s="69"/>
      <c r="CN124" s="69"/>
      <c r="CO124" s="69"/>
      <c r="CP124" s="69"/>
      <c r="CQ124" s="69"/>
      <c r="CR124" s="69"/>
      <c r="CS124" s="69"/>
      <c r="CT124" s="69"/>
      <c r="CU124" s="69"/>
      <c r="CV124" s="69"/>
      <c r="CW124" s="69"/>
      <c r="CX124" s="69"/>
      <c r="CY124" s="69"/>
      <c r="CZ124" s="76"/>
      <c r="DA124" s="69"/>
      <c r="DB124" s="70"/>
      <c r="DC124" s="130"/>
      <c r="DD124" s="130"/>
      <c r="DE124" s="69"/>
    </row>
    <row r="125" spans="1:109" x14ac:dyDescent="0.25">
      <c r="A125" s="69"/>
      <c r="B125" s="69"/>
      <c r="C125" s="70" t="s">
        <v>614</v>
      </c>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c r="AE125" s="69"/>
      <c r="AF125" s="69"/>
      <c r="AG125" s="69"/>
      <c r="AH125" s="69"/>
      <c r="AI125" s="69"/>
      <c r="AJ125" s="69"/>
      <c r="AK125" s="69"/>
      <c r="AL125" s="69"/>
      <c r="AM125" s="69"/>
      <c r="AN125" s="69"/>
      <c r="AO125" s="69"/>
      <c r="AP125" s="69"/>
      <c r="AQ125" s="69"/>
      <c r="AR125" s="69"/>
      <c r="AS125" s="69"/>
      <c r="AT125" s="69"/>
      <c r="AU125" s="69"/>
      <c r="AV125" s="69"/>
      <c r="AW125" s="69"/>
      <c r="AX125" s="69"/>
      <c r="AY125" s="69"/>
      <c r="AZ125" s="69"/>
      <c r="BA125" s="69"/>
      <c r="BB125" s="69"/>
      <c r="BC125" s="69"/>
      <c r="BD125" s="69"/>
      <c r="BE125" s="69"/>
      <c r="BF125" s="69"/>
      <c r="BG125" s="69"/>
      <c r="BH125" s="69"/>
      <c r="BI125" s="69"/>
      <c r="BJ125" s="69"/>
      <c r="BK125" s="69"/>
      <c r="BL125" s="69"/>
      <c r="BM125" s="69"/>
      <c r="BN125" s="69"/>
      <c r="BO125" s="69"/>
      <c r="BP125" s="69"/>
      <c r="BQ125" s="69"/>
      <c r="BR125" s="69"/>
      <c r="BS125" s="69"/>
      <c r="BT125" s="69"/>
      <c r="BU125" s="69"/>
      <c r="BV125" s="69"/>
      <c r="BW125" s="69"/>
      <c r="BX125" s="69"/>
      <c r="BY125" s="69"/>
      <c r="BZ125" s="69"/>
      <c r="CA125" s="76"/>
      <c r="CB125" s="69"/>
      <c r="CC125" s="69"/>
      <c r="CD125" s="69"/>
      <c r="CE125" s="69"/>
      <c r="CF125" s="69"/>
      <c r="CG125" s="69"/>
      <c r="CH125" s="69"/>
      <c r="CI125" s="69"/>
      <c r="CJ125" s="69"/>
      <c r="CK125" s="69"/>
      <c r="CL125" s="69"/>
      <c r="CM125" s="69"/>
      <c r="CN125" s="69"/>
      <c r="CO125" s="69"/>
      <c r="CP125" s="69"/>
      <c r="CQ125" s="69"/>
      <c r="CR125" s="69"/>
      <c r="CS125" s="69"/>
      <c r="CT125" s="69"/>
      <c r="CU125" s="69"/>
      <c r="CV125" s="69"/>
      <c r="CW125" s="69"/>
      <c r="CX125" s="69"/>
      <c r="CY125" s="69"/>
      <c r="CZ125" s="76"/>
      <c r="DA125" s="69"/>
      <c r="DB125" s="70"/>
      <c r="DC125" s="130">
        <f>MIN(MIN($CB125:$CX125),MIN($D125:$BY125))</f>
        <v>0</v>
      </c>
      <c r="DD125" s="130">
        <f>MAX(MAX($CB125:$CX125),MAX($D125:$BY125))</f>
        <v>0</v>
      </c>
      <c r="DE125" s="69"/>
    </row>
    <row r="126" spans="1:109" x14ac:dyDescent="0.25">
      <c r="A126" s="69"/>
      <c r="B126" s="69"/>
      <c r="C126" s="70" t="s">
        <v>22</v>
      </c>
      <c r="D126" s="130">
        <f t="shared" ref="D126:AD126" si="124">IF(D3="FT1",(D115+D116+D117)/D122,1)</f>
        <v>0.60927685887916594</v>
      </c>
      <c r="E126" s="130">
        <f t="shared" si="124"/>
        <v>0.60927685887916594</v>
      </c>
      <c r="F126" s="130">
        <f t="shared" si="124"/>
        <v>1</v>
      </c>
      <c r="G126" s="130">
        <f t="shared" si="124"/>
        <v>0.81675446580552746</v>
      </c>
      <c r="H126" s="130">
        <f t="shared" si="124"/>
        <v>0.81675446580552746</v>
      </c>
      <c r="I126" s="130">
        <f t="shared" si="124"/>
        <v>0.81675446580552746</v>
      </c>
      <c r="J126" s="130">
        <f t="shared" si="124"/>
        <v>0.81675446580552757</v>
      </c>
      <c r="K126" s="130">
        <f t="shared" si="124"/>
        <v>0.81675446580552735</v>
      </c>
      <c r="L126" s="130">
        <f t="shared" si="124"/>
        <v>1</v>
      </c>
      <c r="M126" s="130">
        <f t="shared" si="124"/>
        <v>0.60927685887916605</v>
      </c>
      <c r="N126" s="130">
        <f t="shared" si="124"/>
        <v>0.60927685887916605</v>
      </c>
      <c r="O126" s="130">
        <f t="shared" si="124"/>
        <v>0.81675446580552735</v>
      </c>
      <c r="P126" s="130">
        <f t="shared" si="124"/>
        <v>0.81675446580552746</v>
      </c>
      <c r="Q126" s="130">
        <f t="shared" si="124"/>
        <v>0.81675446580552735</v>
      </c>
      <c r="R126" s="130">
        <f t="shared" si="124"/>
        <v>1</v>
      </c>
      <c r="S126" s="130">
        <f t="shared" si="124"/>
        <v>1</v>
      </c>
      <c r="T126" s="130">
        <f t="shared" si="124"/>
        <v>1</v>
      </c>
      <c r="U126" s="130">
        <f t="shared" si="124"/>
        <v>1</v>
      </c>
      <c r="V126" s="130">
        <f t="shared" si="124"/>
        <v>1</v>
      </c>
      <c r="W126" s="130">
        <f t="shared" si="124"/>
        <v>0.81675446580552735</v>
      </c>
      <c r="X126" s="130">
        <f t="shared" si="124"/>
        <v>0.81675446580552724</v>
      </c>
      <c r="Y126" s="130">
        <f t="shared" si="124"/>
        <v>0.60927685887916594</v>
      </c>
      <c r="Z126" s="130">
        <f t="shared" si="124"/>
        <v>0.81675446580552746</v>
      </c>
      <c r="AA126" s="130">
        <f t="shared" si="124"/>
        <v>1</v>
      </c>
      <c r="AB126" s="130">
        <f t="shared" si="124"/>
        <v>1</v>
      </c>
      <c r="AC126" s="130">
        <f t="shared" si="124"/>
        <v>1</v>
      </c>
      <c r="AD126" s="130">
        <f t="shared" si="124"/>
        <v>1</v>
      </c>
      <c r="AE126" s="130">
        <f t="shared" ref="AE126:BK126" si="125">IF(AE3="FT1",(AE115+AE116+AE117)/AE122,1)</f>
        <v>1</v>
      </c>
      <c r="AF126" s="130">
        <f t="shared" si="125"/>
        <v>1</v>
      </c>
      <c r="AG126" s="130">
        <f t="shared" si="125"/>
        <v>1</v>
      </c>
      <c r="AH126" s="130">
        <f t="shared" si="125"/>
        <v>1</v>
      </c>
      <c r="AI126" s="130">
        <f t="shared" si="125"/>
        <v>0.81675446580552757</v>
      </c>
      <c r="AJ126" s="130">
        <f t="shared" si="125"/>
        <v>1</v>
      </c>
      <c r="AK126" s="130">
        <f t="shared" si="125"/>
        <v>1</v>
      </c>
      <c r="AL126" s="130">
        <f t="shared" si="125"/>
        <v>0.81675446580552724</v>
      </c>
      <c r="AM126" s="130">
        <f t="shared" si="125"/>
        <v>1</v>
      </c>
      <c r="AN126" s="130">
        <f t="shared" si="125"/>
        <v>1</v>
      </c>
      <c r="AO126" s="130">
        <f t="shared" si="125"/>
        <v>0.60927685887916605</v>
      </c>
      <c r="AP126" s="130">
        <f t="shared" si="125"/>
        <v>0.60927685887916583</v>
      </c>
      <c r="AQ126" s="130">
        <f t="shared" si="125"/>
        <v>1</v>
      </c>
      <c r="AR126" s="130">
        <f t="shared" si="125"/>
        <v>0.81675446580552724</v>
      </c>
      <c r="AS126" s="130">
        <f t="shared" si="125"/>
        <v>0.60927685887916605</v>
      </c>
      <c r="AT126" s="130">
        <f t="shared" si="125"/>
        <v>1</v>
      </c>
      <c r="AU126" s="130">
        <f t="shared" si="125"/>
        <v>1</v>
      </c>
      <c r="AV126" s="130">
        <f t="shared" si="125"/>
        <v>0.81675446580552746</v>
      </c>
      <c r="AW126" s="130">
        <f t="shared" si="125"/>
        <v>0.81675446580552757</v>
      </c>
      <c r="AX126" s="130">
        <f t="shared" si="125"/>
        <v>1</v>
      </c>
      <c r="AY126" s="130">
        <f t="shared" si="125"/>
        <v>0.81675446580552746</v>
      </c>
      <c r="AZ126" s="130">
        <f t="shared" si="125"/>
        <v>0.81675446580552746</v>
      </c>
      <c r="BA126" s="130">
        <f>IF(BA3="FT1",(BA115+BA116+BA117)/BA122,1)</f>
        <v>0.81675446580552746</v>
      </c>
      <c r="BB126" s="130">
        <f t="shared" si="125"/>
        <v>0.81675446580552735</v>
      </c>
      <c r="BC126" s="130">
        <f t="shared" si="125"/>
        <v>0.81675446580552746</v>
      </c>
      <c r="BD126" s="130">
        <f t="shared" si="125"/>
        <v>0.81675446580552769</v>
      </c>
      <c r="BE126" s="130">
        <f t="shared" si="125"/>
        <v>1</v>
      </c>
      <c r="BF126" s="130">
        <f t="shared" si="125"/>
        <v>0.60927685887916594</v>
      </c>
      <c r="BG126" s="130">
        <f t="shared" si="125"/>
        <v>0.81675446580552735</v>
      </c>
      <c r="BH126" s="130">
        <f t="shared" si="125"/>
        <v>0.60927685887916594</v>
      </c>
      <c r="BI126" s="130">
        <f t="shared" si="125"/>
        <v>0.81675446580552724</v>
      </c>
      <c r="BJ126" s="130">
        <f t="shared" si="125"/>
        <v>0.60927685887916594</v>
      </c>
      <c r="BK126" s="130">
        <f t="shared" si="125"/>
        <v>0.60927685887916594</v>
      </c>
      <c r="BL126" s="130">
        <f t="shared" ref="BL126:BY126" si="126">IF(BL3="FT1",(BL115+BL116+BL117)/BL122,1)</f>
        <v>0.60927685887916605</v>
      </c>
      <c r="BM126" s="130">
        <f t="shared" si="126"/>
        <v>0.81675446580552746</v>
      </c>
      <c r="BN126" s="130">
        <f t="shared" si="126"/>
        <v>0.81675446580552735</v>
      </c>
      <c r="BO126" s="130">
        <f t="shared" si="126"/>
        <v>0.81675446580552735</v>
      </c>
      <c r="BP126" s="130">
        <f t="shared" si="126"/>
        <v>0.60927685887916594</v>
      </c>
      <c r="BQ126" s="130">
        <f t="shared" si="126"/>
        <v>0.81675446580552746</v>
      </c>
      <c r="BR126" s="130">
        <f t="shared" si="126"/>
        <v>0.81675446580552735</v>
      </c>
      <c r="BS126" s="130">
        <f t="shared" si="126"/>
        <v>1</v>
      </c>
      <c r="BT126" s="130">
        <f t="shared" si="126"/>
        <v>0.60927685887916594</v>
      </c>
      <c r="BU126" s="130">
        <f t="shared" si="126"/>
        <v>1</v>
      </c>
      <c r="BV126" s="130">
        <f t="shared" si="126"/>
        <v>1</v>
      </c>
      <c r="BW126" s="130">
        <f t="shared" si="126"/>
        <v>0.60927685887916594</v>
      </c>
      <c r="BX126" s="130">
        <f t="shared" si="126"/>
        <v>0.60927685887916594</v>
      </c>
      <c r="BY126" s="130">
        <f t="shared" si="126"/>
        <v>1</v>
      </c>
      <c r="BZ126" s="130"/>
      <c r="CA126" s="118"/>
      <c r="CB126" s="130">
        <f t="shared" ref="CB126:CX126" si="127">IF(CB3="FT1",(CB115+CB116+CB117)/CB122,1)</f>
        <v>1</v>
      </c>
      <c r="CC126" s="130">
        <f t="shared" si="127"/>
        <v>1</v>
      </c>
      <c r="CD126" s="130">
        <f t="shared" si="127"/>
        <v>1</v>
      </c>
      <c r="CE126" s="130">
        <f t="shared" si="127"/>
        <v>1</v>
      </c>
      <c r="CF126" s="130">
        <f t="shared" si="127"/>
        <v>1</v>
      </c>
      <c r="CG126" s="130">
        <f t="shared" si="127"/>
        <v>1</v>
      </c>
      <c r="CH126" s="130">
        <f t="shared" si="127"/>
        <v>0.60927685887916594</v>
      </c>
      <c r="CI126" s="130">
        <f t="shared" si="127"/>
        <v>0.60927685887916594</v>
      </c>
      <c r="CJ126" s="130">
        <f t="shared" si="127"/>
        <v>0.60927685887916594</v>
      </c>
      <c r="CK126" s="130">
        <f t="shared" si="127"/>
        <v>0.60927685887916594</v>
      </c>
      <c r="CL126" s="130">
        <f t="shared" si="127"/>
        <v>0.60927685887916605</v>
      </c>
      <c r="CM126" s="130">
        <f t="shared" si="127"/>
        <v>0.60927685887916605</v>
      </c>
      <c r="CN126" s="130">
        <f t="shared" si="127"/>
        <v>0.60927685887916605</v>
      </c>
      <c r="CO126" s="130">
        <f t="shared" si="127"/>
        <v>0.60927685887916605</v>
      </c>
      <c r="CP126" s="130">
        <f t="shared" si="127"/>
        <v>0.60927685887916594</v>
      </c>
      <c r="CQ126" s="130">
        <f t="shared" si="127"/>
        <v>0.60927685887916605</v>
      </c>
      <c r="CR126" s="130">
        <f t="shared" si="127"/>
        <v>0.60927685887916594</v>
      </c>
      <c r="CS126" s="130">
        <f t="shared" si="127"/>
        <v>0.60927685887916605</v>
      </c>
      <c r="CT126" s="130">
        <f t="shared" si="127"/>
        <v>0</v>
      </c>
      <c r="CU126" s="130">
        <f t="shared" si="127"/>
        <v>0</v>
      </c>
      <c r="CV126" s="130">
        <f t="shared" si="127"/>
        <v>0</v>
      </c>
      <c r="CW126" s="130">
        <f t="shared" si="127"/>
        <v>0</v>
      </c>
      <c r="CX126" s="130">
        <f t="shared" si="127"/>
        <v>0</v>
      </c>
      <c r="CY126" s="130"/>
      <c r="CZ126" s="118"/>
      <c r="DA126" s="130"/>
      <c r="DB126" s="130"/>
      <c r="DC126" s="130">
        <f>MIN(MIN($CB126:$CX126),MIN($D126:$BY126))</f>
        <v>0</v>
      </c>
      <c r="DD126" s="130">
        <f>MAX(MAX($CB126:$CX126),MAX($D126:$BY126))</f>
        <v>1</v>
      </c>
      <c r="DE126" s="69"/>
    </row>
    <row r="127" spans="1:109" x14ac:dyDescent="0.25">
      <c r="A127" s="69"/>
      <c r="B127" s="69"/>
      <c r="C127" s="70" t="s">
        <v>24</v>
      </c>
      <c r="D127" s="130">
        <f t="shared" ref="D127:AD127" si="128">IF(D3="FT1",(D118+D119+D120)/D122,1)</f>
        <v>0.39072314112083406</v>
      </c>
      <c r="E127" s="130">
        <f t="shared" si="128"/>
        <v>0.39072314112083406</v>
      </c>
      <c r="F127" s="130">
        <f t="shared" si="128"/>
        <v>1</v>
      </c>
      <c r="G127" s="130">
        <f t="shared" si="128"/>
        <v>0.18324553419447254</v>
      </c>
      <c r="H127" s="130">
        <f t="shared" si="128"/>
        <v>0.18324553419447256</v>
      </c>
      <c r="I127" s="130">
        <f t="shared" si="128"/>
        <v>0.18324553419447248</v>
      </c>
      <c r="J127" s="130">
        <f t="shared" si="128"/>
        <v>0.18324553419447259</v>
      </c>
      <c r="K127" s="130">
        <f t="shared" si="128"/>
        <v>0.18324553419447262</v>
      </c>
      <c r="L127" s="130">
        <f t="shared" si="128"/>
        <v>1</v>
      </c>
      <c r="M127" s="130">
        <f t="shared" si="128"/>
        <v>0.39072314112083395</v>
      </c>
      <c r="N127" s="130">
        <f t="shared" si="128"/>
        <v>0.39072314112083401</v>
      </c>
      <c r="O127" s="130">
        <f t="shared" si="128"/>
        <v>0.18324553419447262</v>
      </c>
      <c r="P127" s="130">
        <f t="shared" si="128"/>
        <v>0.18324553419447248</v>
      </c>
      <c r="Q127" s="130">
        <f t="shared" si="128"/>
        <v>0.18324553419447268</v>
      </c>
      <c r="R127" s="130">
        <f t="shared" si="128"/>
        <v>1</v>
      </c>
      <c r="S127" s="130">
        <f t="shared" si="128"/>
        <v>1</v>
      </c>
      <c r="T127" s="130">
        <f t="shared" si="128"/>
        <v>1</v>
      </c>
      <c r="U127" s="130">
        <f t="shared" si="128"/>
        <v>1</v>
      </c>
      <c r="V127" s="130">
        <f t="shared" si="128"/>
        <v>1</v>
      </c>
      <c r="W127" s="130">
        <f t="shared" si="128"/>
        <v>0.18324553419447262</v>
      </c>
      <c r="X127" s="130">
        <f t="shared" si="128"/>
        <v>0.18324553419447259</v>
      </c>
      <c r="Y127" s="130">
        <f t="shared" si="128"/>
        <v>0.39072314112083406</v>
      </c>
      <c r="Z127" s="130">
        <f t="shared" si="128"/>
        <v>0.18324553419447245</v>
      </c>
      <c r="AA127" s="130">
        <f t="shared" si="128"/>
        <v>1</v>
      </c>
      <c r="AB127" s="130">
        <f t="shared" si="128"/>
        <v>1</v>
      </c>
      <c r="AC127" s="130">
        <f t="shared" si="128"/>
        <v>1</v>
      </c>
      <c r="AD127" s="130">
        <f t="shared" si="128"/>
        <v>1</v>
      </c>
      <c r="AE127" s="130">
        <f t="shared" ref="AE127:BK127" si="129">IF(AE3="FT1",(AE118+AE119+AE120)/AE122,1)</f>
        <v>1</v>
      </c>
      <c r="AF127" s="130">
        <f t="shared" si="129"/>
        <v>1</v>
      </c>
      <c r="AG127" s="130">
        <f t="shared" si="129"/>
        <v>1</v>
      </c>
      <c r="AH127" s="130">
        <f t="shared" si="129"/>
        <v>1</v>
      </c>
      <c r="AI127" s="130">
        <f t="shared" si="129"/>
        <v>0.18324553419447243</v>
      </c>
      <c r="AJ127" s="130">
        <f t="shared" si="129"/>
        <v>1</v>
      </c>
      <c r="AK127" s="130">
        <f t="shared" si="129"/>
        <v>1</v>
      </c>
      <c r="AL127" s="130">
        <f t="shared" si="129"/>
        <v>0.18324553419447273</v>
      </c>
      <c r="AM127" s="130">
        <f t="shared" si="129"/>
        <v>1</v>
      </c>
      <c r="AN127" s="130">
        <f t="shared" si="129"/>
        <v>1</v>
      </c>
      <c r="AO127" s="130">
        <f t="shared" si="129"/>
        <v>0.39072314112083412</v>
      </c>
      <c r="AP127" s="130">
        <f t="shared" si="129"/>
        <v>0.39072314112083412</v>
      </c>
      <c r="AQ127" s="130">
        <f t="shared" si="129"/>
        <v>1</v>
      </c>
      <c r="AR127" s="130">
        <f t="shared" si="129"/>
        <v>0.18324553419447262</v>
      </c>
      <c r="AS127" s="130">
        <f t="shared" si="129"/>
        <v>0.39072314112083401</v>
      </c>
      <c r="AT127" s="130">
        <f t="shared" si="129"/>
        <v>0</v>
      </c>
      <c r="AU127" s="130">
        <f t="shared" si="129"/>
        <v>1</v>
      </c>
      <c r="AV127" s="130">
        <f t="shared" si="129"/>
        <v>0.18324553419447256</v>
      </c>
      <c r="AW127" s="130">
        <f t="shared" si="129"/>
        <v>0.18324553419447237</v>
      </c>
      <c r="AX127" s="130">
        <f t="shared" si="129"/>
        <v>1</v>
      </c>
      <c r="AY127" s="130">
        <f t="shared" si="129"/>
        <v>0.18324553419447256</v>
      </c>
      <c r="AZ127" s="130">
        <f t="shared" si="129"/>
        <v>0.18324553419447251</v>
      </c>
      <c r="BA127" s="130">
        <f>IF(BA3="FT1",(BA118+BA119+BA120)/BA122,1)</f>
        <v>0.18324553419447256</v>
      </c>
      <c r="BB127" s="130">
        <f t="shared" si="129"/>
        <v>0.1832455341944727</v>
      </c>
      <c r="BC127" s="130">
        <f t="shared" si="129"/>
        <v>0.18324553419447251</v>
      </c>
      <c r="BD127" s="130">
        <f t="shared" si="129"/>
        <v>0.18324553419447248</v>
      </c>
      <c r="BE127" s="130">
        <f t="shared" si="129"/>
        <v>1</v>
      </c>
      <c r="BF127" s="130">
        <f t="shared" si="129"/>
        <v>0.39072314112083406</v>
      </c>
      <c r="BG127" s="130">
        <f t="shared" si="129"/>
        <v>0.18324553419447265</v>
      </c>
      <c r="BH127" s="130">
        <f t="shared" si="129"/>
        <v>0.39072314112083406</v>
      </c>
      <c r="BI127" s="130">
        <f t="shared" si="129"/>
        <v>0.18324553419447262</v>
      </c>
      <c r="BJ127" s="130">
        <f t="shared" si="129"/>
        <v>0.39072314112083412</v>
      </c>
      <c r="BK127" s="130">
        <f t="shared" si="129"/>
        <v>0.39072314112083406</v>
      </c>
      <c r="BL127" s="130">
        <f t="shared" ref="BL127:BY127" si="130">IF(BL3="FT1",(BL118+BL119+BL120)/BL122,1)</f>
        <v>0.39072314112083395</v>
      </c>
      <c r="BM127" s="130">
        <f t="shared" si="130"/>
        <v>0.18324553419447259</v>
      </c>
      <c r="BN127" s="130">
        <f t="shared" si="130"/>
        <v>0.18324553419447265</v>
      </c>
      <c r="BO127" s="130">
        <f t="shared" si="130"/>
        <v>0.18324553419447259</v>
      </c>
      <c r="BP127" s="130">
        <f t="shared" si="130"/>
        <v>0.39072314112083406</v>
      </c>
      <c r="BQ127" s="130">
        <f t="shared" si="130"/>
        <v>0.18324553419447256</v>
      </c>
      <c r="BR127" s="130">
        <f t="shared" si="130"/>
        <v>0.18324553419447245</v>
      </c>
      <c r="BS127" s="130">
        <f t="shared" si="130"/>
        <v>1</v>
      </c>
      <c r="BT127" s="130">
        <f t="shared" si="130"/>
        <v>0.39072314112083406</v>
      </c>
      <c r="BU127" s="130">
        <f t="shared" si="130"/>
        <v>1</v>
      </c>
      <c r="BV127" s="130">
        <f t="shared" si="130"/>
        <v>1</v>
      </c>
      <c r="BW127" s="130">
        <f t="shared" si="130"/>
        <v>0.39072314112083406</v>
      </c>
      <c r="BX127" s="130">
        <f t="shared" si="130"/>
        <v>0.39072314112083401</v>
      </c>
      <c r="BY127" s="130">
        <f t="shared" si="130"/>
        <v>1</v>
      </c>
      <c r="BZ127" s="130"/>
      <c r="CA127" s="118"/>
      <c r="CB127" s="130">
        <f t="shared" ref="CB127:CX127" si="131">IF(CB3="FT1",(CB118+CB119+CB120)/CB122,1)</f>
        <v>-1.6168794698185387E-16</v>
      </c>
      <c r="CC127" s="130">
        <f t="shared" si="131"/>
        <v>1.128115283314587E-16</v>
      </c>
      <c r="CD127" s="130">
        <f t="shared" si="131"/>
        <v>0</v>
      </c>
      <c r="CE127" s="130">
        <f t="shared" si="131"/>
        <v>-1.4551915228366848E-16</v>
      </c>
      <c r="CF127" s="130">
        <f t="shared" si="131"/>
        <v>0</v>
      </c>
      <c r="CG127" s="130">
        <f t="shared" si="131"/>
        <v>-1.4551915228366848E-16</v>
      </c>
      <c r="CH127" s="130">
        <f t="shared" si="131"/>
        <v>0.39072314112083412</v>
      </c>
      <c r="CI127" s="130">
        <f t="shared" si="131"/>
        <v>0.39072314112083406</v>
      </c>
      <c r="CJ127" s="130">
        <f t="shared" si="131"/>
        <v>0.39072314112083406</v>
      </c>
      <c r="CK127" s="130">
        <f t="shared" si="131"/>
        <v>0.39072314112083406</v>
      </c>
      <c r="CL127" s="130">
        <f t="shared" si="131"/>
        <v>0.39072314112083395</v>
      </c>
      <c r="CM127" s="130">
        <f t="shared" si="131"/>
        <v>0.39072314112083395</v>
      </c>
      <c r="CN127" s="130">
        <f t="shared" si="131"/>
        <v>0.39072314112083401</v>
      </c>
      <c r="CO127" s="130">
        <f t="shared" si="131"/>
        <v>0.39072314112083401</v>
      </c>
      <c r="CP127" s="130">
        <f t="shared" si="131"/>
        <v>0.39072314112083406</v>
      </c>
      <c r="CQ127" s="130">
        <f t="shared" si="131"/>
        <v>0.39072314112083395</v>
      </c>
      <c r="CR127" s="130">
        <f t="shared" si="131"/>
        <v>0.39072314112083406</v>
      </c>
      <c r="CS127" s="130">
        <f t="shared" si="131"/>
        <v>0.39072314112083395</v>
      </c>
      <c r="CT127" s="130">
        <f t="shared" si="131"/>
        <v>1</v>
      </c>
      <c r="CU127" s="130">
        <f t="shared" si="131"/>
        <v>1</v>
      </c>
      <c r="CV127" s="130">
        <f t="shared" si="131"/>
        <v>1</v>
      </c>
      <c r="CW127" s="130">
        <f t="shared" si="131"/>
        <v>1</v>
      </c>
      <c r="CX127" s="130">
        <f t="shared" si="131"/>
        <v>1</v>
      </c>
      <c r="CY127" s="130"/>
      <c r="CZ127" s="118"/>
      <c r="DA127" s="130"/>
      <c r="DB127" s="130"/>
      <c r="DC127" s="130">
        <f>MIN(MIN($CB127:$CX127),MIN($D127:$BY127))</f>
        <v>-1.6168794698185387E-16</v>
      </c>
      <c r="DD127" s="130">
        <f>MAX(MAX($CB127:$CX127),MAX($D127:$BY127))</f>
        <v>1</v>
      </c>
      <c r="DE127" s="69"/>
    </row>
    <row r="128" spans="1:109" x14ac:dyDescent="0.25">
      <c r="A128" s="69"/>
      <c r="B128" s="69"/>
      <c r="C128" s="69" t="s">
        <v>25</v>
      </c>
      <c r="D128" s="130">
        <f t="shared" ref="D128:AD128" si="132">IF(D3="FT1",SUM(D126:D127),1)</f>
        <v>1</v>
      </c>
      <c r="E128" s="130">
        <f t="shared" si="132"/>
        <v>1</v>
      </c>
      <c r="F128" s="130">
        <f t="shared" si="132"/>
        <v>1</v>
      </c>
      <c r="G128" s="130">
        <f t="shared" si="132"/>
        <v>1</v>
      </c>
      <c r="H128" s="130">
        <f t="shared" si="132"/>
        <v>1</v>
      </c>
      <c r="I128" s="130">
        <f t="shared" si="132"/>
        <v>1</v>
      </c>
      <c r="J128" s="130">
        <f t="shared" si="132"/>
        <v>1.0000000000000002</v>
      </c>
      <c r="K128" s="130">
        <f t="shared" si="132"/>
        <v>1</v>
      </c>
      <c r="L128" s="130">
        <f t="shared" si="132"/>
        <v>1</v>
      </c>
      <c r="M128" s="130">
        <f t="shared" si="132"/>
        <v>1</v>
      </c>
      <c r="N128" s="130">
        <f t="shared" si="132"/>
        <v>1</v>
      </c>
      <c r="O128" s="130">
        <f t="shared" si="132"/>
        <v>1</v>
      </c>
      <c r="P128" s="130">
        <f t="shared" si="132"/>
        <v>1</v>
      </c>
      <c r="Q128" s="130">
        <f t="shared" si="132"/>
        <v>1</v>
      </c>
      <c r="R128" s="130">
        <f t="shared" si="132"/>
        <v>1</v>
      </c>
      <c r="S128" s="130">
        <f t="shared" si="132"/>
        <v>1</v>
      </c>
      <c r="T128" s="130">
        <f t="shared" si="132"/>
        <v>1</v>
      </c>
      <c r="U128" s="130">
        <f t="shared" si="132"/>
        <v>1</v>
      </c>
      <c r="V128" s="130">
        <f t="shared" si="132"/>
        <v>1</v>
      </c>
      <c r="W128" s="130">
        <f t="shared" si="132"/>
        <v>1</v>
      </c>
      <c r="X128" s="130">
        <f t="shared" si="132"/>
        <v>0.99999999999999978</v>
      </c>
      <c r="Y128" s="130">
        <f t="shared" si="132"/>
        <v>1</v>
      </c>
      <c r="Z128" s="130">
        <f t="shared" si="132"/>
        <v>0.99999999999999989</v>
      </c>
      <c r="AA128" s="130">
        <f t="shared" si="132"/>
        <v>1</v>
      </c>
      <c r="AB128" s="130">
        <f t="shared" si="132"/>
        <v>1</v>
      </c>
      <c r="AC128" s="130">
        <f t="shared" si="132"/>
        <v>1</v>
      </c>
      <c r="AD128" s="130">
        <f t="shared" si="132"/>
        <v>1</v>
      </c>
      <c r="AE128" s="130">
        <f t="shared" ref="AE128:BK128" si="133">IF(AE3="FT1",SUM(AE126:AE127),1)</f>
        <v>1</v>
      </c>
      <c r="AF128" s="130">
        <f t="shared" si="133"/>
        <v>1</v>
      </c>
      <c r="AG128" s="130">
        <f t="shared" si="133"/>
        <v>1</v>
      </c>
      <c r="AH128" s="130">
        <f t="shared" si="133"/>
        <v>1</v>
      </c>
      <c r="AI128" s="130">
        <f t="shared" si="133"/>
        <v>1</v>
      </c>
      <c r="AJ128" s="130">
        <f t="shared" si="133"/>
        <v>1</v>
      </c>
      <c r="AK128" s="130">
        <f t="shared" si="133"/>
        <v>1</v>
      </c>
      <c r="AL128" s="130">
        <f t="shared" si="133"/>
        <v>1</v>
      </c>
      <c r="AM128" s="130">
        <f t="shared" si="133"/>
        <v>1</v>
      </c>
      <c r="AN128" s="130">
        <f t="shared" si="133"/>
        <v>1</v>
      </c>
      <c r="AO128" s="130">
        <f t="shared" si="133"/>
        <v>1.0000000000000002</v>
      </c>
      <c r="AP128" s="130">
        <f t="shared" si="133"/>
        <v>1</v>
      </c>
      <c r="AQ128" s="130">
        <f t="shared" si="133"/>
        <v>1</v>
      </c>
      <c r="AR128" s="130">
        <f t="shared" si="133"/>
        <v>0.99999999999999989</v>
      </c>
      <c r="AS128" s="130">
        <f t="shared" si="133"/>
        <v>1</v>
      </c>
      <c r="AT128" s="130">
        <f t="shared" si="133"/>
        <v>1</v>
      </c>
      <c r="AU128" s="130">
        <f t="shared" si="133"/>
        <v>1</v>
      </c>
      <c r="AV128" s="130">
        <f t="shared" si="133"/>
        <v>1</v>
      </c>
      <c r="AW128" s="130">
        <f t="shared" si="133"/>
        <v>1</v>
      </c>
      <c r="AX128" s="130">
        <f t="shared" si="133"/>
        <v>1</v>
      </c>
      <c r="AY128" s="130">
        <f t="shared" si="133"/>
        <v>1</v>
      </c>
      <c r="AZ128" s="130">
        <f t="shared" si="133"/>
        <v>1</v>
      </c>
      <c r="BA128" s="130">
        <f t="shared" si="133"/>
        <v>1</v>
      </c>
      <c r="BB128" s="130">
        <f t="shared" si="133"/>
        <v>1</v>
      </c>
      <c r="BC128" s="130">
        <f t="shared" si="133"/>
        <v>1</v>
      </c>
      <c r="BD128" s="130">
        <f t="shared" si="133"/>
        <v>1.0000000000000002</v>
      </c>
      <c r="BE128" s="130">
        <f t="shared" si="133"/>
        <v>1</v>
      </c>
      <c r="BF128" s="130">
        <f t="shared" si="133"/>
        <v>1</v>
      </c>
      <c r="BG128" s="130">
        <f t="shared" si="133"/>
        <v>1</v>
      </c>
      <c r="BH128" s="130">
        <f t="shared" si="133"/>
        <v>1</v>
      </c>
      <c r="BI128" s="130">
        <f t="shared" si="133"/>
        <v>0.99999999999999989</v>
      </c>
      <c r="BJ128" s="130">
        <f t="shared" si="133"/>
        <v>1</v>
      </c>
      <c r="BK128" s="130">
        <f t="shared" si="133"/>
        <v>1</v>
      </c>
      <c r="BL128" s="130">
        <f t="shared" ref="BL128:BY128" si="134">IF(BL3="FT1",SUM(BL126:BL127),1)</f>
        <v>1</v>
      </c>
      <c r="BM128" s="130">
        <f t="shared" si="134"/>
        <v>1</v>
      </c>
      <c r="BN128" s="130">
        <f t="shared" si="134"/>
        <v>1</v>
      </c>
      <c r="BO128" s="130">
        <f t="shared" si="134"/>
        <v>1</v>
      </c>
      <c r="BP128" s="130">
        <f t="shared" si="134"/>
        <v>1</v>
      </c>
      <c r="BQ128" s="130">
        <f t="shared" si="134"/>
        <v>1</v>
      </c>
      <c r="BR128" s="130">
        <f t="shared" si="134"/>
        <v>0.99999999999999978</v>
      </c>
      <c r="BS128" s="130">
        <f t="shared" si="134"/>
        <v>1</v>
      </c>
      <c r="BT128" s="130">
        <f t="shared" si="134"/>
        <v>1</v>
      </c>
      <c r="BU128" s="130">
        <f t="shared" si="134"/>
        <v>1</v>
      </c>
      <c r="BV128" s="130">
        <f t="shared" si="134"/>
        <v>1</v>
      </c>
      <c r="BW128" s="130">
        <f t="shared" si="134"/>
        <v>1</v>
      </c>
      <c r="BX128" s="130">
        <f t="shared" si="134"/>
        <v>1</v>
      </c>
      <c r="BY128" s="130">
        <f t="shared" si="134"/>
        <v>1</v>
      </c>
      <c r="BZ128" s="130"/>
      <c r="CA128" s="118"/>
      <c r="CB128" s="130">
        <f t="shared" ref="CB128:CX128" si="135">IF(CB3="FT1",SUM(CB126:CB127),1)</f>
        <v>0.99999999999999989</v>
      </c>
      <c r="CC128" s="130">
        <f t="shared" si="135"/>
        <v>1.0000000000000002</v>
      </c>
      <c r="CD128" s="130">
        <f t="shared" si="135"/>
        <v>1</v>
      </c>
      <c r="CE128" s="130">
        <f t="shared" si="135"/>
        <v>0.99999999999999989</v>
      </c>
      <c r="CF128" s="130">
        <f t="shared" si="135"/>
        <v>1</v>
      </c>
      <c r="CG128" s="130">
        <f t="shared" si="135"/>
        <v>0.99999999999999989</v>
      </c>
      <c r="CH128" s="130">
        <f t="shared" si="135"/>
        <v>1</v>
      </c>
      <c r="CI128" s="130">
        <f t="shared" si="135"/>
        <v>1</v>
      </c>
      <c r="CJ128" s="130">
        <f t="shared" si="135"/>
        <v>1</v>
      </c>
      <c r="CK128" s="130">
        <f t="shared" si="135"/>
        <v>1</v>
      </c>
      <c r="CL128" s="130">
        <f t="shared" si="135"/>
        <v>1</v>
      </c>
      <c r="CM128" s="130">
        <f t="shared" si="135"/>
        <v>1</v>
      </c>
      <c r="CN128" s="130">
        <f t="shared" si="135"/>
        <v>1</v>
      </c>
      <c r="CO128" s="130">
        <f t="shared" si="135"/>
        <v>1</v>
      </c>
      <c r="CP128" s="130">
        <f t="shared" si="135"/>
        <v>1</v>
      </c>
      <c r="CQ128" s="130">
        <f t="shared" si="135"/>
        <v>1</v>
      </c>
      <c r="CR128" s="130">
        <f t="shared" si="135"/>
        <v>1</v>
      </c>
      <c r="CS128" s="130">
        <f t="shared" si="135"/>
        <v>1</v>
      </c>
      <c r="CT128" s="130">
        <f t="shared" si="135"/>
        <v>1</v>
      </c>
      <c r="CU128" s="130">
        <f t="shared" si="135"/>
        <v>1</v>
      </c>
      <c r="CV128" s="130">
        <f t="shared" si="135"/>
        <v>1</v>
      </c>
      <c r="CW128" s="130">
        <f t="shared" si="135"/>
        <v>1</v>
      </c>
      <c r="CX128" s="130">
        <f t="shared" si="135"/>
        <v>1</v>
      </c>
      <c r="CY128" s="130"/>
      <c r="CZ128" s="118"/>
      <c r="DA128" s="130"/>
      <c r="DB128" s="130"/>
      <c r="DC128" s="130">
        <f>MIN(MIN($CB128:$CX128),MIN($D128:$BY128))</f>
        <v>0.99999999999999978</v>
      </c>
      <c r="DD128" s="130">
        <f>MAX(MAX($CB128:$CX128),MAX($D128:$BY128))</f>
        <v>1.0000000000000002</v>
      </c>
      <c r="DE128" s="69"/>
    </row>
    <row r="129" spans="1:109" x14ac:dyDescent="0.25">
      <c r="A129" s="69"/>
      <c r="B129" s="69"/>
      <c r="C129" s="70"/>
      <c r="D129" s="130"/>
      <c r="E129" s="130"/>
      <c r="F129" s="130"/>
      <c r="G129" s="130"/>
      <c r="H129" s="130"/>
      <c r="I129" s="130"/>
      <c r="J129" s="130"/>
      <c r="K129" s="130"/>
      <c r="L129" s="130"/>
      <c r="M129" s="130"/>
      <c r="N129" s="130"/>
      <c r="O129" s="130"/>
      <c r="P129" s="130"/>
      <c r="Q129" s="130"/>
      <c r="R129" s="130"/>
      <c r="S129" s="130"/>
      <c r="T129" s="130"/>
      <c r="U129" s="130"/>
      <c r="V129" s="130"/>
      <c r="W129" s="130"/>
      <c r="X129" s="130"/>
      <c r="Y129" s="130"/>
      <c r="Z129" s="130"/>
      <c r="AA129" s="130"/>
      <c r="AB129" s="130"/>
      <c r="AC129" s="130"/>
      <c r="AD129" s="130"/>
      <c r="AE129" s="130"/>
      <c r="AF129" s="130"/>
      <c r="AG129" s="130"/>
      <c r="AH129" s="130"/>
      <c r="AI129" s="130"/>
      <c r="AJ129" s="130"/>
      <c r="AK129" s="130"/>
      <c r="AL129" s="130"/>
      <c r="AM129" s="130"/>
      <c r="AN129" s="130"/>
      <c r="AO129" s="130"/>
      <c r="AP129" s="130"/>
      <c r="AQ129" s="130"/>
      <c r="AR129" s="130"/>
      <c r="AS129" s="130"/>
      <c r="AT129" s="130"/>
      <c r="AU129" s="130"/>
      <c r="AV129" s="130"/>
      <c r="AW129" s="130"/>
      <c r="AX129" s="130"/>
      <c r="AY129" s="130"/>
      <c r="AZ129" s="130"/>
      <c r="BA129" s="130"/>
      <c r="BB129" s="130"/>
      <c r="BC129" s="130"/>
      <c r="BD129" s="130"/>
      <c r="BE129" s="130"/>
      <c r="BF129" s="130"/>
      <c r="BG129" s="130"/>
      <c r="BH129" s="130"/>
      <c r="BI129" s="130"/>
      <c r="BJ129" s="130"/>
      <c r="BK129" s="130"/>
      <c r="BL129" s="130"/>
      <c r="BM129" s="130"/>
      <c r="BN129" s="130"/>
      <c r="BO129" s="130"/>
      <c r="BP129" s="130"/>
      <c r="BQ129" s="130"/>
      <c r="BR129" s="130"/>
      <c r="BS129" s="130"/>
      <c r="BT129" s="130"/>
      <c r="BU129" s="130"/>
      <c r="BV129" s="130"/>
      <c r="BW129" s="130"/>
      <c r="BX129" s="130"/>
      <c r="BY129" s="130"/>
      <c r="BZ129" s="130"/>
      <c r="CA129" s="118"/>
      <c r="CB129" s="130"/>
      <c r="CC129" s="130"/>
      <c r="CD129" s="130"/>
      <c r="CE129" s="130"/>
      <c r="CF129" s="130"/>
      <c r="CG129" s="130"/>
      <c r="CH129" s="130"/>
      <c r="CI129" s="130"/>
      <c r="CJ129" s="130"/>
      <c r="CK129" s="130"/>
      <c r="CL129" s="130"/>
      <c r="CM129" s="130"/>
      <c r="CN129" s="130"/>
      <c r="CO129" s="130"/>
      <c r="CP129" s="130"/>
      <c r="CQ129" s="130"/>
      <c r="CR129" s="130"/>
      <c r="CS129" s="130"/>
      <c r="CT129" s="130"/>
      <c r="CU129" s="130"/>
      <c r="CV129" s="130"/>
      <c r="CW129" s="130"/>
      <c r="CX129" s="130"/>
      <c r="CY129" s="130"/>
      <c r="CZ129" s="118"/>
      <c r="DA129" s="130"/>
      <c r="DB129" s="130"/>
      <c r="DC129" s="130"/>
      <c r="DD129" s="130"/>
      <c r="DE129" s="69"/>
    </row>
    <row r="130" spans="1:109" x14ac:dyDescent="0.25">
      <c r="A130" s="69"/>
      <c r="B130" s="69"/>
      <c r="C130" s="70" t="s">
        <v>628</v>
      </c>
      <c r="D130" s="131"/>
      <c r="E130" s="131"/>
      <c r="F130" s="131"/>
      <c r="G130" s="131"/>
      <c r="H130" s="131"/>
      <c r="I130" s="131"/>
      <c r="J130" s="131"/>
      <c r="K130" s="131"/>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c r="AK130" s="131"/>
      <c r="AL130" s="131"/>
      <c r="AM130" s="131"/>
      <c r="AN130" s="131"/>
      <c r="AO130" s="131"/>
      <c r="AP130" s="131"/>
      <c r="AQ130" s="131"/>
      <c r="AR130" s="131"/>
      <c r="AS130" s="131"/>
      <c r="AT130" s="131"/>
      <c r="AU130" s="131"/>
      <c r="AV130" s="131"/>
      <c r="AW130" s="131"/>
      <c r="AX130" s="131"/>
      <c r="AY130" s="131"/>
      <c r="AZ130" s="131"/>
      <c r="BA130" s="131"/>
      <c r="BB130" s="131"/>
      <c r="BC130" s="131"/>
      <c r="BD130" s="131"/>
      <c r="BE130" s="131"/>
      <c r="BF130" s="131"/>
      <c r="BG130" s="131"/>
      <c r="BH130" s="131"/>
      <c r="BI130" s="131"/>
      <c r="BJ130" s="131"/>
      <c r="BK130" s="131"/>
      <c r="BL130" s="131"/>
      <c r="BM130" s="131"/>
      <c r="BN130" s="131"/>
      <c r="BO130" s="131"/>
      <c r="BP130" s="131"/>
      <c r="BQ130" s="131"/>
      <c r="BR130" s="131"/>
      <c r="BS130" s="131"/>
      <c r="BT130" s="131"/>
      <c r="BU130" s="131"/>
      <c r="BV130" s="131"/>
      <c r="BW130" s="131"/>
      <c r="BX130" s="131"/>
      <c r="BY130" s="131"/>
      <c r="BZ130" s="203"/>
      <c r="CA130" s="118"/>
      <c r="CB130" s="131"/>
      <c r="CC130" s="131"/>
      <c r="CD130" s="131"/>
      <c r="CE130" s="131"/>
      <c r="CF130" s="131"/>
      <c r="CG130" s="131"/>
      <c r="CH130" s="131"/>
      <c r="CI130" s="131"/>
      <c r="CJ130" s="131"/>
      <c r="CK130" s="131"/>
      <c r="CL130" s="131"/>
      <c r="CM130" s="131"/>
      <c r="CN130" s="131"/>
      <c r="CO130" s="131"/>
      <c r="CP130" s="131"/>
      <c r="CQ130" s="131"/>
      <c r="CR130" s="131"/>
      <c r="CS130" s="131"/>
      <c r="CT130" s="131"/>
      <c r="CU130" s="131"/>
      <c r="CV130" s="131"/>
      <c r="CW130" s="131"/>
      <c r="CX130" s="131"/>
      <c r="CY130" s="203"/>
      <c r="CZ130" s="118"/>
      <c r="DA130" s="203"/>
      <c r="DB130" s="131"/>
      <c r="DC130" s="131"/>
      <c r="DD130" s="131"/>
      <c r="DE130" s="89"/>
    </row>
    <row r="131" spans="1:109" x14ac:dyDescent="0.25">
      <c r="A131" s="69"/>
      <c r="B131" s="69"/>
      <c r="C131" s="70" t="s">
        <v>326</v>
      </c>
      <c r="D131" s="131">
        <f t="shared" ref="D131:AD131" si="136">IF(D$3="FT1",D115/D$122,1)</f>
        <v>0.10164075273466976</v>
      </c>
      <c r="E131" s="131">
        <f t="shared" si="136"/>
        <v>0.10164075273466976</v>
      </c>
      <c r="F131" s="131">
        <f t="shared" si="136"/>
        <v>1</v>
      </c>
      <c r="G131" s="131">
        <f t="shared" si="136"/>
        <v>0.13625257137878735</v>
      </c>
      <c r="H131" s="131">
        <f t="shared" si="136"/>
        <v>0.13625257137878735</v>
      </c>
      <c r="I131" s="131">
        <f t="shared" si="136"/>
        <v>0.13625257137878732</v>
      </c>
      <c r="J131" s="131">
        <f t="shared" si="136"/>
        <v>0.13625257137878735</v>
      </c>
      <c r="K131" s="131">
        <f t="shared" si="136"/>
        <v>0.1362525713787873</v>
      </c>
      <c r="L131" s="131">
        <f t="shared" si="136"/>
        <v>1</v>
      </c>
      <c r="M131" s="131">
        <f t="shared" si="136"/>
        <v>0.10164075273466974</v>
      </c>
      <c r="N131" s="131">
        <f t="shared" si="136"/>
        <v>0.10164075273466976</v>
      </c>
      <c r="O131" s="131">
        <f t="shared" si="136"/>
        <v>0.13625257137878732</v>
      </c>
      <c r="P131" s="131">
        <f t="shared" si="136"/>
        <v>0.13625257137878732</v>
      </c>
      <c r="Q131" s="131">
        <f t="shared" si="136"/>
        <v>0.13625257137878732</v>
      </c>
      <c r="R131" s="131">
        <f t="shared" si="136"/>
        <v>1</v>
      </c>
      <c r="S131" s="131">
        <f t="shared" si="136"/>
        <v>1</v>
      </c>
      <c r="T131" s="131">
        <f t="shared" si="136"/>
        <v>1</v>
      </c>
      <c r="U131" s="131">
        <f t="shared" si="136"/>
        <v>1</v>
      </c>
      <c r="V131" s="131">
        <f t="shared" si="136"/>
        <v>1</v>
      </c>
      <c r="W131" s="131">
        <f t="shared" si="136"/>
        <v>0.13625257137878732</v>
      </c>
      <c r="X131" s="131">
        <f t="shared" si="136"/>
        <v>0.13625257137878732</v>
      </c>
      <c r="Y131" s="131">
        <f t="shared" si="136"/>
        <v>0.10164075273466977</v>
      </c>
      <c r="Z131" s="131">
        <f t="shared" si="136"/>
        <v>0.13625257137878732</v>
      </c>
      <c r="AA131" s="131">
        <f t="shared" si="136"/>
        <v>1</v>
      </c>
      <c r="AB131" s="131">
        <f t="shared" si="136"/>
        <v>1</v>
      </c>
      <c r="AC131" s="131">
        <f t="shared" si="136"/>
        <v>1</v>
      </c>
      <c r="AD131" s="131">
        <f t="shared" si="136"/>
        <v>1</v>
      </c>
      <c r="AE131" s="131">
        <f t="shared" ref="AE131:BK131" si="137">IF(AE$3="FT1",AE115/AE$122,1)</f>
        <v>1</v>
      </c>
      <c r="AF131" s="131">
        <f t="shared" si="137"/>
        <v>1</v>
      </c>
      <c r="AG131" s="131">
        <f t="shared" si="137"/>
        <v>1</v>
      </c>
      <c r="AH131" s="131">
        <f t="shared" si="137"/>
        <v>1</v>
      </c>
      <c r="AI131" s="131">
        <f t="shared" si="137"/>
        <v>0.13625257137878732</v>
      </c>
      <c r="AJ131" s="131">
        <f t="shared" si="137"/>
        <v>1</v>
      </c>
      <c r="AK131" s="131">
        <f t="shared" si="137"/>
        <v>1</v>
      </c>
      <c r="AL131" s="131">
        <f t="shared" si="137"/>
        <v>0.13625257137878732</v>
      </c>
      <c r="AM131" s="131">
        <f t="shared" si="137"/>
        <v>1</v>
      </c>
      <c r="AN131" s="131">
        <f t="shared" si="137"/>
        <v>1</v>
      </c>
      <c r="AO131" s="131">
        <f t="shared" si="137"/>
        <v>0.10164075273466976</v>
      </c>
      <c r="AP131" s="131">
        <f t="shared" si="137"/>
        <v>0.10164075273466976</v>
      </c>
      <c r="AQ131" s="131">
        <f t="shared" si="137"/>
        <v>1</v>
      </c>
      <c r="AR131" s="131">
        <f t="shared" si="137"/>
        <v>0.13625257137878732</v>
      </c>
      <c r="AS131" s="131">
        <f t="shared" si="137"/>
        <v>0.10164075273466976</v>
      </c>
      <c r="AT131" s="131">
        <f t="shared" si="137"/>
        <v>0.14491827810404168</v>
      </c>
      <c r="AU131" s="131">
        <f t="shared" si="137"/>
        <v>1</v>
      </c>
      <c r="AV131" s="131">
        <f t="shared" si="137"/>
        <v>0.13625257137878732</v>
      </c>
      <c r="AW131" s="131">
        <f t="shared" si="137"/>
        <v>0.13625257137878732</v>
      </c>
      <c r="AX131" s="131">
        <f t="shared" si="137"/>
        <v>1</v>
      </c>
      <c r="AY131" s="131">
        <f t="shared" si="137"/>
        <v>0.13625257137878732</v>
      </c>
      <c r="AZ131" s="131">
        <f t="shared" si="137"/>
        <v>0.13625257137878732</v>
      </c>
      <c r="BA131" s="131">
        <f t="shared" ref="BA131:BA136" si="138">IF(BA$3="FT1",BA115/BA$122,1)</f>
        <v>0.13625257137878732</v>
      </c>
      <c r="BB131" s="131">
        <f t="shared" si="137"/>
        <v>0.13625257137878732</v>
      </c>
      <c r="BC131" s="131">
        <f t="shared" si="137"/>
        <v>0.13625257137878735</v>
      </c>
      <c r="BD131" s="131">
        <f t="shared" si="137"/>
        <v>0.13625257137878735</v>
      </c>
      <c r="BE131" s="131">
        <f t="shared" si="137"/>
        <v>1</v>
      </c>
      <c r="BF131" s="131">
        <f t="shared" si="137"/>
        <v>0.10164075273466976</v>
      </c>
      <c r="BG131" s="131">
        <f t="shared" si="137"/>
        <v>0.1362525713787873</v>
      </c>
      <c r="BH131" s="131">
        <f t="shared" si="137"/>
        <v>0.10164075273466976</v>
      </c>
      <c r="BI131" s="131">
        <f t="shared" si="137"/>
        <v>0.1362525713787873</v>
      </c>
      <c r="BJ131" s="131">
        <f t="shared" si="137"/>
        <v>0.10164075273466973</v>
      </c>
      <c r="BK131" s="131">
        <f t="shared" si="137"/>
        <v>0.10164075273466976</v>
      </c>
      <c r="BL131" s="131">
        <f t="shared" ref="BL131:BY131" si="139">IF(BL$3="FT1",BL115/BL$122,1)</f>
        <v>0.10164075273466976</v>
      </c>
      <c r="BM131" s="131">
        <f t="shared" si="139"/>
        <v>0.13625257137878732</v>
      </c>
      <c r="BN131" s="131">
        <f t="shared" si="139"/>
        <v>0.13625257137878732</v>
      </c>
      <c r="BO131" s="131">
        <f t="shared" si="139"/>
        <v>0.13625257137878732</v>
      </c>
      <c r="BP131" s="131">
        <f t="shared" si="139"/>
        <v>0.10164075273466974</v>
      </c>
      <c r="BQ131" s="131">
        <f t="shared" si="139"/>
        <v>0.13625257137878735</v>
      </c>
      <c r="BR131" s="131">
        <f t="shared" si="139"/>
        <v>0.13625257137878732</v>
      </c>
      <c r="BS131" s="131">
        <f t="shared" si="139"/>
        <v>1</v>
      </c>
      <c r="BT131" s="131">
        <f t="shared" si="139"/>
        <v>0.10164075273466977</v>
      </c>
      <c r="BU131" s="131">
        <f t="shared" si="139"/>
        <v>1</v>
      </c>
      <c r="BV131" s="131">
        <f t="shared" si="139"/>
        <v>1</v>
      </c>
      <c r="BW131" s="131">
        <f t="shared" si="139"/>
        <v>0.10164075273466974</v>
      </c>
      <c r="BX131" s="131">
        <f t="shared" si="139"/>
        <v>0.10164075273466976</v>
      </c>
      <c r="BY131" s="131">
        <f t="shared" si="139"/>
        <v>1</v>
      </c>
      <c r="BZ131" s="203"/>
      <c r="CA131" s="118"/>
      <c r="CB131" s="131">
        <f t="shared" ref="CB131:CX131" si="140">IF(CB$3="FT1",CB115/CB$122,1)</f>
        <v>0.14491827810404165</v>
      </c>
      <c r="CC131" s="131">
        <f t="shared" si="140"/>
        <v>0.14491827810404168</v>
      </c>
      <c r="CD131" s="131">
        <f t="shared" si="140"/>
        <v>0.14491827810404168</v>
      </c>
      <c r="CE131" s="131">
        <f t="shared" si="140"/>
        <v>0.14491827810404162</v>
      </c>
      <c r="CF131" s="131">
        <f t="shared" si="140"/>
        <v>0.14491827810404168</v>
      </c>
      <c r="CG131" s="131">
        <f t="shared" si="140"/>
        <v>0.14491827810404162</v>
      </c>
      <c r="CH131" s="131">
        <f t="shared" si="140"/>
        <v>0.10164075273466976</v>
      </c>
      <c r="CI131" s="131">
        <f t="shared" si="140"/>
        <v>0.10164075273466974</v>
      </c>
      <c r="CJ131" s="131">
        <f t="shared" si="140"/>
        <v>0.10164075273466976</v>
      </c>
      <c r="CK131" s="131">
        <f t="shared" si="140"/>
        <v>0.10164075273466976</v>
      </c>
      <c r="CL131" s="131">
        <f t="shared" si="140"/>
        <v>0.10164075273466977</v>
      </c>
      <c r="CM131" s="131">
        <f t="shared" si="140"/>
        <v>0.10164075273466977</v>
      </c>
      <c r="CN131" s="131">
        <f t="shared" si="140"/>
        <v>0.10164075273466976</v>
      </c>
      <c r="CO131" s="131">
        <f t="shared" si="140"/>
        <v>0.10164075273466976</v>
      </c>
      <c r="CP131" s="131">
        <f t="shared" si="140"/>
        <v>0.10164075273466976</v>
      </c>
      <c r="CQ131" s="131">
        <f t="shared" si="140"/>
        <v>0.10164075273466977</v>
      </c>
      <c r="CR131" s="131">
        <f t="shared" si="140"/>
        <v>0.10164075273466974</v>
      </c>
      <c r="CS131" s="131">
        <f t="shared" si="140"/>
        <v>0.10164075273466977</v>
      </c>
      <c r="CT131" s="131">
        <f t="shared" si="140"/>
        <v>0</v>
      </c>
      <c r="CU131" s="131">
        <f t="shared" si="140"/>
        <v>0</v>
      </c>
      <c r="CV131" s="131">
        <f t="shared" si="140"/>
        <v>0</v>
      </c>
      <c r="CW131" s="131">
        <f t="shared" si="140"/>
        <v>0</v>
      </c>
      <c r="CX131" s="131">
        <f t="shared" si="140"/>
        <v>0</v>
      </c>
      <c r="CY131" s="203"/>
      <c r="CZ131" s="118"/>
      <c r="DA131" s="130"/>
      <c r="DB131" s="130"/>
      <c r="DC131" s="130">
        <f t="shared" ref="DC131:DC137" si="141">MIN(MIN($CB131:$CX131),MIN($D131:$BY131))</f>
        <v>0</v>
      </c>
      <c r="DD131" s="130">
        <f t="shared" ref="DD131:DD137" si="142">MAX(MAX($CB131:$CX131),MAX($D131:$BY131))</f>
        <v>1</v>
      </c>
      <c r="DE131" s="89"/>
    </row>
    <row r="132" spans="1:109" x14ac:dyDescent="0.25">
      <c r="A132" s="69"/>
      <c r="B132" s="69"/>
      <c r="C132" s="70" t="s">
        <v>327</v>
      </c>
      <c r="D132" s="131">
        <f t="shared" ref="D132:AD132" si="143">IF(D$3="FT1",D116/D$122,1)</f>
        <v>3.9491976533486732E-2</v>
      </c>
      <c r="E132" s="131">
        <f t="shared" si="143"/>
        <v>3.9491976533486732E-2</v>
      </c>
      <c r="F132" s="131">
        <f t="shared" si="143"/>
        <v>1</v>
      </c>
      <c r="G132" s="131">
        <f t="shared" si="143"/>
        <v>5.2940215481923243E-2</v>
      </c>
      <c r="H132" s="131">
        <f t="shared" si="143"/>
        <v>5.2940215481923243E-2</v>
      </c>
      <c r="I132" s="131">
        <f t="shared" si="143"/>
        <v>5.2940215481923236E-2</v>
      </c>
      <c r="J132" s="131">
        <f t="shared" si="143"/>
        <v>5.294021548192325E-2</v>
      </c>
      <c r="K132" s="131">
        <f t="shared" si="143"/>
        <v>5.2940215481923236E-2</v>
      </c>
      <c r="L132" s="131">
        <f t="shared" si="143"/>
        <v>1</v>
      </c>
      <c r="M132" s="131">
        <f t="shared" si="143"/>
        <v>3.9491976533486739E-2</v>
      </c>
      <c r="N132" s="131">
        <f t="shared" si="143"/>
        <v>3.9491976533486739E-2</v>
      </c>
      <c r="O132" s="131">
        <f t="shared" si="143"/>
        <v>5.2940215481923229E-2</v>
      </c>
      <c r="P132" s="131">
        <f t="shared" si="143"/>
        <v>5.2940215481923243E-2</v>
      </c>
      <c r="Q132" s="131">
        <f t="shared" si="143"/>
        <v>5.2940215481923236E-2</v>
      </c>
      <c r="R132" s="131">
        <f t="shared" si="143"/>
        <v>1</v>
      </c>
      <c r="S132" s="131">
        <f t="shared" si="143"/>
        <v>1</v>
      </c>
      <c r="T132" s="131">
        <f t="shared" si="143"/>
        <v>1</v>
      </c>
      <c r="U132" s="131">
        <f t="shared" si="143"/>
        <v>1</v>
      </c>
      <c r="V132" s="131">
        <f t="shared" si="143"/>
        <v>1</v>
      </c>
      <c r="W132" s="131">
        <f t="shared" si="143"/>
        <v>5.2940215481923243E-2</v>
      </c>
      <c r="X132" s="131">
        <f t="shared" si="143"/>
        <v>5.2940215481923243E-2</v>
      </c>
      <c r="Y132" s="131">
        <f t="shared" si="143"/>
        <v>3.9491976533486739E-2</v>
      </c>
      <c r="Z132" s="131">
        <f t="shared" si="143"/>
        <v>5.2940215481923243E-2</v>
      </c>
      <c r="AA132" s="131">
        <f t="shared" si="143"/>
        <v>1</v>
      </c>
      <c r="AB132" s="131">
        <f t="shared" si="143"/>
        <v>1</v>
      </c>
      <c r="AC132" s="131">
        <f t="shared" si="143"/>
        <v>1</v>
      </c>
      <c r="AD132" s="131">
        <f t="shared" si="143"/>
        <v>1</v>
      </c>
      <c r="AE132" s="131">
        <f t="shared" ref="AE132:BK132" si="144">IF(AE$3="FT1",AE116/AE$122,1)</f>
        <v>1</v>
      </c>
      <c r="AF132" s="131">
        <f t="shared" si="144"/>
        <v>1</v>
      </c>
      <c r="AG132" s="131">
        <f t="shared" si="144"/>
        <v>1</v>
      </c>
      <c r="AH132" s="131">
        <f t="shared" si="144"/>
        <v>1</v>
      </c>
      <c r="AI132" s="131">
        <f t="shared" si="144"/>
        <v>5.2940215481923236E-2</v>
      </c>
      <c r="AJ132" s="131">
        <f t="shared" si="144"/>
        <v>1</v>
      </c>
      <c r="AK132" s="131">
        <f t="shared" si="144"/>
        <v>1</v>
      </c>
      <c r="AL132" s="131">
        <f t="shared" si="144"/>
        <v>5.2940215481923243E-2</v>
      </c>
      <c r="AM132" s="131">
        <f t="shared" si="144"/>
        <v>1</v>
      </c>
      <c r="AN132" s="131">
        <f t="shared" si="144"/>
        <v>1</v>
      </c>
      <c r="AO132" s="131">
        <f t="shared" si="144"/>
        <v>3.9491976533486739E-2</v>
      </c>
      <c r="AP132" s="131">
        <f t="shared" si="144"/>
        <v>3.9491976533486739E-2</v>
      </c>
      <c r="AQ132" s="131">
        <f t="shared" si="144"/>
        <v>1</v>
      </c>
      <c r="AR132" s="131">
        <f t="shared" si="144"/>
        <v>5.2940215481923236E-2</v>
      </c>
      <c r="AS132" s="131">
        <f t="shared" si="144"/>
        <v>3.9491976533486732E-2</v>
      </c>
      <c r="AT132" s="131">
        <f t="shared" si="144"/>
        <v>5.6307229966095676E-2</v>
      </c>
      <c r="AU132" s="131">
        <f t="shared" si="144"/>
        <v>1</v>
      </c>
      <c r="AV132" s="131">
        <f t="shared" si="144"/>
        <v>5.2940215481923236E-2</v>
      </c>
      <c r="AW132" s="131">
        <f t="shared" si="144"/>
        <v>5.2940215481923236E-2</v>
      </c>
      <c r="AX132" s="131">
        <f t="shared" si="144"/>
        <v>1</v>
      </c>
      <c r="AY132" s="131">
        <f t="shared" si="144"/>
        <v>5.294021548192325E-2</v>
      </c>
      <c r="AZ132" s="131">
        <f t="shared" si="144"/>
        <v>5.294021548192325E-2</v>
      </c>
      <c r="BA132" s="131">
        <f t="shared" si="138"/>
        <v>5.2940215481923236E-2</v>
      </c>
      <c r="BB132" s="131">
        <f t="shared" si="144"/>
        <v>5.2940215481923236E-2</v>
      </c>
      <c r="BC132" s="131">
        <f t="shared" si="144"/>
        <v>5.2940215481923236E-2</v>
      </c>
      <c r="BD132" s="131">
        <f t="shared" si="144"/>
        <v>5.294021548192325E-2</v>
      </c>
      <c r="BE132" s="131">
        <f t="shared" si="144"/>
        <v>1</v>
      </c>
      <c r="BF132" s="131">
        <f t="shared" si="144"/>
        <v>3.9491976533486732E-2</v>
      </c>
      <c r="BG132" s="131">
        <f t="shared" si="144"/>
        <v>5.2940215481923236E-2</v>
      </c>
      <c r="BH132" s="131">
        <f t="shared" si="144"/>
        <v>3.9491976533486732E-2</v>
      </c>
      <c r="BI132" s="131">
        <f t="shared" si="144"/>
        <v>5.2940215481923236E-2</v>
      </c>
      <c r="BJ132" s="131">
        <f t="shared" si="144"/>
        <v>3.9491976533486739E-2</v>
      </c>
      <c r="BK132" s="131">
        <f t="shared" si="144"/>
        <v>3.9491976533486739E-2</v>
      </c>
      <c r="BL132" s="131">
        <f t="shared" ref="BL132:BY132" si="145">IF(BL$3="FT1",BL116/BL$122,1)</f>
        <v>3.9491976533486732E-2</v>
      </c>
      <c r="BM132" s="131">
        <f t="shared" si="145"/>
        <v>5.2940215481923243E-2</v>
      </c>
      <c r="BN132" s="131">
        <f t="shared" si="145"/>
        <v>5.2940215481923229E-2</v>
      </c>
      <c r="BO132" s="131">
        <f t="shared" si="145"/>
        <v>5.2940215481923243E-2</v>
      </c>
      <c r="BP132" s="131">
        <f t="shared" si="145"/>
        <v>3.9491976533486739E-2</v>
      </c>
      <c r="BQ132" s="131">
        <f t="shared" si="145"/>
        <v>5.2940215481923243E-2</v>
      </c>
      <c r="BR132" s="131">
        <f t="shared" si="145"/>
        <v>5.2940215481923229E-2</v>
      </c>
      <c r="BS132" s="131">
        <f t="shared" si="145"/>
        <v>1</v>
      </c>
      <c r="BT132" s="131">
        <f t="shared" si="145"/>
        <v>3.9491976533486732E-2</v>
      </c>
      <c r="BU132" s="131">
        <f t="shared" si="145"/>
        <v>1</v>
      </c>
      <c r="BV132" s="131">
        <f t="shared" si="145"/>
        <v>1</v>
      </c>
      <c r="BW132" s="131">
        <f t="shared" si="145"/>
        <v>3.9491976533486725E-2</v>
      </c>
      <c r="BX132" s="131">
        <f t="shared" si="145"/>
        <v>3.9491976533486732E-2</v>
      </c>
      <c r="BY132" s="131">
        <f t="shared" si="145"/>
        <v>1</v>
      </c>
      <c r="BZ132" s="203"/>
      <c r="CA132" s="118"/>
      <c r="CB132" s="131">
        <f t="shared" ref="CB132:CX132" si="146">IF(CB$3="FT1",CB116/CB$122,1)</f>
        <v>5.6307229966095669E-2</v>
      </c>
      <c r="CC132" s="131">
        <f t="shared" si="146"/>
        <v>5.630722996609569E-2</v>
      </c>
      <c r="CD132" s="131">
        <f t="shared" si="146"/>
        <v>5.6307229966095683E-2</v>
      </c>
      <c r="CE132" s="131">
        <f t="shared" si="146"/>
        <v>5.6307229966095676E-2</v>
      </c>
      <c r="CF132" s="131">
        <f t="shared" si="146"/>
        <v>5.6307229966095676E-2</v>
      </c>
      <c r="CG132" s="131">
        <f t="shared" si="146"/>
        <v>5.6307229966095676E-2</v>
      </c>
      <c r="CH132" s="131">
        <f t="shared" si="146"/>
        <v>3.9491976533486739E-2</v>
      </c>
      <c r="CI132" s="131">
        <f t="shared" si="146"/>
        <v>3.9491976533486732E-2</v>
      </c>
      <c r="CJ132" s="131">
        <f t="shared" si="146"/>
        <v>3.9491976533486732E-2</v>
      </c>
      <c r="CK132" s="131">
        <f t="shared" si="146"/>
        <v>3.9491976533486732E-2</v>
      </c>
      <c r="CL132" s="131">
        <f t="shared" si="146"/>
        <v>3.9491976533486739E-2</v>
      </c>
      <c r="CM132" s="131">
        <f t="shared" si="146"/>
        <v>3.9491976533486732E-2</v>
      </c>
      <c r="CN132" s="131">
        <f t="shared" si="146"/>
        <v>3.9491976533486746E-2</v>
      </c>
      <c r="CO132" s="131">
        <f t="shared" si="146"/>
        <v>3.9491976533486739E-2</v>
      </c>
      <c r="CP132" s="131">
        <f t="shared" si="146"/>
        <v>3.9491976533486732E-2</v>
      </c>
      <c r="CQ132" s="131">
        <f t="shared" si="146"/>
        <v>3.9491976533486739E-2</v>
      </c>
      <c r="CR132" s="131">
        <f t="shared" si="146"/>
        <v>3.9491976533486732E-2</v>
      </c>
      <c r="CS132" s="131">
        <f t="shared" si="146"/>
        <v>3.9491976533486746E-2</v>
      </c>
      <c r="CT132" s="131">
        <f t="shared" si="146"/>
        <v>0</v>
      </c>
      <c r="CU132" s="131">
        <f t="shared" si="146"/>
        <v>0</v>
      </c>
      <c r="CV132" s="131">
        <f t="shared" si="146"/>
        <v>0</v>
      </c>
      <c r="CW132" s="131">
        <f t="shared" si="146"/>
        <v>0</v>
      </c>
      <c r="CX132" s="131">
        <f t="shared" si="146"/>
        <v>0</v>
      </c>
      <c r="CY132" s="203"/>
      <c r="CZ132" s="118"/>
      <c r="DA132" s="130"/>
      <c r="DB132" s="130"/>
      <c r="DC132" s="130">
        <f t="shared" si="141"/>
        <v>0</v>
      </c>
      <c r="DD132" s="130">
        <f t="shared" si="142"/>
        <v>1</v>
      </c>
      <c r="DE132" s="89"/>
    </row>
    <row r="133" spans="1:109" x14ac:dyDescent="0.25">
      <c r="A133" s="89"/>
      <c r="B133" s="89"/>
      <c r="C133" s="70" t="s">
        <v>328</v>
      </c>
      <c r="D133" s="131">
        <f t="shared" ref="D133:AD133" si="147">IF(D$3="FT1",D117/D$122,1)</f>
        <v>0.46814412961100943</v>
      </c>
      <c r="E133" s="131">
        <f t="shared" si="147"/>
        <v>0.46814412961100943</v>
      </c>
      <c r="F133" s="131">
        <f t="shared" si="147"/>
        <v>1</v>
      </c>
      <c r="G133" s="131">
        <f t="shared" si="147"/>
        <v>0.62756167894481696</v>
      </c>
      <c r="H133" s="131">
        <f t="shared" si="147"/>
        <v>0.62756167894481685</v>
      </c>
      <c r="I133" s="131">
        <f t="shared" si="147"/>
        <v>0.62756167894481696</v>
      </c>
      <c r="J133" s="131">
        <f t="shared" si="147"/>
        <v>0.62756167894481696</v>
      </c>
      <c r="K133" s="131">
        <f t="shared" si="147"/>
        <v>0.62756167894481685</v>
      </c>
      <c r="L133" s="131">
        <f t="shared" si="147"/>
        <v>1</v>
      </c>
      <c r="M133" s="131">
        <f t="shared" si="147"/>
        <v>0.46814412961100949</v>
      </c>
      <c r="N133" s="131">
        <f t="shared" si="147"/>
        <v>0.46814412961100949</v>
      </c>
      <c r="O133" s="131">
        <f t="shared" si="147"/>
        <v>0.62756167894481674</v>
      </c>
      <c r="P133" s="131">
        <f t="shared" si="147"/>
        <v>0.62756167894481696</v>
      </c>
      <c r="Q133" s="131">
        <f t="shared" si="147"/>
        <v>0.62756167894481674</v>
      </c>
      <c r="R133" s="131">
        <f t="shared" si="147"/>
        <v>1</v>
      </c>
      <c r="S133" s="131">
        <f t="shared" si="147"/>
        <v>1</v>
      </c>
      <c r="T133" s="131">
        <f t="shared" si="147"/>
        <v>1</v>
      </c>
      <c r="U133" s="131">
        <f t="shared" si="147"/>
        <v>1</v>
      </c>
      <c r="V133" s="131">
        <f t="shared" si="147"/>
        <v>1</v>
      </c>
      <c r="W133" s="131">
        <f t="shared" si="147"/>
        <v>0.62756167894481685</v>
      </c>
      <c r="X133" s="131">
        <f t="shared" si="147"/>
        <v>0.62756167894481663</v>
      </c>
      <c r="Y133" s="131">
        <f t="shared" si="147"/>
        <v>0.46814412961100949</v>
      </c>
      <c r="Z133" s="131">
        <f t="shared" si="147"/>
        <v>0.62756167894481685</v>
      </c>
      <c r="AA133" s="131">
        <f t="shared" si="147"/>
        <v>1</v>
      </c>
      <c r="AB133" s="131">
        <f t="shared" si="147"/>
        <v>1</v>
      </c>
      <c r="AC133" s="131">
        <f t="shared" si="147"/>
        <v>1</v>
      </c>
      <c r="AD133" s="131">
        <f t="shared" si="147"/>
        <v>1</v>
      </c>
      <c r="AE133" s="131">
        <f t="shared" ref="AE133:BK133" si="148">IF(AE$3="FT1",AE117/AE$122,1)</f>
        <v>1</v>
      </c>
      <c r="AF133" s="131">
        <f t="shared" si="148"/>
        <v>1</v>
      </c>
      <c r="AG133" s="131">
        <f t="shared" si="148"/>
        <v>1</v>
      </c>
      <c r="AH133" s="131">
        <f t="shared" si="148"/>
        <v>1</v>
      </c>
      <c r="AI133" s="131">
        <f t="shared" si="148"/>
        <v>0.62756167894481696</v>
      </c>
      <c r="AJ133" s="131">
        <f t="shared" si="148"/>
        <v>1</v>
      </c>
      <c r="AK133" s="131">
        <f t="shared" si="148"/>
        <v>1</v>
      </c>
      <c r="AL133" s="131">
        <f t="shared" si="148"/>
        <v>0.62756167894481674</v>
      </c>
      <c r="AM133" s="131">
        <f t="shared" si="148"/>
        <v>1</v>
      </c>
      <c r="AN133" s="131">
        <f t="shared" si="148"/>
        <v>1</v>
      </c>
      <c r="AO133" s="131">
        <f t="shared" si="148"/>
        <v>0.46814412961100954</v>
      </c>
      <c r="AP133" s="131">
        <f t="shared" si="148"/>
        <v>0.46814412961100943</v>
      </c>
      <c r="AQ133" s="131">
        <f t="shared" si="148"/>
        <v>1</v>
      </c>
      <c r="AR133" s="131">
        <f t="shared" si="148"/>
        <v>0.62756167894481674</v>
      </c>
      <c r="AS133" s="131">
        <f t="shared" si="148"/>
        <v>0.46814412961100949</v>
      </c>
      <c r="AT133" s="131">
        <f t="shared" si="148"/>
        <v>0.79877449192986272</v>
      </c>
      <c r="AU133" s="131">
        <f t="shared" si="148"/>
        <v>1</v>
      </c>
      <c r="AV133" s="131">
        <f t="shared" si="148"/>
        <v>0.62756167894481685</v>
      </c>
      <c r="AW133" s="131">
        <f t="shared" si="148"/>
        <v>0.62756167894481707</v>
      </c>
      <c r="AX133" s="131">
        <f t="shared" si="148"/>
        <v>1</v>
      </c>
      <c r="AY133" s="131">
        <f t="shared" si="148"/>
        <v>0.62756167894481685</v>
      </c>
      <c r="AZ133" s="131">
        <f t="shared" si="148"/>
        <v>0.62756167894481685</v>
      </c>
      <c r="BA133" s="131">
        <f t="shared" si="138"/>
        <v>0.62756167894481685</v>
      </c>
      <c r="BB133" s="131">
        <f t="shared" si="148"/>
        <v>0.62756167894481685</v>
      </c>
      <c r="BC133" s="131">
        <f t="shared" si="148"/>
        <v>0.62756167894481685</v>
      </c>
      <c r="BD133" s="131">
        <f t="shared" si="148"/>
        <v>0.62756167894481707</v>
      </c>
      <c r="BE133" s="131">
        <f t="shared" si="148"/>
        <v>1</v>
      </c>
      <c r="BF133" s="131">
        <f t="shared" si="148"/>
        <v>0.46814412961100943</v>
      </c>
      <c r="BG133" s="131">
        <f t="shared" si="148"/>
        <v>0.62756167894481685</v>
      </c>
      <c r="BH133" s="131">
        <f t="shared" si="148"/>
        <v>0.46814412961100943</v>
      </c>
      <c r="BI133" s="131">
        <f t="shared" si="148"/>
        <v>0.62756167894481674</v>
      </c>
      <c r="BJ133" s="131">
        <f t="shared" si="148"/>
        <v>0.46814412961100949</v>
      </c>
      <c r="BK133" s="131">
        <f t="shared" si="148"/>
        <v>0.46814412961100954</v>
      </c>
      <c r="BL133" s="131">
        <f t="shared" ref="BL133:BY133" si="149">IF(BL$3="FT1",BL117/BL$122,1)</f>
        <v>0.4681441296110096</v>
      </c>
      <c r="BM133" s="131">
        <f t="shared" si="149"/>
        <v>0.62756167894481685</v>
      </c>
      <c r="BN133" s="131">
        <f t="shared" si="149"/>
        <v>0.62756167894481674</v>
      </c>
      <c r="BO133" s="131">
        <f t="shared" si="149"/>
        <v>0.62756167894481685</v>
      </c>
      <c r="BP133" s="131">
        <f t="shared" si="149"/>
        <v>0.46814412961100949</v>
      </c>
      <c r="BQ133" s="131">
        <f t="shared" si="149"/>
        <v>0.62756167894481685</v>
      </c>
      <c r="BR133" s="131">
        <f t="shared" si="149"/>
        <v>0.62756167894481685</v>
      </c>
      <c r="BS133" s="131">
        <f t="shared" si="149"/>
        <v>1</v>
      </c>
      <c r="BT133" s="131">
        <f t="shared" si="149"/>
        <v>0.46814412961100943</v>
      </c>
      <c r="BU133" s="131">
        <f t="shared" si="149"/>
        <v>1</v>
      </c>
      <c r="BV133" s="131">
        <f t="shared" si="149"/>
        <v>1</v>
      </c>
      <c r="BW133" s="131">
        <f t="shared" si="149"/>
        <v>0.46814412961100949</v>
      </c>
      <c r="BX133" s="131">
        <f t="shared" si="149"/>
        <v>0.46814412961100954</v>
      </c>
      <c r="BY133" s="131">
        <f t="shared" si="149"/>
        <v>1</v>
      </c>
      <c r="BZ133" s="131"/>
      <c r="CA133" s="118"/>
      <c r="CB133" s="131">
        <f t="shared" ref="CB133:CX133" si="150">IF(CB$3="FT1",CB117/CB$122,1)</f>
        <v>0.79877449192986261</v>
      </c>
      <c r="CC133" s="131">
        <f t="shared" si="150"/>
        <v>0.79877449192986261</v>
      </c>
      <c r="CD133" s="131">
        <f t="shared" si="150"/>
        <v>0.79877449192986261</v>
      </c>
      <c r="CE133" s="131">
        <f t="shared" si="150"/>
        <v>0.79877449192986261</v>
      </c>
      <c r="CF133" s="131">
        <f t="shared" si="150"/>
        <v>0.79877449192986272</v>
      </c>
      <c r="CG133" s="131">
        <f t="shared" si="150"/>
        <v>0.79877449192986261</v>
      </c>
      <c r="CH133" s="131">
        <f t="shared" si="150"/>
        <v>0.46814412961100949</v>
      </c>
      <c r="CI133" s="131">
        <f t="shared" si="150"/>
        <v>0.46814412961100949</v>
      </c>
      <c r="CJ133" s="131">
        <f t="shared" si="150"/>
        <v>0.46814412961100943</v>
      </c>
      <c r="CK133" s="131">
        <f t="shared" si="150"/>
        <v>0.46814412961100943</v>
      </c>
      <c r="CL133" s="131">
        <f t="shared" si="150"/>
        <v>0.46814412961100949</v>
      </c>
      <c r="CM133" s="131">
        <f t="shared" si="150"/>
        <v>0.46814412961100949</v>
      </c>
      <c r="CN133" s="131">
        <f t="shared" si="150"/>
        <v>0.46814412961100954</v>
      </c>
      <c r="CO133" s="131">
        <f t="shared" si="150"/>
        <v>0.46814412961100949</v>
      </c>
      <c r="CP133" s="131">
        <f t="shared" si="150"/>
        <v>0.46814412961100943</v>
      </c>
      <c r="CQ133" s="131">
        <f t="shared" si="150"/>
        <v>0.46814412961100949</v>
      </c>
      <c r="CR133" s="131">
        <f t="shared" si="150"/>
        <v>0.46814412961100943</v>
      </c>
      <c r="CS133" s="131">
        <f t="shared" si="150"/>
        <v>0.46814412961100954</v>
      </c>
      <c r="CT133" s="131">
        <f t="shared" si="150"/>
        <v>0</v>
      </c>
      <c r="CU133" s="131">
        <f t="shared" si="150"/>
        <v>0</v>
      </c>
      <c r="CV133" s="131">
        <f t="shared" si="150"/>
        <v>0</v>
      </c>
      <c r="CW133" s="131">
        <f t="shared" si="150"/>
        <v>0</v>
      </c>
      <c r="CX133" s="131">
        <f t="shared" si="150"/>
        <v>0</v>
      </c>
      <c r="CY133" s="131"/>
      <c r="CZ133" s="118"/>
      <c r="DA133" s="130"/>
      <c r="DB133" s="130"/>
      <c r="DC133" s="130">
        <f t="shared" si="141"/>
        <v>0</v>
      </c>
      <c r="DD133" s="130">
        <f t="shared" si="142"/>
        <v>1</v>
      </c>
      <c r="DE133" s="89"/>
    </row>
    <row r="134" spans="1:109" x14ac:dyDescent="0.25">
      <c r="A134" s="89"/>
      <c r="B134" s="89"/>
      <c r="C134" s="70" t="s">
        <v>329</v>
      </c>
      <c r="D134" s="131">
        <f t="shared" ref="D134:AD134" si="151">IF(D$3="FT1",D118/D$122,1)</f>
        <v>3.4939864827800454E-2</v>
      </c>
      <c r="E134" s="131">
        <f t="shared" si="151"/>
        <v>3.4939864827800454E-2</v>
      </c>
      <c r="F134" s="131">
        <f t="shared" si="151"/>
        <v>1</v>
      </c>
      <c r="G134" s="131">
        <f t="shared" si="151"/>
        <v>1.6386472981063879E-2</v>
      </c>
      <c r="H134" s="131">
        <f t="shared" si="151"/>
        <v>1.6386472981063882E-2</v>
      </c>
      <c r="I134" s="131">
        <f t="shared" si="151"/>
        <v>1.6386472981063875E-2</v>
      </c>
      <c r="J134" s="131">
        <f t="shared" si="151"/>
        <v>1.6386472981063886E-2</v>
      </c>
      <c r="K134" s="131">
        <f t="shared" si="151"/>
        <v>1.6386472981063889E-2</v>
      </c>
      <c r="L134" s="131">
        <f t="shared" si="151"/>
        <v>1</v>
      </c>
      <c r="M134" s="131">
        <f t="shared" si="151"/>
        <v>3.4939864827800447E-2</v>
      </c>
      <c r="N134" s="131">
        <f t="shared" si="151"/>
        <v>3.4939864827800454E-2</v>
      </c>
      <c r="O134" s="131">
        <f t="shared" si="151"/>
        <v>1.6386472981063889E-2</v>
      </c>
      <c r="P134" s="131">
        <f t="shared" si="151"/>
        <v>1.6386472981063875E-2</v>
      </c>
      <c r="Q134" s="131">
        <f t="shared" si="151"/>
        <v>1.6386472981063892E-2</v>
      </c>
      <c r="R134" s="131">
        <f t="shared" si="151"/>
        <v>1</v>
      </c>
      <c r="S134" s="131">
        <f t="shared" si="151"/>
        <v>1</v>
      </c>
      <c r="T134" s="131">
        <f t="shared" si="151"/>
        <v>1</v>
      </c>
      <c r="U134" s="131">
        <f t="shared" si="151"/>
        <v>1</v>
      </c>
      <c r="V134" s="131">
        <f t="shared" si="151"/>
        <v>1</v>
      </c>
      <c r="W134" s="131">
        <f t="shared" si="151"/>
        <v>1.6386472981063886E-2</v>
      </c>
      <c r="X134" s="131">
        <f t="shared" si="151"/>
        <v>1.6386472981063886E-2</v>
      </c>
      <c r="Y134" s="131">
        <f t="shared" si="151"/>
        <v>3.4939864827800461E-2</v>
      </c>
      <c r="Z134" s="131">
        <f t="shared" si="151"/>
        <v>1.6386472981063875E-2</v>
      </c>
      <c r="AA134" s="131">
        <f t="shared" si="151"/>
        <v>1</v>
      </c>
      <c r="AB134" s="131">
        <f t="shared" si="151"/>
        <v>1</v>
      </c>
      <c r="AC134" s="131">
        <f t="shared" si="151"/>
        <v>1</v>
      </c>
      <c r="AD134" s="131">
        <f t="shared" si="151"/>
        <v>1</v>
      </c>
      <c r="AE134" s="131">
        <f t="shared" ref="AE134:BK134" si="152">IF(AE$3="FT1",AE118/AE$122,1)</f>
        <v>1</v>
      </c>
      <c r="AF134" s="131">
        <f t="shared" si="152"/>
        <v>1</v>
      </c>
      <c r="AG134" s="131">
        <f t="shared" si="152"/>
        <v>1</v>
      </c>
      <c r="AH134" s="131">
        <f t="shared" si="152"/>
        <v>1</v>
      </c>
      <c r="AI134" s="131">
        <f t="shared" si="152"/>
        <v>1.6386472981063872E-2</v>
      </c>
      <c r="AJ134" s="131">
        <f t="shared" si="152"/>
        <v>1</v>
      </c>
      <c r="AK134" s="131">
        <f t="shared" si="152"/>
        <v>1</v>
      </c>
      <c r="AL134" s="131">
        <f t="shared" si="152"/>
        <v>1.6386472981063896E-2</v>
      </c>
      <c r="AM134" s="131">
        <f t="shared" si="152"/>
        <v>1</v>
      </c>
      <c r="AN134" s="131">
        <f t="shared" si="152"/>
        <v>1</v>
      </c>
      <c r="AO134" s="131">
        <f t="shared" si="152"/>
        <v>3.4939864827800461E-2</v>
      </c>
      <c r="AP134" s="131">
        <f t="shared" si="152"/>
        <v>3.4939864827800468E-2</v>
      </c>
      <c r="AQ134" s="131">
        <f t="shared" si="152"/>
        <v>1</v>
      </c>
      <c r="AR134" s="131">
        <f t="shared" si="152"/>
        <v>1.6386472981063886E-2</v>
      </c>
      <c r="AS134" s="131">
        <f t="shared" si="152"/>
        <v>3.4939864827800454E-2</v>
      </c>
      <c r="AT134" s="131">
        <f t="shared" si="152"/>
        <v>0</v>
      </c>
      <c r="AU134" s="131">
        <f t="shared" si="152"/>
        <v>1</v>
      </c>
      <c r="AV134" s="131">
        <f t="shared" si="152"/>
        <v>1.6386472981063882E-2</v>
      </c>
      <c r="AW134" s="131">
        <f t="shared" si="152"/>
        <v>1.6386472981063868E-2</v>
      </c>
      <c r="AX134" s="131">
        <f t="shared" si="152"/>
        <v>1</v>
      </c>
      <c r="AY134" s="131">
        <f t="shared" si="152"/>
        <v>1.6386472981063882E-2</v>
      </c>
      <c r="AZ134" s="131">
        <f t="shared" si="152"/>
        <v>1.6386472981063879E-2</v>
      </c>
      <c r="BA134" s="131">
        <f t="shared" si="138"/>
        <v>1.6386472981063882E-2</v>
      </c>
      <c r="BB134" s="131">
        <f t="shared" si="152"/>
        <v>1.6386472981063896E-2</v>
      </c>
      <c r="BC134" s="131">
        <f t="shared" si="152"/>
        <v>1.6386472981063879E-2</v>
      </c>
      <c r="BD134" s="131">
        <f t="shared" si="152"/>
        <v>1.6386472981063875E-2</v>
      </c>
      <c r="BE134" s="131">
        <f t="shared" si="152"/>
        <v>1</v>
      </c>
      <c r="BF134" s="131">
        <f t="shared" si="152"/>
        <v>3.4939864827800454E-2</v>
      </c>
      <c r="BG134" s="131">
        <f t="shared" si="152"/>
        <v>1.6386472981063892E-2</v>
      </c>
      <c r="BH134" s="131">
        <f t="shared" si="152"/>
        <v>3.4939864827800454E-2</v>
      </c>
      <c r="BI134" s="131">
        <f t="shared" si="152"/>
        <v>1.6386472981063889E-2</v>
      </c>
      <c r="BJ134" s="131">
        <f t="shared" si="152"/>
        <v>3.4939864827800461E-2</v>
      </c>
      <c r="BK134" s="131">
        <f t="shared" si="152"/>
        <v>3.4939864827800454E-2</v>
      </c>
      <c r="BL134" s="131">
        <f t="shared" ref="BL134:BY134" si="153">IF(BL$3="FT1",BL118/BL$122,1)</f>
        <v>3.4939864827800447E-2</v>
      </c>
      <c r="BM134" s="131">
        <f t="shared" si="153"/>
        <v>1.6386472981063886E-2</v>
      </c>
      <c r="BN134" s="131">
        <f t="shared" si="153"/>
        <v>1.6386472981063892E-2</v>
      </c>
      <c r="BO134" s="131">
        <f t="shared" si="153"/>
        <v>1.6386472981063886E-2</v>
      </c>
      <c r="BP134" s="131">
        <f t="shared" si="153"/>
        <v>3.4939864827800454E-2</v>
      </c>
      <c r="BQ134" s="131">
        <f t="shared" si="153"/>
        <v>1.6386472981063882E-2</v>
      </c>
      <c r="BR134" s="131">
        <f t="shared" si="153"/>
        <v>1.6386472981063875E-2</v>
      </c>
      <c r="BS134" s="131">
        <f t="shared" si="153"/>
        <v>1</v>
      </c>
      <c r="BT134" s="131">
        <f t="shared" si="153"/>
        <v>3.4939864827800454E-2</v>
      </c>
      <c r="BU134" s="131">
        <f t="shared" si="153"/>
        <v>1</v>
      </c>
      <c r="BV134" s="131">
        <f t="shared" si="153"/>
        <v>1</v>
      </c>
      <c r="BW134" s="131">
        <f t="shared" si="153"/>
        <v>3.4939864827800454E-2</v>
      </c>
      <c r="BX134" s="131">
        <f t="shared" si="153"/>
        <v>3.4939864827800454E-2</v>
      </c>
      <c r="BY134" s="131">
        <f t="shared" si="153"/>
        <v>1</v>
      </c>
      <c r="BZ134" s="131"/>
      <c r="CA134" s="118"/>
      <c r="CB134" s="131">
        <f t="shared" ref="CB134:CX134" si="154">IF(CB$3="FT1",CB118/CB$122,1)</f>
        <v>-1.4458716204074116E-17</v>
      </c>
      <c r="CC134" s="131">
        <f t="shared" si="154"/>
        <v>1.0088011525531254E-17</v>
      </c>
      <c r="CD134" s="131">
        <f t="shared" si="154"/>
        <v>0</v>
      </c>
      <c r="CE134" s="131">
        <f t="shared" si="154"/>
        <v>-1.3012844583666704E-17</v>
      </c>
      <c r="CF134" s="131">
        <f t="shared" si="154"/>
        <v>0</v>
      </c>
      <c r="CG134" s="131">
        <f t="shared" si="154"/>
        <v>-1.3012844583666704E-17</v>
      </c>
      <c r="CH134" s="131">
        <f t="shared" si="154"/>
        <v>3.4939864827800454E-2</v>
      </c>
      <c r="CI134" s="131">
        <f t="shared" si="154"/>
        <v>3.4939864827800461E-2</v>
      </c>
      <c r="CJ134" s="131">
        <f t="shared" si="154"/>
        <v>3.4939864827800454E-2</v>
      </c>
      <c r="CK134" s="131">
        <f t="shared" si="154"/>
        <v>3.4939864827800454E-2</v>
      </c>
      <c r="CL134" s="131">
        <f t="shared" si="154"/>
        <v>3.4939864827800447E-2</v>
      </c>
      <c r="CM134" s="131">
        <f t="shared" si="154"/>
        <v>3.4939864827800454E-2</v>
      </c>
      <c r="CN134" s="131">
        <f t="shared" si="154"/>
        <v>3.4939864827800447E-2</v>
      </c>
      <c r="CO134" s="131">
        <f t="shared" si="154"/>
        <v>3.4939864827800447E-2</v>
      </c>
      <c r="CP134" s="131">
        <f t="shared" si="154"/>
        <v>3.4939864827800461E-2</v>
      </c>
      <c r="CQ134" s="131">
        <f t="shared" si="154"/>
        <v>3.4939864827800447E-2</v>
      </c>
      <c r="CR134" s="131">
        <f t="shared" si="154"/>
        <v>3.4939864827800454E-2</v>
      </c>
      <c r="CS134" s="131">
        <f t="shared" si="154"/>
        <v>3.4939864827800447E-2</v>
      </c>
      <c r="CT134" s="131">
        <f t="shared" si="154"/>
        <v>8.9423587063646809E-2</v>
      </c>
      <c r="CU134" s="131">
        <f t="shared" si="154"/>
        <v>8.9423587063646795E-2</v>
      </c>
      <c r="CV134" s="131">
        <f t="shared" si="154"/>
        <v>8.9423587063646781E-2</v>
      </c>
      <c r="CW134" s="131">
        <f t="shared" si="154"/>
        <v>8.9423587063646795E-2</v>
      </c>
      <c r="CX134" s="131">
        <f t="shared" si="154"/>
        <v>8.9423587063646795E-2</v>
      </c>
      <c r="CY134" s="131"/>
      <c r="CZ134" s="118"/>
      <c r="DA134" s="130"/>
      <c r="DB134" s="130"/>
      <c r="DC134" s="130">
        <f t="shared" si="141"/>
        <v>-1.4458716204074116E-17</v>
      </c>
      <c r="DD134" s="130">
        <f t="shared" si="142"/>
        <v>1</v>
      </c>
      <c r="DE134" s="89"/>
    </row>
    <row r="135" spans="1:109" x14ac:dyDescent="0.25">
      <c r="A135" s="89"/>
      <c r="B135" s="89"/>
      <c r="C135" s="70" t="s">
        <v>330</v>
      </c>
      <c r="D135" s="131">
        <f t="shared" ref="D135:AD135" si="155">IF(D$3="FT1",D119/D$122,1)</f>
        <v>0.1760401794198751</v>
      </c>
      <c r="E135" s="131">
        <f t="shared" si="155"/>
        <v>0.1760401794198751</v>
      </c>
      <c r="F135" s="131">
        <f t="shared" si="155"/>
        <v>1</v>
      </c>
      <c r="G135" s="131">
        <f t="shared" si="155"/>
        <v>8.2561213612657752E-2</v>
      </c>
      <c r="H135" s="131">
        <f t="shared" si="155"/>
        <v>8.2561213612657766E-2</v>
      </c>
      <c r="I135" s="131">
        <f t="shared" si="155"/>
        <v>8.2561213612657738E-2</v>
      </c>
      <c r="J135" s="131">
        <f t="shared" si="155"/>
        <v>8.256121361265778E-2</v>
      </c>
      <c r="K135" s="131">
        <f t="shared" si="155"/>
        <v>8.2561213612657794E-2</v>
      </c>
      <c r="L135" s="131">
        <f t="shared" si="155"/>
        <v>1</v>
      </c>
      <c r="M135" s="131">
        <f t="shared" si="155"/>
        <v>0.17604017941987504</v>
      </c>
      <c r="N135" s="131">
        <f t="shared" si="155"/>
        <v>0.17604017941987507</v>
      </c>
      <c r="O135" s="131">
        <f t="shared" si="155"/>
        <v>8.2561213612657794E-2</v>
      </c>
      <c r="P135" s="131">
        <f t="shared" si="155"/>
        <v>8.2561213612657738E-2</v>
      </c>
      <c r="Q135" s="131">
        <f t="shared" si="155"/>
        <v>8.2561213612657822E-2</v>
      </c>
      <c r="R135" s="131">
        <f t="shared" si="155"/>
        <v>1</v>
      </c>
      <c r="S135" s="131">
        <f t="shared" si="155"/>
        <v>1</v>
      </c>
      <c r="T135" s="131">
        <f t="shared" si="155"/>
        <v>1</v>
      </c>
      <c r="U135" s="131">
        <f t="shared" si="155"/>
        <v>1</v>
      </c>
      <c r="V135" s="131">
        <f t="shared" si="155"/>
        <v>1</v>
      </c>
      <c r="W135" s="131">
        <f t="shared" si="155"/>
        <v>8.2561213612657794E-2</v>
      </c>
      <c r="X135" s="131">
        <f t="shared" si="155"/>
        <v>8.256121361265778E-2</v>
      </c>
      <c r="Y135" s="131">
        <f t="shared" si="155"/>
        <v>0.17604017941987507</v>
      </c>
      <c r="Z135" s="131">
        <f t="shared" si="155"/>
        <v>8.2561213612657725E-2</v>
      </c>
      <c r="AA135" s="131">
        <f t="shared" si="155"/>
        <v>1</v>
      </c>
      <c r="AB135" s="131">
        <f t="shared" si="155"/>
        <v>1</v>
      </c>
      <c r="AC135" s="131">
        <f t="shared" si="155"/>
        <v>1</v>
      </c>
      <c r="AD135" s="131">
        <f t="shared" si="155"/>
        <v>1</v>
      </c>
      <c r="AE135" s="131">
        <f t="shared" ref="AE135:BK135" si="156">IF(AE$3="FT1",AE119/AE$122,1)</f>
        <v>1</v>
      </c>
      <c r="AF135" s="131">
        <f t="shared" si="156"/>
        <v>1</v>
      </c>
      <c r="AG135" s="131">
        <f t="shared" si="156"/>
        <v>1</v>
      </c>
      <c r="AH135" s="131">
        <f t="shared" si="156"/>
        <v>1</v>
      </c>
      <c r="AI135" s="131">
        <f t="shared" si="156"/>
        <v>8.2561213612657697E-2</v>
      </c>
      <c r="AJ135" s="131">
        <f t="shared" si="156"/>
        <v>1</v>
      </c>
      <c r="AK135" s="131">
        <f t="shared" si="156"/>
        <v>1</v>
      </c>
      <c r="AL135" s="131">
        <f t="shared" si="156"/>
        <v>8.2561213612657849E-2</v>
      </c>
      <c r="AM135" s="131">
        <f t="shared" si="156"/>
        <v>1</v>
      </c>
      <c r="AN135" s="131">
        <f t="shared" si="156"/>
        <v>1</v>
      </c>
      <c r="AO135" s="131">
        <f t="shared" si="156"/>
        <v>0.17604017941987513</v>
      </c>
      <c r="AP135" s="131">
        <f t="shared" si="156"/>
        <v>0.17604017941987513</v>
      </c>
      <c r="AQ135" s="131">
        <f t="shared" si="156"/>
        <v>1</v>
      </c>
      <c r="AR135" s="131">
        <f t="shared" si="156"/>
        <v>8.2561213612657794E-2</v>
      </c>
      <c r="AS135" s="131">
        <f t="shared" si="156"/>
        <v>0.17604017941987507</v>
      </c>
      <c r="AT135" s="131">
        <f t="shared" si="156"/>
        <v>0</v>
      </c>
      <c r="AU135" s="131">
        <f t="shared" si="156"/>
        <v>1</v>
      </c>
      <c r="AV135" s="131">
        <f t="shared" si="156"/>
        <v>8.2561213612657766E-2</v>
      </c>
      <c r="AW135" s="131">
        <f t="shared" si="156"/>
        <v>8.2561213612657697E-2</v>
      </c>
      <c r="AX135" s="131">
        <f t="shared" si="156"/>
        <v>1</v>
      </c>
      <c r="AY135" s="131">
        <f t="shared" si="156"/>
        <v>8.2561213612657766E-2</v>
      </c>
      <c r="AZ135" s="131">
        <f t="shared" si="156"/>
        <v>8.2561213612657738E-2</v>
      </c>
      <c r="BA135" s="131">
        <f t="shared" si="138"/>
        <v>8.256121361265778E-2</v>
      </c>
      <c r="BB135" s="131">
        <f t="shared" si="156"/>
        <v>8.2561213612657822E-2</v>
      </c>
      <c r="BC135" s="131">
        <f t="shared" si="156"/>
        <v>8.2561213612657752E-2</v>
      </c>
      <c r="BD135" s="131">
        <f t="shared" si="156"/>
        <v>8.2561213612657725E-2</v>
      </c>
      <c r="BE135" s="131">
        <f t="shared" si="156"/>
        <v>1</v>
      </c>
      <c r="BF135" s="131">
        <f t="shared" si="156"/>
        <v>0.1760401794198751</v>
      </c>
      <c r="BG135" s="131">
        <f t="shared" si="156"/>
        <v>8.2561213612657808E-2</v>
      </c>
      <c r="BH135" s="131">
        <f t="shared" si="156"/>
        <v>0.1760401794198751</v>
      </c>
      <c r="BI135" s="131">
        <f t="shared" si="156"/>
        <v>8.2561213612657794E-2</v>
      </c>
      <c r="BJ135" s="131">
        <f t="shared" si="156"/>
        <v>0.1760401794198751</v>
      </c>
      <c r="BK135" s="131">
        <f t="shared" si="156"/>
        <v>0.1760401794198751</v>
      </c>
      <c r="BL135" s="131">
        <f t="shared" ref="BL135:BY135" si="157">IF(BL$3="FT1",BL119/BL$122,1)</f>
        <v>0.17604017941987504</v>
      </c>
      <c r="BM135" s="131">
        <f t="shared" si="157"/>
        <v>8.256121361265778E-2</v>
      </c>
      <c r="BN135" s="131">
        <f t="shared" si="157"/>
        <v>8.2561213612657794E-2</v>
      </c>
      <c r="BO135" s="131">
        <f t="shared" si="157"/>
        <v>8.256121361265778E-2</v>
      </c>
      <c r="BP135" s="131">
        <f t="shared" si="157"/>
        <v>0.17604017941987507</v>
      </c>
      <c r="BQ135" s="131">
        <f t="shared" si="157"/>
        <v>8.2561213612657766E-2</v>
      </c>
      <c r="BR135" s="131">
        <f t="shared" si="157"/>
        <v>8.2561213612657725E-2</v>
      </c>
      <c r="BS135" s="131">
        <f t="shared" si="157"/>
        <v>1</v>
      </c>
      <c r="BT135" s="131">
        <f t="shared" si="157"/>
        <v>0.1760401794198751</v>
      </c>
      <c r="BU135" s="131">
        <f t="shared" si="157"/>
        <v>1</v>
      </c>
      <c r="BV135" s="131">
        <f t="shared" si="157"/>
        <v>1</v>
      </c>
      <c r="BW135" s="131">
        <f t="shared" si="157"/>
        <v>0.17604017941987507</v>
      </c>
      <c r="BX135" s="131">
        <f t="shared" si="157"/>
        <v>0.17604017941987507</v>
      </c>
      <c r="BY135" s="131">
        <f t="shared" si="157"/>
        <v>1</v>
      </c>
      <c r="BZ135" s="131"/>
      <c r="CA135" s="118"/>
      <c r="CB135" s="131">
        <f t="shared" ref="CB135:CX135" si="158">IF(CB$3="FT1",CB119/CB$122,1)</f>
        <v>-7.2848449966556327E-17</v>
      </c>
      <c r="CC135" s="131">
        <f t="shared" si="158"/>
        <v>5.0827196032288896E-17</v>
      </c>
      <c r="CD135" s="131">
        <f t="shared" si="158"/>
        <v>0</v>
      </c>
      <c r="CE135" s="131">
        <f t="shared" si="158"/>
        <v>-6.5563604969900695E-17</v>
      </c>
      <c r="CF135" s="131">
        <f t="shared" si="158"/>
        <v>0</v>
      </c>
      <c r="CG135" s="131">
        <f t="shared" si="158"/>
        <v>-6.5563604969900695E-17</v>
      </c>
      <c r="CH135" s="131">
        <f t="shared" si="158"/>
        <v>0.1760401794198751</v>
      </c>
      <c r="CI135" s="131">
        <f t="shared" si="158"/>
        <v>0.1760401794198751</v>
      </c>
      <c r="CJ135" s="131">
        <f t="shared" si="158"/>
        <v>0.1760401794198751</v>
      </c>
      <c r="CK135" s="131">
        <f t="shared" si="158"/>
        <v>0.1760401794198751</v>
      </c>
      <c r="CL135" s="131">
        <f t="shared" si="158"/>
        <v>0.17604017941987504</v>
      </c>
      <c r="CM135" s="131">
        <f t="shared" si="158"/>
        <v>0.17604017941987504</v>
      </c>
      <c r="CN135" s="131">
        <f t="shared" si="158"/>
        <v>0.17604017941987507</v>
      </c>
      <c r="CO135" s="131">
        <f t="shared" si="158"/>
        <v>0.17604017941987507</v>
      </c>
      <c r="CP135" s="131">
        <f t="shared" si="158"/>
        <v>0.1760401794198751</v>
      </c>
      <c r="CQ135" s="131">
        <f t="shared" si="158"/>
        <v>0.17604017941987501</v>
      </c>
      <c r="CR135" s="131">
        <f t="shared" si="158"/>
        <v>0.1760401794198751</v>
      </c>
      <c r="CS135" s="131">
        <f t="shared" si="158"/>
        <v>0.17604017941987507</v>
      </c>
      <c r="CT135" s="131">
        <f t="shared" si="158"/>
        <v>0.45054966264573865</v>
      </c>
      <c r="CU135" s="131">
        <f t="shared" si="158"/>
        <v>0.45054966264573859</v>
      </c>
      <c r="CV135" s="131">
        <f t="shared" si="158"/>
        <v>0.45054966264573854</v>
      </c>
      <c r="CW135" s="131">
        <f t="shared" si="158"/>
        <v>0.45054966264573859</v>
      </c>
      <c r="CX135" s="131">
        <f t="shared" si="158"/>
        <v>0.45054966264573859</v>
      </c>
      <c r="CY135" s="131"/>
      <c r="CZ135" s="118"/>
      <c r="DA135" s="130"/>
      <c r="DB135" s="130"/>
      <c r="DC135" s="130">
        <f t="shared" si="141"/>
        <v>-7.2848449966556327E-17</v>
      </c>
      <c r="DD135" s="130">
        <f t="shared" si="142"/>
        <v>1</v>
      </c>
      <c r="DE135" s="89"/>
    </row>
    <row r="136" spans="1:109" x14ac:dyDescent="0.25">
      <c r="A136" s="89"/>
      <c r="B136" s="89"/>
      <c r="C136" s="70" t="s">
        <v>331</v>
      </c>
      <c r="D136" s="131">
        <f t="shared" ref="D136:AD136" si="159">IF(D$3="FT1",D120/D$122,1)</f>
        <v>0.17974309687315848</v>
      </c>
      <c r="E136" s="131">
        <f t="shared" si="159"/>
        <v>0.17974309687315848</v>
      </c>
      <c r="F136" s="131">
        <f t="shared" si="159"/>
        <v>1</v>
      </c>
      <c r="G136" s="131">
        <f t="shared" si="159"/>
        <v>8.4297847600750903E-2</v>
      </c>
      <c r="H136" s="131">
        <f t="shared" si="159"/>
        <v>8.4297847600750916E-2</v>
      </c>
      <c r="I136" s="131">
        <f t="shared" si="159"/>
        <v>8.4297847600750875E-2</v>
      </c>
      <c r="J136" s="131">
        <f t="shared" si="159"/>
        <v>8.429784760075093E-2</v>
      </c>
      <c r="K136" s="131">
        <f t="shared" si="159"/>
        <v>8.429784760075093E-2</v>
      </c>
      <c r="L136" s="131">
        <f t="shared" si="159"/>
        <v>1</v>
      </c>
      <c r="M136" s="131">
        <f t="shared" si="159"/>
        <v>0.17974309687315848</v>
      </c>
      <c r="N136" s="131">
        <f t="shared" si="159"/>
        <v>0.17974309687315848</v>
      </c>
      <c r="O136" s="131">
        <f t="shared" si="159"/>
        <v>8.429784760075093E-2</v>
      </c>
      <c r="P136" s="131">
        <f t="shared" si="159"/>
        <v>8.4297847600750875E-2</v>
      </c>
      <c r="Q136" s="131">
        <f t="shared" si="159"/>
        <v>8.4297847600750958E-2</v>
      </c>
      <c r="R136" s="131">
        <f t="shared" si="159"/>
        <v>1</v>
      </c>
      <c r="S136" s="131">
        <f t="shared" si="159"/>
        <v>1</v>
      </c>
      <c r="T136" s="131">
        <f t="shared" si="159"/>
        <v>1</v>
      </c>
      <c r="U136" s="131">
        <f t="shared" si="159"/>
        <v>1</v>
      </c>
      <c r="V136" s="131">
        <f t="shared" si="159"/>
        <v>1</v>
      </c>
      <c r="W136" s="131">
        <f t="shared" si="159"/>
        <v>8.429784760075093E-2</v>
      </c>
      <c r="X136" s="131">
        <f t="shared" si="159"/>
        <v>8.429784760075093E-2</v>
      </c>
      <c r="Y136" s="131">
        <f t="shared" si="159"/>
        <v>0.17974309687315848</v>
      </c>
      <c r="Z136" s="131">
        <f t="shared" si="159"/>
        <v>8.4297847600750875E-2</v>
      </c>
      <c r="AA136" s="131">
        <f t="shared" si="159"/>
        <v>1</v>
      </c>
      <c r="AB136" s="131">
        <f t="shared" si="159"/>
        <v>1</v>
      </c>
      <c r="AC136" s="131">
        <f t="shared" si="159"/>
        <v>1</v>
      </c>
      <c r="AD136" s="131">
        <f t="shared" si="159"/>
        <v>1</v>
      </c>
      <c r="AE136" s="131">
        <f t="shared" ref="AE136:BK136" si="160">IF(AE$3="FT1",AE120/AE$122,1)</f>
        <v>1</v>
      </c>
      <c r="AF136" s="131">
        <f t="shared" si="160"/>
        <v>1</v>
      </c>
      <c r="AG136" s="131">
        <f t="shared" si="160"/>
        <v>1</v>
      </c>
      <c r="AH136" s="131">
        <f t="shared" si="160"/>
        <v>1</v>
      </c>
      <c r="AI136" s="131">
        <f t="shared" si="160"/>
        <v>8.4297847600750847E-2</v>
      </c>
      <c r="AJ136" s="131">
        <f t="shared" si="160"/>
        <v>1</v>
      </c>
      <c r="AK136" s="131">
        <f t="shared" si="160"/>
        <v>1</v>
      </c>
      <c r="AL136" s="131">
        <f t="shared" si="160"/>
        <v>8.4297847600751E-2</v>
      </c>
      <c r="AM136" s="131">
        <f t="shared" si="160"/>
        <v>1</v>
      </c>
      <c r="AN136" s="131">
        <f t="shared" si="160"/>
        <v>1</v>
      </c>
      <c r="AO136" s="131">
        <f t="shared" si="160"/>
        <v>0.17974309687315851</v>
      </c>
      <c r="AP136" s="131">
        <f t="shared" si="160"/>
        <v>0.17974309687315854</v>
      </c>
      <c r="AQ136" s="131">
        <f t="shared" si="160"/>
        <v>1</v>
      </c>
      <c r="AR136" s="131">
        <f t="shared" si="160"/>
        <v>8.429784760075093E-2</v>
      </c>
      <c r="AS136" s="131">
        <f t="shared" si="160"/>
        <v>0.17974309687315848</v>
      </c>
      <c r="AT136" s="131">
        <f t="shared" si="160"/>
        <v>0</v>
      </c>
      <c r="AU136" s="131">
        <f t="shared" si="160"/>
        <v>1</v>
      </c>
      <c r="AV136" s="131">
        <f t="shared" si="160"/>
        <v>8.4297847600750916E-2</v>
      </c>
      <c r="AW136" s="131">
        <f t="shared" si="160"/>
        <v>8.4297847600750819E-2</v>
      </c>
      <c r="AX136" s="131">
        <f t="shared" si="160"/>
        <v>1</v>
      </c>
      <c r="AY136" s="131">
        <f t="shared" si="160"/>
        <v>8.4297847600750916E-2</v>
      </c>
      <c r="AZ136" s="131">
        <f t="shared" si="160"/>
        <v>8.4297847600750889E-2</v>
      </c>
      <c r="BA136" s="131">
        <f t="shared" si="138"/>
        <v>8.4297847600750903E-2</v>
      </c>
      <c r="BB136" s="131">
        <f t="shared" si="160"/>
        <v>8.4297847600750986E-2</v>
      </c>
      <c r="BC136" s="131">
        <f t="shared" si="160"/>
        <v>8.4297847600750889E-2</v>
      </c>
      <c r="BD136" s="131">
        <f t="shared" si="160"/>
        <v>8.4297847600750875E-2</v>
      </c>
      <c r="BE136" s="131">
        <f t="shared" si="160"/>
        <v>1</v>
      </c>
      <c r="BF136" s="131">
        <f t="shared" si="160"/>
        <v>0.17974309687315848</v>
      </c>
      <c r="BG136" s="131">
        <f t="shared" si="160"/>
        <v>8.4297847600750944E-2</v>
      </c>
      <c r="BH136" s="131">
        <f t="shared" si="160"/>
        <v>0.17974309687315848</v>
      </c>
      <c r="BI136" s="131">
        <f t="shared" si="160"/>
        <v>8.429784760075093E-2</v>
      </c>
      <c r="BJ136" s="131">
        <f t="shared" si="160"/>
        <v>0.17974309687315854</v>
      </c>
      <c r="BK136" s="131">
        <f t="shared" si="160"/>
        <v>0.17974309687315848</v>
      </c>
      <c r="BL136" s="131">
        <f t="shared" ref="BL136:BY136" si="161">IF(BL$3="FT1",BL120/BL$122,1)</f>
        <v>0.17974309687315845</v>
      </c>
      <c r="BM136" s="131">
        <f t="shared" si="161"/>
        <v>8.4297847600750916E-2</v>
      </c>
      <c r="BN136" s="131">
        <f t="shared" si="161"/>
        <v>8.4297847600750944E-2</v>
      </c>
      <c r="BO136" s="131">
        <f t="shared" si="161"/>
        <v>8.4297847600750916E-2</v>
      </c>
      <c r="BP136" s="131">
        <f t="shared" si="161"/>
        <v>0.17974309687315851</v>
      </c>
      <c r="BQ136" s="131">
        <f t="shared" si="161"/>
        <v>8.4297847600750916E-2</v>
      </c>
      <c r="BR136" s="131">
        <f t="shared" si="161"/>
        <v>8.4297847600750861E-2</v>
      </c>
      <c r="BS136" s="131">
        <f t="shared" si="161"/>
        <v>1</v>
      </c>
      <c r="BT136" s="131">
        <f t="shared" si="161"/>
        <v>0.17974309687315851</v>
      </c>
      <c r="BU136" s="131">
        <f t="shared" si="161"/>
        <v>1</v>
      </c>
      <c r="BV136" s="131">
        <f t="shared" si="161"/>
        <v>1</v>
      </c>
      <c r="BW136" s="131">
        <f t="shared" si="161"/>
        <v>0.17974309687315851</v>
      </c>
      <c r="BX136" s="131">
        <f t="shared" si="161"/>
        <v>0.17974309687315848</v>
      </c>
      <c r="BY136" s="131">
        <f t="shared" si="161"/>
        <v>1</v>
      </c>
      <c r="BZ136" s="131"/>
      <c r="CA136" s="118"/>
      <c r="CB136" s="131">
        <f t="shared" ref="CB136:CX136" si="162">IF(CB$3="FT1",CB120/CB$122,1)</f>
        <v>-7.4380780811223419E-17</v>
      </c>
      <c r="CC136" s="131">
        <f t="shared" si="162"/>
        <v>5.1896320773638546E-17</v>
      </c>
      <c r="CD136" s="131">
        <f t="shared" si="162"/>
        <v>0</v>
      </c>
      <c r="CE136" s="131">
        <f t="shared" si="162"/>
        <v>-6.6942702730101078E-17</v>
      </c>
      <c r="CF136" s="131">
        <f t="shared" si="162"/>
        <v>0</v>
      </c>
      <c r="CG136" s="131">
        <f t="shared" si="162"/>
        <v>-6.6942702730101078E-17</v>
      </c>
      <c r="CH136" s="131">
        <f t="shared" si="162"/>
        <v>0.17974309687315851</v>
      </c>
      <c r="CI136" s="131">
        <f t="shared" si="162"/>
        <v>0.17974309687315851</v>
      </c>
      <c r="CJ136" s="131">
        <f t="shared" si="162"/>
        <v>0.17974309687315848</v>
      </c>
      <c r="CK136" s="131">
        <f t="shared" si="162"/>
        <v>0.17974309687315848</v>
      </c>
      <c r="CL136" s="131">
        <f t="shared" si="162"/>
        <v>0.17974309687315848</v>
      </c>
      <c r="CM136" s="131">
        <f t="shared" si="162"/>
        <v>0.17974309687315845</v>
      </c>
      <c r="CN136" s="131">
        <f t="shared" si="162"/>
        <v>0.17974309687315848</v>
      </c>
      <c r="CO136" s="131">
        <f t="shared" si="162"/>
        <v>0.17974309687315848</v>
      </c>
      <c r="CP136" s="131">
        <f t="shared" si="162"/>
        <v>0.17974309687315851</v>
      </c>
      <c r="CQ136" s="131">
        <f t="shared" si="162"/>
        <v>0.17974309687315845</v>
      </c>
      <c r="CR136" s="131">
        <f t="shared" si="162"/>
        <v>0.17974309687315854</v>
      </c>
      <c r="CS136" s="131">
        <f t="shared" si="162"/>
        <v>0.17974309687315845</v>
      </c>
      <c r="CT136" s="131">
        <f t="shared" si="162"/>
        <v>0.46002675029061468</v>
      </c>
      <c r="CU136" s="131">
        <f t="shared" si="162"/>
        <v>0.46002675029061463</v>
      </c>
      <c r="CV136" s="131">
        <f t="shared" si="162"/>
        <v>0.46002675029061457</v>
      </c>
      <c r="CW136" s="131">
        <f t="shared" si="162"/>
        <v>0.46002675029061463</v>
      </c>
      <c r="CX136" s="131">
        <f t="shared" si="162"/>
        <v>0.46002675029061463</v>
      </c>
      <c r="CY136" s="131"/>
      <c r="CZ136" s="118"/>
      <c r="DA136" s="130"/>
      <c r="DB136" s="130"/>
      <c r="DC136" s="130">
        <f t="shared" si="141"/>
        <v>-7.4380780811223419E-17</v>
      </c>
      <c r="DD136" s="130">
        <f t="shared" si="142"/>
        <v>1</v>
      </c>
      <c r="DE136" s="89"/>
    </row>
    <row r="137" spans="1:109" x14ac:dyDescent="0.25">
      <c r="A137" s="89"/>
      <c r="B137" s="89"/>
      <c r="C137" s="89" t="s">
        <v>25</v>
      </c>
      <c r="D137" s="131">
        <f t="shared" ref="D137:AD137" si="163">IF(D3="FT1",SUM(D131:D136),1)</f>
        <v>0.99999999999999989</v>
      </c>
      <c r="E137" s="131">
        <f t="shared" si="163"/>
        <v>0.99999999999999989</v>
      </c>
      <c r="F137" s="131">
        <f t="shared" si="163"/>
        <v>1</v>
      </c>
      <c r="G137" s="131">
        <f t="shared" si="163"/>
        <v>1.0000000000000002</v>
      </c>
      <c r="H137" s="131">
        <f t="shared" si="163"/>
        <v>1</v>
      </c>
      <c r="I137" s="131">
        <f t="shared" si="163"/>
        <v>1</v>
      </c>
      <c r="J137" s="131">
        <f t="shared" si="163"/>
        <v>1.0000000000000002</v>
      </c>
      <c r="K137" s="131">
        <f t="shared" si="163"/>
        <v>1</v>
      </c>
      <c r="L137" s="131">
        <f t="shared" si="163"/>
        <v>1</v>
      </c>
      <c r="M137" s="131">
        <f t="shared" si="163"/>
        <v>0.99999999999999989</v>
      </c>
      <c r="N137" s="131">
        <f t="shared" si="163"/>
        <v>0.99999999999999989</v>
      </c>
      <c r="O137" s="131">
        <f t="shared" si="163"/>
        <v>0.99999999999999978</v>
      </c>
      <c r="P137" s="131">
        <f t="shared" si="163"/>
        <v>1</v>
      </c>
      <c r="Q137" s="131">
        <f t="shared" si="163"/>
        <v>0.99999999999999989</v>
      </c>
      <c r="R137" s="131">
        <f t="shared" si="163"/>
        <v>1</v>
      </c>
      <c r="S137" s="131">
        <f t="shared" si="163"/>
        <v>1</v>
      </c>
      <c r="T137" s="131">
        <f t="shared" si="163"/>
        <v>1</v>
      </c>
      <c r="U137" s="131">
        <f t="shared" si="163"/>
        <v>1</v>
      </c>
      <c r="V137" s="131">
        <f t="shared" si="163"/>
        <v>1</v>
      </c>
      <c r="W137" s="131">
        <f t="shared" si="163"/>
        <v>1</v>
      </c>
      <c r="X137" s="131">
        <f t="shared" si="163"/>
        <v>0.99999999999999978</v>
      </c>
      <c r="Y137" s="131">
        <f t="shared" si="163"/>
        <v>0.99999999999999989</v>
      </c>
      <c r="Z137" s="131">
        <f t="shared" si="163"/>
        <v>0.99999999999999989</v>
      </c>
      <c r="AA137" s="131">
        <f t="shared" si="163"/>
        <v>1</v>
      </c>
      <c r="AB137" s="131">
        <f t="shared" si="163"/>
        <v>1</v>
      </c>
      <c r="AC137" s="131">
        <f t="shared" si="163"/>
        <v>1</v>
      </c>
      <c r="AD137" s="131">
        <f t="shared" si="163"/>
        <v>1</v>
      </c>
      <c r="AE137" s="131">
        <f t="shared" ref="AE137:BK137" si="164">IF(AE3="FT1",SUM(AE131:AE136),1)</f>
        <v>1</v>
      </c>
      <c r="AF137" s="131">
        <f t="shared" si="164"/>
        <v>1</v>
      </c>
      <c r="AG137" s="131">
        <f t="shared" si="164"/>
        <v>1</v>
      </c>
      <c r="AH137" s="131">
        <f t="shared" si="164"/>
        <v>1</v>
      </c>
      <c r="AI137" s="131">
        <f t="shared" si="164"/>
        <v>0.99999999999999989</v>
      </c>
      <c r="AJ137" s="131">
        <f t="shared" si="164"/>
        <v>1</v>
      </c>
      <c r="AK137" s="131">
        <f t="shared" si="164"/>
        <v>1</v>
      </c>
      <c r="AL137" s="131">
        <f t="shared" si="164"/>
        <v>1</v>
      </c>
      <c r="AM137" s="131">
        <f t="shared" si="164"/>
        <v>1</v>
      </c>
      <c r="AN137" s="131">
        <f t="shared" si="164"/>
        <v>1</v>
      </c>
      <c r="AO137" s="131">
        <f t="shared" si="164"/>
        <v>1.0000000000000002</v>
      </c>
      <c r="AP137" s="131">
        <f t="shared" si="164"/>
        <v>1</v>
      </c>
      <c r="AQ137" s="131">
        <f t="shared" si="164"/>
        <v>1</v>
      </c>
      <c r="AR137" s="131">
        <f t="shared" si="164"/>
        <v>0.99999999999999978</v>
      </c>
      <c r="AS137" s="131">
        <f t="shared" si="164"/>
        <v>0.99999999999999989</v>
      </c>
      <c r="AT137" s="131">
        <f t="shared" si="164"/>
        <v>1</v>
      </c>
      <c r="AU137" s="131">
        <f t="shared" si="164"/>
        <v>1</v>
      </c>
      <c r="AV137" s="131">
        <f t="shared" si="164"/>
        <v>1</v>
      </c>
      <c r="AW137" s="131">
        <f t="shared" si="164"/>
        <v>1</v>
      </c>
      <c r="AX137" s="131">
        <f t="shared" si="164"/>
        <v>1</v>
      </c>
      <c r="AY137" s="131">
        <f t="shared" si="164"/>
        <v>1</v>
      </c>
      <c r="AZ137" s="131">
        <f t="shared" si="164"/>
        <v>1</v>
      </c>
      <c r="BA137" s="131">
        <f t="shared" si="164"/>
        <v>1</v>
      </c>
      <c r="BB137" s="131">
        <f t="shared" si="164"/>
        <v>1</v>
      </c>
      <c r="BC137" s="131">
        <f t="shared" si="164"/>
        <v>1</v>
      </c>
      <c r="BD137" s="131">
        <f t="shared" si="164"/>
        <v>1</v>
      </c>
      <c r="BE137" s="131">
        <f t="shared" si="164"/>
        <v>1</v>
      </c>
      <c r="BF137" s="131">
        <f t="shared" si="164"/>
        <v>0.99999999999999989</v>
      </c>
      <c r="BG137" s="131">
        <f t="shared" si="164"/>
        <v>1</v>
      </c>
      <c r="BH137" s="131">
        <f t="shared" si="164"/>
        <v>0.99999999999999989</v>
      </c>
      <c r="BI137" s="131">
        <f t="shared" si="164"/>
        <v>0.99999999999999978</v>
      </c>
      <c r="BJ137" s="131">
        <f t="shared" si="164"/>
        <v>1</v>
      </c>
      <c r="BK137" s="131">
        <f t="shared" si="164"/>
        <v>1</v>
      </c>
      <c r="BL137" s="131">
        <f t="shared" ref="BL137:BY137" si="165">IF(BL3="FT1",SUM(BL131:BL136),1)</f>
        <v>1</v>
      </c>
      <c r="BM137" s="131">
        <f t="shared" si="165"/>
        <v>1</v>
      </c>
      <c r="BN137" s="131">
        <f t="shared" si="165"/>
        <v>0.99999999999999989</v>
      </c>
      <c r="BO137" s="131">
        <f t="shared" si="165"/>
        <v>1</v>
      </c>
      <c r="BP137" s="131">
        <f t="shared" si="165"/>
        <v>0.99999999999999989</v>
      </c>
      <c r="BQ137" s="131">
        <f t="shared" si="165"/>
        <v>1</v>
      </c>
      <c r="BR137" s="131">
        <f t="shared" si="165"/>
        <v>0.99999999999999989</v>
      </c>
      <c r="BS137" s="131">
        <f t="shared" si="165"/>
        <v>1</v>
      </c>
      <c r="BT137" s="131">
        <f t="shared" si="165"/>
        <v>0.99999999999999989</v>
      </c>
      <c r="BU137" s="131">
        <f t="shared" si="165"/>
        <v>1</v>
      </c>
      <c r="BV137" s="131">
        <f t="shared" si="165"/>
        <v>1</v>
      </c>
      <c r="BW137" s="131">
        <f t="shared" si="165"/>
        <v>0.99999999999999989</v>
      </c>
      <c r="BX137" s="131">
        <f t="shared" si="165"/>
        <v>1</v>
      </c>
      <c r="BY137" s="131">
        <f t="shared" si="165"/>
        <v>1</v>
      </c>
      <c r="BZ137" s="131"/>
      <c r="CA137" s="118"/>
      <c r="CB137" s="131">
        <f t="shared" ref="CB137:CX137" si="166">IF(CB3="FT1",SUM(CB131:CB136),1)</f>
        <v>0.99999999999999967</v>
      </c>
      <c r="CC137" s="131">
        <f t="shared" si="166"/>
        <v>1</v>
      </c>
      <c r="CD137" s="131">
        <f t="shared" si="166"/>
        <v>1</v>
      </c>
      <c r="CE137" s="131">
        <f t="shared" si="166"/>
        <v>0.99999999999999967</v>
      </c>
      <c r="CF137" s="131">
        <f t="shared" si="166"/>
        <v>1</v>
      </c>
      <c r="CG137" s="131">
        <f t="shared" si="166"/>
        <v>0.99999999999999967</v>
      </c>
      <c r="CH137" s="131">
        <f t="shared" si="166"/>
        <v>0.99999999999999989</v>
      </c>
      <c r="CI137" s="131">
        <f t="shared" si="166"/>
        <v>0.99999999999999989</v>
      </c>
      <c r="CJ137" s="131">
        <f t="shared" si="166"/>
        <v>0.99999999999999989</v>
      </c>
      <c r="CK137" s="131">
        <f t="shared" si="166"/>
        <v>0.99999999999999989</v>
      </c>
      <c r="CL137" s="131">
        <f t="shared" si="166"/>
        <v>0.99999999999999989</v>
      </c>
      <c r="CM137" s="131">
        <f t="shared" si="166"/>
        <v>0.99999999999999989</v>
      </c>
      <c r="CN137" s="131">
        <f t="shared" si="166"/>
        <v>1</v>
      </c>
      <c r="CO137" s="131">
        <f t="shared" si="166"/>
        <v>0.99999999999999989</v>
      </c>
      <c r="CP137" s="131">
        <f t="shared" si="166"/>
        <v>0.99999999999999989</v>
      </c>
      <c r="CQ137" s="131">
        <f t="shared" si="166"/>
        <v>0.99999999999999989</v>
      </c>
      <c r="CR137" s="131">
        <f t="shared" si="166"/>
        <v>1</v>
      </c>
      <c r="CS137" s="131">
        <f t="shared" si="166"/>
        <v>1</v>
      </c>
      <c r="CT137" s="131">
        <f t="shared" si="166"/>
        <v>1</v>
      </c>
      <c r="CU137" s="131">
        <f t="shared" si="166"/>
        <v>1</v>
      </c>
      <c r="CV137" s="131">
        <f t="shared" si="166"/>
        <v>0.99999999999999989</v>
      </c>
      <c r="CW137" s="131">
        <f t="shared" si="166"/>
        <v>1</v>
      </c>
      <c r="CX137" s="131">
        <f t="shared" si="166"/>
        <v>1</v>
      </c>
      <c r="CY137" s="131"/>
      <c r="CZ137" s="118"/>
      <c r="DA137" s="130"/>
      <c r="DB137" s="130"/>
      <c r="DC137" s="130">
        <f t="shared" si="141"/>
        <v>0.99999999999999967</v>
      </c>
      <c r="DD137" s="130">
        <f t="shared" si="142"/>
        <v>1.0000000000000002</v>
      </c>
      <c r="DE137" s="89"/>
    </row>
    <row r="138" spans="1:109" x14ac:dyDescent="0.25">
      <c r="CA138" s="204"/>
    </row>
  </sheetData>
  <mergeCells count="5">
    <mergeCell ref="DG1:DN1"/>
    <mergeCell ref="B36:C36"/>
    <mergeCell ref="A91:C91"/>
    <mergeCell ref="A114:C114"/>
    <mergeCell ref="B60:C60"/>
  </mergeCells>
  <printOptions horizontalCentered="1"/>
  <pageMargins left="0.75" right="0.75" top="1" bottom="1" header="0.5" footer="0.5"/>
  <pageSetup scale="48" fitToWidth="100" orientation="portrait" horizontalDpi="300" verticalDpi="300" r:id="rId1"/>
  <headerFooter alignWithMargins="0">
    <oddHeader>&amp;LPrivileged and Confidential
For Settlement Purposes Only</oddHeader>
    <oddFooter>&amp;L&amp;F
&amp;D  &amp;T&amp;CPage &amp;P of &amp;N&amp;R&amp;A</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heetViews>
  <sheetFormatPr defaultRowHeight="13.2" x14ac:dyDescent="0.25"/>
  <cols>
    <col min="1" max="1" width="30.6640625" customWidth="1"/>
    <col min="2" max="2" width="11.6640625" customWidth="1"/>
    <col min="3" max="3" width="17.5546875" bestFit="1" customWidth="1"/>
    <col min="4" max="10" width="15.6640625" customWidth="1"/>
  </cols>
  <sheetData>
    <row r="1" spans="1:11" s="113" customFormat="1" x14ac:dyDescent="0.25">
      <c r="A1" s="127" t="s">
        <v>604</v>
      </c>
      <c r="B1" s="205"/>
    </row>
    <row r="2" spans="1:11" s="113" customFormat="1" ht="39.6" x14ac:dyDescent="0.25">
      <c r="A2" s="50"/>
      <c r="B2" s="50" t="s">
        <v>60</v>
      </c>
      <c r="C2" s="50" t="s">
        <v>194</v>
      </c>
      <c r="D2" s="50" t="s">
        <v>119</v>
      </c>
      <c r="E2" s="50" t="s">
        <v>195</v>
      </c>
      <c r="F2" s="50" t="s">
        <v>616</v>
      </c>
      <c r="G2" s="50" t="s">
        <v>622</v>
      </c>
      <c r="H2" s="50" t="s">
        <v>620</v>
      </c>
      <c r="I2" s="50" t="s">
        <v>619</v>
      </c>
      <c r="J2" s="141" t="s">
        <v>196</v>
      </c>
    </row>
    <row r="3" spans="1:11" s="113" customFormat="1" x14ac:dyDescent="0.25">
      <c r="B3" s="205" t="s">
        <v>128</v>
      </c>
      <c r="C3" s="57" t="s">
        <v>129</v>
      </c>
      <c r="D3" s="57" t="s">
        <v>129</v>
      </c>
      <c r="E3" s="57" t="s">
        <v>129</v>
      </c>
      <c r="F3" s="57" t="s">
        <v>129</v>
      </c>
      <c r="G3" s="57" t="s">
        <v>129</v>
      </c>
      <c r="H3" s="57" t="s">
        <v>129</v>
      </c>
      <c r="I3" s="57" t="s">
        <v>129</v>
      </c>
      <c r="J3" s="144"/>
    </row>
    <row r="4" spans="1:11" s="113" customFormat="1" x14ac:dyDescent="0.25">
      <c r="A4" s="206"/>
      <c r="B4" s="205" t="s">
        <v>131</v>
      </c>
      <c r="C4" s="58">
        <v>36281</v>
      </c>
      <c r="D4" s="58">
        <v>36526</v>
      </c>
      <c r="E4" s="58">
        <v>36039</v>
      </c>
      <c r="F4" s="58">
        <v>36647</v>
      </c>
      <c r="G4" s="58">
        <v>36617</v>
      </c>
      <c r="H4" s="58">
        <v>36617</v>
      </c>
      <c r="I4" s="58">
        <v>36617</v>
      </c>
      <c r="J4" s="144"/>
    </row>
    <row r="5" spans="1:11" s="113" customFormat="1" x14ac:dyDescent="0.25">
      <c r="A5" s="206"/>
      <c r="B5" s="205" t="s">
        <v>132</v>
      </c>
      <c r="C5" s="58">
        <v>37376</v>
      </c>
      <c r="D5" s="58">
        <v>37256</v>
      </c>
      <c r="E5" s="58">
        <v>37864</v>
      </c>
      <c r="F5" s="58">
        <v>36769</v>
      </c>
      <c r="G5" s="58">
        <v>36981</v>
      </c>
      <c r="H5" s="58">
        <v>36738</v>
      </c>
      <c r="I5" s="58">
        <v>36738</v>
      </c>
      <c r="J5" s="144"/>
    </row>
    <row r="6" spans="1:11" s="113" customFormat="1" x14ac:dyDescent="0.25">
      <c r="A6" s="57"/>
      <c r="B6" s="57" t="s">
        <v>133</v>
      </c>
      <c r="C6" s="57" t="s">
        <v>23</v>
      </c>
      <c r="D6" s="57" t="s">
        <v>24</v>
      </c>
      <c r="E6" s="57" t="s">
        <v>24</v>
      </c>
      <c r="F6" s="57" t="s">
        <v>24</v>
      </c>
      <c r="G6" s="57" t="s">
        <v>24</v>
      </c>
      <c r="H6" s="57" t="s">
        <v>24</v>
      </c>
      <c r="I6" s="57" t="s">
        <v>24</v>
      </c>
      <c r="J6" s="144"/>
    </row>
    <row r="7" spans="1:11" s="113" customFormat="1" ht="26.4" x14ac:dyDescent="0.25">
      <c r="A7" s="50"/>
      <c r="B7" s="50" t="s">
        <v>136</v>
      </c>
      <c r="C7" s="50" t="s">
        <v>197</v>
      </c>
      <c r="D7" s="50" t="s">
        <v>50</v>
      </c>
      <c r="E7" s="50" t="s">
        <v>198</v>
      </c>
      <c r="F7" s="50" t="s">
        <v>617</v>
      </c>
      <c r="G7" s="50" t="s">
        <v>623</v>
      </c>
      <c r="H7" s="50" t="s">
        <v>621</v>
      </c>
      <c r="I7" s="50" t="s">
        <v>54</v>
      </c>
      <c r="J7" s="141"/>
    </row>
    <row r="8" spans="1:11" s="113" customFormat="1" x14ac:dyDescent="0.25">
      <c r="B8" s="207" t="s">
        <v>186</v>
      </c>
      <c r="C8" s="49">
        <v>10500</v>
      </c>
      <c r="D8" s="49">
        <v>5333</v>
      </c>
      <c r="E8" s="49">
        <v>5000</v>
      </c>
      <c r="F8" s="49">
        <v>12760</v>
      </c>
      <c r="G8" s="49">
        <v>9375</v>
      </c>
      <c r="H8" s="49">
        <v>10000</v>
      </c>
      <c r="I8" s="49">
        <v>20000</v>
      </c>
      <c r="J8" s="72">
        <f>SUM(C8:I8)</f>
        <v>72968</v>
      </c>
      <c r="K8" s="208"/>
    </row>
    <row r="9" spans="1:11" s="113" customFormat="1" x14ac:dyDescent="0.25">
      <c r="B9" s="207" t="s">
        <v>697</v>
      </c>
      <c r="C9" s="49">
        <f>C8/1.023</f>
        <v>10263.929618768329</v>
      </c>
      <c r="D9" s="49">
        <f t="shared" ref="D9:I9" si="0">D8/1.023</f>
        <v>5213.0987292277623</v>
      </c>
      <c r="E9" s="49">
        <f t="shared" si="0"/>
        <v>4887.5855327468234</v>
      </c>
      <c r="F9" s="49">
        <f t="shared" si="0"/>
        <v>12473.118279569893</v>
      </c>
      <c r="G9" s="49">
        <f t="shared" si="0"/>
        <v>9164.2228739002949</v>
      </c>
      <c r="H9" s="49">
        <f t="shared" si="0"/>
        <v>9775.1710654936469</v>
      </c>
      <c r="I9" s="49">
        <f t="shared" si="0"/>
        <v>19550.342130987294</v>
      </c>
      <c r="J9" s="72">
        <f>SUM(C9:I9)</f>
        <v>71327.468230694038</v>
      </c>
      <c r="K9" s="208"/>
    </row>
    <row r="10" spans="1:11" s="113" customFormat="1" x14ac:dyDescent="0.25">
      <c r="B10" s="71" t="s">
        <v>188</v>
      </c>
      <c r="C10" s="49"/>
      <c r="D10" s="49"/>
      <c r="E10" s="49"/>
      <c r="F10" s="49"/>
      <c r="G10" s="49"/>
      <c r="H10" s="49"/>
      <c r="I10" s="49"/>
      <c r="J10" s="72"/>
    </row>
    <row r="11" spans="1:11" s="113" customFormat="1" x14ac:dyDescent="0.25">
      <c r="B11" s="207" t="s">
        <v>22</v>
      </c>
      <c r="C11" s="49">
        <f t="shared" ref="C11:I11" si="1">IF(C$6="System",C$9,IF(C$6="SJ",C$9,0))</f>
        <v>0</v>
      </c>
      <c r="D11" s="49">
        <f t="shared" si="1"/>
        <v>0</v>
      </c>
      <c r="E11" s="49">
        <f t="shared" si="1"/>
        <v>0</v>
      </c>
      <c r="F11" s="49">
        <f t="shared" si="1"/>
        <v>0</v>
      </c>
      <c r="G11" s="49">
        <f t="shared" si="1"/>
        <v>0</v>
      </c>
      <c r="H11" s="49">
        <f t="shared" si="1"/>
        <v>0</v>
      </c>
      <c r="I11" s="49">
        <f t="shared" si="1"/>
        <v>0</v>
      </c>
      <c r="J11" s="72">
        <f>SUM(C11:I11)</f>
        <v>0</v>
      </c>
    </row>
    <row r="12" spans="1:11" s="113" customFormat="1" x14ac:dyDescent="0.25">
      <c r="B12" s="207" t="s">
        <v>24</v>
      </c>
      <c r="C12" s="49">
        <f t="shared" ref="C12:I12" si="2">IF(C$6="System",C$9,IF(C$6="A&amp;P",C$9,IF(C$6="Permian",C$9,0)))</f>
        <v>0</v>
      </c>
      <c r="D12" s="49">
        <f t="shared" si="2"/>
        <v>5213.0987292277623</v>
      </c>
      <c r="E12" s="49">
        <f t="shared" si="2"/>
        <v>4887.5855327468234</v>
      </c>
      <c r="F12" s="49">
        <f t="shared" si="2"/>
        <v>12473.118279569893</v>
      </c>
      <c r="G12" s="49">
        <f t="shared" si="2"/>
        <v>9164.2228739002949</v>
      </c>
      <c r="H12" s="49">
        <f t="shared" si="2"/>
        <v>9775.1710654936469</v>
      </c>
      <c r="I12" s="49">
        <f t="shared" si="2"/>
        <v>19550.342130987294</v>
      </c>
      <c r="J12" s="72">
        <f>SUM(C12:I12)</f>
        <v>61063.538611925716</v>
      </c>
    </row>
    <row r="13" spans="1:11" s="113" customFormat="1" x14ac:dyDescent="0.25">
      <c r="B13" s="207" t="s">
        <v>23</v>
      </c>
      <c r="C13" s="49">
        <f t="shared" ref="C13:I13" si="3">IF(C$6="System",C$9,IF(C$6="A&amp;P",C$9,IF(C$6="Anadarko",C$9,0)))</f>
        <v>10263.929618768329</v>
      </c>
      <c r="D13" s="49">
        <f t="shared" si="3"/>
        <v>0</v>
      </c>
      <c r="E13" s="49">
        <f t="shared" si="3"/>
        <v>0</v>
      </c>
      <c r="F13" s="49">
        <f t="shared" si="3"/>
        <v>0</v>
      </c>
      <c r="G13" s="49">
        <f t="shared" si="3"/>
        <v>0</v>
      </c>
      <c r="H13" s="49">
        <f t="shared" si="3"/>
        <v>0</v>
      </c>
      <c r="I13" s="49">
        <f t="shared" si="3"/>
        <v>0</v>
      </c>
      <c r="J13" s="72">
        <f>SUM(C13:I13)</f>
        <v>10263.929618768329</v>
      </c>
    </row>
    <row r="14" spans="1:11" s="113" customFormat="1" x14ac:dyDescent="0.25">
      <c r="B14" s="71" t="s">
        <v>189</v>
      </c>
      <c r="C14" s="49"/>
      <c r="D14" s="49"/>
      <c r="E14" s="49"/>
      <c r="F14" s="49"/>
      <c r="G14" s="49"/>
      <c r="H14" s="49"/>
      <c r="I14" s="49"/>
      <c r="J14" s="72"/>
    </row>
    <row r="15" spans="1:11" s="113" customFormat="1" x14ac:dyDescent="0.25">
      <c r="B15" s="71" t="s">
        <v>30</v>
      </c>
      <c r="C15" s="49"/>
      <c r="D15" s="49"/>
      <c r="E15" s="49"/>
      <c r="F15" s="49"/>
      <c r="G15" s="49"/>
      <c r="H15" s="49"/>
      <c r="I15" s="49"/>
      <c r="J15" s="72">
        <f>SUM(C15:I15)</f>
        <v>0</v>
      </c>
    </row>
    <row r="16" spans="1:11" s="113" customFormat="1" x14ac:dyDescent="0.25">
      <c r="B16" s="207" t="s">
        <v>190</v>
      </c>
      <c r="C16" s="49">
        <f t="shared" ref="C16:I16" si="4">C9</f>
        <v>10263.929618768329</v>
      </c>
      <c r="D16" s="49">
        <f t="shared" si="4"/>
        <v>5213.0987292277623</v>
      </c>
      <c r="E16" s="49">
        <f t="shared" si="4"/>
        <v>4887.5855327468234</v>
      </c>
      <c r="F16" s="49">
        <f>F9</f>
        <v>12473.118279569893</v>
      </c>
      <c r="G16" s="49">
        <f>G9</f>
        <v>9164.2228739002949</v>
      </c>
      <c r="H16" s="49">
        <f>H9</f>
        <v>9775.1710654936469</v>
      </c>
      <c r="I16" s="49">
        <f t="shared" si="4"/>
        <v>19550.342130987294</v>
      </c>
      <c r="J16" s="72">
        <f>SUM(C16:I16)</f>
        <v>71327.468230694038</v>
      </c>
    </row>
    <row r="17" spans="1:10" s="113" customFormat="1" x14ac:dyDescent="0.25">
      <c r="B17" s="207" t="s">
        <v>191</v>
      </c>
      <c r="C17" s="49"/>
      <c r="D17" s="49"/>
      <c r="E17" s="49"/>
      <c r="F17" s="49"/>
      <c r="G17" s="49"/>
      <c r="H17" s="49"/>
      <c r="I17" s="49"/>
      <c r="J17" s="72">
        <f>SUM(C17:I17)</f>
        <v>0</v>
      </c>
    </row>
    <row r="18" spans="1:10" s="113" customFormat="1" x14ac:dyDescent="0.25">
      <c r="B18" s="207" t="s">
        <v>192</v>
      </c>
      <c r="C18" s="49"/>
      <c r="D18" s="49"/>
      <c r="E18" s="49"/>
      <c r="F18" s="49"/>
      <c r="G18" s="49"/>
      <c r="H18" s="49"/>
      <c r="I18" s="49"/>
      <c r="J18" s="72">
        <f>SUM(C18:I18)</f>
        <v>0</v>
      </c>
    </row>
    <row r="19" spans="1:10" s="113" customFormat="1" x14ac:dyDescent="0.25">
      <c r="B19" s="207" t="s">
        <v>193</v>
      </c>
      <c r="C19" s="49" t="s">
        <v>412</v>
      </c>
      <c r="D19" s="49" t="s">
        <v>413</v>
      </c>
      <c r="E19" s="209" t="s">
        <v>413</v>
      </c>
      <c r="F19" s="49" t="s">
        <v>618</v>
      </c>
      <c r="G19" s="49" t="s">
        <v>413</v>
      </c>
      <c r="H19" s="49" t="s">
        <v>413</v>
      </c>
      <c r="I19" s="49" t="s">
        <v>413</v>
      </c>
      <c r="J19" s="72"/>
    </row>
    <row r="20" spans="1:10" s="113" customFormat="1" x14ac:dyDescent="0.25">
      <c r="B20" s="207"/>
      <c r="C20" s="49"/>
      <c r="D20" s="49"/>
      <c r="E20" s="49"/>
      <c r="F20" s="49"/>
      <c r="G20" s="49"/>
      <c r="H20" s="49"/>
      <c r="I20" s="49"/>
      <c r="J20" s="72"/>
    </row>
    <row r="21" spans="1:10" s="113" customFormat="1" x14ac:dyDescent="0.25">
      <c r="B21" s="193"/>
      <c r="C21" s="49"/>
      <c r="D21" s="49"/>
      <c r="E21" s="49"/>
      <c r="F21" s="49"/>
      <c r="G21" s="49"/>
      <c r="H21" s="49"/>
      <c r="I21" s="49"/>
      <c r="J21" s="49"/>
    </row>
    <row r="22" spans="1:10" s="113" customFormat="1" ht="24.9" customHeight="1" x14ac:dyDescent="0.25">
      <c r="A22" s="258" t="s">
        <v>698</v>
      </c>
      <c r="B22" s="258"/>
      <c r="C22" s="49"/>
      <c r="D22" s="49"/>
      <c r="E22" s="49"/>
      <c r="F22" s="49"/>
      <c r="G22" s="49"/>
      <c r="H22" s="49"/>
      <c r="I22" s="49"/>
      <c r="J22" s="49"/>
    </row>
    <row r="23" spans="1:10" s="113" customFormat="1" x14ac:dyDescent="0.25">
      <c r="A23" s="139" t="s">
        <v>605</v>
      </c>
      <c r="B23" s="210">
        <f>'Basin Allocations'!E10/('Basin Allocations'!E10+'Basin Allocations'!E11)</f>
        <v>0.13911634842932716</v>
      </c>
      <c r="C23" s="49">
        <f>IF(C$6="Permian",C$9*$B23,0)</f>
        <v>0</v>
      </c>
      <c r="D23" s="49">
        <f t="shared" ref="D23:I25" si="5">IF(D$6="Permian",D$9*$B23,0)</f>
        <v>725.22725921173196</v>
      </c>
      <c r="E23" s="49">
        <f t="shared" si="5"/>
        <v>679.9430519517457</v>
      </c>
      <c r="F23" s="49">
        <f>IF(F$6="Permian",F$9*$B23,0)</f>
        <v>1735.214668580855</v>
      </c>
      <c r="G23" s="49">
        <f t="shared" si="5"/>
        <v>1274.8932224095233</v>
      </c>
      <c r="H23" s="49">
        <f t="shared" si="5"/>
        <v>1359.8861039034914</v>
      </c>
      <c r="I23" s="49">
        <f t="shared" si="5"/>
        <v>2719.7722078069828</v>
      </c>
      <c r="J23" s="72">
        <f>SUM(C23:I23)</f>
        <v>8494.9365138643298</v>
      </c>
    </row>
    <row r="24" spans="1:10" s="113" customFormat="1" x14ac:dyDescent="0.25">
      <c r="A24" s="139" t="s">
        <v>606</v>
      </c>
      <c r="B24" s="210">
        <f>'Basin Allocations'!E11/('Basin Allocations'!E10+'Basin Allocations'!E11)</f>
        <v>0.86088365157067281</v>
      </c>
      <c r="C24" s="49">
        <f>IF(C$6="Permian",C$9*$B24,0)</f>
        <v>0</v>
      </c>
      <c r="D24" s="49">
        <f t="shared" si="5"/>
        <v>4487.8714700160299</v>
      </c>
      <c r="E24" s="49">
        <f t="shared" si="5"/>
        <v>4207.642480795078</v>
      </c>
      <c r="F24" s="49">
        <f>IF(F$6="Permian",F$9*$B24,0)</f>
        <v>10737.903610989038</v>
      </c>
      <c r="G24" s="49">
        <f t="shared" si="5"/>
        <v>7889.3296514907715</v>
      </c>
      <c r="H24" s="49">
        <f t="shared" si="5"/>
        <v>8415.2849615901559</v>
      </c>
      <c r="I24" s="49">
        <f t="shared" si="5"/>
        <v>16830.569923180312</v>
      </c>
      <c r="J24" s="72">
        <f>SUM(C24:I24)</f>
        <v>52568.602098061383</v>
      </c>
    </row>
    <row r="25" spans="1:10" s="113" customFormat="1" x14ac:dyDescent="0.25">
      <c r="A25" s="139" t="s">
        <v>607</v>
      </c>
      <c r="B25" s="210">
        <v>0</v>
      </c>
      <c r="C25" s="49">
        <f>IF(C$6="Permian",C$9*$B25,0)</f>
        <v>0</v>
      </c>
      <c r="D25" s="49">
        <f t="shared" si="5"/>
        <v>0</v>
      </c>
      <c r="E25" s="49">
        <f t="shared" si="5"/>
        <v>0</v>
      </c>
      <c r="F25" s="49">
        <f>IF(F$6="Permian",F$9*$B25,0)</f>
        <v>0</v>
      </c>
      <c r="G25" s="49">
        <f t="shared" si="5"/>
        <v>0</v>
      </c>
      <c r="H25" s="49">
        <f t="shared" si="5"/>
        <v>0</v>
      </c>
      <c r="I25" s="49">
        <f t="shared" si="5"/>
        <v>0</v>
      </c>
      <c r="J25" s="72">
        <f>SUM(C25:I25)</f>
        <v>0</v>
      </c>
    </row>
    <row r="26" spans="1:10" s="113" customFormat="1" ht="24.9" customHeight="1" x14ac:dyDescent="0.25">
      <c r="A26" s="258" t="s">
        <v>699</v>
      </c>
      <c r="B26" s="258"/>
      <c r="C26" s="49"/>
      <c r="D26" s="49"/>
      <c r="E26" s="49"/>
      <c r="F26" s="49"/>
      <c r="G26" s="49"/>
      <c r="H26" s="49"/>
      <c r="I26" s="49"/>
      <c r="J26" s="49"/>
    </row>
    <row r="27" spans="1:10" s="113" customFormat="1" x14ac:dyDescent="0.25">
      <c r="A27" s="211" t="s">
        <v>609</v>
      </c>
      <c r="B27" s="212"/>
      <c r="C27" s="49">
        <f>IF(C$6="Anadarko",C9,0)</f>
        <v>10263.929618768329</v>
      </c>
      <c r="D27" s="49">
        <f t="shared" ref="D27:I27" si="6">IF(D$6="Anadarko",D9,0)</f>
        <v>0</v>
      </c>
      <c r="E27" s="49">
        <f t="shared" si="6"/>
        <v>0</v>
      </c>
      <c r="F27" s="49">
        <f>IF(F$6="Anadarko",F9,0)</f>
        <v>0</v>
      </c>
      <c r="G27" s="49">
        <f>IF(G$6="Anadarko",G9,0)</f>
        <v>0</v>
      </c>
      <c r="H27" s="49">
        <f>IF(H$6="Anadarko",H9,0)</f>
        <v>0</v>
      </c>
      <c r="I27" s="49">
        <f t="shared" si="6"/>
        <v>0</v>
      </c>
      <c r="J27" s="72">
        <f>SUM(C27:I27)</f>
        <v>10263.929618768329</v>
      </c>
    </row>
    <row r="28" spans="1:10" s="113" customFormat="1" x14ac:dyDescent="0.25">
      <c r="A28" s="212"/>
      <c r="B28" s="212"/>
      <c r="C28" s="49"/>
      <c r="D28" s="49"/>
      <c r="E28" s="49"/>
      <c r="F28" s="49"/>
      <c r="G28" s="49"/>
      <c r="H28" s="49"/>
      <c r="I28" s="49"/>
      <c r="J28" s="49"/>
    </row>
    <row r="29" spans="1:10" s="113" customFormat="1" x14ac:dyDescent="0.25">
      <c r="A29" s="212"/>
      <c r="B29" s="193" t="s">
        <v>700</v>
      </c>
      <c r="C29" s="49">
        <f>SUM(C23:C25)+C27</f>
        <v>10263.929618768329</v>
      </c>
      <c r="D29" s="49">
        <f t="shared" ref="D29:J29" si="7">SUM(D23:D25)+D27</f>
        <v>5213.0987292277623</v>
      </c>
      <c r="E29" s="49">
        <f t="shared" si="7"/>
        <v>4887.5855327468234</v>
      </c>
      <c r="F29" s="49">
        <f>SUM(F23:F25)+F27</f>
        <v>12473.118279569893</v>
      </c>
      <c r="G29" s="49">
        <f>SUM(G23:G25)+G27</f>
        <v>9164.2228739002949</v>
      </c>
      <c r="H29" s="49">
        <f>SUM(H23:H25)+H27</f>
        <v>9775.1710654936469</v>
      </c>
      <c r="I29" s="49">
        <f t="shared" si="7"/>
        <v>19550.342130987294</v>
      </c>
      <c r="J29" s="72">
        <f t="shared" si="7"/>
        <v>71327.468230694038</v>
      </c>
    </row>
    <row r="30" spans="1:10" s="113" customFormat="1" x14ac:dyDescent="0.25">
      <c r="A30" s="212"/>
      <c r="B30" s="212"/>
    </row>
    <row r="31" spans="1:10" s="113" customFormat="1" ht="24.9" customHeight="1" x14ac:dyDescent="0.25">
      <c r="A31" s="258" t="s">
        <v>610</v>
      </c>
      <c r="B31" s="258"/>
      <c r="J31" s="72">
        <f>J24+J25</f>
        <v>52568.602098061383</v>
      </c>
    </row>
  </sheetData>
  <mergeCells count="3">
    <mergeCell ref="A22:B22"/>
    <mergeCell ref="A31:B31"/>
    <mergeCell ref="A26:B26"/>
  </mergeCells>
  <printOptions horizontalCentered="1" verticalCentered="1"/>
  <pageMargins left="0.75" right="0.75" top="1" bottom="1" header="0.5" footer="0.5"/>
  <pageSetup scale="72" fitToWidth="2" orientation="landscape" horizontalDpi="300" verticalDpi="300" r:id="rId1"/>
  <headerFooter alignWithMargins="0">
    <oddHeader>&amp;LPrivileged and Confidential
For Settlement Purposes Only</oddHeader>
    <oddFooter>&amp;L&amp;F
&amp;D  &amp;T&amp;CPage &amp;P of &amp;N&amp;R&amp;A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16</vt:i4>
      </vt:variant>
    </vt:vector>
  </HeadingPairs>
  <TitlesOfParts>
    <vt:vector size="21" baseType="lpstr">
      <vt:lpstr>Consolidated Results</vt:lpstr>
      <vt:lpstr>Receipt Point Capacities</vt:lpstr>
      <vt:lpstr>Basin Allocations</vt:lpstr>
      <vt:lpstr>Assign To West Contracts</vt:lpstr>
      <vt:lpstr>Assign to East Contracts</vt:lpstr>
      <vt:lpstr>Anad_Cap</vt:lpstr>
      <vt:lpstr>Blanco_Cap</vt:lpstr>
      <vt:lpstr>Bondad_Cap</vt:lpstr>
      <vt:lpstr>Bondad_ML_Cap</vt:lpstr>
      <vt:lpstr>Bondad_St_Cap</vt:lpstr>
      <vt:lpstr>East_End_CD_Tot</vt:lpstr>
      <vt:lpstr>Keystone_Cap</vt:lpstr>
      <vt:lpstr>Plains_Cap</vt:lpstr>
      <vt:lpstr>'Assign To West Contracts'!Print_Area</vt:lpstr>
      <vt:lpstr>'Consolidated Results'!Print_Area</vt:lpstr>
      <vt:lpstr>'Assign to East Contracts'!Print_Titles</vt:lpstr>
      <vt:lpstr>'Assign To West Contracts'!Print_Titles</vt:lpstr>
      <vt:lpstr>'Consolidated Results'!Print_Titles</vt:lpstr>
      <vt:lpstr>'Receipt Point Capacities'!Print_Titles</vt:lpstr>
      <vt:lpstr>Quantity_of_San_Juan_Receipt_Rights_To_Be_Allocated</vt:lpstr>
      <vt:lpstr>Waha_Cap</vt:lpstr>
    </vt:vector>
  </TitlesOfParts>
  <Company>El Paso Energy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Healy</dc:creator>
  <cp:lastModifiedBy>Havlíček Jan</cp:lastModifiedBy>
  <cp:lastPrinted>2000-06-06T21:48:16Z</cp:lastPrinted>
  <dcterms:created xsi:type="dcterms:W3CDTF">1999-11-22T03:53:47Z</dcterms:created>
  <dcterms:modified xsi:type="dcterms:W3CDTF">2023-09-10T11:48:57Z</dcterms:modified>
</cp:coreProperties>
</file>