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32" windowHeight="8832"/>
  </bookViews>
  <sheets>
    <sheet name="E. VaR &amp; Peak Pos By Trader" sheetId="1" r:id="rId1"/>
    <sheet name="E. VaR &amp; Off-Peak Pos By Trader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CurveDate">#REF!</definedName>
    <definedName name="DailyFileFolder">#REF!</definedName>
    <definedName name="DailyFilePath">#REF!</definedName>
    <definedName name="DateToday">#REF!</definedName>
    <definedName name="erv22sec1">'E. VaR &amp; Peak Pos By Trader'!$B$3:$AC$156</definedName>
    <definedName name="erv23sec1">'E. VaR &amp; Off-Peak Pos By Trader'!$B$3:$AB$90</definedName>
    <definedName name="ExcludeRegions">[1]Top!#REF!</definedName>
    <definedName name="IRFirstMonth">#REF!</definedName>
    <definedName name="myRange">#REF!</definedName>
    <definedName name="nr_VOPPRT">'E. VaR &amp; Off-Peak Pos By Trader'!$A$3:$AB$90</definedName>
    <definedName name="nr_VPPRT">'E. VaR &amp; Peak Pos By Trader'!$A$3:$AC$156</definedName>
    <definedName name="nr_west_pow_pos">#REF!</definedName>
    <definedName name="OffPeakDelta">#REF!</definedName>
    <definedName name="PeakDelta">#REF!</definedName>
    <definedName name="PriceFolder">#REF!</definedName>
    <definedName name="_xlnm.Print_Area" localSheetId="1">'E. VaR &amp; Off-Peak Pos By Trader'!$C$2:$AB$87</definedName>
    <definedName name="_xlnm.Print_Area" localSheetId="0">'E. VaR &amp; Peak Pos By Trader'!$D$2:$AC$156</definedName>
    <definedName name="USERNAME">#REF!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C2" i="2"/>
  <c r="D8" i="2"/>
  <c r="E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D12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D22" i="2"/>
  <c r="E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D26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D38" i="2"/>
  <c r="AA40" i="2"/>
  <c r="AA41" i="2"/>
  <c r="AA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D49" i="2"/>
  <c r="E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D61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D65" i="2"/>
  <c r="E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D69" i="2"/>
  <c r="E69" i="2"/>
  <c r="F69" i="2"/>
  <c r="G69" i="2"/>
  <c r="H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D73" i="2"/>
  <c r="D75" i="2"/>
  <c r="E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D83" i="2"/>
  <c r="E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D85" i="2"/>
  <c r="E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2" i="1"/>
  <c r="D2" i="1"/>
  <c r="AJ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J8" i="1"/>
  <c r="AJ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E14" i="1"/>
  <c r="F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J14" i="1"/>
  <c r="AK14" i="1"/>
  <c r="E16" i="1"/>
  <c r="F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E18" i="1"/>
  <c r="F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J18" i="1"/>
  <c r="E20" i="1"/>
  <c r="F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J20" i="1"/>
  <c r="E22" i="1"/>
  <c r="F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E24" i="1"/>
  <c r="F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B40" i="1"/>
  <c r="AB41" i="1"/>
  <c r="AB42" i="1"/>
  <c r="E43" i="1"/>
  <c r="F43" i="1"/>
  <c r="G43" i="1"/>
  <c r="H43" i="1"/>
  <c r="I43" i="1"/>
  <c r="J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E49" i="1"/>
  <c r="F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E63" i="1"/>
  <c r="F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E67" i="1"/>
  <c r="F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G69" i="1"/>
  <c r="H69" i="1"/>
  <c r="I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E75" i="1"/>
  <c r="F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M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E100" i="1"/>
  <c r="F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G100" i="1"/>
  <c r="AH100" i="1"/>
  <c r="AJ100" i="1"/>
  <c r="E102" i="1"/>
  <c r="F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G102" i="1"/>
  <c r="AJ102" i="1"/>
  <c r="E104" i="1"/>
  <c r="F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G104" i="1"/>
  <c r="AJ104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E108" i="1"/>
  <c r="F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G108" i="1"/>
  <c r="AI108" i="1"/>
  <c r="AJ108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E112" i="1"/>
  <c r="F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G112" i="1"/>
  <c r="AH112" i="1"/>
  <c r="AJ112" i="1"/>
  <c r="E114" i="1"/>
  <c r="F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G114" i="1"/>
  <c r="AJ114" i="1"/>
  <c r="E116" i="1"/>
  <c r="F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G116" i="1"/>
  <c r="AJ116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E120" i="1"/>
  <c r="F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G120" i="1"/>
  <c r="AH120" i="1"/>
  <c r="AJ120" i="1"/>
  <c r="E122" i="1"/>
  <c r="F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G122" i="1"/>
  <c r="AJ122" i="1"/>
  <c r="E124" i="1"/>
  <c r="F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G124" i="1"/>
  <c r="AJ124" i="1"/>
  <c r="E126" i="1"/>
  <c r="F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G126" i="1"/>
  <c r="AJ126" i="1"/>
  <c r="E128" i="1"/>
  <c r="F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G128" i="1"/>
  <c r="AJ128" i="1"/>
  <c r="E130" i="1"/>
  <c r="F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G130" i="1"/>
  <c r="AJ130" i="1"/>
  <c r="E132" i="1"/>
  <c r="F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G132" i="1"/>
  <c r="E134" i="1"/>
  <c r="F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G134" i="1"/>
  <c r="AJ134" i="1"/>
  <c r="E136" i="1"/>
  <c r="F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G136" i="1"/>
  <c r="AJ136" i="1"/>
  <c r="E138" i="1"/>
  <c r="F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G138" i="1"/>
  <c r="AJ138" i="1"/>
  <c r="E140" i="1"/>
  <c r="F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G140" i="1"/>
  <c r="AJ140" i="1"/>
  <c r="E142" i="1"/>
  <c r="F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G142" i="1"/>
  <c r="AJ142" i="1"/>
  <c r="E144" i="1"/>
  <c r="F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G144" i="1"/>
  <c r="E146" i="1"/>
  <c r="F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G146" i="1"/>
  <c r="AJ146" i="1"/>
  <c r="E148" i="1"/>
  <c r="F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G148" i="1"/>
  <c r="AJ148" i="1"/>
  <c r="E150" i="1"/>
  <c r="F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G150" i="1"/>
  <c r="E152" i="1"/>
  <c r="F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G152" i="1"/>
  <c r="AJ152" i="1"/>
  <c r="E154" i="1"/>
  <c r="F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G154" i="1"/>
  <c r="AJ154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G156" i="1"/>
  <c r="AH156" i="1"/>
  <c r="AI156" i="1"/>
  <c r="AJ156" i="1"/>
  <c r="AJ157" i="1"/>
  <c r="AJ158" i="1"/>
  <c r="AJ159" i="1"/>
  <c r="AJ160" i="1"/>
</calcChain>
</file>

<file path=xl/sharedStrings.xml><?xml version="1.0" encoding="utf-8"?>
<sst xmlns="http://schemas.openxmlformats.org/spreadsheetml/2006/main" count="507" uniqueCount="271">
  <si>
    <t>Portfolio</t>
  </si>
  <si>
    <t xml:space="preserve">Trader </t>
  </si>
  <si>
    <t xml:space="preserve">Change in </t>
  </si>
  <si>
    <t>name</t>
  </si>
  <si>
    <t>VAR</t>
  </si>
  <si>
    <t>Feb</t>
  </si>
  <si>
    <t xml:space="preserve">Mar 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</si>
  <si>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</si>
  <si>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</si>
  <si>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</si>
  <si>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</si>
  <si>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</si>
  <si>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</si>
  <si>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</si>
  <si>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</si>
  <si>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</si>
  <si>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2001 total</t>
  </si>
  <si>
    <t>Jan/Feb 02</t>
  </si>
  <si>
    <t>Mar/Apr 02</t>
  </si>
  <si>
    <t>May 02</t>
  </si>
  <si>
    <t>June 02</t>
  </si>
  <si>
    <t>July/Aug 02</t>
  </si>
  <si>
    <t>Sep 02</t>
  </si>
  <si>
    <t>Q4 02</t>
  </si>
  <si>
    <t>2004-2015</t>
  </si>
  <si>
    <t>Total Peak</t>
  </si>
  <si>
    <t>VAR LIMIT</t>
  </si>
  <si>
    <t>All Regions</t>
  </si>
  <si>
    <t>delta's</t>
  </si>
  <si>
    <t>Total east power position</t>
  </si>
  <si>
    <t>PWR-EAST</t>
  </si>
  <si>
    <t xml:space="preserve">Total East </t>
  </si>
  <si>
    <t>VaR</t>
  </si>
  <si>
    <t>East Power Mgmt</t>
  </si>
  <si>
    <t>EPMI-LT-MGMT</t>
  </si>
  <si>
    <t>K_PRESTO</t>
  </si>
  <si>
    <t>Kevin Presto</t>
  </si>
  <si>
    <t>Hourly and analyst position</t>
  </si>
  <si>
    <t>Long Term Option</t>
  </si>
  <si>
    <t>EPMI-LT-OPTION</t>
  </si>
  <si>
    <t>H_ARORA</t>
  </si>
  <si>
    <t>Harry Arora</t>
  </si>
  <si>
    <t>Long Term Options A</t>
  </si>
  <si>
    <t>EPMI-LT-OPTIONA</t>
  </si>
  <si>
    <t>R_STALFORD</t>
  </si>
  <si>
    <t>Rob Stalford</t>
  </si>
  <si>
    <t>Yearly Position</t>
  </si>
  <si>
    <t>Long Term Options B</t>
  </si>
  <si>
    <t>EPMI-LT-OPTIONB</t>
  </si>
  <si>
    <t>S_WANG</t>
  </si>
  <si>
    <t>Steve Wang</t>
  </si>
  <si>
    <t>Long Term Options Y</t>
  </si>
  <si>
    <t>EPMI-LT-OPTY</t>
  </si>
  <si>
    <t>H_CHEN</t>
  </si>
  <si>
    <t>Hai Chen</t>
  </si>
  <si>
    <t>Long Term Options Z</t>
  </si>
  <si>
    <t>EPMI-LT-OPTZ</t>
  </si>
  <si>
    <t>J_GUALY</t>
  </si>
  <si>
    <t>Jaime Gualy</t>
  </si>
  <si>
    <t>Total option</t>
  </si>
  <si>
    <t>LAVORATO-EA-OPT</t>
  </si>
  <si>
    <t>Midwest Region</t>
  </si>
  <si>
    <t>LT-MIDWEST</t>
  </si>
  <si>
    <t>EPMI-MIDWEST</t>
  </si>
  <si>
    <t>F_STURM-PWR</t>
  </si>
  <si>
    <t>Fletcher Sturm</t>
  </si>
  <si>
    <t>MIDWEST-HRate</t>
  </si>
  <si>
    <t>EPMI-MIDWEST-HR</t>
  </si>
  <si>
    <t>F_STURM-HR</t>
  </si>
  <si>
    <t>Fletcher Sturm - HR</t>
  </si>
  <si>
    <t>ST-ECAR</t>
  </si>
  <si>
    <t>EPMI-ST-ECAR</t>
  </si>
  <si>
    <t>R_BALLATO</t>
  </si>
  <si>
    <t>Russel Ballato</t>
  </si>
  <si>
    <t>ST- MAPP/MAIN</t>
  </si>
  <si>
    <t>EPMI-ST-MAPP</t>
  </si>
  <si>
    <t>M_LORENZ</t>
  </si>
  <si>
    <t>Matt Lorenz</t>
  </si>
  <si>
    <t>Total Midwest</t>
  </si>
  <si>
    <t>LAVORATO-EA-MW</t>
  </si>
  <si>
    <t>Northeast Region</t>
  </si>
  <si>
    <t>EPMI-LT-NY</t>
  </si>
  <si>
    <t>EPMI-LT-NENG</t>
  </si>
  <si>
    <t>LT-NE</t>
  </si>
  <si>
    <t>EPMI-LT-NEMGMT</t>
  </si>
  <si>
    <t>D_DAVIS</t>
  </si>
  <si>
    <t>Dana Davis</t>
  </si>
  <si>
    <t>LT-PJM</t>
  </si>
  <si>
    <t>EPMI-LT-PJM</t>
  </si>
  <si>
    <t>R_BENSON</t>
  </si>
  <si>
    <t>Rob Benson</t>
  </si>
  <si>
    <t>ST- PJM</t>
  </si>
  <si>
    <t>EPMI-ST-PJM</t>
  </si>
  <si>
    <t>G_GUPTA</t>
  </si>
  <si>
    <t>Gautam Gupta</t>
  </si>
  <si>
    <t>ST- PJM- OFF</t>
  </si>
  <si>
    <t>EPMI-ST-PJM-OFF</t>
  </si>
  <si>
    <t>J_QUENET</t>
  </si>
  <si>
    <t>Joe Quenet</t>
  </si>
  <si>
    <t>ST- NENG</t>
  </si>
  <si>
    <t>EPMI-ST-NENG</t>
  </si>
  <si>
    <t>P_BRODERICK</t>
  </si>
  <si>
    <t>Paul Broderick</t>
  </si>
  <si>
    <t>ST- NY</t>
  </si>
  <si>
    <t>EPMI-ST-NY</t>
  </si>
  <si>
    <t>B_ROGERS</t>
  </si>
  <si>
    <t>Ben Rogers</t>
  </si>
  <si>
    <t>NE- PHYS</t>
  </si>
  <si>
    <t>EPMI-NE-PHYS</t>
  </si>
  <si>
    <t>P_THOMAS</t>
  </si>
  <si>
    <t>Paul Thomas</t>
  </si>
  <si>
    <t>LT-ONTARIO</t>
  </si>
  <si>
    <t>EPMI-LT-ONTARIO</t>
  </si>
  <si>
    <t>G_TRIPP</t>
  </si>
  <si>
    <t>Garrett Tripp</t>
  </si>
  <si>
    <t>Total Northeast</t>
  </si>
  <si>
    <t>LAVORATO-EA-NE</t>
  </si>
  <si>
    <t>Southeast Region</t>
  </si>
  <si>
    <t>LT-SPP</t>
  </si>
  <si>
    <t>EPMI-LT-SPP</t>
  </si>
  <si>
    <t>M_CARSON</t>
  </si>
  <si>
    <t>Mike Carson</t>
  </si>
  <si>
    <t>LT-SERC</t>
  </si>
  <si>
    <t>EPMI-LT-SERC</t>
  </si>
  <si>
    <t>J_SUAREZ</t>
  </si>
  <si>
    <t>John Suarez</t>
  </si>
  <si>
    <t>SE-HRLY-MGMT</t>
  </si>
  <si>
    <t>EPMI-HRLY-SE-MG</t>
  </si>
  <si>
    <t>J_HERNANDEZ</t>
  </si>
  <si>
    <t>Juan Hernandez</t>
  </si>
  <si>
    <t>SE-ANALYST</t>
  </si>
  <si>
    <t>EPMI-SE-ANALYST</t>
  </si>
  <si>
    <t>L_PODURGIEL</t>
  </si>
  <si>
    <t>Laura Podurgiel</t>
  </si>
  <si>
    <t>Total Southeast</t>
  </si>
  <si>
    <t>LAVORATO-EA-SE</t>
  </si>
  <si>
    <t>Ercot Region</t>
  </si>
  <si>
    <t>ERCOT-Management</t>
  </si>
  <si>
    <t>EPMI-ERCOT-MGMT</t>
  </si>
  <si>
    <t>D_GILBERT</t>
  </si>
  <si>
    <t>Doug Gilbert-Smith</t>
  </si>
  <si>
    <t>LT- Texas</t>
  </si>
  <si>
    <t>EPMI-LT-ERCOT</t>
  </si>
  <si>
    <t>J_KING</t>
  </si>
  <si>
    <t>Jeff King</t>
  </si>
  <si>
    <t>ST- Texas</t>
  </si>
  <si>
    <t>EPMI-ST-ERCOT</t>
  </si>
  <si>
    <t>P_SCHIAVONE</t>
  </si>
  <si>
    <t>Paul Schiavone</t>
  </si>
  <si>
    <t>Offpeak-Texas</t>
  </si>
  <si>
    <t>EPMI-ERCOT-OFF</t>
  </si>
  <si>
    <t>E_SAIBA</t>
  </si>
  <si>
    <t>Eric Saiba</t>
  </si>
  <si>
    <t>Asset-Texas</t>
  </si>
  <si>
    <t>EPMI-ERCOT-ASST</t>
  </si>
  <si>
    <t>J_FORNEY</t>
  </si>
  <si>
    <t>John Forney</t>
  </si>
  <si>
    <t>C_DEAN</t>
  </si>
  <si>
    <t>Ercot Option</t>
  </si>
  <si>
    <t>EPMI-ERCOT-OPTN</t>
  </si>
  <si>
    <t>D_GLBRT_EPT_PWR</t>
  </si>
  <si>
    <t xml:space="preserve">D. Gilbert-Smith </t>
  </si>
  <si>
    <t>Total Ercot</t>
  </si>
  <si>
    <t>LAVORATO-EA-TX</t>
  </si>
  <si>
    <t>,2004-2015</t>
  </si>
  <si>
    <t>Gas Benchmark Tie-Out</t>
  </si>
  <si>
    <t>Peak</t>
  </si>
  <si>
    <t>Other positions           (in contracts)</t>
  </si>
  <si>
    <t>Gas positions</t>
  </si>
  <si>
    <t>Book</t>
  </si>
  <si>
    <t>Gas Hedge Position</t>
  </si>
  <si>
    <t>Spread Option Position</t>
  </si>
  <si>
    <t>HRate Swap Position</t>
  </si>
  <si>
    <t>Total Position</t>
  </si>
  <si>
    <t>LT- MGT-GAS</t>
  </si>
  <si>
    <t>spread option</t>
  </si>
  <si>
    <t>PWR-GAS-LT-MGMT</t>
  </si>
  <si>
    <t>hedge positions</t>
  </si>
  <si>
    <t>K_PRESTO_GAS</t>
  </si>
  <si>
    <t>MW-GAS</t>
  </si>
  <si>
    <t>PWR-MW-GAS-MTM</t>
  </si>
  <si>
    <t>F_STURM_GAS</t>
  </si>
  <si>
    <t>MW-HR-GAS</t>
  </si>
  <si>
    <t>PWR-NG-MW-HR</t>
  </si>
  <si>
    <t>F_STURM_GASHR</t>
  </si>
  <si>
    <t>LT-TX-GAS</t>
  </si>
  <si>
    <t>Sprd opts/heat rt swap</t>
  </si>
  <si>
    <t>PWR-NG-TEXAS</t>
  </si>
  <si>
    <t>D_GILBERT_GAS</t>
  </si>
  <si>
    <t>LT-NE-GAS</t>
  </si>
  <si>
    <t>PWR-NE-GAS-MTM</t>
  </si>
  <si>
    <t>gas hedges</t>
  </si>
  <si>
    <t>D_DAVIS_GAS</t>
  </si>
  <si>
    <t>ERCOT-ASST-GAS</t>
  </si>
  <si>
    <t>PWR-NG-ERCT-AST</t>
  </si>
  <si>
    <t>J_FORNEY_GAS</t>
  </si>
  <si>
    <t>ST-TX-GAS</t>
  </si>
  <si>
    <t>PWR-NG-ST-TEXAS</t>
  </si>
  <si>
    <t>P_SCHIAVONE_GAS</t>
  </si>
  <si>
    <t>OPTION-TX-GAS</t>
  </si>
  <si>
    <t>PWR-NG-ERCT-OPT</t>
  </si>
  <si>
    <t>Hedge position</t>
  </si>
  <si>
    <t>D_GLBRT_EPT_GAS</t>
  </si>
  <si>
    <t>LT-PJM-GAS</t>
  </si>
  <si>
    <t>PWR-PJM-GAS-MTM</t>
  </si>
  <si>
    <t>R_BENSON_GAS</t>
  </si>
  <si>
    <t>ST-MAPP-GAS</t>
  </si>
  <si>
    <t>PWR-NG-ST-MAPP</t>
  </si>
  <si>
    <t>M_LORENZ_GAS</t>
  </si>
  <si>
    <t>LT-SPP-GAS</t>
  </si>
  <si>
    <t>PWR-NG-LT-SPP</t>
  </si>
  <si>
    <t>M_CARSON_GAS</t>
  </si>
  <si>
    <t>LT-SERC-GAS</t>
  </si>
  <si>
    <t>PWR-NG-LT-SERC</t>
  </si>
  <si>
    <t>J_SUAREZ_GAS</t>
  </si>
  <si>
    <t>ST-ECAR-GAS</t>
  </si>
  <si>
    <t>PWR-NG-ST-ECAR</t>
  </si>
  <si>
    <t>R_BALLATO_GAS</t>
  </si>
  <si>
    <t>Crude option book</t>
  </si>
  <si>
    <t>PWR-CL-LT-OPT</t>
  </si>
  <si>
    <t>H_ARORA_CRUDE</t>
  </si>
  <si>
    <t>LT-OPTB gas book</t>
  </si>
  <si>
    <t>PWR-NG-LT-OPTB</t>
  </si>
  <si>
    <t>S_WANG_GAS</t>
  </si>
  <si>
    <t>LT-OPT-gas book</t>
  </si>
  <si>
    <t>PWR-NG-LT-OPT</t>
  </si>
  <si>
    <t>H_ARORA_GAS</t>
  </si>
  <si>
    <t>LT-OPTA-gas book</t>
  </si>
  <si>
    <t>PWR-NG-LT-OPTA</t>
  </si>
  <si>
    <t>R_STALFORD_GAS</t>
  </si>
  <si>
    <t>LT-OPTY-gas book</t>
  </si>
  <si>
    <t>PWR-NG-LT-OPTY</t>
  </si>
  <si>
    <t>H_CHEN_GAS</t>
  </si>
  <si>
    <t>LT-OPTZ-gas book</t>
  </si>
  <si>
    <t>PWR-NG-LT-OPTZ</t>
  </si>
  <si>
    <t>J_GUALY_GAS</t>
  </si>
  <si>
    <t>MGMT-Coal book</t>
  </si>
  <si>
    <t>PWR-COAL-MGMT</t>
  </si>
  <si>
    <t>K_PRESTO_COAL</t>
  </si>
  <si>
    <t>ST-NENG-GAS</t>
  </si>
  <si>
    <t>PWR-NG-ST-NENG</t>
  </si>
  <si>
    <t>P_BRODERICK_GAS</t>
  </si>
  <si>
    <t>ST-NY-GAS</t>
  </si>
  <si>
    <t>PWR-NG-ST-NY</t>
  </si>
  <si>
    <t>G_GUPTA_GAS</t>
  </si>
  <si>
    <t>MW-Coal book</t>
  </si>
  <si>
    <t>PWR-COAL-MW</t>
  </si>
  <si>
    <t>F_STURM_COAL</t>
  </si>
  <si>
    <t>Fletch Sturm</t>
  </si>
  <si>
    <t>LT-ERCOT-GAS</t>
  </si>
  <si>
    <t>PWR-NG-LT-ERCOT</t>
  </si>
  <si>
    <t>J_KING_GAS</t>
  </si>
  <si>
    <t>ERCOT-OFF-GAS</t>
  </si>
  <si>
    <t>PWR-NG-ERCT-OFF</t>
  </si>
  <si>
    <t>E_SAIBA_GAS</t>
  </si>
  <si>
    <t>Eric Saibi</t>
  </si>
  <si>
    <t>Total Contracts</t>
  </si>
  <si>
    <t>Total GAS</t>
  </si>
  <si>
    <t>Totals</t>
  </si>
  <si>
    <t>Coal Books Total</t>
  </si>
  <si>
    <t>Crude Books Total</t>
  </si>
  <si>
    <t>tie to VAR report</t>
  </si>
  <si>
    <t>Check</t>
  </si>
  <si>
    <t>Total Off-Peak</t>
  </si>
  <si>
    <t>East Position</t>
  </si>
  <si>
    <t>Total East Position</t>
  </si>
  <si>
    <t>Total option position</t>
  </si>
  <si>
    <t>ST-PJM-OFF</t>
  </si>
  <si>
    <t>St- Texas</t>
  </si>
  <si>
    <t>Services-Texas</t>
  </si>
  <si>
    <t>ERCOT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</si>
</sst>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_);\(#,##0.0\)"/>
    <numFmt numFmtId="166" formatCode="_(* #,##0_);_(* \(#,##0\);_(* &quot;-&quot;??_);_(@_)"/>
    <numFmt numFmtId="174" formatCode="0_);\(0\)"/>
  </numFmts>
  <fonts count="14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indexed="10"/>
      <name val="Arial"/>
      <family val="2"/>
    </font>
    <font>
      <sz val="10"/>
      <color indexed="8"/>
      <name val="Arial"/>
    </font>
    <font>
      <sz val="12"/>
      <name val="Arial"/>
      <family val="2"/>
    </font>
    <font>
      <sz val="18"/>
      <name val="Times New Roman"/>
      <family val="1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82">
    <xf numFmtId="0" fontId="0" fillId="0" borderId="0" xfId="0"/>
    <xf numFmtId="14" fontId="3" fillId="0" borderId="0" xfId="0" applyNumberFormat="1" applyFont="1"/>
    <xf numFmtId="0" fontId="3" fillId="0" borderId="0" xfId="0" applyFont="1"/>
    <xf numFmtId="37" fontId="3" fillId="0" borderId="0" xfId="0" applyNumberFormat="1" applyFont="1"/>
    <xf numFmtId="37" fontId="4" fillId="0" borderId="0" xfId="0" applyNumberFormat="1" applyFont="1"/>
    <xf numFmtId="37" fontId="3" fillId="0" borderId="0" xfId="0" applyNumberFormat="1" applyFont="1" applyBorder="1"/>
    <xf numFmtId="0" fontId="3" fillId="2" borderId="0" xfId="0" applyFont="1" applyFill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7" fontId="4" fillId="3" borderId="2" xfId="0" applyNumberFormat="1" applyFont="1" applyFill="1" applyBorder="1"/>
    <xf numFmtId="37" fontId="4" fillId="3" borderId="3" xfId="0" applyNumberFormat="1" applyFont="1" applyFill="1" applyBorder="1"/>
    <xf numFmtId="37" fontId="4" fillId="3" borderId="1" xfId="0" applyNumberFormat="1" applyFont="1" applyFill="1" applyBorder="1"/>
    <xf numFmtId="174" fontId="4" fillId="3" borderId="4" xfId="0" applyNumberFormat="1" applyFont="1" applyFill="1" applyBorder="1"/>
    <xf numFmtId="37" fontId="4" fillId="3" borderId="4" xfId="0" applyNumberFormat="1" applyFont="1" applyFill="1" applyBorder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37" fontId="4" fillId="3" borderId="6" xfId="0" applyNumberFormat="1" applyFont="1" applyFill="1" applyBorder="1" applyAlignment="1">
      <alignment horizontal="center"/>
    </xf>
    <xf numFmtId="37" fontId="4" fillId="3" borderId="7" xfId="0" applyNumberFormat="1" applyFont="1" applyFill="1" applyBorder="1" applyAlignment="1">
      <alignment horizontal="center"/>
    </xf>
    <xf numFmtId="37" fontId="4" fillId="3" borderId="5" xfId="0" applyNumberFormat="1" applyFont="1" applyFill="1" applyBorder="1" applyAlignment="1">
      <alignment horizontal="center"/>
    </xf>
    <xf numFmtId="174" fontId="4" fillId="3" borderId="7" xfId="0" applyNumberFormat="1" applyFont="1" applyFill="1" applyBorder="1" applyAlignment="1">
      <alignment horizontal="center"/>
    </xf>
    <xf numFmtId="174" fontId="4" fillId="3" borderId="8" xfId="0" applyNumberFormat="1" applyFont="1" applyFill="1" applyBorder="1" applyAlignment="1">
      <alignment horizontal="center"/>
    </xf>
    <xf numFmtId="37" fontId="4" fillId="3" borderId="7" xfId="0" quotePrefix="1" applyNumberFormat="1" applyFont="1" applyFill="1" applyBorder="1" applyAlignment="1">
      <alignment horizontal="center"/>
    </xf>
    <xf numFmtId="37" fontId="4" fillId="3" borderId="8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3" fillId="3" borderId="9" xfId="0" applyNumberFormat="1" applyFont="1" applyFill="1" applyBorder="1"/>
    <xf numFmtId="1" fontId="3" fillId="3" borderId="10" xfId="0" applyNumberFormat="1" applyFont="1" applyFill="1" applyBorder="1"/>
    <xf numFmtId="1" fontId="4" fillId="3" borderId="11" xfId="0" applyNumberFormat="1" applyFont="1" applyFill="1" applyBorder="1" applyAlignment="1">
      <alignment horizontal="center"/>
    </xf>
    <xf numFmtId="166" fontId="4" fillId="3" borderId="10" xfId="1" applyNumberFormat="1" applyFont="1" applyFill="1" applyBorder="1" applyAlignment="1">
      <alignment horizontal="center"/>
    </xf>
    <xf numFmtId="1" fontId="3" fillId="3" borderId="12" xfId="0" applyNumberFormat="1" applyFont="1" applyFill="1" applyBorder="1" applyAlignment="1">
      <alignment horizontal="center"/>
    </xf>
    <xf numFmtId="37" fontId="3" fillId="3" borderId="10" xfId="0" applyNumberFormat="1" applyFont="1" applyFill="1" applyBorder="1" applyAlignment="1">
      <alignment horizontal="center"/>
    </xf>
    <xf numFmtId="37" fontId="4" fillId="3" borderId="10" xfId="0" applyNumberFormat="1" applyFont="1" applyFill="1" applyBorder="1" applyAlignment="1">
      <alignment horizontal="center"/>
    </xf>
    <xf numFmtId="37" fontId="3" fillId="3" borderId="12" xfId="0" applyNumberFormat="1" applyFont="1" applyFill="1" applyBorder="1" applyAlignment="1">
      <alignment horizontal="center"/>
    </xf>
    <xf numFmtId="37" fontId="3" fillId="3" borderId="9" xfId="0" applyNumberFormat="1" applyFont="1" applyFill="1" applyBorder="1" applyAlignment="1">
      <alignment horizontal="center"/>
    </xf>
    <xf numFmtId="37" fontId="3" fillId="3" borderId="11" xfId="0" applyNumberFormat="1" applyFont="1" applyFill="1" applyBorder="1" applyAlignment="1">
      <alignment horizontal="center"/>
    </xf>
    <xf numFmtId="1" fontId="3" fillId="2" borderId="0" xfId="0" applyNumberFormat="1" applyFont="1" applyFill="1"/>
    <xf numFmtId="1" fontId="3" fillId="0" borderId="0" xfId="0" applyNumberFormat="1" applyFont="1"/>
    <xf numFmtId="166" fontId="3" fillId="0" borderId="0" xfId="1" applyNumberFormat="1" applyFont="1"/>
    <xf numFmtId="37" fontId="3" fillId="0" borderId="1" xfId="1" applyNumberFormat="1" applyFont="1" applyBorder="1"/>
    <xf numFmtId="37" fontId="3" fillId="0" borderId="2" xfId="1" applyNumberFormat="1" applyFont="1" applyBorder="1"/>
    <xf numFmtId="37" fontId="4" fillId="0" borderId="2" xfId="1" applyNumberFormat="1" applyFont="1" applyBorder="1" applyAlignment="1">
      <alignment horizontal="center"/>
    </xf>
    <xf numFmtId="37" fontId="4" fillId="0" borderId="0" xfId="1" applyNumberFormat="1" applyFont="1" applyBorder="1" applyAlignment="1">
      <alignment horizontal="center"/>
    </xf>
    <xf numFmtId="37" fontId="3" fillId="0" borderId="0" xfId="1" applyNumberFormat="1" applyFont="1" applyBorder="1" applyAlignment="1">
      <alignment horizontal="center"/>
    </xf>
    <xf numFmtId="37" fontId="3" fillId="0" borderId="6" xfId="1" applyNumberFormat="1" applyFont="1" applyBorder="1" applyAlignment="1">
      <alignment horizontal="center"/>
    </xf>
    <xf numFmtId="37" fontId="3" fillId="0" borderId="4" xfId="1" applyNumberFormat="1" applyFont="1" applyBorder="1" applyAlignment="1">
      <alignment horizontal="center"/>
    </xf>
    <xf numFmtId="37" fontId="3" fillId="0" borderId="3" xfId="1" applyNumberFormat="1" applyFont="1" applyBorder="1" applyAlignment="1">
      <alignment horizontal="center"/>
    </xf>
    <xf numFmtId="1" fontId="3" fillId="0" borderId="1" xfId="0" applyNumberFormat="1" applyFont="1" applyBorder="1"/>
    <xf numFmtId="166" fontId="3" fillId="0" borderId="2" xfId="1" applyNumberFormat="1" applyFont="1" applyBorder="1"/>
    <xf numFmtId="1" fontId="3" fillId="0" borderId="4" xfId="0" applyNumberFormat="1" applyFont="1" applyBorder="1"/>
    <xf numFmtId="37" fontId="5" fillId="3" borderId="9" xfId="1" applyNumberFormat="1" applyFont="1" applyFill="1" applyBorder="1"/>
    <xf numFmtId="37" fontId="5" fillId="3" borderId="10" xfId="1" applyNumberFormat="1" applyFont="1" applyFill="1" applyBorder="1"/>
    <xf numFmtId="0" fontId="0" fillId="3" borderId="10" xfId="0" applyFill="1" applyBorder="1"/>
    <xf numFmtId="37" fontId="5" fillId="3" borderId="11" xfId="1" applyNumberFormat="1" applyFont="1" applyFill="1" applyBorder="1" applyAlignment="1">
      <alignment horizontal="center" wrapText="1"/>
    </xf>
    <xf numFmtId="37" fontId="4" fillId="3" borderId="10" xfId="1" applyNumberFormat="1" applyFont="1" applyFill="1" applyBorder="1" applyAlignment="1">
      <alignment horizontal="center"/>
    </xf>
    <xf numFmtId="37" fontId="4" fillId="3" borderId="9" xfId="1" applyNumberFormat="1" applyFont="1" applyFill="1" applyBorder="1" applyAlignment="1">
      <alignment horizontal="center"/>
    </xf>
    <xf numFmtId="37" fontId="5" fillId="3" borderId="10" xfId="1" applyNumberFormat="1" applyFont="1" applyFill="1" applyBorder="1" applyAlignment="1">
      <alignment horizontal="center"/>
    </xf>
    <xf numFmtId="37" fontId="5" fillId="3" borderId="11" xfId="1" applyNumberFormat="1" applyFont="1" applyFill="1" applyBorder="1" applyAlignment="1">
      <alignment horizontal="center"/>
    </xf>
    <xf numFmtId="37" fontId="5" fillId="3" borderId="12" xfId="1" applyNumberFormat="1" applyFont="1" applyFill="1" applyBorder="1" applyAlignment="1">
      <alignment horizontal="center"/>
    </xf>
    <xf numFmtId="1" fontId="3" fillId="0" borderId="13" xfId="0" applyNumberFormat="1" applyFont="1" applyBorder="1"/>
    <xf numFmtId="166" fontId="3" fillId="0" borderId="0" xfId="1" applyNumberFormat="1" applyFont="1" applyBorder="1"/>
    <xf numFmtId="166" fontId="3" fillId="0" borderId="14" xfId="1" applyNumberFormat="1" applyFont="1" applyBorder="1"/>
    <xf numFmtId="37" fontId="3" fillId="0" borderId="0" xfId="1" applyNumberFormat="1" applyFont="1" applyBorder="1"/>
    <xf numFmtId="37" fontId="4" fillId="0" borderId="6" xfId="1" applyNumberFormat="1" applyFont="1" applyBorder="1" applyAlignment="1">
      <alignment horizontal="center"/>
    </xf>
    <xf numFmtId="37" fontId="4" fillId="0" borderId="14" xfId="1" applyNumberFormat="1" applyFont="1" applyBorder="1" applyAlignment="1">
      <alignment horizontal="center"/>
    </xf>
    <xf numFmtId="37" fontId="4" fillId="0" borderId="15" xfId="1" applyNumberFormat="1" applyFont="1" applyBorder="1" applyAlignment="1">
      <alignment horizontal="center"/>
    </xf>
    <xf numFmtId="166" fontId="6" fillId="4" borderId="0" xfId="1" applyNumberFormat="1" applyFont="1" applyFill="1" applyBorder="1"/>
    <xf numFmtId="166" fontId="6" fillId="0" borderId="14" xfId="1" applyNumberFormat="1" applyFont="1" applyFill="1" applyBorder="1"/>
    <xf numFmtId="166" fontId="6" fillId="0" borderId="0" xfId="1" applyNumberFormat="1" applyFont="1" applyFill="1"/>
    <xf numFmtId="37" fontId="4" fillId="0" borderId="9" xfId="1" applyNumberFormat="1" applyFont="1" applyBorder="1"/>
    <xf numFmtId="37" fontId="3" fillId="0" borderId="10" xfId="1" applyNumberFormat="1" applyFont="1" applyBorder="1"/>
    <xf numFmtId="0" fontId="7" fillId="0" borderId="16" xfId="2" applyFont="1" applyFill="1" applyBorder="1" applyAlignment="1">
      <alignment horizontal="left"/>
    </xf>
    <xf numFmtId="37" fontId="4" fillId="0" borderId="11" xfId="1" applyNumberFormat="1" applyFont="1" applyBorder="1" applyAlignment="1">
      <alignment horizontal="center"/>
    </xf>
    <xf numFmtId="37" fontId="4" fillId="2" borderId="10" xfId="1" applyNumberFormat="1" applyFont="1" applyFill="1" applyBorder="1" applyAlignment="1">
      <alignment horizontal="center"/>
    </xf>
    <xf numFmtId="37" fontId="4" fillId="2" borderId="11" xfId="1" applyNumberFormat="1" applyFont="1" applyFill="1" applyBorder="1" applyAlignment="1">
      <alignment horizontal="center"/>
    </xf>
    <xf numFmtId="37" fontId="3" fillId="0" borderId="10" xfId="1" applyNumberFormat="1" applyFont="1" applyBorder="1" applyAlignment="1">
      <alignment horizontal="center"/>
    </xf>
    <xf numFmtId="37" fontId="4" fillId="0" borderId="12" xfId="1" applyNumberFormat="1" applyFont="1" applyBorder="1" applyAlignment="1">
      <alignment horizontal="center"/>
    </xf>
    <xf numFmtId="1" fontId="3" fillId="2" borderId="0" xfId="0" applyNumberFormat="1" applyFont="1" applyFill="1" applyBorder="1"/>
    <xf numFmtId="1" fontId="3" fillId="0" borderId="0" xfId="0" applyNumberFormat="1" applyFont="1" applyBorder="1"/>
    <xf numFmtId="1" fontId="3" fillId="0" borderId="14" xfId="0" applyNumberFormat="1" applyFont="1" applyBorder="1"/>
    <xf numFmtId="37" fontId="4" fillId="0" borderId="0" xfId="1" applyNumberFormat="1" applyFont="1" applyBorder="1"/>
    <xf numFmtId="0" fontId="7" fillId="0" borderId="0" xfId="2" applyFont="1" applyFill="1" applyBorder="1" applyAlignment="1">
      <alignment horizontal="left"/>
    </xf>
    <xf numFmtId="37" fontId="4" fillId="2" borderId="0" xfId="1" applyNumberFormat="1" applyFont="1" applyFill="1" applyBorder="1" applyAlignment="1">
      <alignment horizontal="center"/>
    </xf>
    <xf numFmtId="37" fontId="3" fillId="3" borderId="9" xfId="1" applyNumberFormat="1" applyFont="1" applyFill="1" applyBorder="1"/>
    <xf numFmtId="37" fontId="3" fillId="3" borderId="10" xfId="1" applyNumberFormat="1" applyFont="1" applyFill="1" applyBorder="1"/>
    <xf numFmtId="37" fontId="4" fillId="3" borderId="12" xfId="1" applyNumberFormat="1" applyFont="1" applyFill="1" applyBorder="1" applyAlignment="1">
      <alignment horizontal="center"/>
    </xf>
    <xf numFmtId="37" fontId="3" fillId="3" borderId="10" xfId="1" applyNumberFormat="1" applyFont="1" applyFill="1" applyBorder="1" applyAlignment="1">
      <alignment horizontal="center"/>
    </xf>
    <xf numFmtId="37" fontId="4" fillId="3" borderId="11" xfId="1" applyNumberFormat="1" applyFont="1" applyFill="1" applyBorder="1" applyAlignment="1">
      <alignment horizontal="center"/>
    </xf>
    <xf numFmtId="37" fontId="4" fillId="0" borderId="1" xfId="1" applyNumberFormat="1" applyFont="1" applyBorder="1"/>
    <xf numFmtId="0" fontId="7" fillId="0" borderId="2" xfId="2" applyFont="1" applyFill="1" applyBorder="1" applyAlignment="1">
      <alignment horizontal="left"/>
    </xf>
    <xf numFmtId="37" fontId="4" fillId="0" borderId="3" xfId="1" applyNumberFormat="1" applyFont="1" applyBorder="1" applyAlignment="1">
      <alignment horizontal="center"/>
    </xf>
    <xf numFmtId="37" fontId="4" fillId="2" borderId="14" xfId="1" applyNumberFormat="1" applyFont="1" applyFill="1" applyBorder="1" applyAlignment="1">
      <alignment horizontal="center"/>
    </xf>
    <xf numFmtId="37" fontId="4" fillId="2" borderId="15" xfId="1" applyNumberFormat="1" applyFont="1" applyFill="1" applyBorder="1" applyAlignment="1">
      <alignment horizontal="center"/>
    </xf>
    <xf numFmtId="37" fontId="3" fillId="0" borderId="1" xfId="1" applyNumberFormat="1" applyFont="1" applyBorder="1" applyAlignment="1">
      <alignment horizontal="center"/>
    </xf>
    <xf numFmtId="37" fontId="3" fillId="0" borderId="2" xfId="1" applyNumberFormat="1" applyFont="1" applyBorder="1" applyAlignment="1">
      <alignment horizontal="center"/>
    </xf>
    <xf numFmtId="37" fontId="4" fillId="0" borderId="4" xfId="1" applyNumberFormat="1" applyFont="1" applyBorder="1" applyAlignment="1">
      <alignment horizontal="center"/>
    </xf>
    <xf numFmtId="37" fontId="4" fillId="0" borderId="13" xfId="1" applyNumberFormat="1" applyFont="1" applyBorder="1"/>
    <xf numFmtId="0" fontId="7" fillId="0" borderId="17" xfId="2" applyFont="1" applyFill="1" applyBorder="1" applyAlignment="1">
      <alignment horizontal="left"/>
    </xf>
    <xf numFmtId="37" fontId="3" fillId="0" borderId="13" xfId="1" applyNumberFormat="1" applyFont="1" applyBorder="1" applyAlignment="1">
      <alignment horizontal="center"/>
    </xf>
    <xf numFmtId="37" fontId="3" fillId="0" borderId="14" xfId="1" applyNumberFormat="1" applyFont="1" applyBorder="1" applyAlignment="1">
      <alignment horizontal="center"/>
    </xf>
    <xf numFmtId="1" fontId="4" fillId="4" borderId="11" xfId="0" applyNumberFormat="1" applyFont="1" applyFill="1" applyBorder="1"/>
    <xf numFmtId="0" fontId="0" fillId="0" borderId="0" xfId="0" applyBorder="1"/>
    <xf numFmtId="1" fontId="3" fillId="0" borderId="5" xfId="0" applyNumberFormat="1" applyFont="1" applyBorder="1"/>
    <xf numFmtId="1" fontId="3" fillId="0" borderId="6" xfId="0" applyNumberFormat="1" applyFont="1" applyBorder="1"/>
    <xf numFmtId="1" fontId="3" fillId="0" borderId="8" xfId="0" applyNumberFormat="1" applyFont="1" applyBorder="1"/>
    <xf numFmtId="37" fontId="4" fillId="0" borderId="5" xfId="1" applyNumberFormat="1" applyFont="1" applyBorder="1"/>
    <xf numFmtId="37" fontId="3" fillId="0" borderId="6" xfId="1" applyNumberFormat="1" applyFont="1" applyBorder="1"/>
    <xf numFmtId="0" fontId="7" fillId="0" borderId="6" xfId="2" applyFont="1" applyFill="1" applyBorder="1" applyAlignment="1">
      <alignment horizontal="left"/>
    </xf>
    <xf numFmtId="37" fontId="4" fillId="0" borderId="7" xfId="1" applyNumberFormat="1" applyFont="1" applyBorder="1" applyAlignment="1">
      <alignment horizontal="center"/>
    </xf>
    <xf numFmtId="37" fontId="3" fillId="0" borderId="5" xfId="1" applyNumberFormat="1" applyFont="1" applyBorder="1" applyAlignment="1">
      <alignment horizontal="center"/>
    </xf>
    <xf numFmtId="37" fontId="3" fillId="0" borderId="8" xfId="1" applyNumberFormat="1" applyFont="1" applyBorder="1" applyAlignment="1">
      <alignment horizontal="center"/>
    </xf>
    <xf numFmtId="37" fontId="4" fillId="5" borderId="9" xfId="1" applyNumberFormat="1" applyFont="1" applyFill="1" applyBorder="1"/>
    <xf numFmtId="37" fontId="3" fillId="5" borderId="10" xfId="1" applyNumberFormat="1" applyFont="1" applyFill="1" applyBorder="1"/>
    <xf numFmtId="37" fontId="4" fillId="5" borderId="11" xfId="1" applyNumberFormat="1" applyFont="1" applyFill="1" applyBorder="1" applyAlignment="1">
      <alignment horizontal="center"/>
    </xf>
    <xf numFmtId="37" fontId="3" fillId="5" borderId="12" xfId="1" applyNumberFormat="1" applyFont="1" applyFill="1" applyBorder="1" applyAlignment="1">
      <alignment horizontal="center"/>
    </xf>
    <xf numFmtId="37" fontId="3" fillId="5" borderId="11" xfId="1" applyNumberFormat="1" applyFont="1" applyFill="1" applyBorder="1" applyAlignment="1">
      <alignment horizontal="center"/>
    </xf>
    <xf numFmtId="37" fontId="3" fillId="5" borderId="10" xfId="1" applyNumberFormat="1" applyFont="1" applyFill="1" applyBorder="1" applyAlignment="1">
      <alignment horizontal="center"/>
    </xf>
    <xf numFmtId="37" fontId="3" fillId="5" borderId="9" xfId="1" applyNumberFormat="1" applyFont="1" applyFill="1" applyBorder="1" applyAlignment="1">
      <alignment horizontal="center"/>
    </xf>
    <xf numFmtId="37" fontId="4" fillId="5" borderId="12" xfId="1" applyNumberFormat="1" applyFont="1" applyFill="1" applyBorder="1" applyAlignment="1">
      <alignment horizontal="center"/>
    </xf>
    <xf numFmtId="37" fontId="4" fillId="3" borderId="9" xfId="1" applyNumberFormat="1" applyFont="1" applyFill="1" applyBorder="1"/>
    <xf numFmtId="37" fontId="4" fillId="3" borderId="10" xfId="1" applyNumberFormat="1" applyFont="1" applyFill="1" applyBorder="1"/>
    <xf numFmtId="37" fontId="4" fillId="3" borderId="2" xfId="1" applyNumberFormat="1" applyFont="1" applyFill="1" applyBorder="1" applyAlignment="1">
      <alignment horizontal="center"/>
    </xf>
    <xf numFmtId="37" fontId="4" fillId="3" borderId="4" xfId="1" applyNumberFormat="1" applyFont="1" applyFill="1" applyBorder="1" applyAlignment="1">
      <alignment horizontal="center"/>
    </xf>
    <xf numFmtId="37" fontId="3" fillId="0" borderId="13" xfId="1" applyNumberFormat="1" applyFont="1" applyBorder="1"/>
    <xf numFmtId="37" fontId="4" fillId="0" borderId="13" xfId="1" applyNumberFormat="1" applyFont="1" applyBorder="1" applyAlignment="1">
      <alignment horizontal="center"/>
    </xf>
    <xf numFmtId="37" fontId="4" fillId="0" borderId="1" xfId="1" applyNumberFormat="1" applyFont="1" applyBorder="1" applyAlignment="1">
      <alignment horizontal="center"/>
    </xf>
    <xf numFmtId="37" fontId="3" fillId="2" borderId="0" xfId="0" applyNumberFormat="1" applyFont="1" applyFill="1"/>
    <xf numFmtId="37" fontId="4" fillId="0" borderId="5" xfId="1" applyNumberFormat="1" applyFont="1" applyBorder="1" applyAlignment="1">
      <alignment horizontal="center"/>
    </xf>
    <xf numFmtId="37" fontId="4" fillId="0" borderId="8" xfId="1" applyNumberFormat="1" applyFont="1" applyBorder="1" applyAlignment="1">
      <alignment horizontal="center"/>
    </xf>
    <xf numFmtId="37" fontId="4" fillId="5" borderId="10" xfId="1" applyNumberFormat="1" applyFont="1" applyFill="1" applyBorder="1"/>
    <xf numFmtId="37" fontId="4" fillId="5" borderId="9" xfId="1" applyNumberFormat="1" applyFont="1" applyFill="1" applyBorder="1" applyAlignment="1">
      <alignment horizontal="center"/>
    </xf>
    <xf numFmtId="37" fontId="3" fillId="0" borderId="0" xfId="1" applyNumberFormat="1" applyFont="1" applyFill="1" applyBorder="1" applyAlignment="1">
      <alignment horizontal="center"/>
    </xf>
    <xf numFmtId="37" fontId="3" fillId="0" borderId="0" xfId="1" applyNumberFormat="1" applyFont="1"/>
    <xf numFmtId="37" fontId="4" fillId="0" borderId="0" xfId="1" applyNumberFormat="1" applyFont="1" applyAlignment="1">
      <alignment horizontal="center"/>
    </xf>
    <xf numFmtId="37" fontId="3" fillId="0" borderId="0" xfId="1" applyNumberFormat="1" applyFont="1" applyAlignment="1">
      <alignment horizontal="center"/>
    </xf>
    <xf numFmtId="37" fontId="3" fillId="3" borderId="12" xfId="1" applyNumberFormat="1" applyFont="1" applyFill="1" applyBorder="1" applyAlignment="1">
      <alignment horizontal="center"/>
    </xf>
    <xf numFmtId="37" fontId="3" fillId="2" borderId="13" xfId="1" applyNumberFormat="1" applyFont="1" applyFill="1" applyBorder="1"/>
    <xf numFmtId="37" fontId="3" fillId="2" borderId="3" xfId="1" applyNumberFormat="1" applyFont="1" applyFill="1" applyBorder="1" applyAlignment="1">
      <alignment horizontal="center"/>
    </xf>
    <xf numFmtId="37" fontId="3" fillId="2" borderId="14" xfId="1" applyNumberFormat="1" applyFont="1" applyFill="1" applyBorder="1" applyAlignment="1">
      <alignment horizontal="center"/>
    </xf>
    <xf numFmtId="37" fontId="3" fillId="2" borderId="0" xfId="1" applyNumberFormat="1" applyFont="1" applyFill="1" applyBorder="1" applyAlignment="1">
      <alignment horizontal="center"/>
    </xf>
    <xf numFmtId="37" fontId="4" fillId="2" borderId="13" xfId="1" applyNumberFormat="1" applyFont="1" applyFill="1" applyBorder="1" applyAlignment="1">
      <alignment horizontal="center"/>
    </xf>
    <xf numFmtId="37" fontId="4" fillId="2" borderId="1" xfId="1" applyNumberFormat="1" applyFont="1" applyFill="1" applyBorder="1" applyAlignment="1">
      <alignment horizontal="center"/>
    </xf>
    <xf numFmtId="37" fontId="4" fillId="2" borderId="2" xfId="1" applyNumberFormat="1" applyFont="1" applyFill="1" applyBorder="1" applyAlignment="1">
      <alignment horizontal="center"/>
    </xf>
    <xf numFmtId="37" fontId="4" fillId="2" borderId="3" xfId="1" applyNumberFormat="1" applyFont="1" applyFill="1" applyBorder="1" applyAlignment="1">
      <alignment horizontal="center"/>
    </xf>
    <xf numFmtId="1" fontId="3" fillId="0" borderId="3" xfId="0" applyNumberFormat="1" applyFont="1" applyBorder="1"/>
    <xf numFmtId="37" fontId="3" fillId="6" borderId="13" xfId="1" applyNumberFormat="1" applyFont="1" applyFill="1" applyBorder="1"/>
    <xf numFmtId="37" fontId="3" fillId="6" borderId="0" xfId="1" applyNumberFormat="1" applyFont="1" applyFill="1" applyBorder="1"/>
    <xf numFmtId="37" fontId="4" fillId="6" borderId="15" xfId="1" applyNumberFormat="1" applyFont="1" applyFill="1" applyBorder="1" applyAlignment="1">
      <alignment horizontal="center"/>
    </xf>
    <xf numFmtId="37" fontId="3" fillId="6" borderId="15" xfId="1" applyNumberFormat="1" applyFont="1" applyFill="1" applyBorder="1" applyAlignment="1">
      <alignment horizontal="center"/>
    </xf>
    <xf numFmtId="37" fontId="3" fillId="6" borderId="14" xfId="1" applyNumberFormat="1" applyFont="1" applyFill="1" applyBorder="1" applyAlignment="1">
      <alignment horizontal="center"/>
    </xf>
    <xf numFmtId="37" fontId="3" fillId="6" borderId="0" xfId="1" applyNumberFormat="1" applyFont="1" applyFill="1" applyBorder="1" applyAlignment="1">
      <alignment horizontal="center"/>
    </xf>
    <xf numFmtId="37" fontId="4" fillId="6" borderId="0" xfId="1" applyNumberFormat="1" applyFont="1" applyFill="1" applyBorder="1" applyAlignment="1">
      <alignment horizontal="center"/>
    </xf>
    <xf numFmtId="37" fontId="4" fillId="6" borderId="13" xfId="1" applyNumberFormat="1" applyFont="1" applyFill="1" applyBorder="1" applyAlignment="1">
      <alignment horizontal="center"/>
    </xf>
    <xf numFmtId="37" fontId="4" fillId="6" borderId="14" xfId="1" applyNumberFormat="1" applyFont="1" applyFill="1" applyBorder="1" applyAlignment="1">
      <alignment horizontal="center"/>
    </xf>
    <xf numFmtId="0" fontId="0" fillId="6" borderId="0" xfId="0" applyFill="1"/>
    <xf numFmtId="37" fontId="3" fillId="0" borderId="15" xfId="1" applyNumberFormat="1" applyFont="1" applyBorder="1" applyAlignment="1">
      <alignment horizontal="center"/>
    </xf>
    <xf numFmtId="1" fontId="3" fillId="0" borderId="15" xfId="0" applyNumberFormat="1" applyFont="1" applyBorder="1"/>
    <xf numFmtId="0" fontId="0" fillId="5" borderId="10" xfId="0" applyFill="1" applyBorder="1"/>
    <xf numFmtId="37" fontId="4" fillId="5" borderId="10" xfId="1" applyNumberFormat="1" applyFont="1" applyFill="1" applyBorder="1" applyAlignment="1">
      <alignment horizontal="center"/>
    </xf>
    <xf numFmtId="37" fontId="4" fillId="0" borderId="10" xfId="1" applyNumberFormat="1" applyFont="1" applyBorder="1" applyAlignment="1">
      <alignment horizontal="center"/>
    </xf>
    <xf numFmtId="37" fontId="4" fillId="3" borderId="6" xfId="1" applyNumberFormat="1" applyFont="1" applyFill="1" applyBorder="1" applyAlignment="1">
      <alignment horizontal="center"/>
    </xf>
    <xf numFmtId="37" fontId="3" fillId="5" borderId="1" xfId="1" applyNumberFormat="1" applyFont="1" applyFill="1" applyBorder="1" applyAlignment="1">
      <alignment horizontal="center"/>
    </xf>
    <xf numFmtId="37" fontId="4" fillId="3" borderId="1" xfId="1" applyNumberFormat="1" applyFont="1" applyFill="1" applyBorder="1" applyAlignment="1">
      <alignment horizontal="center"/>
    </xf>
    <xf numFmtId="39" fontId="3" fillId="0" borderId="0" xfId="0" applyNumberFormat="1" applyFont="1"/>
    <xf numFmtId="39" fontId="4" fillId="0" borderId="0" xfId="0" applyNumberFormat="1" applyFont="1" applyAlignment="1">
      <alignment horizontal="center"/>
    </xf>
    <xf numFmtId="39" fontId="4" fillId="0" borderId="0" xfId="0" applyNumberFormat="1" applyFont="1"/>
    <xf numFmtId="39" fontId="4" fillId="3" borderId="9" xfId="1" applyNumberFormat="1" applyFont="1" applyFill="1" applyBorder="1" applyAlignment="1">
      <alignment horizontal="left"/>
    </xf>
    <xf numFmtId="39" fontId="4" fillId="3" borderId="10" xfId="1" applyNumberFormat="1" applyFont="1" applyFill="1" applyBorder="1"/>
    <xf numFmtId="39" fontId="4" fillId="3" borderId="9" xfId="1" applyNumberFormat="1" applyFont="1" applyFill="1" applyBorder="1" applyAlignment="1">
      <alignment horizontal="center" wrapText="1"/>
    </xf>
    <xf numFmtId="39" fontId="4" fillId="3" borderId="2" xfId="1" applyNumberFormat="1" applyFont="1" applyFill="1" applyBorder="1"/>
    <xf numFmtId="37" fontId="4" fillId="3" borderId="1" xfId="1" applyNumberFormat="1" applyFont="1" applyFill="1" applyBorder="1"/>
    <xf numFmtId="37" fontId="4" fillId="3" borderId="11" xfId="1" applyNumberFormat="1" applyFont="1" applyFill="1" applyBorder="1"/>
    <xf numFmtId="37" fontId="4" fillId="3" borderId="4" xfId="1" applyNumberFormat="1" applyFont="1" applyFill="1" applyBorder="1"/>
    <xf numFmtId="37" fontId="4" fillId="3" borderId="3" xfId="1" applyNumberFormat="1" applyFont="1" applyFill="1" applyBorder="1"/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Border="1"/>
    <xf numFmtId="39" fontId="3" fillId="0" borderId="13" xfId="1" applyNumberFormat="1" applyFont="1" applyBorder="1"/>
    <xf numFmtId="39" fontId="3" fillId="0" borderId="0" xfId="1" applyNumberFormat="1" applyFont="1" applyBorder="1"/>
    <xf numFmtId="39" fontId="4" fillId="0" borderId="15" xfId="1" applyNumberFormat="1" applyFont="1" applyBorder="1" applyAlignment="1">
      <alignment horizontal="center"/>
    </xf>
    <xf numFmtId="164" fontId="4" fillId="0" borderId="4" xfId="1" applyNumberFormat="1" applyFont="1" applyBorder="1"/>
    <xf numFmtId="37" fontId="4" fillId="0" borderId="3" xfId="1" applyNumberFormat="1" applyFont="1" applyBorder="1"/>
    <xf numFmtId="37" fontId="4" fillId="0" borderId="2" xfId="1" applyNumberFormat="1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Border="1"/>
    <xf numFmtId="39" fontId="4" fillId="6" borderId="13" xfId="1" applyNumberFormat="1" applyFont="1" applyFill="1" applyBorder="1"/>
    <xf numFmtId="39" fontId="3" fillId="6" borderId="0" xfId="1" applyNumberFormat="1" applyFont="1" applyFill="1" applyBorder="1"/>
    <xf numFmtId="39" fontId="4" fillId="6" borderId="15" xfId="1" applyNumberFormat="1" applyFont="1" applyFill="1" applyBorder="1" applyAlignment="1">
      <alignment horizontal="center"/>
    </xf>
    <xf numFmtId="164" fontId="4" fillId="6" borderId="14" xfId="1" applyNumberFormat="1" applyFont="1" applyFill="1" applyBorder="1"/>
    <xf numFmtId="37" fontId="3" fillId="6" borderId="0" xfId="0" applyNumberFormat="1" applyFont="1" applyFill="1"/>
    <xf numFmtId="0" fontId="3" fillId="0" borderId="13" xfId="0" applyFont="1" applyBorder="1"/>
    <xf numFmtId="0" fontId="3" fillId="0" borderId="15" xfId="0" applyFont="1" applyBorder="1"/>
    <xf numFmtId="39" fontId="3" fillId="6" borderId="0" xfId="0" applyNumberFormat="1" applyFont="1" applyFill="1"/>
    <xf numFmtId="39" fontId="4" fillId="0" borderId="13" xfId="1" applyNumberFormat="1" applyFont="1" applyBorder="1"/>
    <xf numFmtId="39" fontId="3" fillId="0" borderId="13" xfId="0" applyNumberFormat="1" applyFont="1" applyBorder="1"/>
    <xf numFmtId="39" fontId="3" fillId="0" borderId="15" xfId="0" applyNumberFormat="1" applyFont="1" applyBorder="1"/>
    <xf numFmtId="39" fontId="3" fillId="0" borderId="0" xfId="0" applyNumberFormat="1" applyFont="1" applyBorder="1"/>
    <xf numFmtId="37" fontId="4" fillId="0" borderId="14" xfId="1" applyNumberFormat="1" applyFont="1" applyBorder="1"/>
    <xf numFmtId="37" fontId="4" fillId="6" borderId="14" xfId="1" applyNumberFormat="1" applyFont="1" applyFill="1" applyBorder="1"/>
    <xf numFmtId="0" fontId="3" fillId="0" borderId="0" xfId="0" applyFont="1" applyFill="1" applyBorder="1"/>
    <xf numFmtId="39" fontId="4" fillId="0" borderId="13" xfId="1" applyNumberFormat="1" applyFont="1" applyFill="1" applyBorder="1"/>
    <xf numFmtId="39" fontId="3" fillId="0" borderId="13" xfId="0" applyNumberFormat="1" applyFont="1" applyFill="1" applyBorder="1"/>
    <xf numFmtId="39" fontId="3" fillId="0" borderId="15" xfId="0" applyNumberFormat="1" applyFont="1" applyFill="1" applyBorder="1"/>
    <xf numFmtId="39" fontId="3" fillId="0" borderId="0" xfId="0" applyNumberFormat="1" applyFont="1" applyFill="1" applyBorder="1"/>
    <xf numFmtId="0" fontId="3" fillId="2" borderId="0" xfId="0" applyFont="1" applyFill="1" applyBorder="1"/>
    <xf numFmtId="39" fontId="3" fillId="0" borderId="13" xfId="1" applyNumberFormat="1" applyFont="1" applyBorder="1" applyAlignment="1">
      <alignment horizontal="right"/>
    </xf>
    <xf numFmtId="0" fontId="8" fillId="2" borderId="0" xfId="0" applyFont="1" applyFill="1" applyBorder="1"/>
    <xf numFmtId="39" fontId="3" fillId="0" borderId="5" xfId="0" applyNumberFormat="1" applyFont="1" applyBorder="1"/>
    <xf numFmtId="39" fontId="5" fillId="8" borderId="9" xfId="1" applyNumberFormat="1" applyFont="1" applyFill="1" applyBorder="1"/>
    <xf numFmtId="39" fontId="5" fillId="8" borderId="10" xfId="1" applyNumberFormat="1" applyFont="1" applyFill="1" applyBorder="1"/>
    <xf numFmtId="39" fontId="5" fillId="8" borderId="11" xfId="1" applyNumberFormat="1" applyFont="1" applyFill="1" applyBorder="1" applyAlignment="1">
      <alignment horizontal="center"/>
    </xf>
    <xf numFmtId="39" fontId="5" fillId="8" borderId="12" xfId="1" applyNumberFormat="1" applyFont="1" applyFill="1" applyBorder="1"/>
    <xf numFmtId="37" fontId="5" fillId="8" borderId="10" xfId="1" applyNumberFormat="1" applyFont="1" applyFill="1" applyBorder="1" applyAlignment="1">
      <alignment horizontal="center"/>
    </xf>
    <xf numFmtId="37" fontId="5" fillId="8" borderId="11" xfId="1" applyNumberFormat="1" applyFont="1" applyFill="1" applyBorder="1" applyAlignment="1">
      <alignment horizontal="center"/>
    </xf>
    <xf numFmtId="0" fontId="3" fillId="0" borderId="11" xfId="0" applyFont="1" applyBorder="1"/>
    <xf numFmtId="39" fontId="3" fillId="0" borderId="10" xfId="0" applyNumberFormat="1" applyFont="1" applyBorder="1"/>
    <xf numFmtId="39" fontId="3" fillId="0" borderId="11" xfId="0" applyNumberFormat="1" applyFont="1" applyBorder="1"/>
    <xf numFmtId="0" fontId="4" fillId="2" borderId="0" xfId="0" applyFont="1" applyFill="1" applyAlignment="1">
      <alignment horizontal="center"/>
    </xf>
    <xf numFmtId="166" fontId="9" fillId="0" borderId="0" xfId="1" applyNumberFormat="1" applyFont="1" applyBorder="1"/>
    <xf numFmtId="166" fontId="9" fillId="2" borderId="0" xfId="1" applyNumberFormat="1" applyFont="1" applyFill="1" applyBorder="1"/>
    <xf numFmtId="166" fontId="9" fillId="0" borderId="0" xfId="1" applyNumberFormat="1" applyFont="1" applyFill="1" applyBorder="1"/>
    <xf numFmtId="0" fontId="10" fillId="2" borderId="0" xfId="0" applyFont="1" applyFill="1" applyBorder="1"/>
    <xf numFmtId="37" fontId="8" fillId="0" borderId="0" xfId="0" applyNumberFormat="1" applyFont="1"/>
    <xf numFmtId="0" fontId="8" fillId="0" borderId="0" xfId="0" applyFont="1"/>
    <xf numFmtId="39" fontId="8" fillId="0" borderId="0" xfId="0" applyNumberFormat="1" applyFont="1"/>
    <xf numFmtId="39" fontId="11" fillId="7" borderId="0" xfId="0" applyNumberFormat="1" applyFont="1" applyFill="1"/>
    <xf numFmtId="0" fontId="0" fillId="2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37" fontId="12" fillId="0" borderId="0" xfId="0" applyNumberFormat="1" applyFont="1" applyAlignment="1">
      <alignment vertical="center"/>
    </xf>
    <xf numFmtId="37" fontId="12" fillId="0" borderId="0" xfId="0" applyNumberFormat="1" applyFont="1" applyBorder="1" applyAlignment="1">
      <alignment vertical="center"/>
    </xf>
    <xf numFmtId="0" fontId="12" fillId="0" borderId="0" xfId="0" applyFont="1"/>
    <xf numFmtId="14" fontId="12" fillId="0" borderId="0" xfId="0" applyNumberFormat="1" applyFont="1" applyAlignment="1">
      <alignment vertical="center"/>
    </xf>
    <xf numFmtId="14" fontId="13" fillId="0" borderId="0" xfId="0" applyNumberFormat="1" applyFont="1" applyAlignment="1">
      <alignment vertical="center"/>
    </xf>
    <xf numFmtId="37" fontId="13" fillId="0" borderId="0" xfId="0" applyNumberFormat="1" applyFont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37" fontId="13" fillId="3" borderId="2" xfId="0" applyNumberFormat="1" applyFont="1" applyFill="1" applyBorder="1" applyAlignment="1">
      <alignment vertical="center"/>
    </xf>
    <xf numFmtId="37" fontId="13" fillId="3" borderId="1" xfId="0" applyNumberFormat="1" applyFont="1" applyFill="1" applyBorder="1" applyAlignment="1">
      <alignment vertical="center"/>
    </xf>
    <xf numFmtId="174" fontId="13" fillId="3" borderId="3" xfId="0" applyNumberFormat="1" applyFont="1" applyFill="1" applyBorder="1" applyAlignment="1">
      <alignment vertical="center"/>
    </xf>
    <xf numFmtId="174" fontId="13" fillId="3" borderId="4" xfId="0" applyNumberFormat="1" applyFont="1" applyFill="1" applyBorder="1" applyAlignment="1">
      <alignment vertical="center"/>
    </xf>
    <xf numFmtId="37" fontId="13" fillId="3" borderId="4" xfId="0" applyNumberFormat="1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37" fontId="13" fillId="3" borderId="6" xfId="0" applyNumberFormat="1" applyFont="1" applyFill="1" applyBorder="1" applyAlignment="1">
      <alignment horizontal="center" vertical="center"/>
    </xf>
    <xf numFmtId="37" fontId="13" fillId="3" borderId="5" xfId="0" applyNumberFormat="1" applyFont="1" applyFill="1" applyBorder="1" applyAlignment="1">
      <alignment horizontal="center" vertical="center"/>
    </xf>
    <xf numFmtId="174" fontId="13" fillId="3" borderId="7" xfId="0" applyNumberFormat="1" applyFont="1" applyFill="1" applyBorder="1" applyAlignment="1">
      <alignment horizontal="center" vertical="center"/>
    </xf>
    <xf numFmtId="174" fontId="13" fillId="3" borderId="8" xfId="0" applyNumberFormat="1" applyFont="1" applyFill="1" applyBorder="1" applyAlignment="1">
      <alignment horizontal="center" vertical="center"/>
    </xf>
    <xf numFmtId="37" fontId="13" fillId="3" borderId="8" xfId="0" applyNumberFormat="1" applyFont="1" applyFill="1" applyBorder="1" applyAlignment="1">
      <alignment horizontal="center" vertical="center"/>
    </xf>
    <xf numFmtId="37" fontId="12" fillId="0" borderId="0" xfId="0" quotePrefix="1" applyNumberFormat="1" applyFont="1" applyAlignment="1">
      <alignment vertical="center"/>
    </xf>
    <xf numFmtId="1" fontId="12" fillId="3" borderId="9" xfId="0" applyNumberFormat="1" applyFont="1" applyFill="1" applyBorder="1" applyAlignment="1">
      <alignment vertical="center"/>
    </xf>
    <xf numFmtId="1" fontId="12" fillId="3" borderId="10" xfId="0" applyNumberFormat="1" applyFont="1" applyFill="1" applyBorder="1" applyAlignment="1">
      <alignment vertical="center"/>
    </xf>
    <xf numFmtId="1" fontId="13" fillId="3" borderId="11" xfId="0" applyNumberFormat="1" applyFont="1" applyFill="1" applyBorder="1" applyAlignment="1">
      <alignment horizontal="center" vertical="center"/>
    </xf>
    <xf numFmtId="166" fontId="13" fillId="3" borderId="11" xfId="1" applyNumberFormat="1" applyFont="1" applyFill="1" applyBorder="1" applyAlignment="1">
      <alignment vertical="center"/>
    </xf>
    <xf numFmtId="1" fontId="12" fillId="3" borderId="12" xfId="0" applyNumberFormat="1" applyFont="1" applyFill="1" applyBorder="1" applyAlignment="1">
      <alignment vertical="center"/>
    </xf>
    <xf numFmtId="37" fontId="12" fillId="3" borderId="10" xfId="0" applyNumberFormat="1" applyFont="1" applyFill="1" applyBorder="1" applyAlignment="1">
      <alignment vertical="center"/>
    </xf>
    <xf numFmtId="37" fontId="13" fillId="3" borderId="10" xfId="0" applyNumberFormat="1" applyFont="1" applyFill="1" applyBorder="1" applyAlignment="1">
      <alignment horizontal="center" vertical="center"/>
    </xf>
    <xf numFmtId="37" fontId="12" fillId="3" borderId="10" xfId="0" applyNumberFormat="1" applyFont="1" applyFill="1" applyBorder="1" applyAlignment="1">
      <alignment horizontal="center" vertical="center"/>
    </xf>
    <xf numFmtId="37" fontId="12" fillId="3" borderId="11" xfId="0" applyNumberFormat="1" applyFont="1" applyFill="1" applyBorder="1" applyAlignment="1">
      <alignment horizontal="center" vertical="center"/>
    </xf>
    <xf numFmtId="37" fontId="12" fillId="3" borderId="9" xfId="0" applyNumberFormat="1" applyFont="1" applyFill="1" applyBorder="1" applyAlignment="1">
      <alignment horizontal="center" vertical="center"/>
    </xf>
    <xf numFmtId="37" fontId="12" fillId="3" borderId="12" xfId="0" applyNumberFormat="1" applyFont="1" applyFill="1" applyBorder="1" applyAlignment="1">
      <alignment horizontal="center" vertical="center"/>
    </xf>
    <xf numFmtId="1" fontId="12" fillId="2" borderId="0" xfId="0" applyNumberFormat="1" applyFont="1" applyFill="1" applyAlignment="1">
      <alignment vertical="center"/>
    </xf>
    <xf numFmtId="1" fontId="12" fillId="0" borderId="0" xfId="0" applyNumberFormat="1" applyFont="1" applyAlignment="1">
      <alignment vertical="center"/>
    </xf>
    <xf numFmtId="1" fontId="12" fillId="0" borderId="0" xfId="0" applyNumberFormat="1" applyFont="1"/>
    <xf numFmtId="37" fontId="12" fillId="0" borderId="1" xfId="1" applyNumberFormat="1" applyFont="1" applyBorder="1" applyAlignment="1">
      <alignment vertical="center"/>
    </xf>
    <xf numFmtId="37" fontId="12" fillId="0" borderId="2" xfId="1" applyNumberFormat="1" applyFont="1" applyBorder="1" applyAlignment="1">
      <alignment vertical="center"/>
    </xf>
    <xf numFmtId="37" fontId="13" fillId="0" borderId="2" xfId="1" applyNumberFormat="1" applyFont="1" applyBorder="1" applyAlignment="1">
      <alignment horizontal="center" vertical="center"/>
    </xf>
    <xf numFmtId="37" fontId="12" fillId="0" borderId="0" xfId="1" applyNumberFormat="1" applyFont="1" applyBorder="1" applyAlignment="1">
      <alignment vertical="center"/>
    </xf>
    <xf numFmtId="37" fontId="13" fillId="0" borderId="0" xfId="1" applyNumberFormat="1" applyFont="1" applyBorder="1" applyAlignment="1">
      <alignment vertical="center"/>
    </xf>
    <xf numFmtId="37" fontId="12" fillId="0" borderId="2" xfId="1" applyNumberFormat="1" applyFont="1" applyBorder="1" applyAlignment="1">
      <alignment horizontal="center" vertical="center"/>
    </xf>
    <xf numFmtId="37" fontId="12" fillId="0" borderId="0" xfId="1" applyNumberFormat="1" applyFont="1" applyBorder="1" applyAlignment="1">
      <alignment horizontal="center" vertical="center"/>
    </xf>
    <xf numFmtId="37" fontId="12" fillId="0" borderId="4" xfId="1" applyNumberFormat="1" applyFont="1" applyBorder="1" applyAlignment="1">
      <alignment horizontal="center" vertical="center"/>
    </xf>
    <xf numFmtId="37" fontId="13" fillId="3" borderId="9" xfId="1" applyNumberFormat="1" applyFont="1" applyFill="1" applyBorder="1" applyAlignment="1">
      <alignment vertical="center"/>
    </xf>
    <xf numFmtId="37" fontId="13" fillId="3" borderId="10" xfId="1" applyNumberFormat="1" applyFont="1" applyFill="1" applyBorder="1" applyAlignment="1">
      <alignment vertical="center"/>
    </xf>
    <xf numFmtId="37" fontId="13" fillId="3" borderId="11" xfId="1" applyNumberFormat="1" applyFont="1" applyFill="1" applyBorder="1" applyAlignment="1">
      <alignment vertical="center"/>
    </xf>
    <xf numFmtId="37" fontId="13" fillId="3" borderId="11" xfId="1" applyNumberFormat="1" applyFont="1" applyFill="1" applyBorder="1" applyAlignment="1">
      <alignment horizontal="center" vertical="center"/>
    </xf>
    <xf numFmtId="37" fontId="13" fillId="3" borderId="12" xfId="1" applyNumberFormat="1" applyFont="1" applyFill="1" applyBorder="1" applyAlignment="1">
      <alignment horizontal="center" vertical="center"/>
    </xf>
    <xf numFmtId="37" fontId="13" fillId="3" borderId="10" xfId="1" applyNumberFormat="1" applyFont="1" applyFill="1" applyBorder="1" applyAlignment="1">
      <alignment horizontal="center" vertical="center"/>
    </xf>
    <xf numFmtId="37" fontId="12" fillId="3" borderId="9" xfId="1" applyNumberFormat="1" applyFont="1" applyFill="1" applyBorder="1" applyAlignment="1">
      <alignment horizontal="center" vertical="center"/>
    </xf>
    <xf numFmtId="37" fontId="12" fillId="3" borderId="10" xfId="1" applyNumberFormat="1" applyFont="1" applyFill="1" applyBorder="1" applyAlignment="1">
      <alignment horizontal="center" vertical="center"/>
    </xf>
    <xf numFmtId="37" fontId="13" fillId="0" borderId="0" xfId="1" applyNumberFormat="1" applyFont="1" applyBorder="1" applyAlignment="1">
      <alignment horizontal="center" vertical="center"/>
    </xf>
    <xf numFmtId="37" fontId="13" fillId="0" borderId="5" xfId="1" applyNumberFormat="1" applyFont="1" applyBorder="1" applyAlignment="1">
      <alignment horizontal="center" vertical="center"/>
    </xf>
    <xf numFmtId="37" fontId="13" fillId="0" borderId="13" xfId="1" applyNumberFormat="1" applyFont="1" applyBorder="1" applyAlignment="1">
      <alignment horizontal="center" vertical="center"/>
    </xf>
    <xf numFmtId="37" fontId="13" fillId="0" borderId="14" xfId="1" applyNumberFormat="1" applyFont="1" applyBorder="1" applyAlignment="1">
      <alignment horizontal="center" vertical="center"/>
    </xf>
    <xf numFmtId="37" fontId="13" fillId="0" borderId="9" xfId="1" applyNumberFormat="1" applyFont="1" applyBorder="1" applyAlignment="1">
      <alignment vertical="center"/>
    </xf>
    <xf numFmtId="37" fontId="12" fillId="0" borderId="10" xfId="1" applyNumberFormat="1" applyFont="1" applyBorder="1" applyAlignment="1">
      <alignment vertical="center"/>
    </xf>
    <xf numFmtId="37" fontId="13" fillId="0" borderId="11" xfId="1" applyNumberFormat="1" applyFont="1" applyBorder="1" applyAlignment="1">
      <alignment horizontal="center" vertical="center"/>
    </xf>
    <xf numFmtId="37" fontId="13" fillId="0" borderId="12" xfId="1" applyNumberFormat="1" applyFont="1" applyBorder="1" applyAlignment="1">
      <alignment horizontal="center" vertical="center"/>
    </xf>
    <xf numFmtId="37" fontId="12" fillId="0" borderId="10" xfId="1" applyNumberFormat="1" applyFont="1" applyBorder="1" applyAlignment="1">
      <alignment horizontal="center" vertical="center"/>
    </xf>
    <xf numFmtId="37" fontId="12" fillId="0" borderId="9" xfId="1" applyNumberFormat="1" applyFont="1" applyBorder="1" applyAlignment="1">
      <alignment horizontal="center" vertical="center"/>
    </xf>
    <xf numFmtId="37" fontId="13" fillId="0" borderId="13" xfId="1" applyNumberFormat="1" applyFont="1" applyBorder="1" applyAlignment="1">
      <alignment vertical="center"/>
    </xf>
    <xf numFmtId="37" fontId="12" fillId="3" borderId="9" xfId="1" applyNumberFormat="1" applyFont="1" applyFill="1" applyBorder="1" applyAlignment="1">
      <alignment vertical="center"/>
    </xf>
    <xf numFmtId="37" fontId="12" fillId="3" borderId="10" xfId="1" applyNumberFormat="1" applyFont="1" applyFill="1" applyBorder="1" applyAlignment="1">
      <alignment vertical="center"/>
    </xf>
    <xf numFmtId="1" fontId="13" fillId="3" borderId="3" xfId="0" applyNumberFormat="1" applyFont="1" applyFill="1" applyBorder="1" applyAlignment="1">
      <alignment horizontal="center" vertical="center"/>
    </xf>
    <xf numFmtId="37" fontId="13" fillId="3" borderId="9" xfId="1" applyNumberFormat="1" applyFont="1" applyFill="1" applyBorder="1" applyAlignment="1">
      <alignment horizontal="center" vertical="center"/>
    </xf>
    <xf numFmtId="37" fontId="13" fillId="0" borderId="1" xfId="1" applyNumberFormat="1" applyFont="1" applyBorder="1" applyAlignment="1">
      <alignment vertical="center"/>
    </xf>
    <xf numFmtId="37" fontId="13" fillId="0" borderId="3" xfId="1" applyNumberFormat="1" applyFont="1" applyBorder="1" applyAlignment="1">
      <alignment horizontal="center" vertical="center"/>
    </xf>
    <xf numFmtId="37" fontId="13" fillId="0" borderId="4" xfId="1" applyNumberFormat="1" applyFont="1" applyBorder="1" applyAlignment="1">
      <alignment horizontal="center" vertical="center"/>
    </xf>
    <xf numFmtId="37" fontId="13" fillId="0" borderId="15" xfId="1" applyNumberFormat="1" applyFont="1" applyBorder="1" applyAlignment="1">
      <alignment horizontal="center" vertical="center"/>
    </xf>
    <xf numFmtId="1" fontId="12" fillId="0" borderId="0" xfId="0" applyNumberFormat="1" applyFont="1" applyBorder="1" applyAlignment="1">
      <alignment vertical="center"/>
    </xf>
    <xf numFmtId="1" fontId="12" fillId="0" borderId="0" xfId="0" applyNumberFormat="1" applyFont="1" applyBorder="1"/>
    <xf numFmtId="37" fontId="12" fillId="0" borderId="13" xfId="1" applyNumberFormat="1" applyFont="1" applyBorder="1" applyAlignment="1">
      <alignment horizontal="center" vertical="center"/>
    </xf>
    <xf numFmtId="37" fontId="13" fillId="0" borderId="5" xfId="1" applyNumberFormat="1" applyFont="1" applyBorder="1" applyAlignment="1">
      <alignment vertical="center"/>
    </xf>
    <xf numFmtId="37" fontId="12" fillId="0" borderId="6" xfId="1" applyNumberFormat="1" applyFont="1" applyBorder="1" applyAlignment="1">
      <alignment vertical="center"/>
    </xf>
    <xf numFmtId="37" fontId="13" fillId="0" borderId="7" xfId="1" applyNumberFormat="1" applyFont="1" applyBorder="1" applyAlignment="1">
      <alignment horizontal="center" vertical="center"/>
    </xf>
    <xf numFmtId="37" fontId="13" fillId="0" borderId="8" xfId="1" applyNumberFormat="1" applyFont="1" applyBorder="1" applyAlignment="1">
      <alignment horizontal="center" vertical="center"/>
    </xf>
    <xf numFmtId="37" fontId="12" fillId="0" borderId="6" xfId="1" applyNumberFormat="1" applyFont="1" applyBorder="1" applyAlignment="1">
      <alignment horizontal="center" vertical="center"/>
    </xf>
    <xf numFmtId="37" fontId="13" fillId="0" borderId="6" xfId="1" applyNumberFormat="1" applyFont="1" applyBorder="1" applyAlignment="1">
      <alignment horizontal="center" vertical="center"/>
    </xf>
    <xf numFmtId="37" fontId="13" fillId="0" borderId="9" xfId="1" applyNumberFormat="1" applyFont="1" applyBorder="1" applyAlignment="1">
      <alignment horizontal="center" vertical="center"/>
    </xf>
    <xf numFmtId="37" fontId="12" fillId="0" borderId="5" xfId="1" applyNumberFormat="1" applyFont="1" applyBorder="1" applyAlignment="1">
      <alignment horizontal="center" vertical="center"/>
    </xf>
    <xf numFmtId="37" fontId="12" fillId="0" borderId="13" xfId="1" applyNumberFormat="1" applyFont="1" applyBorder="1" applyAlignment="1">
      <alignment vertical="center"/>
    </xf>
    <xf numFmtId="37" fontId="12" fillId="0" borderId="15" xfId="1" applyNumberFormat="1" applyFont="1" applyBorder="1" applyAlignment="1">
      <alignment horizontal="center" vertical="center"/>
    </xf>
    <xf numFmtId="37" fontId="12" fillId="0" borderId="14" xfId="1" applyNumberFormat="1" applyFont="1" applyBorder="1" applyAlignment="1">
      <alignment horizontal="center" vertical="center"/>
    </xf>
    <xf numFmtId="37" fontId="12" fillId="0" borderId="8" xfId="1" applyNumberFormat="1" applyFont="1" applyBorder="1" applyAlignment="1">
      <alignment horizontal="center" vertical="center"/>
    </xf>
    <xf numFmtId="37" fontId="13" fillId="5" borderId="9" xfId="1" applyNumberFormat="1" applyFont="1" applyFill="1" applyBorder="1" applyAlignment="1">
      <alignment vertical="center"/>
    </xf>
    <xf numFmtId="37" fontId="13" fillId="5" borderId="10" xfId="1" applyNumberFormat="1" applyFont="1" applyFill="1" applyBorder="1" applyAlignment="1">
      <alignment vertical="center"/>
    </xf>
    <xf numFmtId="37" fontId="13" fillId="5" borderId="11" xfId="1" applyNumberFormat="1" applyFont="1" applyFill="1" applyBorder="1" applyAlignment="1">
      <alignment horizontal="center" vertical="center"/>
    </xf>
    <xf numFmtId="37" fontId="13" fillId="5" borderId="12" xfId="1" applyNumberFormat="1" applyFont="1" applyFill="1" applyBorder="1" applyAlignment="1">
      <alignment horizontal="center" vertical="center"/>
    </xf>
    <xf numFmtId="37" fontId="12" fillId="5" borderId="10" xfId="1" applyNumberFormat="1" applyFont="1" applyFill="1" applyBorder="1" applyAlignment="1">
      <alignment horizontal="center" vertical="center"/>
    </xf>
    <xf numFmtId="37" fontId="13" fillId="5" borderId="10" xfId="1" applyNumberFormat="1" applyFont="1" applyFill="1" applyBorder="1" applyAlignment="1">
      <alignment horizontal="center" vertical="center"/>
    </xf>
    <xf numFmtId="37" fontId="12" fillId="0" borderId="0" xfId="1" applyNumberFormat="1" applyFont="1" applyAlignment="1">
      <alignment vertical="center"/>
    </xf>
    <xf numFmtId="37" fontId="13" fillId="0" borderId="0" xfId="1" applyNumberFormat="1" applyFont="1" applyAlignment="1">
      <alignment horizontal="center" vertical="center"/>
    </xf>
    <xf numFmtId="37" fontId="12" fillId="0" borderId="0" xfId="1" applyNumberFormat="1" applyFont="1" applyAlignment="1">
      <alignment horizontal="center" vertical="center"/>
    </xf>
    <xf numFmtId="37" fontId="12" fillId="2" borderId="0" xfId="1" applyNumberFormat="1" applyFont="1" applyFill="1" applyAlignment="1">
      <alignment horizontal="center" vertical="center"/>
    </xf>
    <xf numFmtId="37" fontId="12" fillId="3" borderId="12" xfId="1" applyNumberFormat="1" applyFont="1" applyFill="1" applyBorder="1" applyAlignment="1">
      <alignment horizontal="center" vertical="center"/>
    </xf>
    <xf numFmtId="1" fontId="12" fillId="2" borderId="0" xfId="0" applyNumberFormat="1" applyFont="1" applyFill="1" applyAlignment="1">
      <alignment horizontal="center" vertical="center"/>
    </xf>
    <xf numFmtId="37" fontId="12" fillId="0" borderId="13" xfId="1" applyNumberFormat="1" applyFont="1" applyFill="1" applyBorder="1" applyAlignment="1">
      <alignment vertical="center"/>
    </xf>
    <xf numFmtId="37" fontId="12" fillId="0" borderId="0" xfId="1" applyNumberFormat="1" applyFont="1" applyFill="1" applyBorder="1" applyAlignment="1">
      <alignment vertical="center"/>
    </xf>
    <xf numFmtId="37" fontId="13" fillId="0" borderId="15" xfId="1" applyNumberFormat="1" applyFont="1" applyFill="1" applyBorder="1" applyAlignment="1">
      <alignment horizontal="center" vertical="center"/>
    </xf>
    <xf numFmtId="37" fontId="13" fillId="0" borderId="13" xfId="1" applyNumberFormat="1" applyFont="1" applyFill="1" applyBorder="1" applyAlignment="1">
      <alignment horizontal="center" vertical="center"/>
    </xf>
    <xf numFmtId="37" fontId="12" fillId="0" borderId="3" xfId="1" applyNumberFormat="1" applyFont="1" applyFill="1" applyBorder="1" applyAlignment="1">
      <alignment horizontal="center" vertical="center"/>
    </xf>
    <xf numFmtId="37" fontId="12" fillId="0" borderId="0" xfId="1" applyNumberFormat="1" applyFont="1" applyFill="1" applyBorder="1" applyAlignment="1">
      <alignment horizontal="center" vertical="center"/>
    </xf>
    <xf numFmtId="37" fontId="13" fillId="0" borderId="0" xfId="1" applyNumberFormat="1" applyFont="1" applyFill="1" applyBorder="1" applyAlignment="1">
      <alignment horizontal="center" vertical="center"/>
    </xf>
    <xf numFmtId="37" fontId="13" fillId="0" borderId="1" xfId="1" applyNumberFormat="1" applyFont="1" applyFill="1" applyBorder="1" applyAlignment="1">
      <alignment horizontal="center" vertical="center"/>
    </xf>
    <xf numFmtId="37" fontId="13" fillId="0" borderId="3" xfId="1" applyNumberFormat="1" applyFont="1" applyFill="1" applyBorder="1" applyAlignment="1">
      <alignment horizontal="center" vertical="center"/>
    </xf>
    <xf numFmtId="37" fontId="13" fillId="0" borderId="14" xfId="1" applyNumberFormat="1" applyFont="1" applyFill="1" applyBorder="1" applyAlignment="1">
      <alignment horizontal="center" vertical="center"/>
    </xf>
    <xf numFmtId="1" fontId="12" fillId="0" borderId="0" xfId="0" applyNumberFormat="1" applyFont="1" applyFill="1" applyAlignment="1">
      <alignment horizontal="center" vertical="center"/>
    </xf>
    <xf numFmtId="1" fontId="12" fillId="0" borderId="0" xfId="0" applyNumberFormat="1" applyFont="1" applyFill="1" applyBorder="1" applyAlignment="1">
      <alignment vertical="center"/>
    </xf>
    <xf numFmtId="1" fontId="12" fillId="0" borderId="0" xfId="0" applyNumberFormat="1" applyFont="1" applyFill="1" applyAlignment="1">
      <alignment vertical="center"/>
    </xf>
    <xf numFmtId="1" fontId="12" fillId="0" borderId="0" xfId="0" applyNumberFormat="1" applyFont="1" applyFill="1"/>
    <xf numFmtId="37" fontId="12" fillId="6" borderId="13" xfId="1" applyNumberFormat="1" applyFont="1" applyFill="1" applyBorder="1" applyAlignment="1">
      <alignment vertical="center"/>
    </xf>
    <xf numFmtId="1" fontId="12" fillId="6" borderId="0" xfId="0" applyNumberFormat="1" applyFont="1" applyFill="1" applyAlignment="1">
      <alignment vertical="center"/>
    </xf>
    <xf numFmtId="37" fontId="13" fillId="6" borderId="15" xfId="1" applyNumberFormat="1" applyFont="1" applyFill="1" applyBorder="1" applyAlignment="1">
      <alignment horizontal="center" vertical="center"/>
    </xf>
    <xf numFmtId="37" fontId="12" fillId="6" borderId="13" xfId="1" applyNumberFormat="1" applyFont="1" applyFill="1" applyBorder="1" applyAlignment="1">
      <alignment horizontal="center" vertical="center"/>
    </xf>
    <xf numFmtId="37" fontId="12" fillId="6" borderId="15" xfId="1" applyNumberFormat="1" applyFont="1" applyFill="1" applyBorder="1" applyAlignment="1">
      <alignment horizontal="center" vertical="center"/>
    </xf>
    <xf numFmtId="37" fontId="12" fillId="6" borderId="0" xfId="1" applyNumberFormat="1" applyFont="1" applyFill="1" applyBorder="1" applyAlignment="1">
      <alignment horizontal="center" vertical="center"/>
    </xf>
    <xf numFmtId="37" fontId="13" fillId="6" borderId="0" xfId="1" applyNumberFormat="1" applyFont="1" applyFill="1" applyBorder="1" applyAlignment="1">
      <alignment horizontal="center" vertical="center"/>
    </xf>
    <xf numFmtId="37" fontId="13" fillId="6" borderId="13" xfId="1" applyNumberFormat="1" applyFont="1" applyFill="1" applyBorder="1" applyAlignment="1">
      <alignment horizontal="center" vertical="center"/>
    </xf>
    <xf numFmtId="37" fontId="13" fillId="6" borderId="14" xfId="1" applyNumberFormat="1" applyFont="1" applyFill="1" applyBorder="1" applyAlignment="1">
      <alignment horizontal="center" vertical="center"/>
    </xf>
    <xf numFmtId="37" fontId="12" fillId="6" borderId="0" xfId="1" applyNumberFormat="1" applyFont="1" applyFill="1" applyBorder="1" applyAlignment="1">
      <alignment vertical="center"/>
    </xf>
    <xf numFmtId="1" fontId="12" fillId="0" borderId="15" xfId="0" applyNumberFormat="1" applyFont="1" applyBorder="1" applyAlignment="1">
      <alignment vertical="center"/>
    </xf>
    <xf numFmtId="37" fontId="12" fillId="0" borderId="7" xfId="1" applyNumberFormat="1" applyFont="1" applyBorder="1" applyAlignment="1">
      <alignment horizontal="center" vertical="center"/>
    </xf>
    <xf numFmtId="37" fontId="13" fillId="5" borderId="9" xfId="1" applyNumberFormat="1" applyFont="1" applyFill="1" applyBorder="1" applyAlignment="1">
      <alignment horizontal="center" vertical="center"/>
    </xf>
    <xf numFmtId="37" fontId="13" fillId="0" borderId="10" xfId="1" applyNumberFormat="1" applyFont="1" applyBorder="1" applyAlignment="1">
      <alignment horizontal="center" vertical="center"/>
    </xf>
    <xf numFmtId="37" fontId="13" fillId="2" borderId="15" xfId="1" applyNumberFormat="1" applyFont="1" applyFill="1" applyBorder="1" applyAlignment="1">
      <alignment horizontal="center" vertical="center"/>
    </xf>
    <xf numFmtId="37" fontId="13" fillId="2" borderId="13" xfId="1" applyNumberFormat="1" applyFont="1" applyFill="1" applyBorder="1" applyAlignment="1">
      <alignment horizontal="center" vertical="center"/>
    </xf>
    <xf numFmtId="37" fontId="13" fillId="2" borderId="0" xfId="1" applyNumberFormat="1" applyFont="1" applyFill="1" applyBorder="1" applyAlignment="1">
      <alignment horizontal="center" vertical="center"/>
    </xf>
    <xf numFmtId="37" fontId="13" fillId="2" borderId="14" xfId="1" applyNumberFormat="1" applyFont="1" applyFill="1" applyBorder="1" applyAlignment="1">
      <alignment horizontal="center" vertical="center"/>
    </xf>
    <xf numFmtId="37" fontId="12" fillId="5" borderId="11" xfId="1" applyNumberFormat="1" applyFont="1" applyFill="1" applyBorder="1" applyAlignment="1">
      <alignment horizontal="center" vertical="center"/>
    </xf>
    <xf numFmtId="37" fontId="12" fillId="0" borderId="3" xfId="1" applyNumberFormat="1" applyFont="1" applyBorder="1" applyAlignment="1">
      <alignment horizontal="center" vertical="center"/>
    </xf>
    <xf numFmtId="37" fontId="13" fillId="0" borderId="1" xfId="1" applyNumberFormat="1" applyFont="1" applyBorder="1" applyAlignment="1">
      <alignment horizontal="center" vertical="center"/>
    </xf>
    <xf numFmtId="37" fontId="13" fillId="0" borderId="13" xfId="1" applyNumberFormat="1" applyFont="1" applyBorder="1"/>
    <xf numFmtId="39" fontId="12" fillId="0" borderId="0" xfId="0" applyNumberFormat="1" applyFont="1" applyAlignment="1">
      <alignment vertical="center"/>
    </xf>
    <xf numFmtId="39" fontId="13" fillId="0" borderId="0" xfId="0" applyNumberFormat="1" applyFont="1" applyAlignment="1">
      <alignment horizontal="center" vertical="center"/>
    </xf>
    <xf numFmtId="39" fontId="12" fillId="0" borderId="2" xfId="0" applyNumberFormat="1" applyFont="1" applyBorder="1" applyAlignment="1">
      <alignment vertical="center"/>
    </xf>
    <xf numFmtId="39" fontId="12" fillId="0" borderId="0" xfId="0" applyNumberFormat="1" applyFont="1" applyBorder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37" fontId="12" fillId="0" borderId="0" xfId="0" applyNumberFormat="1" applyFont="1"/>
    <xf numFmtId="37" fontId="12" fillId="0" borderId="0" xfId="0" applyNumberFormat="1" applyFont="1" applyBorder="1"/>
    <xf numFmtId="0" fontId="12" fillId="2" borderId="0" xfId="0" applyFont="1" applyFill="1"/>
    <xf numFmtId="0" fontId="4" fillId="7" borderId="9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Today tota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99060</xdr:colOff>
          <xdr:row>1</xdr:row>
          <xdr:rowOff>53340</xdr:rowOff>
        </xdr:from>
        <xdr:to>
          <xdr:col>35</xdr:col>
          <xdr:colOff>472440</xdr:colOff>
          <xdr:row>3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EVaR 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419100</xdr:colOff>
          <xdr:row>1</xdr:row>
          <xdr:rowOff>7620</xdr:rowOff>
        </xdr:from>
        <xdr:to>
          <xdr:col>35</xdr:col>
          <xdr:colOff>91440</xdr:colOff>
          <xdr:row>3</xdr:row>
          <xdr:rowOff>22860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VaRAndOffPeak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VAR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wer\v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A/delta%20yearl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A/delta%20month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rporate\erv\websave4.xla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NewVARQue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E. VaR &amp; Peak Pos By Trader"/>
      <sheetName val="E. VaR &amp; Off-Peak Pos By Trader"/>
      <sheetName val="Peak Change"/>
      <sheetName val="sprdoptgas position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3">
          <cell r="E3">
            <v>0</v>
          </cell>
          <cell r="F3">
            <v>-0.15384223316703</v>
          </cell>
          <cell r="G3">
            <v>-2291.3327462805055</v>
          </cell>
          <cell r="H3">
            <v>-2291.4865885136724</v>
          </cell>
          <cell r="I3">
            <v>-54780.929521559243</v>
          </cell>
          <cell r="J3">
            <v>-38614.703300733854</v>
          </cell>
          <cell r="K3">
            <v>-26194.9571660771</v>
          </cell>
          <cell r="L3">
            <v>-126171.90496311079</v>
          </cell>
          <cell r="M3">
            <v>-431725.0281802488</v>
          </cell>
          <cell r="N3">
            <v>-40222.442862376636</v>
          </cell>
          <cell r="O3">
            <v>-82582.725466856122</v>
          </cell>
          <cell r="P3">
            <v>-800292.69146096264</v>
          </cell>
          <cell r="Q3">
            <v>-826351.56441491586</v>
          </cell>
          <cell r="R3">
            <v>0</v>
          </cell>
        </row>
        <row r="4">
          <cell r="E4">
            <v>0</v>
          </cell>
          <cell r="F4">
            <v>-49517.774942058997</v>
          </cell>
          <cell r="G4">
            <v>-65258.368944867092</v>
          </cell>
          <cell r="H4">
            <v>-114776.14388692609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</row>
        <row r="5">
          <cell r="E5">
            <v>0</v>
          </cell>
          <cell r="F5">
            <v>-26.993700225601199</v>
          </cell>
          <cell r="G5">
            <v>-28766.943986721068</v>
          </cell>
          <cell r="H5">
            <v>-28793.937686946669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158163.09374510401</v>
          </cell>
          <cell r="M6">
            <v>411666.43094238499</v>
          </cell>
          <cell r="N6">
            <v>116892.29246512199</v>
          </cell>
          <cell r="O6">
            <v>0</v>
          </cell>
          <cell r="P6">
            <v>686721.81715261098</v>
          </cell>
          <cell r="Q6">
            <v>0</v>
          </cell>
          <cell r="R6">
            <v>0</v>
          </cell>
        </row>
        <row r="7">
          <cell r="E7">
            <v>0</v>
          </cell>
          <cell r="F7">
            <v>0.92750367202546402</v>
          </cell>
          <cell r="G7">
            <v>4143.5022443713597</v>
          </cell>
          <cell r="H7">
            <v>4144.4297480433852</v>
          </cell>
          <cell r="I7">
            <v>72555.103977525869</v>
          </cell>
          <cell r="J7">
            <v>54948.933320646582</v>
          </cell>
          <cell r="K7">
            <v>35594.973905492348</v>
          </cell>
          <cell r="L7">
            <v>88673.199864465409</v>
          </cell>
          <cell r="M7">
            <v>496266.58676220861</v>
          </cell>
          <cell r="N7">
            <v>51698.170762894712</v>
          </cell>
          <cell r="O7">
            <v>103261.89146484947</v>
          </cell>
          <cell r="P7">
            <v>902998.86005808297</v>
          </cell>
          <cell r="Q7">
            <v>0</v>
          </cell>
          <cell r="R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-776331.01320849499</v>
          </cell>
          <cell r="J10">
            <v>-805807.64269455697</v>
          </cell>
          <cell r="K10">
            <v>-406361.36154096201</v>
          </cell>
          <cell r="L10">
            <v>-413790.16301151703</v>
          </cell>
          <cell r="M10">
            <v>-808223.24418234301</v>
          </cell>
          <cell r="N10">
            <v>-410855.19947575202</v>
          </cell>
          <cell r="O10">
            <v>-1210432.141538583</v>
          </cell>
          <cell r="P10">
            <v>-4831800.7656522095</v>
          </cell>
          <cell r="Q10">
            <v>-4660726.4598719142</v>
          </cell>
          <cell r="R10">
            <v>-4425514.2477619238</v>
          </cell>
          <cell r="S10">
            <v>-8140753.5260091517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-134640.51361140664</v>
          </cell>
          <cell r="J11">
            <v>-136247.06295814252</v>
          </cell>
          <cell r="K11">
            <v>-78304.119852170377</v>
          </cell>
          <cell r="L11">
            <v>-77561.251174725272</v>
          </cell>
          <cell r="M11">
            <v>-166548.67373527045</v>
          </cell>
          <cell r="N11">
            <v>-72836.874687166623</v>
          </cell>
          <cell r="O11">
            <v>-196699.19557119935</v>
          </cell>
          <cell r="P11">
            <v>-862837.6915900812</v>
          </cell>
          <cell r="Q11">
            <v>0</v>
          </cell>
          <cell r="R11">
            <v>0</v>
          </cell>
          <cell r="S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215297.19930356211</v>
          </cell>
          <cell r="J12">
            <v>221707.3884423406</v>
          </cell>
          <cell r="K12">
            <v>112383.20336960829</v>
          </cell>
          <cell r="L12">
            <v>108531.2484698779</v>
          </cell>
          <cell r="M12">
            <v>223522.03190418941</v>
          </cell>
          <cell r="N12">
            <v>107761.4494624972</v>
          </cell>
          <cell r="O12">
            <v>328755.70971222722</v>
          </cell>
          <cell r="P12">
            <v>1317958.2306643026</v>
          </cell>
          <cell r="Q12">
            <v>103233.93091532429</v>
          </cell>
          <cell r="R12">
            <v>0</v>
          </cell>
          <cell r="S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-247895.42359149325</v>
          </cell>
          <cell r="J13">
            <v>-253793.88567601348</v>
          </cell>
          <cell r="K13">
            <v>-170067.0334596996</v>
          </cell>
          <cell r="L13">
            <v>-180066.422084969</v>
          </cell>
          <cell r="M13">
            <v>-429323.50370057736</v>
          </cell>
          <cell r="N13">
            <v>-142288.52209830459</v>
          </cell>
          <cell r="O13">
            <v>-335820.18192497757</v>
          </cell>
          <cell r="P13">
            <v>-1759254.9725360346</v>
          </cell>
          <cell r="Q13">
            <v>-776575.88021187484</v>
          </cell>
          <cell r="R13">
            <v>0</v>
          </cell>
          <cell r="S1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. VaR &amp; Peak Pos By Trader "/>
      <sheetName val="E. VaR &amp; Off-Peak Pos By T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 Yearly"/>
    </sheetNames>
    <sheetDataSet>
      <sheetData sheetId="0">
        <row r="1">
          <cell r="B1">
            <v>2002</v>
          </cell>
          <cell r="C1">
            <v>0</v>
          </cell>
          <cell r="D1">
            <v>2003</v>
          </cell>
          <cell r="E1">
            <v>0</v>
          </cell>
          <cell r="F1">
            <v>2004</v>
          </cell>
          <cell r="G1">
            <v>0</v>
          </cell>
          <cell r="H1">
            <v>2005</v>
          </cell>
          <cell r="I1">
            <v>0</v>
          </cell>
          <cell r="J1">
            <v>2006</v>
          </cell>
          <cell r="K1">
            <v>0</v>
          </cell>
          <cell r="L1">
            <v>2007</v>
          </cell>
          <cell r="M1">
            <v>0</v>
          </cell>
          <cell r="N1">
            <v>2008</v>
          </cell>
          <cell r="O1">
            <v>0</v>
          </cell>
          <cell r="P1">
            <v>2009</v>
          </cell>
          <cell r="Q1">
            <v>0</v>
          </cell>
          <cell r="R1">
            <v>2010</v>
          </cell>
          <cell r="S1">
            <v>0</v>
          </cell>
          <cell r="T1">
            <v>2011</v>
          </cell>
          <cell r="U1">
            <v>0</v>
          </cell>
          <cell r="V1">
            <v>2012</v>
          </cell>
          <cell r="W1">
            <v>0</v>
          </cell>
          <cell r="X1">
            <v>2013</v>
          </cell>
          <cell r="Y1">
            <v>0</v>
          </cell>
          <cell r="Z1">
            <v>2014</v>
          </cell>
          <cell r="AA1">
            <v>0</v>
          </cell>
          <cell r="AB1">
            <v>2015</v>
          </cell>
          <cell r="AC1">
            <v>0</v>
          </cell>
          <cell r="AD1">
            <v>0</v>
          </cell>
        </row>
        <row r="2">
          <cell r="A2" t="str">
            <v>Desk</v>
          </cell>
          <cell r="B2" t="str">
            <v>Pk Delta</v>
          </cell>
          <cell r="C2" t="str">
            <v>OPk Delta</v>
          </cell>
          <cell r="D2" t="str">
            <v>Pk Delta</v>
          </cell>
          <cell r="E2" t="str">
            <v>OPk Delta</v>
          </cell>
          <cell r="F2" t="str">
            <v>Pk Delta</v>
          </cell>
          <cell r="G2" t="str">
            <v>OPk Delta</v>
          </cell>
          <cell r="H2" t="str">
            <v>Pk Delta</v>
          </cell>
          <cell r="I2" t="str">
            <v>OPk Delta</v>
          </cell>
          <cell r="J2" t="str">
            <v>Pk Delta</v>
          </cell>
          <cell r="K2" t="str">
            <v>OPk Delta</v>
          </cell>
          <cell r="L2" t="str">
            <v>Pk Delta</v>
          </cell>
          <cell r="M2" t="str">
            <v>OPk Delta</v>
          </cell>
          <cell r="N2" t="str">
            <v>Pk Delta</v>
          </cell>
          <cell r="O2" t="str">
            <v>OPk Delta</v>
          </cell>
          <cell r="P2" t="str">
            <v>Pk Delta</v>
          </cell>
          <cell r="Q2" t="str">
            <v>OPk Delta</v>
          </cell>
          <cell r="R2" t="str">
            <v>Pk Delta</v>
          </cell>
          <cell r="S2" t="str">
            <v>OPk Delta</v>
          </cell>
          <cell r="T2" t="str">
            <v>Pk Delta</v>
          </cell>
          <cell r="U2" t="str">
            <v>OPk Delta</v>
          </cell>
          <cell r="V2" t="str">
            <v>Pk Delta</v>
          </cell>
          <cell r="W2" t="str">
            <v>OPk Delta</v>
          </cell>
          <cell r="X2" t="str">
            <v>Pk Delta</v>
          </cell>
          <cell r="Y2" t="str">
            <v>OPk Delta</v>
          </cell>
          <cell r="Z2" t="str">
            <v>Pk Delta</v>
          </cell>
          <cell r="AA2" t="str">
            <v>OPk Delta</v>
          </cell>
          <cell r="AB2" t="str">
            <v>Pk Delta</v>
          </cell>
          <cell r="AC2" t="str">
            <v>OPk Delta</v>
          </cell>
          <cell r="AD2" t="str">
            <v>Total</v>
          </cell>
        </row>
        <row r="3">
          <cell r="A3" t="str">
            <v>EPMI-ERCOT-ANLY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</row>
        <row r="4">
          <cell r="A4" t="str">
            <v>EPMI-ERCOT-ASST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A5" t="str">
            <v>EPMI-ERCOT-MGMT</v>
          </cell>
          <cell r="B5">
            <v>0</v>
          </cell>
          <cell r="C5">
            <v>0</v>
          </cell>
          <cell r="D5">
            <v>259803.35372809539</v>
          </cell>
          <cell r="E5">
            <v>-1159738.7527895791</v>
          </cell>
          <cell r="F5">
            <v>-133961.41651610579</v>
          </cell>
          <cell r="G5">
            <v>-539424.4179317666</v>
          </cell>
          <cell r="H5">
            <v>830470.05001246417</v>
          </cell>
          <cell r="I5">
            <v>785524.89392731152</v>
          </cell>
          <cell r="J5">
            <v>-160138.01848685273</v>
          </cell>
          <cell r="K5">
            <v>482313.90252951492</v>
          </cell>
          <cell r="L5">
            <v>-74289.668976879562</v>
          </cell>
          <cell r="M5">
            <v>-77509.397323321187</v>
          </cell>
          <cell r="N5">
            <v>-70057.887842347205</v>
          </cell>
          <cell r="O5">
            <v>-72997.281269246494</v>
          </cell>
          <cell r="P5">
            <v>-57226.086649649078</v>
          </cell>
          <cell r="Q5">
            <v>-60246.871111035362</v>
          </cell>
          <cell r="R5">
            <v>-71431.617506033304</v>
          </cell>
          <cell r="S5">
            <v>-78913.507111516461</v>
          </cell>
          <cell r="T5">
            <v>-6800.6101283467278</v>
          </cell>
          <cell r="U5">
            <v>-5510.3715378121015</v>
          </cell>
          <cell r="V5">
            <v>-6389.1386557200531</v>
          </cell>
          <cell r="W5">
            <v>-5203.1605465495213</v>
          </cell>
          <cell r="X5">
            <v>-6016.8543314907511</v>
          </cell>
          <cell r="Y5">
            <v>-4868.1929275085777</v>
          </cell>
          <cell r="Z5">
            <v>-5652.6698568779584</v>
          </cell>
          <cell r="AA5">
            <v>-4574.0711863048764</v>
          </cell>
          <cell r="AB5">
            <v>0</v>
          </cell>
          <cell r="AC5">
            <v>0</v>
          </cell>
          <cell r="AD5">
            <v>-242837.79248755748</v>
          </cell>
        </row>
        <row r="6">
          <cell r="A6" t="str">
            <v>EPMI-ERCOT-OFF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A7" t="str">
            <v>EPMI-ERCOT-OPTN</v>
          </cell>
          <cell r="B7">
            <v>0</v>
          </cell>
          <cell r="C7">
            <v>0</v>
          </cell>
          <cell r="D7">
            <v>-45600.147467500923</v>
          </cell>
          <cell r="E7">
            <v>-20086.923865478639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-65687.071332979569</v>
          </cell>
        </row>
        <row r="8">
          <cell r="A8" t="str">
            <v>EPMI-HRLY-ASSOC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EPMI-HRLY-ERCOT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EPMI-HRLY-MW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EPMI-HRLY-NE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A12" t="str">
            <v>EPMI-HRLY-NENG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EPMI-HRLY-NY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EPMI-HRLY-PJM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EPMI-HRLY-SE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 t="str">
            <v xml:space="preserve"> </v>
          </cell>
        </row>
        <row r="16">
          <cell r="A16" t="str">
            <v>EPMI-HRLY-SE-MG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EPMI-LT-ERCOT</v>
          </cell>
          <cell r="B17">
            <v>0</v>
          </cell>
          <cell r="C17">
            <v>0</v>
          </cell>
          <cell r="D17">
            <v>421558.97673886642</v>
          </cell>
          <cell r="E17">
            <v>-443878.71046399069</v>
          </cell>
          <cell r="F17">
            <v>-556347.90270779678</v>
          </cell>
          <cell r="G17">
            <v>0</v>
          </cell>
          <cell r="H17">
            <v>-173831.4909838578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-752499.12741677882</v>
          </cell>
        </row>
        <row r="18">
          <cell r="A18" t="str">
            <v>EPMI-LT-HED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EPMI-LT-MGMT</v>
          </cell>
          <cell r="B19">
            <v>0</v>
          </cell>
          <cell r="C19">
            <v>0</v>
          </cell>
          <cell r="D19">
            <v>-1013397.2027968596</v>
          </cell>
          <cell r="E19">
            <v>-665912.22537452541</v>
          </cell>
          <cell r="F19">
            <v>-61639.589586780043</v>
          </cell>
          <cell r="G19">
            <v>-642564.61779200425</v>
          </cell>
          <cell r="H19">
            <v>-74164.821702756133</v>
          </cell>
          <cell r="I19">
            <v>185682.06465825686</v>
          </cell>
          <cell r="J19">
            <v>-76178.014608991201</v>
          </cell>
          <cell r="K19">
            <v>175416.97476934153</v>
          </cell>
          <cell r="L19">
            <v>-75736.748463733093</v>
          </cell>
          <cell r="M19">
            <v>-12114.540239101885</v>
          </cell>
          <cell r="N19">
            <v>-69338.292803535267</v>
          </cell>
          <cell r="O19">
            <v>-11423.916563756704</v>
          </cell>
          <cell r="P19">
            <v>-4142.5267615179246</v>
          </cell>
          <cell r="Q19">
            <v>-5989.6340297036768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-2351503.091295667</v>
          </cell>
        </row>
        <row r="20">
          <cell r="A20" t="str">
            <v>EPMI-LT-NEMGMT</v>
          </cell>
          <cell r="B20">
            <v>0</v>
          </cell>
          <cell r="C20">
            <v>0</v>
          </cell>
          <cell r="D20">
            <v>735196.01036104525</v>
          </cell>
          <cell r="E20">
            <v>440484.80566357938</v>
          </cell>
          <cell r="F20">
            <v>190511.09192335879</v>
          </cell>
          <cell r="G20">
            <v>-4221.2970534511296</v>
          </cell>
          <cell r="H20">
            <v>58576.421192451198</v>
          </cell>
          <cell r="I20">
            <v>155478.45561577304</v>
          </cell>
          <cell r="J20">
            <v>326774.08037445776</v>
          </cell>
          <cell r="K20">
            <v>-3692.99770000939</v>
          </cell>
          <cell r="L20">
            <v>-154385.4306511475</v>
          </cell>
          <cell r="M20">
            <v>-114549.39291152643</v>
          </cell>
          <cell r="N20">
            <v>0</v>
          </cell>
          <cell r="O20">
            <v>-3257.0873781408</v>
          </cell>
          <cell r="P20">
            <v>40962.736457781328</v>
          </cell>
          <cell r="Q20">
            <v>-3047.1586170437599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1664830.237277128</v>
          </cell>
        </row>
        <row r="21">
          <cell r="A21" t="str">
            <v>EPMI-LT-NENG</v>
          </cell>
          <cell r="B21">
            <v>0</v>
          </cell>
          <cell r="C21">
            <v>0</v>
          </cell>
          <cell r="D21">
            <v>-651956.22871892736</v>
          </cell>
          <cell r="E21">
            <v>-199230.20326378316</v>
          </cell>
          <cell r="F21">
            <v>114789.46711413033</v>
          </cell>
          <cell r="G21">
            <v>-530660.00309572613</v>
          </cell>
          <cell r="H21">
            <v>-506145.48832689004</v>
          </cell>
          <cell r="I21">
            <v>-737735.51094596169</v>
          </cell>
          <cell r="J21">
            <v>-194360.36753368145</v>
          </cell>
          <cell r="K21">
            <v>7273.4312699752645</v>
          </cell>
          <cell r="L21">
            <v>15687.165823692989</v>
          </cell>
          <cell r="M21">
            <v>62816.266693867583</v>
          </cell>
          <cell r="N21">
            <v>133915.33199237951</v>
          </cell>
          <cell r="O21">
            <v>179885.30079363813</v>
          </cell>
          <cell r="P21">
            <v>-27647.93306383957</v>
          </cell>
          <cell r="Q21">
            <v>-347.04214625979404</v>
          </cell>
          <cell r="R21">
            <v>64524.972568448728</v>
          </cell>
          <cell r="S21">
            <v>-72619.901006682019</v>
          </cell>
          <cell r="T21">
            <v>358.05287889108189</v>
          </cell>
          <cell r="U21">
            <v>410.62160574138608</v>
          </cell>
          <cell r="V21">
            <v>336.45006623459437</v>
          </cell>
          <cell r="W21">
            <v>387.82443483669897</v>
          </cell>
          <cell r="X21">
            <v>318.02207705462189</v>
          </cell>
          <cell r="Y21">
            <v>360.88050449079503</v>
          </cell>
          <cell r="Z21">
            <v>298.21632159785821</v>
          </cell>
          <cell r="AA21">
            <v>339.67533032176385</v>
          </cell>
          <cell r="AB21">
            <v>216.38560480493476</v>
          </cell>
          <cell r="AC21">
            <v>259.0227778315288</v>
          </cell>
          <cell r="AD21">
            <v>-2338525.5902438136</v>
          </cell>
        </row>
        <row r="22">
          <cell r="A22" t="str">
            <v>EPMI-LT-NY</v>
          </cell>
          <cell r="B22">
            <v>0</v>
          </cell>
          <cell r="C22">
            <v>0</v>
          </cell>
          <cell r="D22">
            <v>16246.03275095237</v>
          </cell>
          <cell r="E22">
            <v>-444578.41789748927</v>
          </cell>
          <cell r="F22">
            <v>0</v>
          </cell>
          <cell r="G22">
            <v>-211158.14994032239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-639490.53508685925</v>
          </cell>
        </row>
        <row r="23">
          <cell r="A23" t="str">
            <v>EPMI-LT-ONTARIO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EPMI-LT-OPTION</v>
          </cell>
          <cell r="B24">
            <v>0</v>
          </cell>
          <cell r="C24">
            <v>0</v>
          </cell>
          <cell r="D24">
            <v>-36289.927618741422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-36289.927618741422</v>
          </cell>
        </row>
        <row r="25">
          <cell r="A25" t="str">
            <v>EPMI-LT-OPTIONA</v>
          </cell>
          <cell r="B25">
            <v>0</v>
          </cell>
          <cell r="C25">
            <v>0</v>
          </cell>
          <cell r="D25">
            <v>8777.8983024119098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8777.8983024119098</v>
          </cell>
        </row>
        <row r="26">
          <cell r="A26" t="str">
            <v>EPMI-LT-OPTIONB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EPMI-LT-OPTY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EPMI-LT-OPTZ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EPMI-LT-PJM</v>
          </cell>
          <cell r="B29">
            <v>0</v>
          </cell>
          <cell r="C29">
            <v>0</v>
          </cell>
          <cell r="D29">
            <v>-701962.07003242022</v>
          </cell>
          <cell r="E29">
            <v>-95349.592098113513</v>
          </cell>
          <cell r="F29">
            <v>790096.12471438851</v>
          </cell>
          <cell r="G29">
            <v>-777061.99178038444</v>
          </cell>
          <cell r="H29">
            <v>230720.45976424945</v>
          </cell>
          <cell r="I29">
            <v>-1333132.8335585548</v>
          </cell>
          <cell r="J29">
            <v>47216.246186290518</v>
          </cell>
          <cell r="K29">
            <v>-1447741.0648910371</v>
          </cell>
          <cell r="L29">
            <v>-262715.19965455646</v>
          </cell>
          <cell r="M29">
            <v>-474368.87733414437</v>
          </cell>
          <cell r="N29">
            <v>43584.1238429191</v>
          </cell>
          <cell r="O29">
            <v>-29988.5580969693</v>
          </cell>
          <cell r="P29">
            <v>-68271.227429635575</v>
          </cell>
          <cell r="Q29">
            <v>-28046.029299158421</v>
          </cell>
          <cell r="R29">
            <v>-128281.90105774879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-4235302.390724875</v>
          </cell>
        </row>
        <row r="30">
          <cell r="A30" t="str">
            <v>EPMI-LT-SERC</v>
          </cell>
          <cell r="B30">
            <v>0</v>
          </cell>
          <cell r="C30">
            <v>0</v>
          </cell>
          <cell r="D30">
            <v>403379.1019339498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403379.1019339498</v>
          </cell>
        </row>
        <row r="31">
          <cell r="A31" t="str">
            <v>EPMI-LT-SPP</v>
          </cell>
          <cell r="B31">
            <v>0</v>
          </cell>
          <cell r="C31">
            <v>0</v>
          </cell>
          <cell r="D31">
            <v>79951.193353432405</v>
          </cell>
          <cell r="E31">
            <v>-443878.71046399162</v>
          </cell>
          <cell r="F31">
            <v>185449.30090260011</v>
          </cell>
          <cell r="G31">
            <v>842955.09481179516</v>
          </cell>
          <cell r="H31">
            <v>869157.4549192884</v>
          </cell>
          <cell r="I31">
            <v>199342.00177670291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1732976.3352998274</v>
          </cell>
        </row>
        <row r="32">
          <cell r="A32" t="str">
            <v>EPMI-MIDWEST</v>
          </cell>
          <cell r="B32">
            <v>0</v>
          </cell>
          <cell r="C32">
            <v>0</v>
          </cell>
          <cell r="D32">
            <v>-1719938.2984019464</v>
          </cell>
          <cell r="E32">
            <v>-1990987.5546057001</v>
          </cell>
          <cell r="F32">
            <v>1054831.1922781183</v>
          </cell>
          <cell r="G32">
            <v>96939.835903356448</v>
          </cell>
          <cell r="H32">
            <v>373627.97695201531</v>
          </cell>
          <cell r="I32">
            <v>689723.32614739158</v>
          </cell>
          <cell r="J32">
            <v>-349175.88351589901</v>
          </cell>
          <cell r="K32">
            <v>17361.618522797751</v>
          </cell>
          <cell r="L32">
            <v>-176205.4660834095</v>
          </cell>
          <cell r="M32">
            <v>-160291.77302943499</v>
          </cell>
          <cell r="N32">
            <v>6291.016537089622</v>
          </cell>
          <cell r="O32">
            <v>-461931.03469385224</v>
          </cell>
          <cell r="P32">
            <v>-549852.54147481441</v>
          </cell>
          <cell r="Q32">
            <v>-155465.93958101101</v>
          </cell>
          <cell r="R32">
            <v>-128281.90105774879</v>
          </cell>
          <cell r="S32">
            <v>-146110.8097025938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-3599466.2358056409</v>
          </cell>
        </row>
        <row r="33">
          <cell r="A33" t="str">
            <v>EPMI-MIDWEST-HR</v>
          </cell>
          <cell r="B33">
            <v>0</v>
          </cell>
          <cell r="C33">
            <v>0</v>
          </cell>
          <cell r="D33">
            <v>1548149.9564038396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1548149.9564038396</v>
          </cell>
        </row>
        <row r="34">
          <cell r="A34" t="str">
            <v>EPMI-MW-OFF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EPMI-NE TRANS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EPMI-NE-PHYS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EPMI-SE-ANALYST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EPMI-SOUTHEAST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-1.2685206629500001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-1.2685206629500001</v>
          </cell>
        </row>
        <row r="39">
          <cell r="A39" t="str">
            <v>EPMI-ST-ECAR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EPMI-ST-ERCOT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EPMI-ST-HOURLY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EPMI-ST-MAPP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EPMI-ST-NENG</v>
          </cell>
          <cell r="B43">
            <v>0</v>
          </cell>
          <cell r="C43">
            <v>0</v>
          </cell>
          <cell r="D43">
            <v>-89489.401324156832</v>
          </cell>
          <cell r="E43">
            <v>-1331636.1313919753</v>
          </cell>
          <cell r="F43">
            <v>72461.607346787234</v>
          </cell>
          <cell r="G43">
            <v>0</v>
          </cell>
          <cell r="H43">
            <v>29225.261341291101</v>
          </cell>
          <cell r="I43">
            <v>0</v>
          </cell>
          <cell r="J43">
            <v>27505.936881174701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-1291932.7271468793</v>
          </cell>
        </row>
        <row r="44">
          <cell r="A44" t="str">
            <v>EPMI-ST-NY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EPMI-ST-PJM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EPMI-ST-PJM-OFF</v>
          </cell>
          <cell r="B46">
            <v>0</v>
          </cell>
          <cell r="C46">
            <v>0</v>
          </cell>
          <cell r="D46">
            <v>0</v>
          </cell>
          <cell r="E46">
            <v>-349.85371674909999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-349.85371674909999</v>
          </cell>
        </row>
        <row r="47">
          <cell r="A47" t="str">
            <v>EPMI-ST-SERC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EPMI-ST-SPP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PWR-CL-LT-OPT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PWR-COAL-MGMT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PWR-COAL-MW</v>
          </cell>
          <cell r="B51">
            <v>0</v>
          </cell>
          <cell r="C51">
            <v>0</v>
          </cell>
          <cell r="D51">
            <v>1774847.318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1774847.318</v>
          </cell>
        </row>
        <row r="52">
          <cell r="A52" t="str">
            <v>PWR-COAL-MW-OFF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PWR-GAS-LT-MGMT</v>
          </cell>
          <cell r="B53">
            <v>0</v>
          </cell>
          <cell r="C53">
            <v>0</v>
          </cell>
          <cell r="D53">
            <v>-9240454.1844999995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-9240454.1844999995</v>
          </cell>
        </row>
        <row r="54">
          <cell r="A54" t="str">
            <v>PWR-HO-PRC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A55" t="str">
            <v>PWR-MW-GAS-MTM</v>
          </cell>
          <cell r="B55">
            <v>0</v>
          </cell>
          <cell r="C55">
            <v>0</v>
          </cell>
          <cell r="D55">
            <v>-1316447.5482999999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-1316447.5482999999</v>
          </cell>
        </row>
        <row r="56">
          <cell r="A56" t="str">
            <v>PWR-NE-GAS-MTM</v>
          </cell>
          <cell r="B56">
            <v>0</v>
          </cell>
          <cell r="C56">
            <v>0</v>
          </cell>
          <cell r="D56">
            <v>-2089552.253</v>
          </cell>
          <cell r="E56">
            <v>0</v>
          </cell>
          <cell r="F56">
            <v>1662937.0649999999</v>
          </cell>
          <cell r="G56">
            <v>0</v>
          </cell>
          <cell r="H56">
            <v>-1567293.6632999999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-1993908.8513</v>
          </cell>
        </row>
        <row r="57">
          <cell r="A57" t="str">
            <v>PWR-NG-CENTRAL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A58" t="str">
            <v>PWR-NG-ERCT-AST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PWR-NG-ERCT-OFF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A60" t="str">
            <v>PWR-NG-ERCT-OPT</v>
          </cell>
          <cell r="B60">
            <v>0</v>
          </cell>
          <cell r="C60">
            <v>0</v>
          </cell>
          <cell r="D60">
            <v>966789.93700000003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966789.93700000003</v>
          </cell>
        </row>
        <row r="61">
          <cell r="A61" t="str">
            <v>PWR-NG-HEDGE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A62" t="str">
            <v>PWR-NG-LT-ERCOT</v>
          </cell>
          <cell r="B62">
            <v>0</v>
          </cell>
          <cell r="C62">
            <v>0</v>
          </cell>
          <cell r="D62">
            <v>6965174.1753000002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6965174.1753000002</v>
          </cell>
        </row>
        <row r="63">
          <cell r="A63" t="str">
            <v>PWR-NG-LT-OPT</v>
          </cell>
          <cell r="B63">
            <v>0</v>
          </cell>
          <cell r="C63">
            <v>0</v>
          </cell>
          <cell r="D63">
            <v>245338.57070000001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245338.57070000001</v>
          </cell>
        </row>
        <row r="64">
          <cell r="A64" t="str">
            <v>PWR-NG-LT-OPTA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PWR-NG-LT-OPTB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PWR-NG-LT-OPTY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 t="str">
            <v>PWR-NG-LT-OPTZ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PWR-NG-LT-SERC</v>
          </cell>
          <cell r="B68">
            <v>0</v>
          </cell>
          <cell r="C68">
            <v>0</v>
          </cell>
          <cell r="D68">
            <v>870646.772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870646.772</v>
          </cell>
        </row>
        <row r="69">
          <cell r="A69" t="str">
            <v>PWR-NG-LT-SPP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 t="str">
            <v>PWR-NG-MW-HR</v>
          </cell>
          <cell r="B70">
            <v>0</v>
          </cell>
          <cell r="C70">
            <v>0</v>
          </cell>
          <cell r="D70">
            <v>-14975124.4779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-14975124.4779</v>
          </cell>
        </row>
        <row r="71">
          <cell r="A71" t="str">
            <v>PWR-NG-MW-OFF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A72" t="str">
            <v>PWR-NG-ST-ECAR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PWR-NG-ST-MAPP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 t="str">
            <v>PWR-NG-ST-NENG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PWR-NG-ST-NY</v>
          </cell>
          <cell r="B75">
            <v>0</v>
          </cell>
          <cell r="C75">
            <v>0</v>
          </cell>
          <cell r="D75">
            <v>-174129.35459999999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-174129.35459999999</v>
          </cell>
        </row>
        <row r="76">
          <cell r="A76" t="str">
            <v>PWR-NG-ST-TEXAS</v>
          </cell>
          <cell r="B76">
            <v>0</v>
          </cell>
          <cell r="C76">
            <v>0</v>
          </cell>
          <cell r="D76">
            <v>696517.41749999998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696517.41749999998</v>
          </cell>
        </row>
        <row r="77">
          <cell r="A77" t="str">
            <v>PWR-NG-TEXAS</v>
          </cell>
          <cell r="B77">
            <v>0</v>
          </cell>
          <cell r="C77">
            <v>0</v>
          </cell>
          <cell r="D77">
            <v>3660859.9342</v>
          </cell>
          <cell r="E77">
            <v>0</v>
          </cell>
          <cell r="F77">
            <v>4988811.1950000003</v>
          </cell>
          <cell r="G77">
            <v>0</v>
          </cell>
          <cell r="H77">
            <v>4701880.9899000004</v>
          </cell>
          <cell r="I77">
            <v>0</v>
          </cell>
          <cell r="J77">
            <v>2952350.7015999998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16303902.820700001</v>
          </cell>
        </row>
        <row r="78">
          <cell r="A78" t="str">
            <v>PWR-NG-TX-ACCRL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 t="str">
            <v>PWR-NY-GAS-MTM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A80" t="str">
            <v>PWR-PJM-GAS-MTM</v>
          </cell>
          <cell r="B80">
            <v>0</v>
          </cell>
          <cell r="C80">
            <v>0</v>
          </cell>
          <cell r="D80">
            <v>-13930348.351299999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-13930348.351299999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 Monthly"/>
    </sheetNames>
    <sheetDataSet>
      <sheetData sheetId="0">
        <row r="1">
          <cell r="L1">
            <v>37043</v>
          </cell>
          <cell r="N1">
            <v>37073</v>
          </cell>
          <cell r="P1">
            <v>37104</v>
          </cell>
          <cell r="R1">
            <v>37135</v>
          </cell>
          <cell r="T1">
            <v>37165</v>
          </cell>
          <cell r="V1">
            <v>37196</v>
          </cell>
          <cell r="X1">
            <v>37226</v>
          </cell>
          <cell r="Z1">
            <v>37257</v>
          </cell>
          <cell r="AB1">
            <v>37288</v>
          </cell>
          <cell r="AD1">
            <v>37316</v>
          </cell>
          <cell r="AF1">
            <v>37347</v>
          </cell>
          <cell r="AH1">
            <v>37377</v>
          </cell>
          <cell r="AJ1">
            <v>37408</v>
          </cell>
          <cell r="AL1">
            <v>37438</v>
          </cell>
          <cell r="AN1">
            <v>37469</v>
          </cell>
          <cell r="AP1">
            <v>37500</v>
          </cell>
          <cell r="AR1">
            <v>37530</v>
          </cell>
          <cell r="AT1">
            <v>37561</v>
          </cell>
          <cell r="AV1">
            <v>37591</v>
          </cell>
        </row>
        <row r="2">
          <cell r="A2" t="str">
            <v>Desk</v>
          </cell>
          <cell r="L2" t="str">
            <v>Pk Delta</v>
          </cell>
          <cell r="M2" t="str">
            <v>OPk Delta</v>
          </cell>
          <cell r="N2" t="str">
            <v>Pk Delta</v>
          </cell>
          <cell r="O2" t="str">
            <v>OPk Delta</v>
          </cell>
          <cell r="P2" t="str">
            <v>Pk Delta</v>
          </cell>
          <cell r="Q2" t="str">
            <v>OPk Delta</v>
          </cell>
          <cell r="R2" t="str">
            <v>Pk Delta</v>
          </cell>
          <cell r="S2" t="str">
            <v>OPk Delta</v>
          </cell>
          <cell r="T2" t="str">
            <v>Pk Delta</v>
          </cell>
          <cell r="U2" t="str">
            <v>OPk Delta</v>
          </cell>
          <cell r="V2" t="str">
            <v>Pk Delta</v>
          </cell>
          <cell r="W2" t="str">
            <v>OPk Delta</v>
          </cell>
          <cell r="X2" t="str">
            <v>Pk Delta</v>
          </cell>
          <cell r="Y2" t="str">
            <v>OPk Delta</v>
          </cell>
          <cell r="Z2" t="str">
            <v>Pk Delta</v>
          </cell>
          <cell r="AA2" t="str">
            <v>OPk Delta</v>
          </cell>
          <cell r="AB2" t="str">
            <v>Pk Delta</v>
          </cell>
          <cell r="AC2" t="str">
            <v>OPk Delta</v>
          </cell>
          <cell r="AD2" t="str">
            <v>Pk Delta</v>
          </cell>
          <cell r="AE2" t="str">
            <v>OPk Delta</v>
          </cell>
          <cell r="AF2" t="str">
            <v>Pk Delta</v>
          </cell>
          <cell r="AG2" t="str">
            <v>OPk Delta</v>
          </cell>
          <cell r="AH2" t="str">
            <v>Pk Delta</v>
          </cell>
          <cell r="AI2" t="str">
            <v>OPk Delta</v>
          </cell>
          <cell r="AJ2" t="str">
            <v>Pk Delta</v>
          </cell>
          <cell r="AK2" t="str">
            <v>OPk Delta</v>
          </cell>
          <cell r="AL2" t="str">
            <v>Pk Delta</v>
          </cell>
          <cell r="AM2" t="str">
            <v>OPk Delta</v>
          </cell>
          <cell r="AN2" t="str">
            <v>Pk Delta</v>
          </cell>
          <cell r="AO2" t="str">
            <v>OPk Delta</v>
          </cell>
          <cell r="AP2" t="str">
            <v>Pk Delta</v>
          </cell>
          <cell r="AQ2" t="str">
            <v>OPk Delta</v>
          </cell>
          <cell r="AR2" t="str">
            <v>Pk Delta</v>
          </cell>
          <cell r="AS2" t="str">
            <v>OPk Delta</v>
          </cell>
          <cell r="AT2" t="str">
            <v>Pk Delta</v>
          </cell>
          <cell r="AU2" t="str">
            <v>OPk Delta</v>
          </cell>
          <cell r="AV2" t="str">
            <v>Pk Delta</v>
          </cell>
          <cell r="AW2" t="str">
            <v>OPk Delta</v>
          </cell>
        </row>
        <row r="3">
          <cell r="A3" t="str">
            <v>EPMI-ERCOT-ANLY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</row>
        <row r="4">
          <cell r="A4" t="str">
            <v>EPMI-ERCOT-ASST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5589.8622882416948</v>
          </cell>
          <cell r="W4">
            <v>-399.27587773155199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</row>
        <row r="5">
          <cell r="A5" t="str">
            <v>EPMI-ERCOT-MGMT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-30451.892787654455</v>
          </cell>
          <cell r="W5">
            <v>-11098.961048315296</v>
          </cell>
          <cell r="X5">
            <v>-26545.989146505715</v>
          </cell>
          <cell r="Y5">
            <v>3632.6944015458766</v>
          </cell>
          <cell r="Z5">
            <v>-78402.832928310949</v>
          </cell>
          <cell r="AA5">
            <v>-32771.328030063283</v>
          </cell>
          <cell r="AB5">
            <v>-72809.190018882902</v>
          </cell>
          <cell r="AC5">
            <v>7051.2942980371181</v>
          </cell>
          <cell r="AD5">
            <v>-116194.33757889872</v>
          </cell>
          <cell r="AE5">
            <v>12435.104869672907</v>
          </cell>
          <cell r="AF5">
            <v>-129234.03184629547</v>
          </cell>
          <cell r="AG5">
            <v>8090.2442397611021</v>
          </cell>
          <cell r="AH5">
            <v>-100849.57506447751</v>
          </cell>
          <cell r="AI5">
            <v>1027.7932792190561</v>
          </cell>
          <cell r="AJ5">
            <v>36559.254863750379</v>
          </cell>
          <cell r="AK5">
            <v>-6460.8065764307366</v>
          </cell>
          <cell r="AL5">
            <v>-161011.80139105371</v>
          </cell>
          <cell r="AM5">
            <v>7948.5602633748449</v>
          </cell>
          <cell r="AN5">
            <v>-171699.78734716363</v>
          </cell>
          <cell r="AO5">
            <v>4154.1454890923624</v>
          </cell>
          <cell r="AP5">
            <v>-227690.345742601</v>
          </cell>
          <cell r="AQ5">
            <v>-13151.288136015173</v>
          </cell>
          <cell r="AR5">
            <v>-22596.698164189602</v>
          </cell>
          <cell r="AS5">
            <v>-6327.5781436517354</v>
          </cell>
          <cell r="AT5">
            <v>-20670.752834459279</v>
          </cell>
          <cell r="AU5">
            <v>-11708.888808990127</v>
          </cell>
          <cell r="AV5">
            <v>-33166.824298326901</v>
          </cell>
          <cell r="AW5">
            <v>-27187.235580469071</v>
          </cell>
        </row>
        <row r="6">
          <cell r="A6" t="str">
            <v>EPMI-ERCOT-OFF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-5589.862288241723</v>
          </cell>
          <cell r="W6">
            <v>58297.33096306942</v>
          </cell>
          <cell r="X6">
            <v>-63765.915721740319</v>
          </cell>
          <cell r="Y6">
            <v>-42244.919165652929</v>
          </cell>
          <cell r="Z6">
            <v>17503.439840292001</v>
          </cell>
          <cell r="AA6">
            <v>-58477.401284611798</v>
          </cell>
          <cell r="AB6">
            <v>15886.9785374984</v>
          </cell>
          <cell r="AC6">
            <v>-52427.029173744901</v>
          </cell>
          <cell r="AD6">
            <v>0</v>
          </cell>
          <cell r="AE6">
            <v>-121312.9724447202</v>
          </cell>
          <cell r="AF6">
            <v>0</v>
          </cell>
          <cell r="AG6">
            <v>-108917.78261086741</v>
          </cell>
          <cell r="AH6">
            <v>0</v>
          </cell>
          <cell r="AI6">
            <v>-154804.3282060808</v>
          </cell>
          <cell r="AJ6">
            <v>0</v>
          </cell>
          <cell r="AK6">
            <v>-118225.76086043339</v>
          </cell>
          <cell r="AL6">
            <v>0</v>
          </cell>
          <cell r="AM6">
            <v>-231196.44956048159</v>
          </cell>
          <cell r="AN6">
            <v>0</v>
          </cell>
          <cell r="AO6">
            <v>-230645.40425799959</v>
          </cell>
          <cell r="AP6">
            <v>0</v>
          </cell>
          <cell r="AQ6">
            <v>-117387.1998502146</v>
          </cell>
          <cell r="AR6">
            <v>0</v>
          </cell>
          <cell r="AS6">
            <v>-147123.1376147088</v>
          </cell>
          <cell r="AT6">
            <v>0</v>
          </cell>
          <cell r="AU6">
            <v>-155675.6339191992</v>
          </cell>
          <cell r="AV6">
            <v>0</v>
          </cell>
          <cell r="AW6">
            <v>-158318.23476650479</v>
          </cell>
        </row>
        <row r="7">
          <cell r="A7" t="str">
            <v>EPMI-ERCOT-OPTN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4.2963933873418556</v>
          </cell>
          <cell r="W7">
            <v>-798.55175546310397</v>
          </cell>
          <cell r="X7">
            <v>-4045.5543010779847</v>
          </cell>
          <cell r="Y7">
            <v>-3555.7358351913354</v>
          </cell>
          <cell r="Z7">
            <v>25391.81116485663</v>
          </cell>
          <cell r="AA7">
            <v>3048.933297854016</v>
          </cell>
          <cell r="AB7">
            <v>22956.770031299409</v>
          </cell>
          <cell r="AC7">
            <v>-114.37653212358801</v>
          </cell>
          <cell r="AD7">
            <v>-599.41051376705002</v>
          </cell>
          <cell r="AE7">
            <v>-298.45943340129298</v>
          </cell>
          <cell r="AF7">
            <v>-699.19079560240004</v>
          </cell>
          <cell r="AG7">
            <v>-212.27752059378301</v>
          </cell>
          <cell r="AH7">
            <v>7784.1299296144698</v>
          </cell>
          <cell r="AI7">
            <v>3085.1423087703201</v>
          </cell>
          <cell r="AJ7">
            <v>-15207.3171774409</v>
          </cell>
          <cell r="AK7">
            <v>1994.5642651625051</v>
          </cell>
          <cell r="AL7">
            <v>-26735.991692625699</v>
          </cell>
          <cell r="AM7">
            <v>-311.03312007427002</v>
          </cell>
          <cell r="AN7">
            <v>-17988.517842242658</v>
          </cell>
          <cell r="AO7">
            <v>-27.537645007790001</v>
          </cell>
          <cell r="AP7">
            <v>-6371.2436322511703</v>
          </cell>
          <cell r="AQ7">
            <v>3309.0748623680688</v>
          </cell>
          <cell r="AR7">
            <v>8098.2110530747796</v>
          </cell>
          <cell r="AS7">
            <v>2984.5027580755868</v>
          </cell>
          <cell r="AT7">
            <v>7272.7282839198897</v>
          </cell>
          <cell r="AU7">
            <v>3354.509099727195</v>
          </cell>
          <cell r="AV7">
            <v>7677.5346567727602</v>
          </cell>
          <cell r="AW7">
            <v>3373.9026446722628</v>
          </cell>
        </row>
        <row r="8">
          <cell r="A8" t="str">
            <v>EPMI-HRLY-ASSOC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2397.4869549470282</v>
          </cell>
          <cell r="W8">
            <v>399.58115915783799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2797.0681141048663</v>
          </cell>
        </row>
        <row r="9">
          <cell r="A9" t="str">
            <v>EPMI-HRLY-ERCOT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</row>
        <row r="10">
          <cell r="A10" t="str">
            <v>EPMI-HRLY-MW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3992.7587773155192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3992.7587773155192</v>
          </cell>
        </row>
        <row r="11">
          <cell r="A11" t="str">
            <v>EPMI-HRLY-NE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-2397.4869549470282</v>
          </cell>
          <cell r="W11">
            <v>-799.16231831567598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-3196.6492732627039</v>
          </cell>
        </row>
        <row r="12">
          <cell r="A12" t="str">
            <v>EPMI-HRLY-NENG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6390.2457322625414</v>
          </cell>
          <cell r="W12">
            <v>-3596.8409952731022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2793.4047369894392</v>
          </cell>
        </row>
        <row r="13">
          <cell r="A13" t="str">
            <v>EPMI-HRLY-NY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9589.9478197881126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9589.9478197881126</v>
          </cell>
        </row>
        <row r="14">
          <cell r="A14" t="str">
            <v>EPMI-HRLY-PJM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-1598.3246366313549</v>
          </cell>
          <cell r="W14">
            <v>2397.4869549470241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799.16231831566915</v>
          </cell>
        </row>
        <row r="15">
          <cell r="A15" t="str">
            <v>EPMI-HRLY-SE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</row>
        <row r="16">
          <cell r="A16" t="str">
            <v>EPMI-HRLY-SE-MG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5589.862288241723</v>
          </cell>
          <cell r="W16">
            <v>399.58115915783799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A17" t="str">
            <v>EPMI-LT-ERCOT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105020.6390417511</v>
          </cell>
          <cell r="AA17">
            <v>0</v>
          </cell>
          <cell r="AB17">
            <v>95321.871224990304</v>
          </cell>
          <cell r="AC17">
            <v>0</v>
          </cell>
          <cell r="AD17">
            <v>-83254.000697356794</v>
          </cell>
          <cell r="AE17">
            <v>0</v>
          </cell>
          <cell r="AF17">
            <v>-87055.085102237907</v>
          </cell>
          <cell r="AG17">
            <v>0</v>
          </cell>
          <cell r="AH17">
            <v>-424110.87602697249</v>
          </cell>
          <cell r="AI17">
            <v>0</v>
          </cell>
          <cell r="AJ17">
            <v>15763.434781391299</v>
          </cell>
          <cell r="AK17">
            <v>0</v>
          </cell>
          <cell r="AL17">
            <v>-17300.414592961199</v>
          </cell>
          <cell r="AM17">
            <v>0</v>
          </cell>
          <cell r="AN17">
            <v>-17259.179910462899</v>
          </cell>
          <cell r="AO17">
            <v>0</v>
          </cell>
          <cell r="AP17">
            <v>-359987.41287399182</v>
          </cell>
          <cell r="AQ17">
            <v>0</v>
          </cell>
          <cell r="AR17">
            <v>-161562.2784416177</v>
          </cell>
          <cell r="AS17">
            <v>0</v>
          </cell>
          <cell r="AT17">
            <v>-140108.07052727861</v>
          </cell>
          <cell r="AU17">
            <v>0</v>
          </cell>
          <cell r="AV17">
            <v>-146677.1880924977</v>
          </cell>
          <cell r="AW17">
            <v>0</v>
          </cell>
        </row>
        <row r="18">
          <cell r="A18" t="str">
            <v>EPMI-LT-HED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A19" t="str">
            <v>EPMI-LT-MGMT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-27344.860578060292</v>
          </cell>
          <cell r="W19">
            <v>-49617.450982789778</v>
          </cell>
          <cell r="X19">
            <v>-334424.30185095291</v>
          </cell>
          <cell r="Y19">
            <v>-227115.24781325879</v>
          </cell>
          <cell r="Z19">
            <v>103085.30033645901</v>
          </cell>
          <cell r="AA19">
            <v>2254.80261702295</v>
          </cell>
          <cell r="AB19">
            <v>93396.683319255637</v>
          </cell>
          <cell r="AC19">
            <v>2855.0142169563701</v>
          </cell>
          <cell r="AD19">
            <v>-291337.80542456958</v>
          </cell>
          <cell r="AE19">
            <v>-196218.83818853874</v>
          </cell>
          <cell r="AF19">
            <v>-302511.40874122863</v>
          </cell>
          <cell r="AG19">
            <v>-174386.18286138141</v>
          </cell>
          <cell r="AH19">
            <v>-234785.67423514929</v>
          </cell>
          <cell r="AI19">
            <v>-167794.39805989843</v>
          </cell>
          <cell r="AJ19">
            <v>-360545.99936604372</v>
          </cell>
          <cell r="AK19">
            <v>-96403.443569846044</v>
          </cell>
          <cell r="AL19">
            <v>-507707.9266010322</v>
          </cell>
          <cell r="AM19">
            <v>20469.101937955871</v>
          </cell>
          <cell r="AN19">
            <v>-503284.64299767721</v>
          </cell>
          <cell r="AO19">
            <v>22284.13658992307</v>
          </cell>
          <cell r="AP19">
            <v>-180631.45809534632</v>
          </cell>
          <cell r="AQ19">
            <v>-94638.848818982573</v>
          </cell>
          <cell r="AR19">
            <v>-96255.623015821431</v>
          </cell>
          <cell r="AS19">
            <v>-84558.126318697512</v>
          </cell>
          <cell r="AT19">
            <v>-84570.625897608115</v>
          </cell>
          <cell r="AU19">
            <v>-91201.072073880889</v>
          </cell>
          <cell r="AV19">
            <v>-87293.242648967222</v>
          </cell>
          <cell r="AW19">
            <v>-92933.129694848438</v>
          </cell>
        </row>
        <row r="20">
          <cell r="A20" t="str">
            <v>EPMI-LT-NEMGMT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-106533.76459529794</v>
          </cell>
          <cell r="W20">
            <v>-21721.645705445779</v>
          </cell>
          <cell r="X20">
            <v>-228047.26764422207</v>
          </cell>
          <cell r="Y20">
            <v>-4166.4728949402834</v>
          </cell>
          <cell r="Z20">
            <v>-302720.51634218986</v>
          </cell>
          <cell r="AA20">
            <v>93620.118428626214</v>
          </cell>
          <cell r="AB20">
            <v>-273972.84439679957</v>
          </cell>
          <cell r="AC20">
            <v>83931.679700603985</v>
          </cell>
          <cell r="AD20">
            <v>28317.260646456001</v>
          </cell>
          <cell r="AE20">
            <v>-64722.505717266999</v>
          </cell>
          <cell r="AF20">
            <v>12197.81417899635</v>
          </cell>
          <cell r="AG20">
            <v>-58131.919599665998</v>
          </cell>
          <cell r="AH20">
            <v>-57345.131086834474</v>
          </cell>
          <cell r="AI20">
            <v>-81308.725622122103</v>
          </cell>
          <cell r="AJ20">
            <v>11030.474572476331</v>
          </cell>
          <cell r="AK20">
            <v>-63073.85856901369</v>
          </cell>
          <cell r="AL20">
            <v>-42190.01894241829</v>
          </cell>
          <cell r="AM20">
            <v>-23123.205311200149</v>
          </cell>
          <cell r="AN20">
            <v>-41668.596951853142</v>
          </cell>
          <cell r="AO20">
            <v>-23067.707910575718</v>
          </cell>
          <cell r="AP20">
            <v>-67306.981769190883</v>
          </cell>
          <cell r="AQ20">
            <v>-62631.90986994961</v>
          </cell>
          <cell r="AR20">
            <v>-40172.139766517997</v>
          </cell>
          <cell r="AS20">
            <v>-96794.122191804694</v>
          </cell>
          <cell r="AT20">
            <v>-34838.314612801783</v>
          </cell>
          <cell r="AU20">
            <v>-102242.18649203095</v>
          </cell>
          <cell r="AV20">
            <v>-36471.18562094104</v>
          </cell>
          <cell r="AW20">
            <v>-103999.5904192562</v>
          </cell>
        </row>
        <row r="21">
          <cell r="A21" t="str">
            <v>EPMI-LT-NENG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60385.00266764329</v>
          </cell>
          <cell r="W21">
            <v>53513.167334691629</v>
          </cell>
          <cell r="X21">
            <v>122649.26455316578</v>
          </cell>
          <cell r="Y21">
            <v>-79330.665074281584</v>
          </cell>
          <cell r="Z21">
            <v>306787.57756725769</v>
          </cell>
          <cell r="AA21">
            <v>-47874.518481455016</v>
          </cell>
          <cell r="AB21">
            <v>296681.80434670573</v>
          </cell>
          <cell r="AC21">
            <v>-16461.455113859731</v>
          </cell>
          <cell r="AD21">
            <v>-16261.499961258813</v>
          </cell>
          <cell r="AE21">
            <v>-17125.567624408664</v>
          </cell>
          <cell r="AF21">
            <v>-385.77787729873802</v>
          </cell>
          <cell r="AG21">
            <v>-32.932968367847003</v>
          </cell>
          <cell r="AH21">
            <v>42028.102366066167</v>
          </cell>
          <cell r="AI21">
            <v>-16357.60613152796</v>
          </cell>
          <cell r="AJ21">
            <v>-10116.007480083523</v>
          </cell>
          <cell r="AK21">
            <v>-47374.991554865381</v>
          </cell>
          <cell r="AL21">
            <v>-62245.094912667286</v>
          </cell>
          <cell r="AM21">
            <v>27209.003935395383</v>
          </cell>
          <cell r="AN21">
            <v>-40797.94479402178</v>
          </cell>
          <cell r="AO21">
            <v>32245.147267489974</v>
          </cell>
          <cell r="AP21">
            <v>48340.826810562736</v>
          </cell>
          <cell r="AQ21">
            <v>-18098.665879912067</v>
          </cell>
          <cell r="AR21">
            <v>62388.591126041079</v>
          </cell>
          <cell r="AS21">
            <v>-11130.487925052725</v>
          </cell>
          <cell r="AT21">
            <v>41485.277045963136</v>
          </cell>
          <cell r="AU21">
            <v>-22324.912201141109</v>
          </cell>
          <cell r="AV21">
            <v>17917.054797446362</v>
          </cell>
          <cell r="AW21">
            <v>-48269.298415644953</v>
          </cell>
        </row>
        <row r="22">
          <cell r="A22" t="str">
            <v>EPMI-LT-NY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A23" t="str">
            <v>EPMI-LT-ONTARIO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A24" t="str">
            <v>EPMI-LT-OPTION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-14025.193077474492</v>
          </cell>
          <cell r="W24">
            <v>-8.1025186164500624</v>
          </cell>
          <cell r="X24">
            <v>-28737.68777973525</v>
          </cell>
          <cell r="Y24">
            <v>-915.90807552048352</v>
          </cell>
          <cell r="Z24">
            <v>-11320.565308424715</v>
          </cell>
          <cell r="AA24">
            <v>0</v>
          </cell>
          <cell r="AB24">
            <v>-12184.349132934265</v>
          </cell>
          <cell r="AC24">
            <v>0</v>
          </cell>
          <cell r="AD24">
            <v>-15028.067237733181</v>
          </cell>
          <cell r="AE24">
            <v>0</v>
          </cell>
          <cell r="AF24">
            <v>-15714.195850584983</v>
          </cell>
          <cell r="AG24">
            <v>0</v>
          </cell>
          <cell r="AH24">
            <v>-23680.54940832829</v>
          </cell>
          <cell r="AI24">
            <v>0</v>
          </cell>
          <cell r="AJ24">
            <v>-12556.506677313864</v>
          </cell>
          <cell r="AK24">
            <v>0</v>
          </cell>
          <cell r="AL24">
            <v>-13836.719124489933</v>
          </cell>
          <cell r="AM24">
            <v>0</v>
          </cell>
          <cell r="AN24">
            <v>-14820.190383730185</v>
          </cell>
          <cell r="AO24">
            <v>0</v>
          </cell>
          <cell r="AP24">
            <v>-14126.269948364201</v>
          </cell>
          <cell r="AQ24">
            <v>0</v>
          </cell>
          <cell r="AR24">
            <v>-16201.882613345901</v>
          </cell>
          <cell r="AS24">
            <v>0</v>
          </cell>
          <cell r="AT24">
            <v>-14050.399225371624</v>
          </cell>
          <cell r="AU24">
            <v>0</v>
          </cell>
          <cell r="AV24">
            <v>-14709.167303486978</v>
          </cell>
          <cell r="AW24">
            <v>0</v>
          </cell>
        </row>
        <row r="25">
          <cell r="A25" t="str">
            <v>EPMI-LT-OPTIONA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4357.7348706521952</v>
          </cell>
          <cell r="Y25">
            <v>0</v>
          </cell>
          <cell r="Z25">
            <v>-42956.336765400119</v>
          </cell>
          <cell r="AA25">
            <v>0</v>
          </cell>
          <cell r="AB25">
            <v>-37954.172923628677</v>
          </cell>
          <cell r="AC25">
            <v>0</v>
          </cell>
          <cell r="AD25">
            <v>-12876.33770770201</v>
          </cell>
          <cell r="AE25">
            <v>0</v>
          </cell>
          <cell r="AF25">
            <v>-17529.737662502688</v>
          </cell>
          <cell r="AG25">
            <v>0</v>
          </cell>
          <cell r="AH25">
            <v>11297.17021645515</v>
          </cell>
          <cell r="AI25">
            <v>0</v>
          </cell>
          <cell r="AJ25">
            <v>-1513.7467865690401</v>
          </cell>
          <cell r="AK25">
            <v>0</v>
          </cell>
          <cell r="AL25">
            <v>-7048.2159865964504</v>
          </cell>
          <cell r="AM25">
            <v>0</v>
          </cell>
          <cell r="AN25">
            <v>-6988.5915049839796</v>
          </cell>
          <cell r="AO25">
            <v>0</v>
          </cell>
          <cell r="AP25">
            <v>-5493.7500893101096</v>
          </cell>
          <cell r="AQ25">
            <v>0</v>
          </cell>
          <cell r="AR25">
            <v>-6607.4575607504203</v>
          </cell>
          <cell r="AS25">
            <v>0</v>
          </cell>
          <cell r="AT25">
            <v>-5486.9814844517296</v>
          </cell>
          <cell r="AU25">
            <v>0</v>
          </cell>
          <cell r="AV25">
            <v>-5504.9955621572399</v>
          </cell>
          <cell r="AW25">
            <v>0</v>
          </cell>
        </row>
        <row r="26">
          <cell r="A26" t="str">
            <v>EPMI-LT-OPTIONB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13981.040054151912</v>
          </cell>
          <cell r="Y26">
            <v>0</v>
          </cell>
          <cell r="Z26">
            <v>-36581.809350154123</v>
          </cell>
          <cell r="AA26">
            <v>0</v>
          </cell>
          <cell r="AB26">
            <v>-31078.043627014751</v>
          </cell>
          <cell r="AC26">
            <v>0</v>
          </cell>
          <cell r="AD26">
            <v>-2717.2235466283637</v>
          </cell>
          <cell r="AE26">
            <v>0</v>
          </cell>
          <cell r="AF26">
            <v>-2622.1842656541485</v>
          </cell>
          <cell r="AG26">
            <v>0</v>
          </cell>
          <cell r="AH26">
            <v>31868.403195865347</v>
          </cell>
          <cell r="AI26">
            <v>0</v>
          </cell>
          <cell r="AJ26">
            <v>346.33750439217937</v>
          </cell>
          <cell r="AK26">
            <v>0</v>
          </cell>
          <cell r="AL26">
            <v>-46767.766618819114</v>
          </cell>
          <cell r="AM26">
            <v>0</v>
          </cell>
          <cell r="AN26">
            <v>-44187.93077246465</v>
          </cell>
          <cell r="AO26">
            <v>0</v>
          </cell>
          <cell r="AP26">
            <v>15698.018674236326</v>
          </cell>
          <cell r="AQ26">
            <v>0</v>
          </cell>
          <cell r="AR26">
            <v>214.37846430206753</v>
          </cell>
          <cell r="AS26">
            <v>0</v>
          </cell>
          <cell r="AT26">
            <v>3007.2288806509546</v>
          </cell>
          <cell r="AU26">
            <v>0</v>
          </cell>
          <cell r="AV26">
            <v>2745.9614193657749</v>
          </cell>
          <cell r="AW26">
            <v>0</v>
          </cell>
        </row>
        <row r="27">
          <cell r="A27" t="str">
            <v>EPMI-LT-OPTY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-18419.024421701812</v>
          </cell>
          <cell r="Y27">
            <v>-193.11356704200867</v>
          </cell>
          <cell r="Z27">
            <v>-3108.1244986629499</v>
          </cell>
          <cell r="AA27">
            <v>0</v>
          </cell>
          <cell r="AB27">
            <v>-3732.3904332693901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</row>
        <row r="28">
          <cell r="A28" t="str">
            <v>EPMI-LT-OPTZ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2155.3453770394708</v>
          </cell>
          <cell r="W28">
            <v>0</v>
          </cell>
          <cell r="X28">
            <v>-891.9545515246482</v>
          </cell>
          <cell r="Y28">
            <v>0</v>
          </cell>
          <cell r="Z28">
            <v>9056.8968985499305</v>
          </cell>
          <cell r="AA28">
            <v>0</v>
          </cell>
          <cell r="AB28">
            <v>9098.8420684490302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</row>
        <row r="29">
          <cell r="A29" t="str">
            <v>EPMI-LT-PJM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109439.60206449944</v>
          </cell>
          <cell r="W29">
            <v>36086.549818559375</v>
          </cell>
          <cell r="X29">
            <v>303904.67670459696</v>
          </cell>
          <cell r="Y29">
            <v>131809.07498666577</v>
          </cell>
          <cell r="Z29">
            <v>306155.74236071715</v>
          </cell>
          <cell r="AA29">
            <v>36591.836476820652</v>
          </cell>
          <cell r="AB29">
            <v>278147.04370154598</v>
          </cell>
          <cell r="AC29">
            <v>33535.027335350249</v>
          </cell>
          <cell r="AD29">
            <v>301653.9126246763</v>
          </cell>
          <cell r="AE29">
            <v>86248.400800640098</v>
          </cell>
          <cell r="AF29">
            <v>331079.76583211019</v>
          </cell>
          <cell r="AG29">
            <v>90839.020679114503</v>
          </cell>
          <cell r="AH29">
            <v>139336.68729315631</v>
          </cell>
          <cell r="AI29">
            <v>38734.361465357098</v>
          </cell>
          <cell r="AJ29">
            <v>110587.35907497691</v>
          </cell>
          <cell r="AK29">
            <v>39442.380787538903</v>
          </cell>
          <cell r="AL29">
            <v>-232260.0422027391</v>
          </cell>
          <cell r="AM29">
            <v>19284.9395082993</v>
          </cell>
          <cell r="AN29">
            <v>-233028.82555641359</v>
          </cell>
          <cell r="AO29">
            <v>19237.052810157002</v>
          </cell>
          <cell r="AP29">
            <v>-31354.371420503499</v>
          </cell>
          <cell r="AQ29">
            <v>19585.832527999399</v>
          </cell>
          <cell r="AR29">
            <v>771827.26164365513</v>
          </cell>
          <cell r="AS29">
            <v>92056.202049400395</v>
          </cell>
          <cell r="AT29">
            <v>669325.01914543356</v>
          </cell>
          <cell r="AU29">
            <v>97422.594179378502</v>
          </cell>
          <cell r="AV29">
            <v>700714.52054440556</v>
          </cell>
          <cell r="AW29">
            <v>99064.996454476102</v>
          </cell>
        </row>
        <row r="30">
          <cell r="A30" t="str">
            <v>EPMI-LT-SERC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11179.724576483441</v>
          </cell>
          <cell r="W30">
            <v>0</v>
          </cell>
          <cell r="X30">
            <v>-31882.95786087029</v>
          </cell>
          <cell r="Y30">
            <v>0</v>
          </cell>
          <cell r="Z30">
            <v>122524.0788820444</v>
          </cell>
          <cell r="AA30">
            <v>0</v>
          </cell>
          <cell r="AB30">
            <v>111208.849762489</v>
          </cell>
          <cell r="AC30">
            <v>0</v>
          </cell>
          <cell r="AD30">
            <v>83254.000697356998</v>
          </cell>
          <cell r="AE30">
            <v>0</v>
          </cell>
          <cell r="AF30">
            <v>87055.085102237397</v>
          </cell>
          <cell r="AG30">
            <v>0</v>
          </cell>
          <cell r="AH30">
            <v>-34751.992046262501</v>
          </cell>
          <cell r="AI30">
            <v>0</v>
          </cell>
          <cell r="AJ30">
            <v>31526.8695627823</v>
          </cell>
          <cell r="AK30">
            <v>0</v>
          </cell>
          <cell r="AL30">
            <v>17300.414592960999</v>
          </cell>
          <cell r="AM30">
            <v>0</v>
          </cell>
          <cell r="AN30">
            <v>17259.179910462099</v>
          </cell>
          <cell r="AO30">
            <v>0</v>
          </cell>
          <cell r="AP30">
            <v>62606.506586781201</v>
          </cell>
          <cell r="AQ30">
            <v>0</v>
          </cell>
          <cell r="AR30">
            <v>71805.457085163202</v>
          </cell>
          <cell r="AS30">
            <v>0</v>
          </cell>
          <cell r="AT30">
            <v>62270.253567679603</v>
          </cell>
          <cell r="AU30">
            <v>0</v>
          </cell>
          <cell r="AV30">
            <v>65189.8613744432</v>
          </cell>
          <cell r="AW30">
            <v>0</v>
          </cell>
          <cell r="AZ30" t="str">
            <v xml:space="preserve"> </v>
          </cell>
        </row>
        <row r="31">
          <cell r="A31" t="str">
            <v>EPMI-LT-SPP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66279.795703437369</v>
          </cell>
          <cell r="W31">
            <v>0</v>
          </cell>
          <cell r="X31">
            <v>-215106.92562133027</v>
          </cell>
          <cell r="Y31">
            <v>-21122.459582826465</v>
          </cell>
          <cell r="Z31">
            <v>122524.07888204329</v>
          </cell>
          <cell r="AA31">
            <v>-58477.401284611798</v>
          </cell>
          <cell r="AB31">
            <v>111208.8497624888</v>
          </cell>
          <cell r="AC31">
            <v>-52427.029173744901</v>
          </cell>
          <cell r="AD31">
            <v>-99904.800836828304</v>
          </cell>
          <cell r="AE31">
            <v>-60656.486222360101</v>
          </cell>
          <cell r="AF31">
            <v>-104466.1021226853</v>
          </cell>
          <cell r="AG31">
            <v>-54458.891305433703</v>
          </cell>
          <cell r="AH31">
            <v>-191135.9562544465</v>
          </cell>
          <cell r="AI31">
            <v>-58051.623077280303</v>
          </cell>
          <cell r="AJ31">
            <v>63053.739125564302</v>
          </cell>
          <cell r="AK31">
            <v>-59112.880430216697</v>
          </cell>
          <cell r="AL31">
            <v>-382257.74538732576</v>
          </cell>
          <cell r="AM31">
            <v>-57799.112390120397</v>
          </cell>
          <cell r="AN31">
            <v>-381699.43905213469</v>
          </cell>
          <cell r="AO31">
            <v>-57661.351064499897</v>
          </cell>
          <cell r="AP31">
            <v>-250426.0263471248</v>
          </cell>
          <cell r="AQ31">
            <v>-58693.599925107301</v>
          </cell>
          <cell r="AR31">
            <v>-17951.364271290098</v>
          </cell>
          <cell r="AS31">
            <v>-55171.1766055158</v>
          </cell>
          <cell r="AT31">
            <v>-15567.563391920599</v>
          </cell>
          <cell r="AU31">
            <v>-58378.362719699697</v>
          </cell>
          <cell r="AV31">
            <v>-16297.46534361</v>
          </cell>
          <cell r="AW31">
            <v>-59369.338037439302</v>
          </cell>
        </row>
        <row r="32">
          <cell r="A32" t="str">
            <v>EPMI-MIDWEST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36398.424903196101</v>
          </cell>
          <cell r="W32">
            <v>10785.638482998747</v>
          </cell>
          <cell r="X32">
            <v>-67192.111018924959</v>
          </cell>
          <cell r="Y32">
            <v>54584.293796262864</v>
          </cell>
          <cell r="Z32">
            <v>-536056.93298904481</v>
          </cell>
          <cell r="AA32">
            <v>-164732.52857137425</v>
          </cell>
          <cell r="AB32">
            <v>-456721.995944808</v>
          </cell>
          <cell r="AC32">
            <v>-147675.68663520718</v>
          </cell>
          <cell r="AD32">
            <v>-642690.5034466997</v>
          </cell>
          <cell r="AE32">
            <v>-231974.67439321769</v>
          </cell>
          <cell r="AF32">
            <v>-621056.76676156663</v>
          </cell>
          <cell r="AG32">
            <v>-207347.68104213243</v>
          </cell>
          <cell r="AH32">
            <v>-501984.54469606123</v>
          </cell>
          <cell r="AI32">
            <v>-47455.419135877288</v>
          </cell>
          <cell r="AJ32">
            <v>-346700.94245523401</v>
          </cell>
          <cell r="AK32">
            <v>-48832.853988251467</v>
          </cell>
          <cell r="AL32">
            <v>100948.79101245814</v>
          </cell>
          <cell r="AM32">
            <v>-8474.3620885884193</v>
          </cell>
          <cell r="AN32">
            <v>90255.144178295071</v>
          </cell>
          <cell r="AO32">
            <v>-8456.0858643582105</v>
          </cell>
          <cell r="AP32">
            <v>-312913.25730397587</v>
          </cell>
          <cell r="AQ32">
            <v>-87606.510782232916</v>
          </cell>
          <cell r="AR32">
            <v>807116.79255583696</v>
          </cell>
          <cell r="AS32">
            <v>-79890.655472333136</v>
          </cell>
          <cell r="AT32">
            <v>699988.46513679426</v>
          </cell>
          <cell r="AU32">
            <v>-86155.253090804923</v>
          </cell>
          <cell r="AV32">
            <v>732768.91734051809</v>
          </cell>
          <cell r="AW32">
            <v>-87406.923248318242</v>
          </cell>
        </row>
        <row r="33">
          <cell r="A33" t="str">
            <v>EPMI-MIDWEST-HR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238956.85993061797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166508.001394714</v>
          </cell>
          <cell r="AE33">
            <v>0</v>
          </cell>
          <cell r="AF33">
            <v>174110.17020447479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-86502.072964805993</v>
          </cell>
          <cell r="AM33">
            <v>0</v>
          </cell>
          <cell r="AN33">
            <v>-86295.899552312898</v>
          </cell>
          <cell r="AO33">
            <v>0</v>
          </cell>
          <cell r="AP33">
            <v>0</v>
          </cell>
          <cell r="AQ33">
            <v>0</v>
          </cell>
          <cell r="AR33">
            <v>753957.29939421359</v>
          </cell>
          <cell r="AS33">
            <v>0</v>
          </cell>
          <cell r="AT33">
            <v>653837.66246063577</v>
          </cell>
          <cell r="AU33">
            <v>0</v>
          </cell>
          <cell r="AV33">
            <v>684493.54443165357</v>
          </cell>
          <cell r="AW33">
            <v>0</v>
          </cell>
        </row>
        <row r="34">
          <cell r="A34" t="str">
            <v>EPMI-MW-OFF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</row>
        <row r="35">
          <cell r="A35" t="str">
            <v>EPMI-NE TRANS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</row>
        <row r="36">
          <cell r="A36" t="str">
            <v>EPMI-NE-PHYS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7991.6231831567402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A37" t="str">
            <v>EPMI-SE-ANALYST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A38" t="str">
            <v>EPMI-SOUTHEAST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</row>
        <row r="39">
          <cell r="A39" t="str">
            <v>EPMI-ST-ECAR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406.47407382183599</v>
          </cell>
          <cell r="W39">
            <v>0</v>
          </cell>
          <cell r="X39">
            <v>-31882.957860870109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A40" t="str">
            <v>EPMI-ST-ERCOT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-28747.863196671668</v>
          </cell>
          <cell r="W40">
            <v>0</v>
          </cell>
          <cell r="X40">
            <v>-63765.915721740239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</row>
        <row r="41">
          <cell r="A41" t="str">
            <v>EPMI-ST-HOURLY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Z41">
            <v>-18002341.484947357</v>
          </cell>
        </row>
        <row r="42">
          <cell r="A42" t="str">
            <v>EPMI-ST-MAPP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-7190.0186134307933</v>
          </cell>
          <cell r="W42">
            <v>17167.336335325323</v>
          </cell>
          <cell r="X42">
            <v>0</v>
          </cell>
          <cell r="Y42">
            <v>21122.459582826465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A43" t="str">
            <v>EPMI-ST-NENG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-19057.815226260045</v>
          </cell>
          <cell r="W43">
            <v>8594.2003768695158</v>
          </cell>
          <cell r="X43">
            <v>-78013.123380011108</v>
          </cell>
          <cell r="Y43">
            <v>-84459.30200413485</v>
          </cell>
          <cell r="Z43">
            <v>-123842.54173376477</v>
          </cell>
          <cell r="AA43">
            <v>-19492.467094870681</v>
          </cell>
          <cell r="AB43">
            <v>-111408.59041145853</v>
          </cell>
          <cell r="AC43">
            <v>-17475.67639124886</v>
          </cell>
          <cell r="AD43">
            <v>89624.751596698072</v>
          </cell>
          <cell r="AE43">
            <v>-20218.828740786699</v>
          </cell>
          <cell r="AF43">
            <v>93731.511237640763</v>
          </cell>
          <cell r="AG43">
            <v>-18152.963768477901</v>
          </cell>
          <cell r="AH43">
            <v>57847.576461149692</v>
          </cell>
          <cell r="AI43">
            <v>-18263.607413211808</v>
          </cell>
          <cell r="AJ43">
            <v>-332725.55563429295</v>
          </cell>
          <cell r="AK43">
            <v>59112.880430216683</v>
          </cell>
          <cell r="AL43">
            <v>-112444.47252079072</v>
          </cell>
          <cell r="AM43">
            <v>57799.112390120397</v>
          </cell>
          <cell r="AN43">
            <v>-112885.40438513864</v>
          </cell>
          <cell r="AO43">
            <v>57661.351064500079</v>
          </cell>
          <cell r="AP43">
            <v>-9479.3347516669292</v>
          </cell>
          <cell r="AQ43">
            <v>58693.599925107483</v>
          </cell>
          <cell r="AR43">
            <v>51899.793249492919</v>
          </cell>
          <cell r="AS43">
            <v>55171.176605515982</v>
          </cell>
          <cell r="AT43">
            <v>45010.309879428911</v>
          </cell>
          <cell r="AU43">
            <v>58378.362719699682</v>
          </cell>
          <cell r="AV43">
            <v>47118.797150750121</v>
          </cell>
          <cell r="AW43">
            <v>59369.338037439142</v>
          </cell>
        </row>
        <row r="44">
          <cell r="A44" t="str">
            <v>EPMI-ST-NY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-37560.628960836781</v>
          </cell>
          <cell r="W44">
            <v>33964.398528416168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</row>
        <row r="45">
          <cell r="A45" t="str">
            <v>EPMI-ST-PJM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17587.676631471215</v>
          </cell>
          <cell r="W45">
            <v>63533.404306096258</v>
          </cell>
          <cell r="X45">
            <v>-87741.511400199932</v>
          </cell>
          <cell r="Y45">
            <v>105688.63873205992</v>
          </cell>
          <cell r="Z45">
            <v>-490480.90561497974</v>
          </cell>
          <cell r="AA45">
            <v>-58521.707509345702</v>
          </cell>
          <cell r="AB45">
            <v>-445170.4525948693</v>
          </cell>
          <cell r="AC45">
            <v>-52465.1559564419</v>
          </cell>
          <cell r="AD45">
            <v>-33193.921768271597</v>
          </cell>
          <cell r="AE45">
            <v>-20237.507666107202</v>
          </cell>
          <cell r="AF45">
            <v>-34722.397351145599</v>
          </cell>
          <cell r="AG45">
            <v>-18167.804135822898</v>
          </cell>
          <cell r="AH45">
            <v>0</v>
          </cell>
          <cell r="AI45">
            <v>-19367.180732678498</v>
          </cell>
          <cell r="AJ45">
            <v>0</v>
          </cell>
          <cell r="AK45">
            <v>-19721.190393769401</v>
          </cell>
          <cell r="AL45">
            <v>10511.45339985361</v>
          </cell>
          <cell r="AM45">
            <v>-19284.9395082993</v>
          </cell>
          <cell r="AN45">
            <v>9782.6397965623401</v>
          </cell>
          <cell r="AO45">
            <v>-19237.0528101571</v>
          </cell>
          <cell r="AP45">
            <v>0</v>
          </cell>
          <cell r="AQ45">
            <v>-19585.832527999501</v>
          </cell>
          <cell r="AR45">
            <v>0</v>
          </cell>
          <cell r="AS45">
            <v>-18411.240409880102</v>
          </cell>
          <cell r="AT45">
            <v>0</v>
          </cell>
          <cell r="AU45">
            <v>-19484.5188358757</v>
          </cell>
          <cell r="AV45">
            <v>0</v>
          </cell>
          <cell r="AW45">
            <v>-19812.999290895201</v>
          </cell>
        </row>
        <row r="46">
          <cell r="A46" t="str">
            <v>EPMI-ST-PJM-OFF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-10410.479837943802</v>
          </cell>
          <cell r="W46">
            <v>6787.6899214364103</v>
          </cell>
          <cell r="X46">
            <v>-15953.002072763762</v>
          </cell>
          <cell r="Y46">
            <v>21122.45958282645</v>
          </cell>
          <cell r="Z46">
            <v>0</v>
          </cell>
          <cell r="AA46">
            <v>14.7687415778</v>
          </cell>
          <cell r="AB46">
            <v>0</v>
          </cell>
          <cell r="AC46">
            <v>12.7089275659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</row>
        <row r="47">
          <cell r="A47" t="str">
            <v>EPMI-ST-SERC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48">
          <cell r="A48" t="str">
            <v>EPMI-ST-SPP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</row>
        <row r="49">
          <cell r="A49" t="str">
            <v>PWR-CL-LT-OPT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</row>
        <row r="50">
          <cell r="A50" t="str">
            <v>PWR-COAL-MGMT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</row>
        <row r="51">
          <cell r="A51" t="str">
            <v>PWR-COAL-MW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23191.410599999999</v>
          </cell>
          <cell r="AA51">
            <v>0</v>
          </cell>
          <cell r="AB51">
            <v>23148.080699999999</v>
          </cell>
          <cell r="AC51">
            <v>0</v>
          </cell>
          <cell r="AD51">
            <v>23110.372200000002</v>
          </cell>
          <cell r="AE51">
            <v>0</v>
          </cell>
          <cell r="AF51">
            <v>-23070.45</v>
          </cell>
          <cell r="AG51">
            <v>0</v>
          </cell>
          <cell r="AH51">
            <v>-23027.780999999999</v>
          </cell>
          <cell r="AI51">
            <v>0</v>
          </cell>
          <cell r="AJ51">
            <v>-22982.8613</v>
          </cell>
          <cell r="AK51">
            <v>0</v>
          </cell>
          <cell r="AL51">
            <v>-30582.9548</v>
          </cell>
          <cell r="AM51">
            <v>0</v>
          </cell>
          <cell r="AN51">
            <v>-30515.101999999999</v>
          </cell>
          <cell r="AO51">
            <v>0</v>
          </cell>
          <cell r="AP51">
            <v>-30444.8364</v>
          </cell>
          <cell r="AQ51">
            <v>0</v>
          </cell>
          <cell r="AR51">
            <v>68339.467000000004</v>
          </cell>
          <cell r="AS51">
            <v>0</v>
          </cell>
          <cell r="AT51">
            <v>68161.674599999998</v>
          </cell>
          <cell r="AU51">
            <v>0</v>
          </cell>
          <cell r="AV51">
            <v>67983.121799999994</v>
          </cell>
          <cell r="AW51">
            <v>0</v>
          </cell>
        </row>
        <row r="52">
          <cell r="A52" t="str">
            <v>PWR-COAL-MW-OFF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</row>
        <row r="53">
          <cell r="A53" t="str">
            <v>PWR-GAS-LT-MGMT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-1347500</v>
          </cell>
          <cell r="W53">
            <v>0</v>
          </cell>
          <cell r="X53">
            <v>-2996387.5929999999</v>
          </cell>
          <cell r="Y53">
            <v>0</v>
          </cell>
          <cell r="Z53">
            <v>3394860.4394999999</v>
          </cell>
          <cell r="AA53">
            <v>0</v>
          </cell>
          <cell r="AB53">
            <v>-6236603.6703000003</v>
          </cell>
          <cell r="AC53">
            <v>0</v>
          </cell>
          <cell r="AD53">
            <v>-187927.58290000001</v>
          </cell>
          <cell r="AE53">
            <v>0</v>
          </cell>
          <cell r="AF53">
            <v>-819403.84050000005</v>
          </cell>
          <cell r="AG53">
            <v>0</v>
          </cell>
          <cell r="AH53">
            <v>-919408.66780000005</v>
          </cell>
          <cell r="AI53">
            <v>0</v>
          </cell>
          <cell r="AJ53">
            <v>-816292.91980000003</v>
          </cell>
          <cell r="AK53">
            <v>0</v>
          </cell>
          <cell r="AL53">
            <v>-915792.772</v>
          </cell>
          <cell r="AM53">
            <v>0</v>
          </cell>
          <cell r="AN53">
            <v>-913760.95010000002</v>
          </cell>
          <cell r="AO53">
            <v>0</v>
          </cell>
          <cell r="AP53">
            <v>-2775175.5033999998</v>
          </cell>
          <cell r="AQ53">
            <v>0</v>
          </cell>
          <cell r="AR53">
            <v>-2379174.6239</v>
          </cell>
          <cell r="AS53">
            <v>0</v>
          </cell>
          <cell r="AT53">
            <v>1476530.4061</v>
          </cell>
          <cell r="AU53">
            <v>0</v>
          </cell>
          <cell r="AV53">
            <v>1533579.3402</v>
          </cell>
          <cell r="AW53">
            <v>0</v>
          </cell>
        </row>
        <row r="54">
          <cell r="A54" t="str">
            <v>PWR-HO-PRC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</row>
        <row r="55">
          <cell r="A55" t="str">
            <v>PWR-MW-GAS-MTM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-2172500</v>
          </cell>
          <cell r="W55">
            <v>0</v>
          </cell>
          <cell r="X55">
            <v>-11302603.0481</v>
          </cell>
          <cell r="Y55">
            <v>0</v>
          </cell>
          <cell r="Z55">
            <v>112279.3447</v>
          </cell>
          <cell r="AA55">
            <v>0</v>
          </cell>
          <cell r="AB55">
            <v>17604551.3926</v>
          </cell>
          <cell r="AC55">
            <v>0</v>
          </cell>
          <cell r="AD55">
            <v>-3416793.4948999998</v>
          </cell>
          <cell r="AE55">
            <v>0</v>
          </cell>
          <cell r="AF55">
            <v>-7024549.1694</v>
          </cell>
          <cell r="AG55">
            <v>0</v>
          </cell>
          <cell r="AH55">
            <v>-3645044.17</v>
          </cell>
          <cell r="AI55">
            <v>0</v>
          </cell>
          <cell r="AJ55">
            <v>-1066818.9598000001</v>
          </cell>
          <cell r="AK55">
            <v>0</v>
          </cell>
          <cell r="AL55">
            <v>-1164341.4317999999</v>
          </cell>
          <cell r="AM55">
            <v>0</v>
          </cell>
          <cell r="AN55">
            <v>-1161758.1688000001</v>
          </cell>
          <cell r="AO55">
            <v>0</v>
          </cell>
          <cell r="AP55">
            <v>-1059891.8060000001</v>
          </cell>
          <cell r="AQ55">
            <v>0</v>
          </cell>
          <cell r="AR55">
            <v>-2136129.1039</v>
          </cell>
          <cell r="AS55">
            <v>0</v>
          </cell>
          <cell r="AT55">
            <v>4929201.1438999996</v>
          </cell>
          <cell r="AU55">
            <v>0</v>
          </cell>
          <cell r="AV55">
            <v>5175550.6659000004</v>
          </cell>
          <cell r="AW55">
            <v>0</v>
          </cell>
        </row>
        <row r="56">
          <cell r="A56" t="str">
            <v>PWR-NE-GAS-MTM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-4596794.6178000001</v>
          </cell>
          <cell r="Y56">
            <v>0</v>
          </cell>
          <cell r="Z56">
            <v>-2321136.0288999998</v>
          </cell>
          <cell r="AA56">
            <v>0</v>
          </cell>
          <cell r="AB56">
            <v>-35842.189700000003</v>
          </cell>
          <cell r="AC56">
            <v>0</v>
          </cell>
          <cell r="AD56">
            <v>-1234541.1779</v>
          </cell>
          <cell r="AE56">
            <v>0</v>
          </cell>
          <cell r="AF56">
            <v>-59536.644899999999</v>
          </cell>
          <cell r="AG56">
            <v>0</v>
          </cell>
          <cell r="AH56">
            <v>-1980.8842999999999</v>
          </cell>
          <cell r="AI56">
            <v>0</v>
          </cell>
          <cell r="AJ56">
            <v>-59310.610500000003</v>
          </cell>
          <cell r="AK56">
            <v>0</v>
          </cell>
          <cell r="AL56">
            <v>-1973.0940000000001</v>
          </cell>
          <cell r="AM56">
            <v>0</v>
          </cell>
          <cell r="AN56">
            <v>-1968.7163</v>
          </cell>
          <cell r="AO56">
            <v>0</v>
          </cell>
          <cell r="AP56">
            <v>-58925.490100000003</v>
          </cell>
          <cell r="AQ56">
            <v>0</v>
          </cell>
          <cell r="AR56">
            <v>-1959.5550000000001</v>
          </cell>
          <cell r="AS56">
            <v>0</v>
          </cell>
          <cell r="AT56">
            <v>234534.79370000001</v>
          </cell>
          <cell r="AU56">
            <v>0</v>
          </cell>
          <cell r="AV56">
            <v>300197.87070000003</v>
          </cell>
          <cell r="AW56">
            <v>0</v>
          </cell>
        </row>
        <row r="57">
          <cell r="A57" t="str">
            <v>PWR-NG-CENTRAL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</row>
        <row r="58">
          <cell r="A58" t="str">
            <v>PWR-NG-ERCT-AST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-50000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</row>
        <row r="59">
          <cell r="A59" t="str">
            <v>PWR-NG-ERCT-OFF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309783.98509999999</v>
          </cell>
          <cell r="Y59">
            <v>0</v>
          </cell>
          <cell r="Z59">
            <v>371062.57160000002</v>
          </cell>
          <cell r="AA59">
            <v>0</v>
          </cell>
          <cell r="AB59">
            <v>334527.10070000001</v>
          </cell>
          <cell r="AC59">
            <v>0</v>
          </cell>
          <cell r="AD59">
            <v>369765.9571</v>
          </cell>
          <cell r="AE59">
            <v>0</v>
          </cell>
          <cell r="AF59">
            <v>357219.87119999999</v>
          </cell>
          <cell r="AG59">
            <v>0</v>
          </cell>
          <cell r="AH59">
            <v>368444.49560000002</v>
          </cell>
          <cell r="AI59">
            <v>0</v>
          </cell>
          <cell r="AJ59">
            <v>355863.66239999997</v>
          </cell>
          <cell r="AK59">
            <v>0</v>
          </cell>
          <cell r="AL59">
            <v>366995.45809999999</v>
          </cell>
          <cell r="AM59">
            <v>0</v>
          </cell>
          <cell r="AN59">
            <v>366181.22450000001</v>
          </cell>
          <cell r="AO59">
            <v>0</v>
          </cell>
          <cell r="AP59">
            <v>353552.94010000001</v>
          </cell>
          <cell r="AQ59">
            <v>0</v>
          </cell>
          <cell r="AR59">
            <v>364477.15919999999</v>
          </cell>
          <cell r="AS59">
            <v>0</v>
          </cell>
          <cell r="AT59">
            <v>351802.19040000002</v>
          </cell>
          <cell r="AU59">
            <v>0</v>
          </cell>
          <cell r="AV59">
            <v>362576.64899999998</v>
          </cell>
          <cell r="AW59">
            <v>0</v>
          </cell>
        </row>
        <row r="60">
          <cell r="A60" t="str">
            <v>PWR-NG-ERCT-OPT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-162386.76639999999</v>
          </cell>
          <cell r="Y60">
            <v>0</v>
          </cell>
          <cell r="Z60">
            <v>192014.9057</v>
          </cell>
          <cell r="AA60">
            <v>0</v>
          </cell>
          <cell r="AB60">
            <v>-99561.637100000007</v>
          </cell>
          <cell r="AC60">
            <v>0</v>
          </cell>
          <cell r="AD60">
            <v>-126734.2996</v>
          </cell>
          <cell r="AE60">
            <v>0</v>
          </cell>
          <cell r="AF60">
            <v>-272876.2905</v>
          </cell>
          <cell r="AG60">
            <v>0</v>
          </cell>
          <cell r="AH60">
            <v>-279799.91889999999</v>
          </cell>
          <cell r="AI60">
            <v>0</v>
          </cell>
          <cell r="AJ60">
            <v>-261955.19589999999</v>
          </cell>
          <cell r="AK60">
            <v>0</v>
          </cell>
          <cell r="AL60">
            <v>-249103.10019999999</v>
          </cell>
          <cell r="AM60">
            <v>0</v>
          </cell>
          <cell r="AN60">
            <v>-248550.42819999999</v>
          </cell>
          <cell r="AO60">
            <v>0</v>
          </cell>
          <cell r="AP60">
            <v>-250433.3328</v>
          </cell>
          <cell r="AQ60">
            <v>0</v>
          </cell>
          <cell r="AR60">
            <v>-257191.54380000001</v>
          </cell>
          <cell r="AS60">
            <v>0</v>
          </cell>
          <cell r="AT60">
            <v>-29316.849200000001</v>
          </cell>
          <cell r="AU60">
            <v>0</v>
          </cell>
          <cell r="AV60">
            <v>-29240.052299999999</v>
          </cell>
          <cell r="AW60">
            <v>0</v>
          </cell>
        </row>
        <row r="61">
          <cell r="A61" t="str">
            <v>PWR-NG-HEDGE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</row>
        <row r="62">
          <cell r="A62" t="str">
            <v>PWR-NG-LT-ERCOT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154609.40460000001</v>
          </cell>
          <cell r="AA62">
            <v>0</v>
          </cell>
          <cell r="AB62">
            <v>139386.29199999999</v>
          </cell>
          <cell r="AC62">
            <v>0</v>
          </cell>
          <cell r="AD62">
            <v>154069.14859999999</v>
          </cell>
          <cell r="AE62">
            <v>0</v>
          </cell>
          <cell r="AF62">
            <v>818628.87179999996</v>
          </cell>
          <cell r="AG62">
            <v>0</v>
          </cell>
          <cell r="AH62">
            <v>844351.96779999998</v>
          </cell>
          <cell r="AI62">
            <v>0</v>
          </cell>
          <cell r="AJ62">
            <v>815520.89309999999</v>
          </cell>
          <cell r="AK62">
            <v>0</v>
          </cell>
          <cell r="AL62">
            <v>841031.25930000003</v>
          </cell>
          <cell r="AM62">
            <v>0</v>
          </cell>
          <cell r="AN62">
            <v>839165.30729999999</v>
          </cell>
          <cell r="AO62">
            <v>0</v>
          </cell>
          <cell r="AP62">
            <v>810225.48829999997</v>
          </cell>
          <cell r="AQ62">
            <v>0</v>
          </cell>
          <cell r="AR62">
            <v>835260.15619999997</v>
          </cell>
          <cell r="AS62">
            <v>0</v>
          </cell>
          <cell r="AT62">
            <v>146584.24609999999</v>
          </cell>
          <cell r="AU62">
            <v>0</v>
          </cell>
          <cell r="AV62">
            <v>151073.6036</v>
          </cell>
          <cell r="AW62">
            <v>0</v>
          </cell>
        </row>
        <row r="63">
          <cell r="A63" t="str">
            <v>PWR-NG-LT-OPT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43113.7137</v>
          </cell>
          <cell r="AA63">
            <v>0</v>
          </cell>
          <cell r="AB63">
            <v>38868.661899999999</v>
          </cell>
          <cell r="AC63">
            <v>0</v>
          </cell>
          <cell r="AD63">
            <v>42963.0602</v>
          </cell>
          <cell r="AE63">
            <v>0</v>
          </cell>
          <cell r="AF63">
            <v>41505.332000000002</v>
          </cell>
          <cell r="AG63">
            <v>0</v>
          </cell>
          <cell r="AH63">
            <v>42809.519800000002</v>
          </cell>
          <cell r="AI63">
            <v>0</v>
          </cell>
          <cell r="AJ63">
            <v>41347.754399999998</v>
          </cell>
          <cell r="AK63">
            <v>0</v>
          </cell>
          <cell r="AL63">
            <v>42641.1564</v>
          </cell>
          <cell r="AM63">
            <v>0</v>
          </cell>
          <cell r="AN63">
            <v>42546.5507</v>
          </cell>
          <cell r="AO63">
            <v>0</v>
          </cell>
          <cell r="AP63">
            <v>41079.271999999997</v>
          </cell>
          <cell r="AQ63">
            <v>0</v>
          </cell>
          <cell r="AR63">
            <v>42348.5556</v>
          </cell>
          <cell r="AS63">
            <v>0</v>
          </cell>
          <cell r="AT63">
            <v>40875.852500000001</v>
          </cell>
          <cell r="AU63">
            <v>0</v>
          </cell>
          <cell r="AV63">
            <v>42127.735500000003</v>
          </cell>
          <cell r="AW63">
            <v>0</v>
          </cell>
        </row>
        <row r="64">
          <cell r="A64" t="str">
            <v>PWR-NG-LT-OPTA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A65" t="str">
            <v>PWR-NG-LT-OPTB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-774459.96250000002</v>
          </cell>
          <cell r="Y65">
            <v>0</v>
          </cell>
          <cell r="Z65">
            <v>618437.61840000004</v>
          </cell>
          <cell r="AA65">
            <v>0</v>
          </cell>
          <cell r="AB65">
            <v>0</v>
          </cell>
          <cell r="AC65">
            <v>0</v>
          </cell>
          <cell r="AD65">
            <v>-154069.14859999999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</row>
        <row r="66">
          <cell r="A66" t="str">
            <v>PWR-NG-LT-OPTY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-309783.9852</v>
          </cell>
          <cell r="Y66">
            <v>0</v>
          </cell>
          <cell r="Z66">
            <v>-199496.00599999999</v>
          </cell>
          <cell r="AA66">
            <v>0</v>
          </cell>
          <cell r="AB66">
            <v>199123.27420000001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</row>
        <row r="67">
          <cell r="A67" t="str">
            <v>PWR-NG-LT-OPTZ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-77445.996599999999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A68" t="str">
            <v>PWR-NG-LT-SERC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-1084243.9473999999</v>
          </cell>
          <cell r="Y68">
            <v>0</v>
          </cell>
          <cell r="Z68">
            <v>-1546094.0460000001</v>
          </cell>
          <cell r="AA68">
            <v>0</v>
          </cell>
          <cell r="AB68">
            <v>-1742328.6491</v>
          </cell>
          <cell r="AC68">
            <v>0</v>
          </cell>
          <cell r="AD68">
            <v>-308138.29719999997</v>
          </cell>
          <cell r="AE68">
            <v>0</v>
          </cell>
          <cell r="AF68">
            <v>-595366.45220000006</v>
          </cell>
          <cell r="AG68">
            <v>0</v>
          </cell>
          <cell r="AH68">
            <v>-614074.15839999996</v>
          </cell>
          <cell r="AI68">
            <v>0</v>
          </cell>
          <cell r="AJ68">
            <v>-593106.10400000005</v>
          </cell>
          <cell r="AK68">
            <v>0</v>
          </cell>
          <cell r="AL68">
            <v>-611659.09759999998</v>
          </cell>
          <cell r="AM68">
            <v>0</v>
          </cell>
          <cell r="AN68">
            <v>-610302.0416</v>
          </cell>
          <cell r="AO68">
            <v>0</v>
          </cell>
          <cell r="AP68">
            <v>-589254.90049999999</v>
          </cell>
          <cell r="AQ68">
            <v>0</v>
          </cell>
          <cell r="AR68">
            <v>-607461.93180000002</v>
          </cell>
          <cell r="AS68">
            <v>0</v>
          </cell>
          <cell r="AT68">
            <v>-586336.98400000005</v>
          </cell>
          <cell r="AU68">
            <v>0</v>
          </cell>
          <cell r="AV68">
            <v>-604294.41460000002</v>
          </cell>
          <cell r="AW68">
            <v>0</v>
          </cell>
        </row>
        <row r="69">
          <cell r="A69" t="str">
            <v>PWR-NG-LT-SPP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A70" t="str">
            <v>PWR-NG-MW-HR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-2585000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-1540691.4857999999</v>
          </cell>
          <cell r="AE70">
            <v>0</v>
          </cell>
          <cell r="AF70">
            <v>-1488416.1307999999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1376232.97</v>
          </cell>
          <cell r="AM70">
            <v>0</v>
          </cell>
          <cell r="AN70">
            <v>1373179.5937999999</v>
          </cell>
          <cell r="AO70">
            <v>0</v>
          </cell>
          <cell r="AP70">
            <v>0</v>
          </cell>
          <cell r="AQ70">
            <v>0</v>
          </cell>
          <cell r="AR70">
            <v>-5878663.8557000002</v>
          </cell>
          <cell r="AS70">
            <v>0</v>
          </cell>
          <cell r="AT70">
            <v>-5863369.8408000004</v>
          </cell>
          <cell r="AU70">
            <v>0</v>
          </cell>
          <cell r="AV70">
            <v>-5848010.4655999998</v>
          </cell>
          <cell r="AW70">
            <v>0</v>
          </cell>
        </row>
        <row r="71">
          <cell r="A71" t="str">
            <v>PWR-NG-MW-OFF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A72" t="str">
            <v>PWR-NG-ST-ECAR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-75000</v>
          </cell>
          <cell r="W72">
            <v>0</v>
          </cell>
          <cell r="X72">
            <v>154891.99249999999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A73" t="str">
            <v>PWR-NG-ST-MAPP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A74" t="str">
            <v>PWR-NG-ST-NENG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77445.995800000004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</row>
        <row r="75">
          <cell r="A75" t="str">
            <v>PWR-NG-ST-NY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77445.996100000004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</row>
        <row r="76">
          <cell r="A76" t="str">
            <v>PWR-NG-ST-TEXAS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1703811.9175</v>
          </cell>
          <cell r="Y76">
            <v>0</v>
          </cell>
          <cell r="Z76">
            <v>-3196424.7552</v>
          </cell>
          <cell r="AA76">
            <v>0</v>
          </cell>
          <cell r="AB76">
            <v>-1240537.9979999999</v>
          </cell>
          <cell r="AC76">
            <v>0</v>
          </cell>
          <cell r="AD76">
            <v>-369765.95640000002</v>
          </cell>
          <cell r="AE76">
            <v>0</v>
          </cell>
          <cell r="AF76">
            <v>14884.1612</v>
          </cell>
          <cell r="AG76">
            <v>0</v>
          </cell>
          <cell r="AH76">
            <v>15351.8539</v>
          </cell>
          <cell r="AI76">
            <v>0</v>
          </cell>
          <cell r="AJ76">
            <v>14827.652599999999</v>
          </cell>
          <cell r="AK76">
            <v>0</v>
          </cell>
          <cell r="AL76">
            <v>15291.477500000001</v>
          </cell>
          <cell r="AM76">
            <v>0</v>
          </cell>
          <cell r="AN76">
            <v>15257.551100000001</v>
          </cell>
          <cell r="AO76">
            <v>0</v>
          </cell>
          <cell r="AP76">
            <v>14731.3727</v>
          </cell>
          <cell r="AQ76">
            <v>0</v>
          </cell>
          <cell r="AR76">
            <v>15186.5484</v>
          </cell>
          <cell r="AS76">
            <v>0</v>
          </cell>
          <cell r="AT76">
            <v>14658.4246</v>
          </cell>
          <cell r="AU76">
            <v>0</v>
          </cell>
          <cell r="AV76">
            <v>15107.3603</v>
          </cell>
          <cell r="AW76">
            <v>0</v>
          </cell>
        </row>
        <row r="77">
          <cell r="A77" t="str">
            <v>PWR-NG-TEXAS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-550000</v>
          </cell>
          <cell r="W77">
            <v>0</v>
          </cell>
          <cell r="X77">
            <v>1169184.7182</v>
          </cell>
          <cell r="Y77">
            <v>0</v>
          </cell>
          <cell r="Z77">
            <v>872795.02599999995</v>
          </cell>
          <cell r="AA77">
            <v>0</v>
          </cell>
          <cell r="AB77">
            <v>477895.85820000002</v>
          </cell>
          <cell r="AC77">
            <v>0</v>
          </cell>
          <cell r="AD77">
            <v>725615.99010000005</v>
          </cell>
          <cell r="AE77">
            <v>0</v>
          </cell>
          <cell r="AF77">
            <v>99227.741999999998</v>
          </cell>
          <cell r="AG77">
            <v>0</v>
          </cell>
          <cell r="AH77">
            <v>-198088.4382</v>
          </cell>
          <cell r="AI77">
            <v>0</v>
          </cell>
          <cell r="AJ77">
            <v>88965.915599999993</v>
          </cell>
          <cell r="AK77">
            <v>0</v>
          </cell>
          <cell r="AL77">
            <v>231838.52900000001</v>
          </cell>
          <cell r="AM77">
            <v>0</v>
          </cell>
          <cell r="AN77">
            <v>231324.16080000001</v>
          </cell>
          <cell r="AO77">
            <v>0</v>
          </cell>
          <cell r="AP77">
            <v>78567.320099999997</v>
          </cell>
          <cell r="AQ77">
            <v>0</v>
          </cell>
          <cell r="AR77">
            <v>-215551.008</v>
          </cell>
          <cell r="AS77">
            <v>0</v>
          </cell>
          <cell r="AT77">
            <v>-508158.71950000001</v>
          </cell>
          <cell r="AU77">
            <v>0</v>
          </cell>
          <cell r="AV77">
            <v>-516574.25780000002</v>
          </cell>
          <cell r="AW77">
            <v>0</v>
          </cell>
        </row>
        <row r="78">
          <cell r="A78" t="str">
            <v>PWR-NG-TX-ACCRL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</row>
        <row r="79">
          <cell r="A79" t="str">
            <v>PWR-NY-GAS-MTM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</row>
        <row r="80">
          <cell r="A80" t="str">
            <v>PWR-PJM-GAS-MTM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221842</v>
          </cell>
          <cell r="W80">
            <v>0</v>
          </cell>
          <cell r="X80">
            <v>-13165819.362600001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4"/>
    </sheetNames>
    <definedNames>
      <definedName name="PublishEVaRAndOffPeakPosByTrader"/>
      <definedName name="PublishEVaRAndPeakPosByTrader"/>
    </defined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PORTFOLIO_ID</v>
          </cell>
          <cell r="C1" t="str">
            <v>DOWN95</v>
          </cell>
          <cell r="D1" t="str">
            <v>Prior DOWN95</v>
          </cell>
          <cell r="E1" t="str">
            <v>change</v>
          </cell>
          <cell r="F1" t="str">
            <v>% change</v>
          </cell>
        </row>
        <row r="2">
          <cell r="B2" t="str">
            <v>B_ROGERS</v>
          </cell>
          <cell r="C2">
            <v>-78533.409789870711</v>
          </cell>
          <cell r="D2">
            <v>-83552.037970830293</v>
          </cell>
          <cell r="E2">
            <v>-5018.6281809595821</v>
          </cell>
          <cell r="F2">
            <v>6.3904371329193049E-2</v>
          </cell>
        </row>
        <row r="3">
          <cell r="B3" t="str">
            <v>D_DAVIS</v>
          </cell>
          <cell r="C3">
            <v>-1696506.32644123</v>
          </cell>
          <cell r="D3">
            <v>-1986036.90588143</v>
          </cell>
          <cell r="E3">
            <v>-289530.5794402</v>
          </cell>
          <cell r="F3">
            <v>0.17066283510274305</v>
          </cell>
        </row>
        <row r="4">
          <cell r="B4" t="str">
            <v>D_DAVIS_GAS</v>
          </cell>
          <cell r="C4">
            <v>-1656383.65887976</v>
          </cell>
          <cell r="D4">
            <v>-2278159.5940900398</v>
          </cell>
          <cell r="E4">
            <v>-621775.93521027989</v>
          </cell>
          <cell r="F4">
            <v>0.37538159222773143</v>
          </cell>
        </row>
        <row r="5">
          <cell r="B5" t="str">
            <v>D_GILBERT</v>
          </cell>
          <cell r="C5">
            <v>-3178062.92179312</v>
          </cell>
          <cell r="D5">
            <v>-3296999.8750690701</v>
          </cell>
          <cell r="E5">
            <v>-118936.95327595016</v>
          </cell>
          <cell r="F5">
            <v>3.742435445829493E-2</v>
          </cell>
        </row>
        <row r="6">
          <cell r="B6" t="str">
            <v>D_GILBERT_GAS</v>
          </cell>
          <cell r="C6">
            <v>-1455491.0404660499</v>
          </cell>
          <cell r="D6">
            <v>-1581600.61353356</v>
          </cell>
          <cell r="E6">
            <v>-126109.57306751003</v>
          </cell>
          <cell r="F6">
            <v>8.6644005054905465E-2</v>
          </cell>
        </row>
        <row r="7">
          <cell r="B7" t="str">
            <v>D_GLBRT_EPT_GAS</v>
          </cell>
          <cell r="C7">
            <v>-142408.36298031404</v>
          </cell>
          <cell r="D7">
            <v>-136656.97871032302</v>
          </cell>
          <cell r="E7">
            <v>5751.3842699910165</v>
          </cell>
          <cell r="F7">
            <v>-4.0386562626143416E-2</v>
          </cell>
        </row>
        <row r="8">
          <cell r="B8" t="str">
            <v>D_GLBRT_EPT_PWR</v>
          </cell>
          <cell r="C8">
            <v>-47051.723644557103</v>
          </cell>
          <cell r="D8">
            <v>-45934.429619300601</v>
          </cell>
          <cell r="E8">
            <v>1117.2940252565022</v>
          </cell>
          <cell r="F8">
            <v>-2.3746080668518712E-2</v>
          </cell>
        </row>
        <row r="9">
          <cell r="B9" t="str">
            <v>E_SAIBA</v>
          </cell>
          <cell r="C9">
            <v>-438847.86231576803</v>
          </cell>
          <cell r="D9">
            <v>-684909.47609843803</v>
          </cell>
          <cell r="E9">
            <v>-246061.61378267</v>
          </cell>
          <cell r="F9">
            <v>0.56069912813114975</v>
          </cell>
        </row>
        <row r="10">
          <cell r="B10" t="str">
            <v>E_SAIBA_GAS</v>
          </cell>
          <cell r="C10">
            <v>-322606.35353820404</v>
          </cell>
          <cell r="D10">
            <v>-616916.67045728501</v>
          </cell>
          <cell r="E10">
            <v>-294310.31691908097</v>
          </cell>
          <cell r="F10">
            <v>0.91228927667175608</v>
          </cell>
        </row>
        <row r="11">
          <cell r="B11" t="str">
            <v>F_STURM-HR</v>
          </cell>
          <cell r="C11">
            <v>-3540540.7972720396</v>
          </cell>
          <cell r="D11">
            <v>-3494918.93319016</v>
          </cell>
          <cell r="E11">
            <v>45621.864081879612</v>
          </cell>
          <cell r="F11">
            <v>-1.2885563729990323E-2</v>
          </cell>
        </row>
        <row r="12">
          <cell r="B12" t="str">
            <v>F_STURM-PWR</v>
          </cell>
          <cell r="C12">
            <v>-9873431.0933582392</v>
          </cell>
          <cell r="D12">
            <v>-9384349.1826815493</v>
          </cell>
          <cell r="E12">
            <v>489081.91067668982</v>
          </cell>
          <cell r="F12">
            <v>-4.9535152071470925E-2</v>
          </cell>
        </row>
        <row r="13">
          <cell r="B13" t="str">
            <v>F_STURM_COAL</v>
          </cell>
          <cell r="C13">
            <v>-591873.46313107898</v>
          </cell>
          <cell r="D13">
            <v>-592435.04265889199</v>
          </cell>
          <cell r="E13">
            <v>-561.57952781300992</v>
          </cell>
          <cell r="F13">
            <v>9.4881687183978375E-4</v>
          </cell>
        </row>
        <row r="14">
          <cell r="B14" t="str">
            <v>F_STURM_GAS</v>
          </cell>
          <cell r="C14">
            <v>-3378087.1778517999</v>
          </cell>
          <cell r="D14">
            <v>-2632504.3659749399</v>
          </cell>
          <cell r="E14">
            <v>745582.81187685998</v>
          </cell>
          <cell r="F14">
            <v>-0.22071153662499396</v>
          </cell>
        </row>
        <row r="15">
          <cell r="B15" t="str">
            <v>F_STURM_GASHR</v>
          </cell>
          <cell r="C15">
            <v>-4308626.1067526806</v>
          </cell>
          <cell r="D15">
            <v>-4191444.4337253799</v>
          </cell>
          <cell r="E15">
            <v>117181.67302730074</v>
          </cell>
          <cell r="F15">
            <v>-2.719699275916472E-2</v>
          </cell>
        </row>
        <row r="16">
          <cell r="B16" t="str">
            <v>G_GUPTA</v>
          </cell>
          <cell r="C16">
            <v>-1000598.35857411</v>
          </cell>
          <cell r="D16">
            <v>-1065547.14835361</v>
          </cell>
          <cell r="E16">
            <v>-64948.789779499988</v>
          </cell>
          <cell r="F16">
            <v>6.4909950354160528E-2</v>
          </cell>
        </row>
        <row r="17">
          <cell r="B17" t="str">
            <v>G_GUPTA_GAS</v>
          </cell>
          <cell r="C17">
            <v>-78579.1493169694</v>
          </cell>
          <cell r="D17">
            <v>-81583.772436413899</v>
          </cell>
          <cell r="E17">
            <v>-3004.623119444499</v>
          </cell>
          <cell r="F17">
            <v>3.8236900571735274E-2</v>
          </cell>
        </row>
        <row r="18">
          <cell r="B18" t="str">
            <v>G_TRIPP</v>
          </cell>
          <cell r="C18">
            <v>0</v>
          </cell>
          <cell r="D18">
            <v>0</v>
          </cell>
          <cell r="E18">
            <v>0</v>
          </cell>
          <cell r="F18" t="e">
            <v>#DIV/0!</v>
          </cell>
        </row>
        <row r="19">
          <cell r="B19" t="str">
            <v>H_ARORA</v>
          </cell>
          <cell r="C19">
            <v>-296426.60975456203</v>
          </cell>
          <cell r="D19">
            <v>-291586.36957878998</v>
          </cell>
          <cell r="E19">
            <v>4840.2401757720509</v>
          </cell>
          <cell r="F19">
            <v>-1.6328629132788437E-2</v>
          </cell>
        </row>
        <row r="20">
          <cell r="B20" t="str">
            <v>H_ARORA_CRUDE</v>
          </cell>
          <cell r="C20">
            <v>0</v>
          </cell>
          <cell r="D20">
            <v>0</v>
          </cell>
          <cell r="E20">
            <v>0</v>
          </cell>
          <cell r="F20" t="e">
            <v>#DIV/0!</v>
          </cell>
        </row>
        <row r="21">
          <cell r="B21" t="str">
            <v>H_ARORA_GAS</v>
          </cell>
          <cell r="C21">
            <v>-125115.98966737799</v>
          </cell>
          <cell r="D21">
            <v>-129751.052473491</v>
          </cell>
          <cell r="E21">
            <v>-4635.0628061130119</v>
          </cell>
          <cell r="F21">
            <v>3.70461267055903E-2</v>
          </cell>
        </row>
        <row r="22">
          <cell r="B22" t="str">
            <v>H_CHEN</v>
          </cell>
          <cell r="C22">
            <v>-73751.665429890098</v>
          </cell>
          <cell r="D22">
            <v>-41723.248895079298</v>
          </cell>
          <cell r="E22">
            <v>32028.4165348108</v>
          </cell>
          <cell r="F22">
            <v>-0.43427380721670206</v>
          </cell>
        </row>
        <row r="23">
          <cell r="B23" t="str">
            <v>H_CHEN_GAS</v>
          </cell>
          <cell r="C23">
            <v>-59046.229393957801</v>
          </cell>
          <cell r="D23">
            <v>-29051.706206145402</v>
          </cell>
          <cell r="E23">
            <v>29994.5231878124</v>
          </cell>
          <cell r="F23">
            <v>-0.50798371878563575</v>
          </cell>
        </row>
        <row r="24">
          <cell r="B24" t="str">
            <v>J_FORNEY</v>
          </cell>
          <cell r="C24">
            <v>-1688.6485006832102</v>
          </cell>
          <cell r="D24">
            <v>-1621.8370680002799</v>
          </cell>
          <cell r="E24">
            <v>66.811432682930217</v>
          </cell>
          <cell r="F24">
            <v>-3.9565032424390856E-2</v>
          </cell>
        </row>
        <row r="25">
          <cell r="B25" t="str">
            <v>J_FORNEY_GAS</v>
          </cell>
          <cell r="C25">
            <v>-3.7444366715078798E-5</v>
          </cell>
          <cell r="D25">
            <v>-1.77648522333735E-5</v>
          </cell>
          <cell r="E25">
            <v>1.9679514481705298E-5</v>
          </cell>
          <cell r="F25">
            <v>-0.52556675965307176</v>
          </cell>
        </row>
        <row r="26">
          <cell r="B26" t="str">
            <v>J_GUALY</v>
          </cell>
          <cell r="C26">
            <v>-38448.659915895405</v>
          </cell>
          <cell r="D26">
            <v>-30977.7836754319</v>
          </cell>
          <cell r="E26">
            <v>7470.8762404635054</v>
          </cell>
          <cell r="F26">
            <v>-0.19430784471567247</v>
          </cell>
        </row>
        <row r="27">
          <cell r="B27" t="str">
            <v>J_GUALY_GAS</v>
          </cell>
          <cell r="C27">
            <v>-28993.915313556001</v>
          </cell>
          <cell r="D27">
            <v>-1.7579347232649798E-5</v>
          </cell>
          <cell r="E27">
            <v>28993.915295976654</v>
          </cell>
          <cell r="F27">
            <v>-0.99999999939368844</v>
          </cell>
        </row>
        <row r="28">
          <cell r="B28" t="str">
            <v>J_HERNANDEZ</v>
          </cell>
          <cell r="C28">
            <v>-7520.5662196726698</v>
          </cell>
          <cell r="D28">
            <v>-9721.0409275900893</v>
          </cell>
          <cell r="E28">
            <v>-2200.4747079174194</v>
          </cell>
          <cell r="F28">
            <v>0.29259428660588199</v>
          </cell>
        </row>
        <row r="29">
          <cell r="B29" t="str">
            <v>J_HERNANDEZ_GAS</v>
          </cell>
          <cell r="C29">
            <v>0</v>
          </cell>
          <cell r="D29">
            <v>0</v>
          </cell>
          <cell r="E29">
            <v>0</v>
          </cell>
          <cell r="F29" t="e">
            <v>#DIV/0!</v>
          </cell>
        </row>
        <row r="30">
          <cell r="B30" t="str">
            <v>J_KING</v>
          </cell>
          <cell r="C30">
            <v>-1811922.8976678101</v>
          </cell>
          <cell r="D30">
            <v>-1302259.4999873899</v>
          </cell>
          <cell r="E30">
            <v>509663.3976804202</v>
          </cell>
          <cell r="F30">
            <v>-0.28128315964019546</v>
          </cell>
        </row>
        <row r="31">
          <cell r="B31" t="str">
            <v>J_KING_GAS</v>
          </cell>
          <cell r="C31">
            <v>-1572280.6705618501</v>
          </cell>
          <cell r="D31">
            <v>-912203.50087651901</v>
          </cell>
          <cell r="E31">
            <v>660077.16968533106</v>
          </cell>
          <cell r="F31">
            <v>-0.41982146193367265</v>
          </cell>
        </row>
        <row r="32">
          <cell r="B32" t="str">
            <v>J_QUENET</v>
          </cell>
          <cell r="C32">
            <v>-57686.570024563</v>
          </cell>
          <cell r="D32">
            <v>-58855.017917823599</v>
          </cell>
          <cell r="E32">
            <v>-1168.4478932605998</v>
          </cell>
          <cell r="F32">
            <v>2.0255111246223749E-2</v>
          </cell>
        </row>
        <row r="33">
          <cell r="B33" t="str">
            <v>J_QUENET_GAS</v>
          </cell>
          <cell r="C33">
            <v>0</v>
          </cell>
          <cell r="D33">
            <v>0</v>
          </cell>
          <cell r="E33">
            <v>0</v>
          </cell>
          <cell r="F33" t="e">
            <v>#DIV/0!</v>
          </cell>
        </row>
        <row r="34">
          <cell r="B34" t="str">
            <v>J_SUAREZ</v>
          </cell>
          <cell r="C34">
            <v>-1716885.3298042901</v>
          </cell>
          <cell r="D34">
            <v>-1585957.67668511</v>
          </cell>
          <cell r="E34">
            <v>130927.65311918012</v>
          </cell>
          <cell r="F34">
            <v>-7.6258822209229735E-2</v>
          </cell>
        </row>
        <row r="35">
          <cell r="B35" t="str">
            <v>J_SUAREZ_GAS</v>
          </cell>
          <cell r="C35">
            <v>-1716885.3298042901</v>
          </cell>
          <cell r="D35">
            <v>-1585957.67668511</v>
          </cell>
          <cell r="E35">
            <v>130927.65311918012</v>
          </cell>
          <cell r="F35">
            <v>-7.6258822209229735E-2</v>
          </cell>
        </row>
        <row r="36">
          <cell r="B36" t="str">
            <v>K_PRESTO</v>
          </cell>
          <cell r="C36">
            <v>-5922472.1383790998</v>
          </cell>
          <cell r="D36">
            <v>-5696386.7325578704</v>
          </cell>
          <cell r="E36">
            <v>226085.40582122933</v>
          </cell>
          <cell r="F36">
            <v>-3.8174161150736262E-2</v>
          </cell>
        </row>
        <row r="37">
          <cell r="B37" t="str">
            <v>K_PRESTO_COAL</v>
          </cell>
          <cell r="C37">
            <v>-154580.18740093298</v>
          </cell>
          <cell r="D37">
            <v>-154771.950764501</v>
          </cell>
          <cell r="E37">
            <v>-191.76336356802494</v>
          </cell>
          <cell r="F37">
            <v>1.2405429621498024E-3</v>
          </cell>
        </row>
        <row r="38">
          <cell r="B38" t="str">
            <v>K_PRESTO_GAS</v>
          </cell>
          <cell r="C38">
            <v>-2846731.2215395598</v>
          </cell>
          <cell r="D38">
            <v>-2759912.3068965096</v>
          </cell>
          <cell r="E38">
            <v>86818.914643050171</v>
          </cell>
          <cell r="F38">
            <v>-3.049775615841142E-2</v>
          </cell>
        </row>
        <row r="39">
          <cell r="B39" t="str">
            <v>LAVORATO-EA-MGT</v>
          </cell>
          <cell r="C39">
            <v>-5922472.1383790998</v>
          </cell>
          <cell r="D39">
            <v>-5696386.7325578704</v>
          </cell>
          <cell r="E39">
            <v>226085.40582122933</v>
          </cell>
          <cell r="F39">
            <v>-3.8174161150736262E-2</v>
          </cell>
        </row>
        <row r="40">
          <cell r="B40" t="str">
            <v>LAVORATO-EA-MW</v>
          </cell>
          <cell r="C40">
            <v>-10783563.586213</v>
          </cell>
          <cell r="D40">
            <v>-10185695.7648322</v>
          </cell>
          <cell r="E40">
            <v>597867.82138079964</v>
          </cell>
          <cell r="F40">
            <v>-5.5442509018557233E-2</v>
          </cell>
        </row>
        <row r="41">
          <cell r="B41" t="str">
            <v>LAVORATO-EA-NE</v>
          </cell>
          <cell r="C41">
            <v>-4052299.0789658399</v>
          </cell>
          <cell r="D41">
            <v>-4888968.0611028103</v>
          </cell>
          <cell r="E41">
            <v>-836668.98213697039</v>
          </cell>
          <cell r="F41">
            <v>0.20646772753764539</v>
          </cell>
        </row>
        <row r="42">
          <cell r="B42" t="str">
            <v>LAVORATO-EA-OPT</v>
          </cell>
          <cell r="C42">
            <v>-524861.56701439805</v>
          </cell>
          <cell r="D42">
            <v>-496040.50555486797</v>
          </cell>
          <cell r="E42">
            <v>28821.061459530087</v>
          </cell>
          <cell r="F42">
            <v>-5.4911739153382259E-2</v>
          </cell>
        </row>
        <row r="43">
          <cell r="B43" t="str">
            <v>LAVORATO-EA-SE</v>
          </cell>
          <cell r="C43">
            <v>-2393195.74499811</v>
          </cell>
          <cell r="D43">
            <v>-2382143.4422830399</v>
          </cell>
          <cell r="E43">
            <v>11052.30271507008</v>
          </cell>
          <cell r="F43">
            <v>-4.6182192736093173E-3</v>
          </cell>
        </row>
        <row r="44">
          <cell r="B44" t="str">
            <v>LAVORATO-EA-TX</v>
          </cell>
          <cell r="C44">
            <v>-5231246.1395960599</v>
          </cell>
          <cell r="D44">
            <v>-4904318.1674127001</v>
          </cell>
          <cell r="E44">
            <v>326927.97218335979</v>
          </cell>
          <cell r="F44">
            <v>-6.2495237933614819E-2</v>
          </cell>
        </row>
        <row r="45">
          <cell r="B45" t="str">
            <v>M_CARSON</v>
          </cell>
          <cell r="C45">
            <v>-993392.69712313311</v>
          </cell>
          <cell r="D45">
            <v>-1039073.9095330701</v>
          </cell>
          <cell r="E45">
            <v>-45681.212409936939</v>
          </cell>
          <cell r="F45">
            <v>4.598504956018884E-2</v>
          </cell>
        </row>
        <row r="46">
          <cell r="B46" t="str">
            <v>M_CARSON_GAS</v>
          </cell>
          <cell r="C46">
            <v>-1.14778741801386E-4</v>
          </cell>
          <cell r="D46">
            <v>-2.1510774630626603E-4</v>
          </cell>
          <cell r="E46">
            <v>-1.0032900450488002E-4</v>
          </cell>
          <cell r="F46">
            <v>0.87410789602912786</v>
          </cell>
        </row>
        <row r="47">
          <cell r="B47" t="str">
            <v>M_LORENZ</v>
          </cell>
          <cell r="C47">
            <v>-36695.205811190106</v>
          </cell>
          <cell r="D47">
            <v>-34353.944505600499</v>
          </cell>
          <cell r="E47">
            <v>2341.2613055896072</v>
          </cell>
          <cell r="F47">
            <v>-6.3802920676783503E-2</v>
          </cell>
        </row>
        <row r="48">
          <cell r="B48" t="str">
            <v>M_LORENZ_GAS</v>
          </cell>
          <cell r="C48">
            <v>0</v>
          </cell>
          <cell r="D48">
            <v>0</v>
          </cell>
          <cell r="E48">
            <v>0</v>
          </cell>
          <cell r="F48" t="e">
            <v>#DIV/0!</v>
          </cell>
        </row>
        <row r="49">
          <cell r="B49" t="str">
            <v>PWR-EAST</v>
          </cell>
          <cell r="C49">
            <v>-19833595.52352</v>
          </cell>
          <cell r="D49">
            <v>-20032765.3316628</v>
          </cell>
          <cell r="E49">
            <v>-199169.80814279988</v>
          </cell>
          <cell r="F49">
            <v>1.0042042447957106E-2</v>
          </cell>
        </row>
        <row r="50">
          <cell r="B50" t="str">
            <v>P_BRODERICK</v>
          </cell>
          <cell r="C50">
            <v>-1297970.27766544</v>
          </cell>
          <cell r="D50">
            <v>-1802155.50605936</v>
          </cell>
          <cell r="E50">
            <v>-504185.22839392</v>
          </cell>
          <cell r="F50">
            <v>0.38844127409508905</v>
          </cell>
        </row>
        <row r="51">
          <cell r="B51" t="str">
            <v>P_BRODERICK_GAS</v>
          </cell>
          <cell r="C51">
            <v>-14333.2588388897</v>
          </cell>
          <cell r="D51">
            <v>-678497.10233307502</v>
          </cell>
          <cell r="E51">
            <v>-664163.84349418536</v>
          </cell>
          <cell r="F51">
            <v>46.337253164796238</v>
          </cell>
        </row>
        <row r="52">
          <cell r="B52" t="str">
            <v>P_SCHIAVONE</v>
          </cell>
          <cell r="C52">
            <v>-136714.45681740702</v>
          </cell>
          <cell r="D52">
            <v>-55322.413117070406</v>
          </cell>
          <cell r="E52">
            <v>81392.04370033661</v>
          </cell>
          <cell r="F52">
            <v>-0.59534335720648868</v>
          </cell>
        </row>
        <row r="53">
          <cell r="B53" t="str">
            <v>P_SCHIAVONE_GAS</v>
          </cell>
          <cell r="C53">
            <v>-1.12333100145236E-4</v>
          </cell>
          <cell r="D53">
            <v>-7.1059408933493796E-5</v>
          </cell>
          <cell r="E53">
            <v>4.1273691211742204E-5</v>
          </cell>
          <cell r="F53">
            <v>-0.36742234620409525</v>
          </cell>
        </row>
        <row r="54">
          <cell r="B54" t="str">
            <v>P_THOMAS</v>
          </cell>
          <cell r="C54">
            <v>-4230.3696412713498</v>
          </cell>
          <cell r="D54">
            <v>-5863.2939572262903</v>
          </cell>
          <cell r="E54">
            <v>-1632.9243159549405</v>
          </cell>
          <cell r="F54">
            <v>0.38600038635493777</v>
          </cell>
        </row>
        <row r="55">
          <cell r="B55" t="str">
            <v>P_THOMAS_GAS</v>
          </cell>
          <cell r="C55">
            <v>0</v>
          </cell>
          <cell r="D55">
            <v>0</v>
          </cell>
          <cell r="E55">
            <v>0</v>
          </cell>
          <cell r="F55" t="e">
            <v>#DIV/0!</v>
          </cell>
        </row>
        <row r="56">
          <cell r="B56" t="str">
            <v>R_BALLATO</v>
          </cell>
          <cell r="C56">
            <v>-157062.62786074801</v>
          </cell>
          <cell r="D56">
            <v>-219277.52487869101</v>
          </cell>
          <cell r="E56">
            <v>-62214.897017943003</v>
          </cell>
          <cell r="F56">
            <v>0.3961152176385514</v>
          </cell>
        </row>
        <row r="57">
          <cell r="B57" t="str">
            <v>R_BALLATO_GAS</v>
          </cell>
          <cell r="C57">
            <v>-10090.7552137123</v>
          </cell>
          <cell r="D57">
            <v>-65679.285005409896</v>
          </cell>
          <cell r="E57">
            <v>-55588.529791697598</v>
          </cell>
          <cell r="F57">
            <v>5.5088572276689947</v>
          </cell>
        </row>
        <row r="58">
          <cell r="B58" t="str">
            <v>R_BENSON</v>
          </cell>
          <cell r="C58">
            <v>-2426441.7041338696</v>
          </cell>
          <cell r="D58">
            <v>-2030566.4812871001</v>
          </cell>
          <cell r="E58">
            <v>395875.22284676949</v>
          </cell>
          <cell r="F58">
            <v>-0.16315051879149889</v>
          </cell>
        </row>
        <row r="59">
          <cell r="B59" t="str">
            <v>R_BENSON_GAS</v>
          </cell>
          <cell r="C59">
            <v>-1712901.1482005599</v>
          </cell>
          <cell r="D59">
            <v>-629981.12394081603</v>
          </cell>
          <cell r="E59">
            <v>1082920.0242597437</v>
          </cell>
          <cell r="F59">
            <v>-0.63221396365889238</v>
          </cell>
        </row>
        <row r="60">
          <cell r="B60" t="str">
            <v>R_STALFORD</v>
          </cell>
          <cell r="C60">
            <v>-168733.13972166699</v>
          </cell>
          <cell r="D60">
            <v>-180341.41833482299</v>
          </cell>
          <cell r="E60">
            <v>-11608.278613155999</v>
          </cell>
          <cell r="F60">
            <v>6.879667285457014E-2</v>
          </cell>
        </row>
        <row r="61">
          <cell r="B61" t="str">
            <v>R_STALFORD_GAS</v>
          </cell>
          <cell r="C61">
            <v>0</v>
          </cell>
          <cell r="D61">
            <v>0</v>
          </cell>
          <cell r="E61">
            <v>0</v>
          </cell>
          <cell r="F61" t="e">
            <v>#DIV/0!</v>
          </cell>
        </row>
        <row r="62">
          <cell r="B62" t="str">
            <v>S_WANG</v>
          </cell>
          <cell r="C62">
            <v>-118001.120606203</v>
          </cell>
          <cell r="D62">
            <v>-119555.46649425701</v>
          </cell>
          <cell r="E62">
            <v>-1554.3458880540129</v>
          </cell>
          <cell r="F62">
            <v>1.3172297687250143E-2</v>
          </cell>
        </row>
        <row r="63">
          <cell r="B63" t="str">
            <v>S_WANG_GAS</v>
          </cell>
          <cell r="C63">
            <v>-68416.264741904291</v>
          </cell>
          <cell r="D63">
            <v>-63539.012166547502</v>
          </cell>
          <cell r="E63">
            <v>4877.2525753567897</v>
          </cell>
          <cell r="F63">
            <v>-7.12879107585878E-2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ntry="1" codeName="Sheet2">
    <pageSetUpPr fitToPage="1"/>
  </sheetPr>
  <dimension ref="A2:AL177"/>
  <sheetViews>
    <sheetView tabSelected="1" zoomScale="50" zoomScaleNormal="100" workbookViewId="0">
      <pane xSplit="4" ySplit="5" topLeftCell="AE112" activePane="bottomRight" state="frozen"/>
      <selection activeCell="A17" sqref="A17"/>
      <selection pane="topRight" activeCell="A17" sqref="A17"/>
      <selection pane="bottomLeft" activeCell="A17" sqref="A17"/>
      <selection pane="bottomRight" activeCell="AE160" sqref="AE160"/>
    </sheetView>
  </sheetViews>
  <sheetFormatPr defaultColWidth="9.109375" defaultRowHeight="17.399999999999999" x14ac:dyDescent="0.3"/>
  <cols>
    <col min="1" max="1" width="34.44140625" style="2" customWidth="1"/>
    <col min="2" max="2" width="31.6640625" style="2" hidden="1" customWidth="1"/>
    <col min="3" max="3" width="29.33203125" style="2" hidden="1" customWidth="1"/>
    <col min="4" max="4" width="34.88671875" style="27" customWidth="1"/>
    <col min="5" max="5" width="21" style="2" bestFit="1" customWidth="1"/>
    <col min="6" max="6" width="19.88671875" style="2" customWidth="1"/>
    <col min="7" max="7" width="7.88671875" style="3" hidden="1" customWidth="1"/>
    <col min="8" max="8" width="11.88671875" style="3" hidden="1" customWidth="1"/>
    <col min="9" max="9" width="13.5546875" style="3" hidden="1" customWidth="1"/>
    <col min="10" max="10" width="29.33203125" style="3" hidden="1" customWidth="1"/>
    <col min="11" max="11" width="8.6640625" style="3" hidden="1" customWidth="1"/>
    <col min="12" max="13" width="18.44140625" style="3" hidden="1" customWidth="1"/>
    <col min="14" max="15" width="17.88671875" style="3" hidden="1" customWidth="1"/>
    <col min="16" max="17" width="17.88671875" style="3" customWidth="1"/>
    <col min="18" max="18" width="19.33203125" style="3" bestFit="1" customWidth="1"/>
    <col min="19" max="22" width="19.33203125" style="3" customWidth="1"/>
    <col min="23" max="23" width="19.33203125" style="5" customWidth="1"/>
    <col min="24" max="24" width="19.33203125" style="3" customWidth="1"/>
    <col min="25" max="26" width="19.33203125" style="5" customWidth="1"/>
    <col min="27" max="27" width="19.33203125" style="3" bestFit="1" customWidth="1"/>
    <col min="28" max="29" width="21.33203125" style="3" bestFit="1" customWidth="1"/>
    <col min="30" max="30" width="21.33203125" style="6" customWidth="1"/>
    <col min="31" max="31" width="21.33203125" style="2" bestFit="1" customWidth="1"/>
    <col min="32" max="32" width="29.5546875" style="2" customWidth="1"/>
    <col min="33" max="33" width="26.44140625" style="2" bestFit="1" customWidth="1"/>
    <col min="34" max="34" width="29.6640625" style="2" bestFit="1" customWidth="1"/>
    <col min="35" max="35" width="29.6640625" style="2" customWidth="1"/>
    <col min="36" max="36" width="35.109375" style="2" customWidth="1"/>
    <col min="37" max="37" width="20.6640625" style="2" bestFit="1" customWidth="1"/>
    <col min="38" max="38" width="32.33203125" style="2" customWidth="1"/>
    <col min="39" max="16384" width="9.109375" style="2"/>
  </cols>
  <sheetData>
    <row r="2" spans="1:38" ht="18" thickBot="1" x14ac:dyDescent="0.35">
      <c r="A2" s="1">
        <f ca="1">IF(HOUR(NOW())&gt;15,NOW(),NOW()-IF(WEEKDAY(NOW())=2,2,0)-1)</f>
        <v>37214.686812268519</v>
      </c>
      <c r="D2" s="1">
        <f ca="1">IF(HOUR(NOW())&gt;15,NOW(),NOW()-IF(WEEKDAY(NOW())=2,2,0)-1)</f>
        <v>37214.686812268519</v>
      </c>
      <c r="J2" s="4"/>
    </row>
    <row r="3" spans="1:38" x14ac:dyDescent="0.3">
      <c r="A3" s="7" t="s">
        <v>0</v>
      </c>
      <c r="B3" s="8"/>
      <c r="C3" s="8"/>
      <c r="D3" s="9" t="s">
        <v>1</v>
      </c>
      <c r="E3" s="8"/>
      <c r="F3" s="10" t="s">
        <v>2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  <c r="S3" s="13"/>
      <c r="T3" s="11"/>
      <c r="U3" s="11"/>
      <c r="V3" s="11"/>
      <c r="W3" s="11"/>
      <c r="X3" s="11"/>
      <c r="Y3" s="11"/>
      <c r="Z3" s="12"/>
      <c r="AA3" s="14"/>
      <c r="AB3" s="12"/>
      <c r="AC3" s="15"/>
    </row>
    <row r="4" spans="1:38" ht="18" thickBot="1" x14ac:dyDescent="0.35">
      <c r="A4" s="16" t="s">
        <v>3</v>
      </c>
      <c r="B4" s="17"/>
      <c r="C4" s="17"/>
      <c r="D4" s="18" t="s">
        <v>3</v>
      </c>
      <c r="E4" s="17" t="s">
        <v>4</v>
      </c>
      <c r="F4" s="19" t="s">
        <v>4</v>
      </c>
      <c r="G4" s="20" t="s">
        <v>5</v>
      </c>
      <c r="H4" s="20" t="s">
        <v>6</v>
      </c>
      <c r="I4" s="20" t="s">
        <v>7</v>
      </c>
      <c r="J4" s="20" t="s">
        <v>8</v>
      </c>
      <c r="K4" s="20" t="s">
        <v>9</v>
      </c>
      <c r="L4" s="20" t="s">
        <v>10</v>
      </c>
      <c r="M4" s="20" t="s">
        <v>11</v>
      </c>
      <c r="N4" s="20" t="s">
        <v>12</v>
      </c>
      <c r="O4" s="20" t="s">
        <v>13</v>
      </c>
      <c r="P4" s="20" t="s">
        <v>14</v>
      </c>
      <c r="Q4" s="20" t="s">
        <v>15</v>
      </c>
      <c r="R4" s="21" t="s">
        <v>16</v>
      </c>
      <c r="S4" s="22" t="s">
        <v>17</v>
      </c>
      <c r="T4" s="20" t="s">
        <v>18</v>
      </c>
      <c r="U4" s="20" t="s">
        <v>19</v>
      </c>
      <c r="V4" s="20" t="s">
        <v>20</v>
      </c>
      <c r="W4" s="20" t="s">
        <v>21</v>
      </c>
      <c r="X4" s="20" t="s">
        <v>22</v>
      </c>
      <c r="Y4" s="20" t="s">
        <v>23</v>
      </c>
      <c r="Z4" s="23">
        <v>2002</v>
      </c>
      <c r="AA4" s="24">
        <v>2003</v>
      </c>
      <c r="AB4" s="25" t="s">
        <v>24</v>
      </c>
      <c r="AC4" s="26" t="s">
        <v>25</v>
      </c>
    </row>
    <row r="5" spans="1:38" ht="11.25" customHeight="1" thickBot="1" x14ac:dyDescent="0.35">
      <c r="AB5" s="5"/>
      <c r="AC5" s="5"/>
    </row>
    <row r="6" spans="1:38" s="39" customFormat="1" ht="18" thickBot="1" x14ac:dyDescent="0.35">
      <c r="A6" s="28"/>
      <c r="B6" s="29"/>
      <c r="C6" s="29"/>
      <c r="D6" s="30" t="s">
        <v>26</v>
      </c>
      <c r="E6" s="31">
        <v>25000000</v>
      </c>
      <c r="F6" s="32"/>
      <c r="G6" s="33"/>
      <c r="H6" s="33"/>
      <c r="I6" s="33"/>
      <c r="J6" s="34" t="s">
        <v>27</v>
      </c>
      <c r="K6" s="33"/>
      <c r="L6" s="33"/>
      <c r="M6" s="33"/>
      <c r="N6" s="33"/>
      <c r="O6" s="33"/>
      <c r="P6" s="33"/>
      <c r="Q6" s="33"/>
      <c r="R6" s="35"/>
      <c r="S6" s="36"/>
      <c r="T6" s="33"/>
      <c r="U6" s="33"/>
      <c r="V6" s="33"/>
      <c r="W6" s="33"/>
      <c r="X6" s="33"/>
      <c r="Y6" s="35"/>
      <c r="Z6" s="37"/>
      <c r="AA6" s="35"/>
      <c r="AB6" s="37"/>
      <c r="AC6" s="35"/>
      <c r="AD6" s="38"/>
      <c r="AJ6" s="40"/>
    </row>
    <row r="7" spans="1:38" s="39" customFormat="1" ht="18" thickBot="1" x14ac:dyDescent="0.35">
      <c r="A7" s="41"/>
      <c r="B7" s="42"/>
      <c r="C7" s="42"/>
      <c r="D7" s="43"/>
      <c r="E7" s="44"/>
      <c r="F7" s="44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5"/>
      <c r="T7" s="45"/>
      <c r="U7" s="45"/>
      <c r="V7" s="45"/>
      <c r="W7" s="45"/>
      <c r="X7" s="45"/>
      <c r="Y7" s="45"/>
      <c r="Z7" s="45"/>
      <c r="AA7" s="47"/>
      <c r="AB7" s="48"/>
      <c r="AC7" s="47"/>
      <c r="AD7" s="38"/>
      <c r="AI7" s="49" t="s">
        <v>28</v>
      </c>
      <c r="AJ7" s="50" t="str">
        <f>'[4]Delta Monthly'!$AZ$30</f>
        <v xml:space="preserve"> </v>
      </c>
      <c r="AK7" s="51"/>
    </row>
    <row r="8" spans="1:38" s="39" customFormat="1" ht="25.5" customHeight="1" thickBot="1" x14ac:dyDescent="0.45">
      <c r="A8" s="52" t="s">
        <v>29</v>
      </c>
      <c r="B8" s="53"/>
      <c r="C8" s="54" t="s">
        <v>30</v>
      </c>
      <c r="D8" s="55" t="s">
        <v>31</v>
      </c>
      <c r="E8" s="56">
        <f>(VLOOKUP(C8,[6]Sheet1!$B$1:$G$65,2,0))*-1</f>
        <v>19833595.52352</v>
      </c>
      <c r="F8" s="57">
        <f>(VLOOKUP(C8,[6]Sheet1!$B$1:$G$65,4,0))</f>
        <v>-199169.80814279988</v>
      </c>
      <c r="G8" s="58" t="e">
        <f>SUM(G10,G36,G59,G71,G87)</f>
        <v>#REF!</v>
      </c>
      <c r="H8" s="58" t="e">
        <f>SUM(H10,H14,H36,H59,H71,H87)</f>
        <v>#REF!</v>
      </c>
      <c r="I8" s="58" t="e">
        <f>SUM(I10,I14,I36,I59,I71,I87)</f>
        <v>#REF!</v>
      </c>
      <c r="J8" s="58" t="e">
        <f>SUM(J10,J14,J16,J18,J24,J36,J59,J71,J87)</f>
        <v>#REF!</v>
      </c>
      <c r="K8" s="58" t="e">
        <f t="shared" ref="K8:AC8" si="0">SUM(K10,K24,K36,K59,K71,K87)</f>
        <v>#REF!</v>
      </c>
      <c r="L8" s="58" t="e">
        <f t="shared" si="0"/>
        <v>#REF!</v>
      </c>
      <c r="M8" s="58" t="e">
        <f t="shared" si="0"/>
        <v>#REF!</v>
      </c>
      <c r="N8" s="58" t="e">
        <f t="shared" si="0"/>
        <v>#REF!</v>
      </c>
      <c r="O8" s="58">
        <f t="shared" si="0"/>
        <v>0</v>
      </c>
      <c r="P8" s="58">
        <f t="shared" si="0"/>
        <v>267060.54773620894</v>
      </c>
      <c r="Q8" s="58">
        <f t="shared" si="0"/>
        <v>-851523.4841716045</v>
      </c>
      <c r="R8" s="59">
        <f t="shared" si="0"/>
        <v>-584462.93643539562</v>
      </c>
      <c r="S8" s="58">
        <f t="shared" si="0"/>
        <v>-918545.33728590386</v>
      </c>
      <c r="T8" s="58">
        <f t="shared" si="0"/>
        <v>-1262522.5135811556</v>
      </c>
      <c r="U8" s="58">
        <f t="shared" si="0"/>
        <v>-1278482.2293562251</v>
      </c>
      <c r="V8" s="58">
        <f t="shared" si="0"/>
        <v>-810498.60609164427</v>
      </c>
      <c r="W8" s="58">
        <f t="shared" si="0"/>
        <v>-3124855.6110983333</v>
      </c>
      <c r="X8" s="58">
        <f t="shared" si="0"/>
        <v>-1339135.0999027463</v>
      </c>
      <c r="Y8" s="58">
        <f t="shared" si="0"/>
        <v>5951370.7000102298</v>
      </c>
      <c r="Z8" s="59">
        <f t="shared" si="0"/>
        <v>-2782668.697305779</v>
      </c>
      <c r="AA8" s="60">
        <f t="shared" si="0"/>
        <v>-785570.75278795941</v>
      </c>
      <c r="AB8" s="59">
        <f t="shared" si="0"/>
        <v>1279238.4496553182</v>
      </c>
      <c r="AC8" s="60">
        <f t="shared" si="0"/>
        <v>-2873463.9368738174</v>
      </c>
      <c r="AD8" s="38"/>
      <c r="AI8" s="61" t="s">
        <v>32</v>
      </c>
      <c r="AJ8" s="62">
        <f ca="1">AC8+'E. VaR &amp; Off-Peak Pos By Trader'!AB8</f>
        <v>-18019115.908919949</v>
      </c>
      <c r="AK8" s="63"/>
      <c r="AL8" s="40"/>
    </row>
    <row r="9" spans="1:38" s="39" customFormat="1" ht="18" thickBot="1" x14ac:dyDescent="0.35">
      <c r="A9" s="64"/>
      <c r="B9" s="64"/>
      <c r="C9" s="64"/>
      <c r="D9" s="44"/>
      <c r="E9" s="45"/>
      <c r="F9" s="44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65"/>
      <c r="S9" s="44"/>
      <c r="T9" s="44"/>
      <c r="U9" s="44"/>
      <c r="V9" s="44"/>
      <c r="W9" s="44"/>
      <c r="X9" s="44"/>
      <c r="Y9" s="44"/>
      <c r="Z9" s="44"/>
      <c r="AA9" s="66"/>
      <c r="AB9" s="67"/>
      <c r="AC9" s="66"/>
      <c r="AD9" s="38"/>
      <c r="AI9" s="61"/>
      <c r="AJ9" s="68">
        <f ca="1">AJ8-'[4]Delta Monthly'!$AZ$41</f>
        <v>-16774.423972591758</v>
      </c>
      <c r="AK9" s="69"/>
      <c r="AL9" s="70"/>
    </row>
    <row r="10" spans="1:38" s="39" customFormat="1" ht="18" thickBot="1" x14ac:dyDescent="0.35">
      <c r="A10" s="71" t="s">
        <v>33</v>
      </c>
      <c r="B10" s="72" t="s">
        <v>34</v>
      </c>
      <c r="C10" s="73" t="s">
        <v>35</v>
      </c>
      <c r="D10" s="74" t="s">
        <v>36</v>
      </c>
      <c r="E10" s="75">
        <f>(VLOOKUP(C10,[6]Sheet1!$B$1:$G$65,2,0))*-1</f>
        <v>5922472.1383790998</v>
      </c>
      <c r="F10" s="76">
        <f>(VLOOKUP(C10,[6]Sheet1!$B$1:$G$65,4,0))</f>
        <v>226085.40582122933</v>
      </c>
      <c r="G10" s="77">
        <f>VLOOKUP($B10,'[4]Delta Monthly'!$A$1:$AW$55,4,1)</f>
        <v>0</v>
      </c>
      <c r="H10" s="77">
        <f>VLOOKUP($B10,'[4]Delta Monthly'!$A$1:$AW$55,6,FALSE)</f>
        <v>0</v>
      </c>
      <c r="I10" s="77">
        <f>VLOOKUP($B10,'[4]Delta Monthly'!$A$1:$AW$55,8,FALSE)</f>
        <v>0</v>
      </c>
      <c r="J10" s="77">
        <f>VLOOKUP($B10,'[4]Delta Monthly'!$A$1:$AW$55,10,FALSE)</f>
        <v>0</v>
      </c>
      <c r="K10" s="77">
        <f>VLOOKUP($B10,'[4]Delta Monthly'!$A$1:$AW$55,12,FALSE)</f>
        <v>0</v>
      </c>
      <c r="L10" s="77">
        <f>VLOOKUP($B10,'[4]Delta Monthly'!$A$1:$AW$55,14,FALSE)</f>
        <v>0</v>
      </c>
      <c r="M10" s="77">
        <f>+VLOOKUP($B10,'[4]Delta Monthly'!$A$1:$AW$55,16,FALSE)</f>
        <v>0</v>
      </c>
      <c r="N10" s="77">
        <f>VLOOKUP($B10,'[4]Delta Monthly'!$A$1:$AW$55,18,FALSE)</f>
        <v>0</v>
      </c>
      <c r="O10" s="77">
        <f>VLOOKUP($B10,'[4]Delta Monthly'!$A$1:$AW$72,20,FALSE)</f>
        <v>0</v>
      </c>
      <c r="P10" s="77">
        <f>VLOOKUP($B10,'[4]Delta Monthly'!$A$1:$AW$72,22,FALSE)</f>
        <v>-27344.860578060292</v>
      </c>
      <c r="Q10" s="77">
        <f>VLOOKUP($B10,'[4]Delta Monthly'!$A$1:$AW$72,24,FALSE)</f>
        <v>-334424.30185095291</v>
      </c>
      <c r="R10" s="74">
        <f>SUM(G10:Q10)</f>
        <v>-361769.16242901317</v>
      </c>
      <c r="S10" s="77">
        <f>VLOOKUP($B10,'[4]Delta Monthly'!$A$1:$AW$72,26,FALSE)+VLOOKUP($B10,'[4]Delta Monthly'!$A$1:$AW$72,28,FALSE)</f>
        <v>196481.98365571466</v>
      </c>
      <c r="T10" s="77">
        <f>VLOOKUP($B10,'[4]Delta Monthly'!$A$1:$AW$72,30,FALSE)+VLOOKUP($B10,'[4]Delta Monthly'!$A$1:$AW$72,32,FALSE)</f>
        <v>-593849.21416579816</v>
      </c>
      <c r="U10" s="77">
        <f>VLOOKUP($B10,'[4]Delta Monthly'!$A$1:$AW$72,34,FALSE)</f>
        <v>-234785.67423514929</v>
      </c>
      <c r="V10" s="77">
        <f>VLOOKUP($B10,'[4]Delta Monthly'!$A$1:$AW$72,36,FALSE)</f>
        <v>-360545.99936604372</v>
      </c>
      <c r="W10" s="77">
        <f>VLOOKUP($B10,'[4]Delta Monthly'!$A$1:$AW$72,38,FALSE)+VLOOKUP($B10,'[4]Delta Monthly'!$A$1:$AW$72,40,FALSE)</f>
        <v>-1010992.5695987095</v>
      </c>
      <c r="X10" s="77">
        <f>VLOOKUP($B10,'[4]Delta Monthly'!$A$1:$AW$72,42,FALSE)</f>
        <v>-180631.45809534632</v>
      </c>
      <c r="Y10" s="77">
        <f>VLOOKUP($B10,'[4]Delta Monthly'!$A$1:$AW$72,44,FALSE)+VLOOKUP($B10,'[4]Delta Monthly'!$A$1:$AW$72,46,FALSE)+VLOOKUP($B10,'[4]Delta Monthly'!$A$1:$AW$72,48,FALSE)</f>
        <v>-268119.49156239675</v>
      </c>
      <c r="Z10" s="74">
        <f>SUM(S10:Y10)</f>
        <v>-2452442.4233677289</v>
      </c>
      <c r="AA10" s="78">
        <f>VLOOKUP($B10,'[3]Delta Yearly'!$A$1:$AD$72,4,FALSE)</f>
        <v>-1013397.2027968596</v>
      </c>
      <c r="AB10" s="74">
        <f>VLOOKUP($B10,'[3]Delta Yearly'!$A$1:$AC$72,6,FALSE)+VLOOKUP($B10,'[3]Delta Yearly'!$A$1:$AC$72,8,FALSE)+VLOOKUP($B10,'[3]Delta Yearly'!$A$1:$AC$72,10,FALSE)+VLOOKUP($B10,'[3]Delta Yearly'!$A$1:$AC$72,12,FALSE)+VLOOKUP($B10,'[3]Delta Yearly'!$A$1:$AC$72,14,FALSE)+VLOOKUP($B10,'[3]Delta Yearly'!$A$1:$AC$72,16,FALSE)+VLOOKUP($B10,'[3]Delta Yearly'!$A$1:$AC$72,18,FALSE)+VLOOKUP($B10,'[3]Delta Yearly'!$A$1:$AC$72,20,FALSE)+VLOOKUP($B10,'[3]Delta Yearly'!$A$1:$AC$72,22,FALSE)+VLOOKUP($B10,'[3]Delta Yearly'!$A$1:$AC$72,24,FALSE)+VLOOKUP($B10,'[3]Delta Yearly'!$A$1:$AC$72,26,FALSE)+VLOOKUP($B10,'[3]Delta Yearly'!$A$1:$AC$72,28,FALSE)</f>
        <v>-361199.99392731366</v>
      </c>
      <c r="AC10" s="78">
        <f>SUM(AB10,AA10,Z10,R10)</f>
        <v>-4188808.7825209154</v>
      </c>
      <c r="AD10" s="79"/>
      <c r="AI10" s="61"/>
      <c r="AJ10" s="80"/>
      <c r="AK10" s="81"/>
    </row>
    <row r="11" spans="1:38" s="80" customFormat="1" ht="18" thickBot="1" x14ac:dyDescent="0.35">
      <c r="A11" s="82"/>
      <c r="B11" s="64"/>
      <c r="C11" s="83"/>
      <c r="D11" s="44"/>
      <c r="E11" s="84"/>
      <c r="F11" s="84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4"/>
      <c r="S11" s="45"/>
      <c r="T11" s="45"/>
      <c r="U11" s="45"/>
      <c r="V11" s="45"/>
      <c r="W11" s="45"/>
      <c r="X11" s="45"/>
      <c r="Y11" s="45"/>
      <c r="Z11" s="44"/>
      <c r="AA11" s="44"/>
      <c r="AB11" s="44"/>
      <c r="AC11" s="44"/>
      <c r="AD11" s="79"/>
      <c r="AI11" s="61"/>
      <c r="AK11" s="81"/>
    </row>
    <row r="12" spans="1:38" s="39" customFormat="1" ht="18" thickBot="1" x14ac:dyDescent="0.35">
      <c r="A12" s="85"/>
      <c r="B12" s="86"/>
      <c r="C12" s="86"/>
      <c r="D12" s="30" t="s">
        <v>26</v>
      </c>
      <c r="E12" s="87">
        <v>2000000</v>
      </c>
      <c r="F12" s="56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7"/>
      <c r="S12" s="56"/>
      <c r="T12" s="56"/>
      <c r="U12" s="56"/>
      <c r="V12" s="56"/>
      <c r="W12" s="56"/>
      <c r="X12" s="56"/>
      <c r="Y12" s="56"/>
      <c r="Z12" s="89"/>
      <c r="AA12" s="87"/>
      <c r="AB12" s="56"/>
      <c r="AC12" s="89"/>
      <c r="AD12" s="38"/>
      <c r="AI12" s="61"/>
      <c r="AJ12" s="80"/>
      <c r="AK12" s="81"/>
    </row>
    <row r="13" spans="1:38" s="39" customFormat="1" ht="9" customHeight="1" thickBot="1" x14ac:dyDescent="0.35">
      <c r="A13" s="90"/>
      <c r="B13" s="42"/>
      <c r="C13" s="91"/>
      <c r="D13" s="92"/>
      <c r="E13" s="93"/>
      <c r="F13" s="94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92"/>
      <c r="S13" s="95"/>
      <c r="T13" s="96"/>
      <c r="U13" s="96"/>
      <c r="V13" s="96"/>
      <c r="W13" s="96"/>
      <c r="X13" s="96"/>
      <c r="Y13" s="47"/>
      <c r="Z13" s="43"/>
      <c r="AA13" s="92"/>
      <c r="AB13" s="97"/>
      <c r="AC13" s="92"/>
      <c r="AD13" s="79"/>
      <c r="AI13" s="61"/>
      <c r="AJ13" s="80" t="s">
        <v>37</v>
      </c>
      <c r="AK13" s="81"/>
    </row>
    <row r="14" spans="1:38" s="39" customFormat="1" ht="24" customHeight="1" thickBot="1" x14ac:dyDescent="0.35">
      <c r="A14" s="98" t="s">
        <v>38</v>
      </c>
      <c r="B14" s="64" t="s">
        <v>39</v>
      </c>
      <c r="C14" s="99" t="s">
        <v>40</v>
      </c>
      <c r="D14" s="67" t="s">
        <v>41</v>
      </c>
      <c r="E14" s="93">
        <f>(VLOOKUP(C14,[6]Sheet1!$B$1:$G$65,2,0))*-1</f>
        <v>296426.60975456203</v>
      </c>
      <c r="F14" s="94">
        <f>(VLOOKUP(C14,[6]Sheet1!$B$1:$G$65,4,0))</f>
        <v>4840.2401757720509</v>
      </c>
      <c r="G14" s="45">
        <v>0</v>
      </c>
      <c r="H14" s="45">
        <f>VLOOKUP($B14,'[4]Delta Monthly'!$A$1:$AW$55,6,FALSE)</f>
        <v>0</v>
      </c>
      <c r="I14" s="45">
        <f>VLOOKUP($B14,'[4]Delta Monthly'!$A$1:$AW$55,8,FALSE)</f>
        <v>0</v>
      </c>
      <c r="J14" s="45">
        <f>VLOOKUP($B14,'[4]Delta Monthly'!$A$1:$AW$55,10,FALSE)</f>
        <v>0</v>
      </c>
      <c r="K14" s="45">
        <f>VLOOKUP($B14,'[4]Delta Monthly'!$A$1:$AW$55,12,FALSE)</f>
        <v>0</v>
      </c>
      <c r="L14" s="45">
        <f>VLOOKUP($B14,'[4]Delta Monthly'!$A$1:$AW$55,14,FALSE)</f>
        <v>0</v>
      </c>
      <c r="M14" s="45">
        <f>+VLOOKUP($B14,'[4]Delta Monthly'!$A$1:$AW$55,16,FALSE)</f>
        <v>0</v>
      </c>
      <c r="N14" s="45">
        <f>VLOOKUP($B14,'[4]Delta Monthly'!$A$1:$AW$55,18,FALSE)</f>
        <v>0</v>
      </c>
      <c r="O14" s="45">
        <f>VLOOKUP($B14,'[4]Delta Monthly'!$A$1:$AW$72,20,FALSE)</f>
        <v>0</v>
      </c>
      <c r="P14" s="45">
        <f>VLOOKUP($B14,'[4]Delta Monthly'!$A$1:$AW$72,22,FALSE)</f>
        <v>-14025.193077474492</v>
      </c>
      <c r="Q14" s="45">
        <f>VLOOKUP($B14,'[4]Delta Monthly'!$A$1:$AW$72,24,FALSE)</f>
        <v>-28737.68777973525</v>
      </c>
      <c r="R14" s="67">
        <f>SUM(G14:Q14)</f>
        <v>-42762.88085720974</v>
      </c>
      <c r="S14" s="100">
        <f>VLOOKUP($B14,'[4]Delta Monthly'!$A$1:$AW$72,26,FALSE)+VLOOKUP($B14,'[4]Delta Monthly'!$A$1:$AW$72,28,FALSE)</f>
        <v>-23504.914441358982</v>
      </c>
      <c r="T14" s="45">
        <f>VLOOKUP($B14,'[4]Delta Monthly'!$A$1:$AW$72,30,FALSE)+VLOOKUP($B14,'[4]Delta Monthly'!$A$1:$AW$72,32,FALSE)</f>
        <v>-30742.263088318163</v>
      </c>
      <c r="U14" s="45">
        <f>VLOOKUP($B14,'[4]Delta Monthly'!$A$1:$AW$72,34,FALSE)</f>
        <v>-23680.54940832829</v>
      </c>
      <c r="V14" s="45">
        <f>VLOOKUP($B14,'[4]Delta Monthly'!$A$1:$AW$72,36,FALSE)</f>
        <v>-12556.506677313864</v>
      </c>
      <c r="W14" s="45">
        <f>VLOOKUP($B14,'[4]Delta Monthly'!$A$1:$AW$72,38,FALSE)+VLOOKUP($B14,'[4]Delta Monthly'!$A$1:$AW$72,40,FALSE)</f>
        <v>-28656.909508220117</v>
      </c>
      <c r="X14" s="45">
        <f>VLOOKUP($B14,'[4]Delta Monthly'!$A$1:$AW$72,42,FALSE)</f>
        <v>-14126.269948364201</v>
      </c>
      <c r="Y14" s="101">
        <f>VLOOKUP($B14,'[4]Delta Monthly'!$A$1:$AW$72,44,FALSE)+VLOOKUP($B14,'[4]Delta Monthly'!$A$1:$AW$72,46,FALSE)+VLOOKUP($B14,'[4]Delta Monthly'!$A$1:$AW$72,48,FALSE)</f>
        <v>-44961.449142204503</v>
      </c>
      <c r="Z14" s="44">
        <f>SUM(S14:Y14)</f>
        <v>-178228.86221410814</v>
      </c>
      <c r="AA14" s="67">
        <f>VLOOKUP($B14,'[3]Delta Yearly'!$A$1:$AD$72,4,FALSE)</f>
        <v>-36289.927618741422</v>
      </c>
      <c r="AB14" s="66">
        <f>VLOOKUP($B14,'[3]Delta Yearly'!$A$1:$AC$72,6,FALSE)+VLOOKUP($B14,'[3]Delta Yearly'!$A$1:$AC$72,8,FALSE)+VLOOKUP($B14,'[3]Delta Yearly'!$A$1:$AC$72,10,FALSE)+VLOOKUP($B14,'[3]Delta Yearly'!$A$1:$AC$72,12,FALSE)+VLOOKUP($B14,'[3]Delta Yearly'!$A$1:$AC$72,14,FALSE)+VLOOKUP($B14,'[3]Delta Yearly'!$A$1:$AC$72,16,FALSE)+VLOOKUP($B14,'[3]Delta Yearly'!$A$1:$AC$72,18,FALSE)+VLOOKUP($B14,'[3]Delta Yearly'!$A$1:$AC$72,20,FALSE)+VLOOKUP($B14,'[3]Delta Yearly'!$A$1:$AC$72,22,FALSE)+VLOOKUP($B14,'[3]Delta Yearly'!$A$1:$AC$72,24,FALSE)+VLOOKUP($B14,'[3]Delta Yearly'!$A$1:$AC$72,26,FALSE)+VLOOKUP($B14,'[3]Delta Yearly'!$A$1:$AC$72,28,FALSE)</f>
        <v>0</v>
      </c>
      <c r="AC14" s="67">
        <f>SUM(AB14,AA14,Z14,R14)</f>
        <v>-257281.67069005931</v>
      </c>
      <c r="AD14" s="79"/>
      <c r="AI14" s="61"/>
      <c r="AJ14" s="62">
        <f>SUM('[4]Delta Monthly'!$AX$8:$AX$15)</f>
        <v>16775.692493250903</v>
      </c>
      <c r="AK14" s="102">
        <f ca="1">AJ14+AJ9</f>
        <v>1.2685206591449969</v>
      </c>
    </row>
    <row r="15" spans="1:38" s="39" customFormat="1" ht="9" customHeight="1" x14ac:dyDescent="0.3">
      <c r="A15" s="98"/>
      <c r="B15" s="64"/>
      <c r="C15" s="83"/>
      <c r="D15" s="67"/>
      <c r="E15" s="93"/>
      <c r="F15" s="94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67"/>
      <c r="S15" s="100"/>
      <c r="T15" s="45"/>
      <c r="U15" s="45"/>
      <c r="V15" s="45"/>
      <c r="W15" s="45"/>
      <c r="X15" s="45"/>
      <c r="Y15" s="101"/>
      <c r="Z15" s="44"/>
      <c r="AA15" s="67"/>
      <c r="AB15" s="66"/>
      <c r="AC15" s="67"/>
      <c r="AD15" s="79"/>
      <c r="AI15" s="61"/>
      <c r="AJ15" s="80"/>
      <c r="AK15" s="81"/>
    </row>
    <row r="16" spans="1:38" s="39" customFormat="1" ht="22.5" customHeight="1" x14ac:dyDescent="0.3">
      <c r="A16" s="98" t="s">
        <v>42</v>
      </c>
      <c r="B16" s="64" t="s">
        <v>43</v>
      </c>
      <c r="C16" s="103" t="s">
        <v>44</v>
      </c>
      <c r="D16" s="67" t="s">
        <v>45</v>
      </c>
      <c r="E16" s="93">
        <f>(VLOOKUP(C16,[6]Sheet1!$B$1:$G$65,2,0))*-1</f>
        <v>168733.13972166699</v>
      </c>
      <c r="F16" s="94">
        <f>(VLOOKUP(C16,[6]Sheet1!$B$1:$G$65,4,0))</f>
        <v>-11608.278613155999</v>
      </c>
      <c r="G16" s="45">
        <v>0</v>
      </c>
      <c r="H16" s="45">
        <f>VLOOKUP($B16,'[4]Delta Monthly'!$A$1:$AW$55,6,FALSE)</f>
        <v>0</v>
      </c>
      <c r="I16" s="45">
        <f>VLOOKUP($B16,'[4]Delta Monthly'!$A$1:$AW$55,8,FALSE)</f>
        <v>0</v>
      </c>
      <c r="J16" s="45">
        <f>VLOOKUP($B16,'[4]Delta Monthly'!$A$1:$AW$55,10,FALSE)</f>
        <v>0</v>
      </c>
      <c r="K16" s="45">
        <f>VLOOKUP($B16,'[4]Delta Monthly'!$A$1:$AW$55,12,FALSE)</f>
        <v>0</v>
      </c>
      <c r="L16" s="45">
        <f>VLOOKUP($B16,'[4]Delta Monthly'!$A$1:$AW$55,14,FALSE)</f>
        <v>0</v>
      </c>
      <c r="M16" s="45">
        <f>VLOOKUP($B16,'[4]Delta Monthly'!$A$1:$AW$55,16,FALSE)</f>
        <v>0</v>
      </c>
      <c r="N16" s="45">
        <f>VLOOKUP($B16,'[4]Delta Monthly'!$A$1:$AW$55,18,FALSE)</f>
        <v>0</v>
      </c>
      <c r="O16" s="45">
        <f>VLOOKUP($B16,'[4]Delta Monthly'!$A$1:$AW$72,20,FALSE)</f>
        <v>0</v>
      </c>
      <c r="P16" s="45">
        <f>VLOOKUP($B16,'[4]Delta Monthly'!$A$1:$AW$72,22,FALSE)</f>
        <v>0</v>
      </c>
      <c r="Q16" s="45">
        <f>VLOOKUP($B16,'[4]Delta Monthly'!$A$1:$AW$72,24,FALSE)</f>
        <v>4357.7348706521952</v>
      </c>
      <c r="R16" s="67">
        <f>SUM(G16:Q16)</f>
        <v>4357.7348706521952</v>
      </c>
      <c r="S16" s="100">
        <f>VLOOKUP($B16,'[4]Delta Monthly'!$A$1:$AW$72,26,FALSE)+VLOOKUP($B16,'[4]Delta Monthly'!$A$1:$AW$72,28,FALSE)</f>
        <v>-80910.509689028797</v>
      </c>
      <c r="T16" s="45">
        <f>VLOOKUP($B16,'[4]Delta Monthly'!$A$1:$AW$72,30,FALSE)+VLOOKUP($B16,'[4]Delta Monthly'!$A$1:$AW$72,32,FALSE)</f>
        <v>-30406.0753702047</v>
      </c>
      <c r="U16" s="45">
        <f>VLOOKUP($B16,'[4]Delta Monthly'!$A$1:$AW$72,34,FALSE)</f>
        <v>11297.17021645515</v>
      </c>
      <c r="V16" s="45">
        <f>VLOOKUP($B16,'[4]Delta Monthly'!$A$1:$AW$72,36,FALSE)</f>
        <v>-1513.7467865690401</v>
      </c>
      <c r="W16" s="45">
        <f>VLOOKUP($B16,'[4]Delta Monthly'!$A$1:$AW$72,38,FALSE)+VLOOKUP($B16,'[4]Delta Monthly'!$A$1:$AW$72,40,FALSE)</f>
        <v>-14036.80749158043</v>
      </c>
      <c r="X16" s="45">
        <f>VLOOKUP($B16,'[4]Delta Monthly'!$A$1:$AW$72,42,FALSE)</f>
        <v>-5493.7500893101096</v>
      </c>
      <c r="Y16" s="101">
        <f>VLOOKUP($B16,'[4]Delta Monthly'!$A$1:$AW$72,44,FALSE)+VLOOKUP($B16,'[4]Delta Monthly'!$A$1:$AW$72,46,FALSE)+VLOOKUP($B16,'[4]Delta Monthly'!$A$1:$AW$72,48,FALSE)</f>
        <v>-17599.434607359392</v>
      </c>
      <c r="Z16" s="44">
        <f>SUM(S16:Y16)</f>
        <v>-138663.15381759731</v>
      </c>
      <c r="AA16" s="67">
        <f>VLOOKUP($B16,'[3]Delta Yearly'!$A$1:$AD$72,4,FALSE)</f>
        <v>8777.8983024119098</v>
      </c>
      <c r="AB16" s="66">
        <f>VLOOKUP($B16,'[3]Delta Yearly'!$A$1:$AC$72,6,FALSE)+VLOOKUP($B16,'[3]Delta Yearly'!$A$1:$AC$72,8,FALSE)+VLOOKUP($B16,'[3]Delta Yearly'!$A$1:$AC$72,10,FALSE)+VLOOKUP($B16,'[3]Delta Yearly'!$A$1:$AC$72,12,FALSE)+VLOOKUP($B16,'[3]Delta Yearly'!$A$1:$AC$72,14,FALSE)+VLOOKUP($B16,'[3]Delta Yearly'!$A$1:$AC$72,16,FALSE)+VLOOKUP($B16,'[3]Delta Yearly'!$A$1:$AC$72,18,FALSE)+VLOOKUP($B16,'[3]Delta Yearly'!$A$1:$AC$72,20,FALSE)+VLOOKUP($B16,'[3]Delta Yearly'!$A$1:$AC$72,22,FALSE)+VLOOKUP($B16,'[3]Delta Yearly'!$A$1:$AC$72,24,FALSE)+VLOOKUP($B16,'[3]Delta Yearly'!$A$1:$AC$72,26,FALSE)+VLOOKUP($B16,'[3]Delta Yearly'!$A$1:$AC$72,28,FALSE)</f>
        <v>0</v>
      </c>
      <c r="AC16" s="67">
        <f>SUM(AB16,AA16,Z16,R16)</f>
        <v>-125527.52064453322</v>
      </c>
      <c r="AD16" s="79"/>
      <c r="AI16" s="61"/>
      <c r="AJ16" s="80" t="s">
        <v>46</v>
      </c>
      <c r="AK16" s="81"/>
    </row>
    <row r="17" spans="1:37" s="39" customFormat="1" ht="9" customHeight="1" x14ac:dyDescent="0.3">
      <c r="A17" s="98"/>
      <c r="B17" s="64"/>
      <c r="C17" s="103"/>
      <c r="D17" s="67"/>
      <c r="E17" s="93"/>
      <c r="F17" s="94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67"/>
      <c r="S17" s="100"/>
      <c r="T17" s="45"/>
      <c r="U17" s="45"/>
      <c r="V17" s="45"/>
      <c r="W17" s="45"/>
      <c r="X17" s="45"/>
      <c r="Y17" s="101"/>
      <c r="Z17" s="44"/>
      <c r="AA17" s="67"/>
      <c r="AB17" s="66"/>
      <c r="AC17" s="67"/>
      <c r="AD17" s="79"/>
      <c r="AI17" s="61"/>
      <c r="AJ17" s="80"/>
      <c r="AK17" s="81"/>
    </row>
    <row r="18" spans="1:37" s="80" customFormat="1" ht="20.25" customHeight="1" x14ac:dyDescent="0.3">
      <c r="A18" s="98" t="s">
        <v>47</v>
      </c>
      <c r="B18" s="64" t="s">
        <v>48</v>
      </c>
      <c r="C18" s="83" t="s">
        <v>49</v>
      </c>
      <c r="D18" s="67" t="s">
        <v>50</v>
      </c>
      <c r="E18" s="93">
        <f>(VLOOKUP(C18,[6]Sheet1!$B$1:$G$65,2,0))*-1</f>
        <v>118001.120606203</v>
      </c>
      <c r="F18" s="94">
        <f>(VLOOKUP(C18,[6]Sheet1!$B$1:$G$65,4,0))</f>
        <v>-1554.3458880540129</v>
      </c>
      <c r="G18" s="45">
        <v>0</v>
      </c>
      <c r="H18" s="45">
        <f>VLOOKUP($B18,'[4]Delta Monthly'!$A$1:$AW$55,6,FALSE)</f>
        <v>0</v>
      </c>
      <c r="I18" s="45">
        <f>VLOOKUP($B18,'[4]Delta Monthly'!$A$1:$AW$55,8,FALSE)</f>
        <v>0</v>
      </c>
      <c r="J18" s="45">
        <f>VLOOKUP($B18,'[4]Delta Monthly'!$A$1:$AW$55,10,FALSE)</f>
        <v>0</v>
      </c>
      <c r="K18" s="45">
        <f>VLOOKUP($B18,'[4]Delta Monthly'!$A$1:$AW$55,12,FALSE)</f>
        <v>0</v>
      </c>
      <c r="L18" s="45">
        <f>VLOOKUP($B18,'[4]Delta Monthly'!$A$1:$AW$55,14,FALSE)</f>
        <v>0</v>
      </c>
      <c r="M18" s="45">
        <f>+VLOOKUP($B18,'[4]Delta Monthly'!$A$1:$AW$55,16,FALSE)</f>
        <v>0</v>
      </c>
      <c r="N18" s="45">
        <f>VLOOKUP($B18,'[4]Delta Monthly'!$A$1:$AW$55,18,FALSE)</f>
        <v>0</v>
      </c>
      <c r="O18" s="45">
        <f>VLOOKUP($B18,'[4]Delta Monthly'!$A$1:$AW$72,20,FALSE)</f>
        <v>0</v>
      </c>
      <c r="P18" s="45">
        <f>VLOOKUP($B18,'[4]Delta Monthly'!$A$1:$AW$72,22,FALSE)</f>
        <v>0</v>
      </c>
      <c r="Q18" s="45">
        <f>VLOOKUP($B18,'[4]Delta Monthly'!$A$1:$AW$72,24,FALSE)</f>
        <v>13981.040054151912</v>
      </c>
      <c r="R18" s="67">
        <f>SUM(G18:Q18)</f>
        <v>13981.040054151912</v>
      </c>
      <c r="S18" s="100">
        <f>VLOOKUP($B18,'[4]Delta Monthly'!$A$1:$AW$72,26,FALSE)+VLOOKUP($B18,'[4]Delta Monthly'!$A$1:$AW$72,28,FALSE)</f>
        <v>-67659.852977168877</v>
      </c>
      <c r="T18" s="45">
        <f>VLOOKUP($B18,'[4]Delta Monthly'!$A$1:$AW$72,30,FALSE)+VLOOKUP($B18,'[4]Delta Monthly'!$A$1:$AW$72,32,FALSE)</f>
        <v>-5339.4078122825122</v>
      </c>
      <c r="U18" s="45">
        <f>VLOOKUP($B18,'[4]Delta Monthly'!$A$1:$AW$72,34,FALSE)</f>
        <v>31868.403195865347</v>
      </c>
      <c r="V18" s="45">
        <f>VLOOKUP($B18,'[4]Delta Monthly'!$A$1:$AW$72,36,FALSE)</f>
        <v>346.33750439217937</v>
      </c>
      <c r="W18" s="45">
        <f>VLOOKUP($B18,'[4]Delta Monthly'!$A$1:$AW$72,38,FALSE)+VLOOKUP($B18,'[4]Delta Monthly'!$A$1:$AW$72,40,FALSE)</f>
        <v>-90955.697391283757</v>
      </c>
      <c r="X18" s="45">
        <f>VLOOKUP($B18,'[4]Delta Monthly'!$A$1:$AW$72,42,FALSE)</f>
        <v>15698.018674236326</v>
      </c>
      <c r="Y18" s="101">
        <f>VLOOKUP($B18,'[4]Delta Monthly'!$A$1:$AW$72,44,FALSE)+VLOOKUP($B18,'[4]Delta Monthly'!$A$1:$AW$72,46,FALSE)+VLOOKUP($B18,'[4]Delta Monthly'!$A$1:$AW$72,48,FALSE)</f>
        <v>5967.5687643187975</v>
      </c>
      <c r="Z18" s="44">
        <f>SUM(S18:Y18)</f>
        <v>-110074.63004192249</v>
      </c>
      <c r="AA18" s="67">
        <f>VLOOKUP($B18,'[3]Delta Yearly'!$A$1:$AD$72,4,FALSE)</f>
        <v>0</v>
      </c>
      <c r="AB18" s="66">
        <f>VLOOKUP($B18,'[3]Delta Yearly'!$A$1:$AC$72,6,FALSE)+VLOOKUP($B18,'[3]Delta Yearly'!$A$1:$AC$72,8,FALSE)+VLOOKUP($B18,'[3]Delta Yearly'!$A$1:$AC$72,10,FALSE)+VLOOKUP($B18,'[3]Delta Yearly'!$A$1:$AC$72,12,FALSE)+VLOOKUP($B18,'[3]Delta Yearly'!$A$1:$AC$72,14,FALSE)+VLOOKUP($B18,'[3]Delta Yearly'!$A$1:$AC$72,16,FALSE)+VLOOKUP($B18,'[3]Delta Yearly'!$A$1:$AC$72,18,FALSE)+VLOOKUP($B18,'[3]Delta Yearly'!$A$1:$AC$72,20,FALSE)+VLOOKUP($B18,'[3]Delta Yearly'!$A$1:$AC$72,22,FALSE)+VLOOKUP($B18,'[3]Delta Yearly'!$A$1:$AC$72,24,FALSE)+VLOOKUP($B18,'[3]Delta Yearly'!$A$1:$AC$72,26,FALSE)+VLOOKUP($B18,'[3]Delta Yearly'!$A$1:$AC$72,28,FALSE)</f>
        <v>0</v>
      </c>
      <c r="AC18" s="67">
        <f>SUM(AB18,AA18,Z18,R18)</f>
        <v>-96093.589987770567</v>
      </c>
      <c r="AD18" s="79"/>
      <c r="AI18" s="61"/>
      <c r="AJ18" s="80" t="str">
        <f>'[3]Delta Yearly'!$AE$15</f>
        <v xml:space="preserve"> </v>
      </c>
      <c r="AK18" s="81"/>
    </row>
    <row r="19" spans="1:37" s="80" customFormat="1" ht="9.75" customHeight="1" x14ac:dyDescent="0.3">
      <c r="A19" s="98"/>
      <c r="B19" s="64"/>
      <c r="C19" s="83"/>
      <c r="D19" s="67"/>
      <c r="E19" s="93"/>
      <c r="F19" s="94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67"/>
      <c r="S19" s="100"/>
      <c r="T19" s="45"/>
      <c r="U19" s="45"/>
      <c r="V19" s="45"/>
      <c r="W19" s="45"/>
      <c r="X19" s="45"/>
      <c r="Y19" s="101"/>
      <c r="Z19" s="44"/>
      <c r="AA19" s="67"/>
      <c r="AB19" s="66"/>
      <c r="AC19" s="67"/>
      <c r="AD19" s="79"/>
      <c r="AI19" s="61"/>
      <c r="AK19" s="81"/>
    </row>
    <row r="20" spans="1:37" s="80" customFormat="1" ht="20.25" customHeight="1" x14ac:dyDescent="0.3">
      <c r="A20" s="98" t="s">
        <v>51</v>
      </c>
      <c r="B20" s="64" t="s">
        <v>52</v>
      </c>
      <c r="C20" s="83" t="s">
        <v>53</v>
      </c>
      <c r="D20" s="67" t="s">
        <v>54</v>
      </c>
      <c r="E20" s="93">
        <f>(VLOOKUP(C20,[6]Sheet1!$B$1:$G$65,2,0))*-1</f>
        <v>73751.665429890098</v>
      </c>
      <c r="F20" s="94">
        <f>(VLOOKUP(C20,[6]Sheet1!$B$1:$G$65,4,0))</f>
        <v>32028.4165348108</v>
      </c>
      <c r="G20" s="45">
        <v>0</v>
      </c>
      <c r="H20" s="45">
        <f>VLOOKUP($B20,'[4]Delta Monthly'!$A$1:$AW$55,6,FALSE)</f>
        <v>0</v>
      </c>
      <c r="I20" s="45">
        <f>VLOOKUP($B20,'[4]Delta Monthly'!$A$1:$AW$55,8,FALSE)</f>
        <v>0</v>
      </c>
      <c r="J20" s="45">
        <f>VLOOKUP($B20,'[4]Delta Monthly'!$A$1:$AW$55,10,FALSE)</f>
        <v>0</v>
      </c>
      <c r="K20" s="45">
        <f>VLOOKUP($B20,'[4]Delta Monthly'!$A$1:$AW$55,12,FALSE)</f>
        <v>0</v>
      </c>
      <c r="L20" s="45">
        <f>VLOOKUP($B20,'[4]Delta Monthly'!$A$1:$AW$55,14,FALSE)</f>
        <v>0</v>
      </c>
      <c r="M20" s="45">
        <f>+VLOOKUP($B20,'[4]Delta Monthly'!$A$1:$AW$55,16,FALSE)</f>
        <v>0</v>
      </c>
      <c r="N20" s="45">
        <f>VLOOKUP($B20,'[4]Delta Monthly'!$A$1:$AW$55,18,FALSE)</f>
        <v>0</v>
      </c>
      <c r="O20" s="45">
        <f>VLOOKUP($B20,'[4]Delta Monthly'!$A$1:$AW$72,20,FALSE)</f>
        <v>0</v>
      </c>
      <c r="P20" s="45">
        <f>VLOOKUP($B20,'[4]Delta Monthly'!$A$1:$AW$72,22,FALSE)</f>
        <v>0</v>
      </c>
      <c r="Q20" s="45">
        <f>VLOOKUP($B20,'[4]Delta Monthly'!$A$1:$AW$72,24,FALSE)</f>
        <v>-18419.024421701812</v>
      </c>
      <c r="R20" s="67">
        <f>SUM(G20:Q20)</f>
        <v>-18419.024421701812</v>
      </c>
      <c r="S20" s="100">
        <f>VLOOKUP($B20,'[4]Delta Monthly'!$A$1:$AW$72,26,FALSE)+VLOOKUP($B20,'[4]Delta Monthly'!$A$1:$AW$72,28,FALSE)</f>
        <v>-6840.51493193234</v>
      </c>
      <c r="T20" s="45">
        <f>VLOOKUP($B20,'[4]Delta Monthly'!$A$1:$AW$72,30,FALSE)+VLOOKUP($B20,'[4]Delta Monthly'!$A$1:$AW$72,32,FALSE)</f>
        <v>0</v>
      </c>
      <c r="U20" s="45">
        <f>VLOOKUP($B20,'[4]Delta Monthly'!$A$1:$AW$72,34,FALSE)</f>
        <v>0</v>
      </c>
      <c r="V20" s="45">
        <f>VLOOKUP($B20,'[4]Delta Monthly'!$A$1:$AW$72,36,FALSE)</f>
        <v>0</v>
      </c>
      <c r="W20" s="45">
        <f>VLOOKUP($B20,'[4]Delta Monthly'!$A$1:$AW$72,38,FALSE)+VLOOKUP($B20,'[4]Delta Monthly'!$A$1:$AW$72,40,FALSE)</f>
        <v>0</v>
      </c>
      <c r="X20" s="45">
        <f>VLOOKUP($B20,'[4]Delta Monthly'!$A$1:$AW$72,42,FALSE)</f>
        <v>0</v>
      </c>
      <c r="Y20" s="101">
        <f>VLOOKUP($B20,'[4]Delta Monthly'!$A$1:$AW$72,44,FALSE)+VLOOKUP($B20,'[4]Delta Monthly'!$A$1:$AW$72,46,FALSE)+VLOOKUP($B20,'[4]Delta Monthly'!$A$1:$AW$72,48,FALSE)</f>
        <v>0</v>
      </c>
      <c r="Z20" s="44">
        <f>SUM(S20:Y20)</f>
        <v>-6840.51493193234</v>
      </c>
      <c r="AA20" s="67">
        <f>VLOOKUP($B20,'[3]Delta Yearly'!$A$1:$AD$72,4,FALSE)</f>
        <v>0</v>
      </c>
      <c r="AB20" s="66">
        <f>VLOOKUP($B20,'[3]Delta Yearly'!$A$1:$AC$72,6,FALSE)+VLOOKUP($B20,'[3]Delta Yearly'!$A$1:$AC$72,8,FALSE)+VLOOKUP($B20,'[3]Delta Yearly'!$A$1:$AC$72,10,FALSE)+VLOOKUP($B20,'[3]Delta Yearly'!$A$1:$AC$72,12,FALSE)+VLOOKUP($B20,'[3]Delta Yearly'!$A$1:$AC$72,14,FALSE)+VLOOKUP($B20,'[3]Delta Yearly'!$A$1:$AC$72,16,FALSE)+VLOOKUP($B20,'[3]Delta Yearly'!$A$1:$AC$72,18,FALSE)+VLOOKUP($B20,'[3]Delta Yearly'!$A$1:$AC$72,20,FALSE)+VLOOKUP($B20,'[3]Delta Yearly'!$A$1:$AC$72,22,FALSE)+VLOOKUP($B20,'[3]Delta Yearly'!$A$1:$AC$72,24,FALSE)+VLOOKUP($B20,'[3]Delta Yearly'!$A$1:$AC$72,26,FALSE)+VLOOKUP($B20,'[3]Delta Yearly'!$A$1:$AC$72,28,FALSE)</f>
        <v>0</v>
      </c>
      <c r="AC20" s="67">
        <f>SUM(AB20,AA20,Z20,R20)</f>
        <v>-25259.539353634151</v>
      </c>
      <c r="AD20" s="79"/>
      <c r="AI20" s="61"/>
      <c r="AJ20" s="80" t="str">
        <f>'[3]Delta Yearly'!$AE$15</f>
        <v xml:space="preserve"> </v>
      </c>
      <c r="AK20" s="81"/>
    </row>
    <row r="21" spans="1:37" s="80" customFormat="1" ht="9" customHeight="1" thickBot="1" x14ac:dyDescent="0.35">
      <c r="A21" s="98"/>
      <c r="B21" s="64"/>
      <c r="C21" s="83"/>
      <c r="D21" s="67"/>
      <c r="E21" s="93"/>
      <c r="F21" s="94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67"/>
      <c r="S21" s="100"/>
      <c r="T21" s="45"/>
      <c r="U21" s="45"/>
      <c r="V21" s="45"/>
      <c r="W21" s="45"/>
      <c r="X21" s="45"/>
      <c r="Y21" s="101"/>
      <c r="Z21" s="44"/>
      <c r="AA21" s="67"/>
      <c r="AB21" s="66"/>
      <c r="AC21" s="67"/>
      <c r="AD21" s="79"/>
      <c r="AI21" s="104"/>
      <c r="AJ21" s="105"/>
      <c r="AK21" s="106"/>
    </row>
    <row r="22" spans="1:37" s="39" customFormat="1" ht="20.25" customHeight="1" x14ac:dyDescent="0.3">
      <c r="A22" s="98" t="s">
        <v>55</v>
      </c>
      <c r="B22" s="64" t="s">
        <v>56</v>
      </c>
      <c r="C22" s="83" t="s">
        <v>57</v>
      </c>
      <c r="D22" s="67" t="s">
        <v>58</v>
      </c>
      <c r="E22" s="93">
        <f>(VLOOKUP(C22,[6]Sheet1!$B$1:$G$65,2,0))*-1</f>
        <v>38448.659915895405</v>
      </c>
      <c r="F22" s="94">
        <f>(VLOOKUP(C22,[6]Sheet1!$B$1:$G$65,4,0))</f>
        <v>7470.8762404635054</v>
      </c>
      <c r="G22" s="100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f>+VLOOKUP($B22,'[4]Delta Monthly'!$A$1:$AW$55,16,FALSE)</f>
        <v>0</v>
      </c>
      <c r="N22" s="45">
        <f>VLOOKUP($B22,'[4]Delta Monthly'!$A$1:$AW$55,18,FALSE)</f>
        <v>0</v>
      </c>
      <c r="O22" s="45">
        <f>VLOOKUP($B22,'[4]Delta Monthly'!$A$1:$AW$72,20,FALSE)</f>
        <v>0</v>
      </c>
      <c r="P22" s="45">
        <f>VLOOKUP($B22,'[4]Delta Monthly'!$A$1:$AW$72,22,FALSE)</f>
        <v>2155.3453770394708</v>
      </c>
      <c r="Q22" s="45">
        <f>VLOOKUP($B22,'[4]Delta Monthly'!$A$1:$AW$72,24,FALSE)</f>
        <v>-891.9545515246482</v>
      </c>
      <c r="R22" s="67">
        <f>SUM(G22:Q22)</f>
        <v>1263.3908255148226</v>
      </c>
      <c r="S22" s="100">
        <f>VLOOKUP($B22,'[4]Delta Monthly'!$A$1:$AW$72,26,FALSE)+VLOOKUP($B22,'[4]Delta Monthly'!$A$1:$AW$72,28,FALSE)</f>
        <v>18155.738966998961</v>
      </c>
      <c r="T22" s="45">
        <f>VLOOKUP($B22,'[4]Delta Monthly'!$A$1:$AW$72,30,FALSE)+VLOOKUP($B22,'[4]Delta Monthly'!$A$1:$AW$72,32,FALSE)</f>
        <v>0</v>
      </c>
      <c r="U22" s="45">
        <f>VLOOKUP($B22,'[4]Delta Monthly'!$A$1:$AW$72,34,FALSE)</f>
        <v>0</v>
      </c>
      <c r="V22" s="45">
        <f>VLOOKUP($B22,'[4]Delta Monthly'!$A$1:$AW$72,36,FALSE)</f>
        <v>0</v>
      </c>
      <c r="W22" s="45">
        <f>VLOOKUP($B22,'[4]Delta Monthly'!$A$1:$AW$72,38,FALSE)+VLOOKUP($B22,'[4]Delta Monthly'!$A$1:$AW$72,40,FALSE)</f>
        <v>0</v>
      </c>
      <c r="X22" s="45">
        <f>VLOOKUP($B22,'[4]Delta Monthly'!$A$1:$AW$72,42,FALSE)</f>
        <v>0</v>
      </c>
      <c r="Y22" s="101">
        <f>VLOOKUP($B22,'[4]Delta Monthly'!$A$1:$AW$72,44,FALSE)+VLOOKUP($B22,'[4]Delta Monthly'!$A$1:$AW$72,46,FALSE)+VLOOKUP($B22,'[4]Delta Monthly'!$A$1:$AW$72,48,FALSE)</f>
        <v>0</v>
      </c>
      <c r="Z22" s="44">
        <f>SUM(S22:Y22)</f>
        <v>18155.738966998961</v>
      </c>
      <c r="AA22" s="67">
        <f>VLOOKUP($B22,'[3]Delta Yearly'!$A$1:$AD$72,4,FALSE)</f>
        <v>0</v>
      </c>
      <c r="AB22" s="66">
        <f>VLOOKUP($B22,'[3]Delta Yearly'!$A$1:$AC$72,6,FALSE)+VLOOKUP($B22,'[3]Delta Yearly'!$A$1:$AC$72,8,FALSE)+VLOOKUP($B22,'[3]Delta Yearly'!$A$1:$AC$72,10,FALSE)+VLOOKUP($B22,'[3]Delta Yearly'!$A$1:$AC$72,12,FALSE)+VLOOKUP($B22,'[3]Delta Yearly'!$A$1:$AC$72,14,FALSE)+VLOOKUP($B22,'[3]Delta Yearly'!$A$1:$AC$72,16,FALSE)+VLOOKUP($B22,'[3]Delta Yearly'!$A$1:$AC$72,18,FALSE)+VLOOKUP($B22,'[3]Delta Yearly'!$A$1:$AC$72,20,FALSE)+VLOOKUP($B22,'[3]Delta Yearly'!$A$1:$AC$72,22,FALSE)+VLOOKUP($B22,'[3]Delta Yearly'!$A$1:$AC$72,24,FALSE)+VLOOKUP($B22,'[3]Delta Yearly'!$A$1:$AC$72,26,FALSE)+VLOOKUP($B22,'[3]Delta Yearly'!$A$1:$AC$72,28,FALSE)</f>
        <v>0</v>
      </c>
      <c r="AC22" s="67">
        <f>SUM(AB22,AA22,Z22,R22)</f>
        <v>19419.129792513784</v>
      </c>
      <c r="AD22" s="79"/>
    </row>
    <row r="23" spans="1:37" s="39" customFormat="1" ht="9" customHeight="1" thickBot="1" x14ac:dyDescent="0.35">
      <c r="A23" s="107"/>
      <c r="B23" s="108"/>
      <c r="C23" s="109"/>
      <c r="D23" s="110"/>
      <c r="E23" s="93"/>
      <c r="F23" s="94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110"/>
      <c r="S23" s="111"/>
      <c r="T23" s="46"/>
      <c r="U23" s="46"/>
      <c r="V23" s="46"/>
      <c r="W23" s="46"/>
      <c r="X23" s="46"/>
      <c r="Y23" s="112"/>
      <c r="Z23" s="65"/>
      <c r="AA23" s="110"/>
      <c r="AB23" s="66"/>
      <c r="AC23" s="67"/>
      <c r="AD23" s="79"/>
    </row>
    <row r="24" spans="1:37" s="39" customFormat="1" ht="15.75" customHeight="1" thickBot="1" x14ac:dyDescent="0.35">
      <c r="A24" s="113" t="s">
        <v>59</v>
      </c>
      <c r="B24" s="114"/>
      <c r="C24" s="114" t="s">
        <v>60</v>
      </c>
      <c r="D24" s="115"/>
      <c r="E24" s="116">
        <f>(VLOOKUP(C24,[6]Sheet1!$B$1:$G$65,2,0))*-1</f>
        <v>524861.56701439805</v>
      </c>
      <c r="F24" s="117">
        <f>(VLOOKUP(C24,[6]Sheet1!$B$1:$G$65,4,0))</f>
        <v>28821.061459530087</v>
      </c>
      <c r="G24" s="118"/>
      <c r="H24" s="118"/>
      <c r="I24" s="118"/>
      <c r="J24" s="118"/>
      <c r="K24" s="118">
        <f>SUM(K14:K18)</f>
        <v>0</v>
      </c>
      <c r="L24" s="118">
        <f>SUM(L14:L18)</f>
        <v>0</v>
      </c>
      <c r="M24" s="118">
        <f t="shared" ref="M24:AC24" si="1">SUM(M14:M22)</f>
        <v>0</v>
      </c>
      <c r="N24" s="118">
        <f t="shared" si="1"/>
        <v>0</v>
      </c>
      <c r="O24" s="118">
        <f t="shared" si="1"/>
        <v>0</v>
      </c>
      <c r="P24" s="118">
        <f t="shared" si="1"/>
        <v>-11869.847700435021</v>
      </c>
      <c r="Q24" s="116">
        <f t="shared" si="1"/>
        <v>-29709.891828157604</v>
      </c>
      <c r="R24" s="117">
        <f t="shared" si="1"/>
        <v>-41579.739528592625</v>
      </c>
      <c r="S24" s="119">
        <f t="shared" si="1"/>
        <v>-160760.05307249003</v>
      </c>
      <c r="T24" s="118">
        <f t="shared" si="1"/>
        <v>-66487.746270805379</v>
      </c>
      <c r="U24" s="118">
        <f t="shared" si="1"/>
        <v>19485.024003992206</v>
      </c>
      <c r="V24" s="118">
        <f t="shared" si="1"/>
        <v>-13723.915959490725</v>
      </c>
      <c r="W24" s="118">
        <f t="shared" si="1"/>
        <v>-133649.41439108431</v>
      </c>
      <c r="X24" s="118">
        <f t="shared" si="1"/>
        <v>-3922.0013634379829</v>
      </c>
      <c r="Y24" s="118">
        <f t="shared" si="1"/>
        <v>-56593.314985245095</v>
      </c>
      <c r="Z24" s="115">
        <f t="shared" si="1"/>
        <v>-415651.42203856132</v>
      </c>
      <c r="AA24" s="120">
        <f t="shared" si="1"/>
        <v>-27512.029316329514</v>
      </c>
      <c r="AB24" s="115">
        <f t="shared" si="1"/>
        <v>0</v>
      </c>
      <c r="AC24" s="115">
        <f t="shared" si="1"/>
        <v>-484743.19088348345</v>
      </c>
      <c r="AD24" s="79"/>
    </row>
    <row r="25" spans="1:37" s="39" customFormat="1" ht="18" thickBot="1" x14ac:dyDescent="0.35">
      <c r="A25" s="82"/>
      <c r="B25" s="64"/>
      <c r="C25" s="64"/>
      <c r="D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79"/>
    </row>
    <row r="26" spans="1:37" s="39" customFormat="1" ht="18" thickBot="1" x14ac:dyDescent="0.35">
      <c r="A26" s="121"/>
      <c r="B26" s="122"/>
      <c r="C26" s="122"/>
      <c r="D26" s="89" t="s">
        <v>26</v>
      </c>
      <c r="E26" s="123">
        <v>12000000</v>
      </c>
      <c r="F26" s="124"/>
      <c r="G26" s="56"/>
      <c r="H26" s="56"/>
      <c r="I26" s="56"/>
      <c r="J26" s="56" t="s">
        <v>61</v>
      </c>
      <c r="K26" s="56"/>
      <c r="L26" s="56"/>
      <c r="M26" s="56"/>
      <c r="N26" s="56"/>
      <c r="O26" s="56"/>
      <c r="P26" s="56"/>
      <c r="Q26" s="56"/>
      <c r="R26" s="56"/>
      <c r="S26" s="57"/>
      <c r="T26" s="56"/>
      <c r="U26" s="56"/>
      <c r="V26" s="56"/>
      <c r="W26" s="56"/>
      <c r="X26" s="56"/>
      <c r="Y26" s="56"/>
      <c r="Z26" s="89"/>
      <c r="AA26" s="87"/>
      <c r="AB26" s="89"/>
      <c r="AC26" s="87"/>
      <c r="AD26" s="38"/>
    </row>
    <row r="27" spans="1:37" s="39" customFormat="1" ht="9" customHeight="1" x14ac:dyDescent="0.3">
      <c r="A27" s="125"/>
      <c r="B27" s="64"/>
      <c r="C27" s="64"/>
      <c r="D27" s="67"/>
      <c r="E27" s="47"/>
      <c r="F27" s="97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126"/>
      <c r="S27" s="127"/>
      <c r="T27" s="43"/>
      <c r="U27" s="43"/>
      <c r="V27" s="43"/>
      <c r="W27" s="43"/>
      <c r="X27" s="43"/>
      <c r="Y27" s="43"/>
      <c r="Z27" s="92"/>
      <c r="AA27" s="97"/>
      <c r="AB27" s="44"/>
      <c r="AC27" s="92"/>
      <c r="AD27" s="38"/>
    </row>
    <row r="28" spans="1:37" s="3" customFormat="1" x14ac:dyDescent="0.3">
      <c r="A28" s="98" t="s">
        <v>62</v>
      </c>
      <c r="B28" s="64" t="s">
        <v>63</v>
      </c>
      <c r="C28" t="s">
        <v>64</v>
      </c>
      <c r="D28" s="67" t="s">
        <v>65</v>
      </c>
      <c r="E28" s="93">
        <f>(VLOOKUP(C28,[6]Sheet1!$B$1:$G$65,2,0))*-1</f>
        <v>9873431.0933582392</v>
      </c>
      <c r="F28" s="93">
        <f>(VLOOKUP(C28,[6]Sheet1!$B$1:$G$65,4,0))</f>
        <v>489081.91067668982</v>
      </c>
      <c r="G28" s="45">
        <f>VLOOKUP($B28,'[4]Delta Monthly'!$A$1:$AW$55,4,1)</f>
        <v>0</v>
      </c>
      <c r="H28" s="45">
        <f>VLOOKUP($B28,'[4]Delta Monthly'!$A$1:$AW$55,6,FALSE)</f>
        <v>0</v>
      </c>
      <c r="I28" s="45">
        <f>VLOOKUP($B28,'[4]Delta Monthly'!$A$1:$AW$55,8,FALSE)</f>
        <v>0</v>
      </c>
      <c r="J28" s="45">
        <f>VLOOKUP($B28,'[4]Delta Monthly'!$A$1:$AW$55,10,FALSE)</f>
        <v>0</v>
      </c>
      <c r="K28" s="45">
        <f>VLOOKUP($B28,'[4]Delta Monthly'!$A$1:$AW$55,12,FALSE)</f>
        <v>0</v>
      </c>
      <c r="L28" s="45">
        <f>VLOOKUP($B28,'[4]Delta Monthly'!$A$1:$AW$55,14,FALSE)</f>
        <v>0</v>
      </c>
      <c r="M28" s="45">
        <f>+VLOOKUP($B28,'[4]Delta Monthly'!$A$1:$AW$55,16,FALSE)</f>
        <v>0</v>
      </c>
      <c r="N28" s="45">
        <f>VLOOKUP($B28,'[4]Delta Monthly'!$A$1:$AW$55,18,FALSE)</f>
        <v>0</v>
      </c>
      <c r="O28" s="45">
        <f>VLOOKUP($B28,'[4]Delta Monthly'!$A$1:$AW$72,20,FALSE)</f>
        <v>0</v>
      </c>
      <c r="P28" s="45">
        <f>VLOOKUP($B28,'[4]Delta Monthly'!$A$1:$AW$72,22,FALSE)</f>
        <v>36398.424903196101</v>
      </c>
      <c r="Q28" s="45">
        <f>VLOOKUP($B28,'[4]Delta Monthly'!$A$1:$AW$72,24,FALSE)</f>
        <v>-67192.111018924959</v>
      </c>
      <c r="R28" s="126">
        <f>SUM(G28:Q28)</f>
        <v>-30793.686115728859</v>
      </c>
      <c r="S28" s="100">
        <f>VLOOKUP($B28,'[4]Delta Monthly'!$A$1:$AW$72,26,FALSE)+VLOOKUP($B28,'[4]Delta Monthly'!$A$1:$AW$72,28,FALSE)</f>
        <v>-992778.92893385282</v>
      </c>
      <c r="T28" s="45">
        <f>VLOOKUP($B28,'[4]Delta Monthly'!$A$1:$AW$72,30,FALSE)+VLOOKUP($B28,'[4]Delta Monthly'!$A$1:$AW$72,32,FALSE)</f>
        <v>-1263747.2702082663</v>
      </c>
      <c r="U28" s="45">
        <f>VLOOKUP($B28,'[4]Delta Monthly'!$A$1:$AW$72,34,FALSE)</f>
        <v>-501984.54469606123</v>
      </c>
      <c r="V28" s="45">
        <f>VLOOKUP($B28,'[4]Delta Monthly'!$A$1:$AW$72,36,FALSE)</f>
        <v>-346700.94245523401</v>
      </c>
      <c r="W28" s="45">
        <f>VLOOKUP($B28,'[4]Delta Monthly'!$A$1:$AW$72,38,FALSE)+VLOOKUP($B28,'[4]Delta Monthly'!$A$1:$AW$72,40,FALSE)</f>
        <v>191203.9351907532</v>
      </c>
      <c r="X28" s="45">
        <f>VLOOKUP($B28,'[4]Delta Monthly'!$A$1:$AW$72,42,FALSE)</f>
        <v>-312913.25730397587</v>
      </c>
      <c r="Y28" s="45">
        <f>VLOOKUP($B28,'[4]Delta Monthly'!$A$1:$AW$72,44,FALSE)+VLOOKUP($B28,'[4]Delta Monthly'!$A$1:$AW$72,46,FALSE)+VLOOKUP($B28,'[4]Delta Monthly'!$A$1:$AW$72,48,FALSE)</f>
        <v>2239874.1750331493</v>
      </c>
      <c r="Z28" s="67">
        <f>SUM(S28:Y28)</f>
        <v>-987046.83337348793</v>
      </c>
      <c r="AA28" s="66">
        <f>VLOOKUP($B28,'[3]Delta Yearly'!$A$1:$AD$72,4,FALSE)</f>
        <v>-1719938.2984019464</v>
      </c>
      <c r="AB28" s="44">
        <f>VLOOKUP($B28,'[3]Delta Yearly'!$A$1:$AC$72,6,FALSE)+VLOOKUP($B28,'[3]Delta Yearly'!$A$1:$AC$72,8,FALSE)+VLOOKUP($B28,'[3]Delta Yearly'!$A$1:$AC$72,10,FALSE)+VLOOKUP($B28,'[3]Delta Yearly'!$A$1:$AC$72,12,FALSE)+VLOOKUP($B28,'[3]Delta Yearly'!$A$1:$AC$72,14,FALSE)+VLOOKUP($B28,'[3]Delta Yearly'!$A$1:$AC$72,16,FALSE)+VLOOKUP($B28,'[3]Delta Yearly'!$A$1:$AC$72,18,FALSE)+VLOOKUP($B28,'[3]Delta Yearly'!$A$1:$AC$72,20,FALSE)+VLOOKUP($B28,'[3]Delta Yearly'!$A$1:$AC$72,22,FALSE)+VLOOKUP($B28,'[3]Delta Yearly'!$A$1:$AC$72,24,FALSE)+VLOOKUP($B28,'[3]Delta Yearly'!$A$1:$AC$72,26,FALSE)+VLOOKUP($B28,'[3]Delta Yearly'!$A$1:$AC$72,28,FALSE)</f>
        <v>231234.39363535159</v>
      </c>
      <c r="AC28" s="67">
        <f>SUM(AB28,AA28,Z28,R28)</f>
        <v>-2506544.4242558116</v>
      </c>
      <c r="AD28" s="128"/>
    </row>
    <row r="29" spans="1:37" s="3" customFormat="1" ht="9" customHeight="1" x14ac:dyDescent="0.3">
      <c r="A29" s="98"/>
      <c r="B29" s="64"/>
      <c r="C29"/>
      <c r="D29" s="67"/>
      <c r="E29" s="93"/>
      <c r="F29" s="93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126"/>
      <c r="S29" s="100"/>
      <c r="T29" s="45"/>
      <c r="U29" s="45"/>
      <c r="V29" s="45"/>
      <c r="W29" s="45"/>
      <c r="X29" s="45"/>
      <c r="Y29" s="45"/>
      <c r="Z29" s="67"/>
      <c r="AA29" s="66"/>
      <c r="AB29" s="44"/>
      <c r="AC29" s="67"/>
      <c r="AD29" s="128"/>
    </row>
    <row r="30" spans="1:37" s="3" customFormat="1" x14ac:dyDescent="0.3">
      <c r="A30" s="98" t="s">
        <v>66</v>
      </c>
      <c r="B30" s="64" t="s">
        <v>67</v>
      </c>
      <c r="C30" t="s">
        <v>68</v>
      </c>
      <c r="D30" s="67" t="s">
        <v>69</v>
      </c>
      <c r="E30" s="93">
        <f>(VLOOKUP(C30,[6]Sheet1!$B$1:$G$65,2,0))*-1</f>
        <v>3540540.7972720396</v>
      </c>
      <c r="F30" s="93">
        <f>(VLOOKUP(C30,[6]Sheet1!$B$1:$G$65,4,0))</f>
        <v>45621.864081879612</v>
      </c>
      <c r="G30" s="45">
        <f>VLOOKUP($B30,'[4]Delta Monthly'!$A$1:$AW$55,4,1)</f>
        <v>0</v>
      </c>
      <c r="H30" s="45">
        <f>VLOOKUP($B30,'[4]Delta Monthly'!$A$1:$AW$55,6,FALSE)</f>
        <v>0</v>
      </c>
      <c r="I30" s="45">
        <f>VLOOKUP($B30,'[4]Delta Monthly'!$A$1:$AW$55,8,FALSE)</f>
        <v>0</v>
      </c>
      <c r="J30" s="45">
        <f>VLOOKUP($B30,'[4]Delta Monthly'!$A$1:$AW$55,10,FALSE)</f>
        <v>0</v>
      </c>
      <c r="K30" s="45">
        <f>VLOOKUP($B30,'[4]Delta Monthly'!$A$1:$AW$55,12,FALSE)</f>
        <v>0</v>
      </c>
      <c r="L30" s="45">
        <f>VLOOKUP($B30,'[4]Delta Monthly'!$A$1:$AW$55,14,FALSE)</f>
        <v>0</v>
      </c>
      <c r="M30" s="45">
        <f>+VLOOKUP($B30,'[4]Delta Monthly'!$A$1:$AW$55,16,FALSE)</f>
        <v>0</v>
      </c>
      <c r="N30" s="45">
        <f>VLOOKUP($B30,'[4]Delta Monthly'!$A$1:$AW$55,18,FALSE)</f>
        <v>0</v>
      </c>
      <c r="O30" s="45">
        <f>VLOOKUP($B30,'[4]Delta Monthly'!$A$1:$AW$72,20,FALSE)</f>
        <v>0</v>
      </c>
      <c r="P30" s="45">
        <f>VLOOKUP($B30,'[4]Delta Monthly'!$A$1:$AW$72,22,FALSE)</f>
        <v>238956.85993061797</v>
      </c>
      <c r="Q30" s="45">
        <f>VLOOKUP($B30,'[4]Delta Monthly'!$A$1:$AW$72,24,FALSE)</f>
        <v>0</v>
      </c>
      <c r="R30" s="126">
        <f>SUM(G30:Q30)</f>
        <v>238956.85993061797</v>
      </c>
      <c r="S30" s="100">
        <f>VLOOKUP($B30,'[4]Delta Monthly'!$A$1:$AW$72,26,FALSE)+VLOOKUP($B30,'[4]Delta Monthly'!$A$1:$AW$72,28,FALSE)</f>
        <v>0</v>
      </c>
      <c r="T30" s="45">
        <f>VLOOKUP($B30,'[4]Delta Monthly'!$A$1:$AW$72,30,FALSE)+VLOOKUP($B30,'[4]Delta Monthly'!$A$1:$AW$72,32,FALSE)</f>
        <v>340618.17159918882</v>
      </c>
      <c r="U30" s="45">
        <f>VLOOKUP($B30,'[4]Delta Monthly'!$A$1:$AW$72,34,FALSE)</f>
        <v>0</v>
      </c>
      <c r="V30" s="45">
        <f>VLOOKUP($B30,'[4]Delta Monthly'!$A$1:$AW$72,36,FALSE)</f>
        <v>0</v>
      </c>
      <c r="W30" s="45">
        <f>VLOOKUP($B30,'[4]Delta Monthly'!$A$1:$AW$72,38,FALSE)+VLOOKUP($B30,'[4]Delta Monthly'!$A$1:$AW$72,40,FALSE)</f>
        <v>-172797.97251711891</v>
      </c>
      <c r="X30" s="45">
        <f>VLOOKUP($B30,'[4]Delta Monthly'!$A$1:$AW$72,42,FALSE)</f>
        <v>0</v>
      </c>
      <c r="Y30" s="45">
        <f>VLOOKUP($B30,'[4]Delta Monthly'!$A$1:$AW$72,44,FALSE)+VLOOKUP($B30,'[4]Delta Monthly'!$A$1:$AW$72,46,FALSE)+VLOOKUP($B30,'[4]Delta Monthly'!$A$1:$AW$72,48,FALSE)</f>
        <v>2092288.506286503</v>
      </c>
      <c r="Z30" s="67">
        <f>SUM(S30:Y30)</f>
        <v>2260108.7053685728</v>
      </c>
      <c r="AA30" s="66">
        <f>VLOOKUP($B30,'[3]Delta Yearly'!$A$1:$AD$72,4,FALSE)</f>
        <v>1548149.9564038396</v>
      </c>
      <c r="AB30" s="44">
        <f>VLOOKUP($B30,'[3]Delta Yearly'!$A$1:$AC$72,6,FALSE)+VLOOKUP($B30,'[3]Delta Yearly'!$A$1:$AC$72,8,FALSE)+VLOOKUP($B30,'[3]Delta Yearly'!$A$1:$AC$72,10,FALSE)+VLOOKUP($B30,'[3]Delta Yearly'!$A$1:$AC$72,12,FALSE)+VLOOKUP($B30,'[3]Delta Yearly'!$A$1:$AC$72,14,FALSE)+VLOOKUP($B30,'[3]Delta Yearly'!$A$1:$AC$72,16,FALSE)+VLOOKUP($B30,'[3]Delta Yearly'!$A$1:$AC$72,18,FALSE)+VLOOKUP($B30,'[3]Delta Yearly'!$A$1:$AC$72,20,FALSE)+VLOOKUP($B30,'[3]Delta Yearly'!$A$1:$AC$72,22,FALSE)+VLOOKUP($B30,'[3]Delta Yearly'!$A$1:$AC$72,24,FALSE)+VLOOKUP($B30,'[3]Delta Yearly'!$A$1:$AC$72,26,FALSE)+VLOOKUP($B30,'[3]Delta Yearly'!$A$1:$AC$72,28,FALSE)</f>
        <v>0</v>
      </c>
      <c r="AC30" s="67">
        <f>SUM(AB30,AA30,Z30,R30)</f>
        <v>4047215.52170303</v>
      </c>
      <c r="AD30" s="128"/>
    </row>
    <row r="31" spans="1:37" s="39" customFormat="1" ht="9" customHeight="1" x14ac:dyDescent="0.3">
      <c r="A31" s="98"/>
      <c r="B31" s="64"/>
      <c r="C31" s="64"/>
      <c r="D31" s="67"/>
      <c r="E31" s="101"/>
      <c r="F31" s="101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126"/>
      <c r="S31" s="126"/>
      <c r="T31" s="44"/>
      <c r="U31" s="44"/>
      <c r="V31" s="44"/>
      <c r="W31" s="44"/>
      <c r="X31" s="44"/>
      <c r="Y31" s="44"/>
      <c r="Z31" s="67"/>
      <c r="AA31" s="66"/>
      <c r="AB31" s="44"/>
      <c r="AC31" s="67"/>
      <c r="AD31" s="38"/>
    </row>
    <row r="32" spans="1:37" s="39" customFormat="1" x14ac:dyDescent="0.3">
      <c r="A32" s="98" t="s">
        <v>70</v>
      </c>
      <c r="B32" s="64" t="s">
        <v>71</v>
      </c>
      <c r="C32" t="s">
        <v>72</v>
      </c>
      <c r="D32" s="67" t="s">
        <v>73</v>
      </c>
      <c r="E32" s="93">
        <f>(VLOOKUP(C32,[6]Sheet1!$B$1:$G$65,2,0))*-1</f>
        <v>157062.62786074801</v>
      </c>
      <c r="F32" s="93">
        <f>(VLOOKUP(C32,[6]Sheet1!$B$1:$G$65,4,0))</f>
        <v>-62214.897017943003</v>
      </c>
      <c r="G32" s="45">
        <f>VLOOKUP($B32,'[4]Delta Monthly'!$A$1:$AW$55,4,1)</f>
        <v>0</v>
      </c>
      <c r="H32" s="45">
        <f>VLOOKUP($B32,'[4]Delta Monthly'!$A$1:$AW$55,6,FALSE)</f>
        <v>0</v>
      </c>
      <c r="I32" s="45">
        <f>VLOOKUP($B32,'[4]Delta Monthly'!$A$1:$AW$55,8,FALSE)</f>
        <v>0</v>
      </c>
      <c r="J32" s="45">
        <f>VLOOKUP($B32,'[4]Delta Monthly'!$A$1:$AW$55,10,FALSE)</f>
        <v>0</v>
      </c>
      <c r="K32" s="45">
        <f>VLOOKUP($B32,'[4]Delta Monthly'!$A$1:$AW$55,12,FALSE)</f>
        <v>0</v>
      </c>
      <c r="L32" s="45">
        <f>VLOOKUP($B32,'[4]Delta Monthly'!$A$1:$AW$55,14,FALSE)</f>
        <v>0</v>
      </c>
      <c r="M32" s="45">
        <f>VLOOKUP($B32,'[4]Delta Monthly'!$A$1:$AW$55,16,FALSE)</f>
        <v>0</v>
      </c>
      <c r="N32" s="45">
        <f>VLOOKUP($B32,'[4]Delta Monthly'!$A$1:$AW$55,18,FALSE)</f>
        <v>0</v>
      </c>
      <c r="O32" s="45">
        <f>VLOOKUP($B32,'[4]Delta Monthly'!$A$1:$AW$72,20,FALSE)</f>
        <v>0</v>
      </c>
      <c r="P32" s="45">
        <f>VLOOKUP($B32,'[4]Delta Monthly'!$A$1:$AW$72,22,FALSE)</f>
        <v>406.47407382183599</v>
      </c>
      <c r="Q32" s="45">
        <f>VLOOKUP($B32,'[4]Delta Monthly'!$A$1:$AW$72,24,FALSE)</f>
        <v>-31882.957860870109</v>
      </c>
      <c r="R32" s="126">
        <f>SUM(G32:Q32)</f>
        <v>-31476.483787048273</v>
      </c>
      <c r="S32" s="100">
        <f>VLOOKUP($B32,'[4]Delta Monthly'!$A$1:$AW$72,26,FALSE)+VLOOKUP($B32,'[4]Delta Monthly'!$A$1:$AW$72,28,FALSE)</f>
        <v>0</v>
      </c>
      <c r="T32" s="45">
        <f>VLOOKUP($B32,'[4]Delta Monthly'!$A$1:$AW$72,30,FALSE)+VLOOKUP($B32,'[4]Delta Monthly'!$A$1:$AW$72,32,FALSE)</f>
        <v>0</v>
      </c>
      <c r="U32" s="45">
        <f>VLOOKUP($B32,'[4]Delta Monthly'!$A$1:$AW$72,34,FALSE)</f>
        <v>0</v>
      </c>
      <c r="V32" s="45">
        <f>VLOOKUP($B32,'[4]Delta Monthly'!$A$1:$AW$72,36,FALSE)</f>
        <v>0</v>
      </c>
      <c r="W32" s="45">
        <f>VLOOKUP($B32,'[4]Delta Monthly'!$A$1:$AW$72,38,FALSE)+VLOOKUP($B32,'[4]Delta Monthly'!$A$1:$AW$72,40,FALSE)</f>
        <v>0</v>
      </c>
      <c r="X32" s="45">
        <f>VLOOKUP($B32,'[4]Delta Monthly'!$A$1:$AW$72,42,FALSE)</f>
        <v>0</v>
      </c>
      <c r="Y32" s="45">
        <f>VLOOKUP($B32,'[4]Delta Monthly'!$A$1:$AW$72,44,FALSE)+VLOOKUP($B32,'[4]Delta Monthly'!$A$1:$AW$72,46,FALSE)+VLOOKUP($B32,'[4]Delta Monthly'!$A$1:$AW$72,48,FALSE)</f>
        <v>0</v>
      </c>
      <c r="Z32" s="67">
        <f>SUM(S32:Y32)</f>
        <v>0</v>
      </c>
      <c r="AA32" s="66">
        <f>VLOOKUP($B32,'[3]Delta Yearly'!$A$1:$AD$72,4,FALSE)</f>
        <v>0</v>
      </c>
      <c r="AB32" s="44">
        <f>VLOOKUP($B32,'[3]Delta Yearly'!$A$1:$AC$72,6,FALSE)+VLOOKUP($B32,'[3]Delta Yearly'!$A$1:$AC$72,8,FALSE)+VLOOKUP($B32,'[3]Delta Yearly'!$A$1:$AC$72,10,FALSE)+VLOOKUP($B32,'[3]Delta Yearly'!$A$1:$AC$72,12,FALSE)+VLOOKUP($B32,'[3]Delta Yearly'!$A$1:$AC$72,14,FALSE)+VLOOKUP($B32,'[3]Delta Yearly'!$A$1:$AC$72,16,FALSE)+VLOOKUP($B32,'[3]Delta Yearly'!$A$1:$AC$72,18,FALSE)+VLOOKUP($B32,'[3]Delta Yearly'!$A$1:$AC$72,20,FALSE)+VLOOKUP($B32,'[3]Delta Yearly'!$A$1:$AC$72,22,FALSE)+VLOOKUP($B32,'[3]Delta Yearly'!$A$1:$AC$72,24,FALSE)+VLOOKUP($B32,'[3]Delta Yearly'!$A$1:$AC$72,26,FALSE)+VLOOKUP($B32,'[3]Delta Yearly'!$A$1:$AC$72,28,FALSE)</f>
        <v>0</v>
      </c>
      <c r="AC32" s="67">
        <f>SUM(AB32,AA32,Z32,R32)</f>
        <v>-31476.483787048273</v>
      </c>
      <c r="AD32" s="38"/>
    </row>
    <row r="33" spans="1:30" s="39" customFormat="1" ht="9" customHeight="1" x14ac:dyDescent="0.3">
      <c r="A33" s="98"/>
      <c r="B33" s="82"/>
      <c r="C33" s="82"/>
      <c r="D33" s="67"/>
      <c r="E33" s="101"/>
      <c r="F33" s="101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126"/>
      <c r="S33" s="126"/>
      <c r="T33" s="44"/>
      <c r="U33" s="44"/>
      <c r="V33" s="44"/>
      <c r="W33" s="44"/>
      <c r="X33" s="44"/>
      <c r="Y33" s="44"/>
      <c r="Z33" s="67"/>
      <c r="AA33" s="66"/>
      <c r="AB33" s="44"/>
      <c r="AC33" s="67"/>
      <c r="AD33" s="38"/>
    </row>
    <row r="34" spans="1:30" s="39" customFormat="1" x14ac:dyDescent="0.3">
      <c r="A34" s="98" t="s">
        <v>74</v>
      </c>
      <c r="B34" s="64" t="s">
        <v>75</v>
      </c>
      <c r="C34" t="s">
        <v>76</v>
      </c>
      <c r="D34" s="67" t="s">
        <v>77</v>
      </c>
      <c r="E34" s="93">
        <f>(VLOOKUP(C34,[6]Sheet1!$B$1:$G$65,2,0))*-1</f>
        <v>36695.205811190106</v>
      </c>
      <c r="F34" s="93">
        <f>(VLOOKUP(C34,[6]Sheet1!$B$1:$G$65,4,0))</f>
        <v>2341.2613055896072</v>
      </c>
      <c r="G34" s="45">
        <f>VLOOKUP($B34,'[4]Delta Monthly'!$A$1:$AW$55,4,1)</f>
        <v>0</v>
      </c>
      <c r="H34" s="45">
        <f>VLOOKUP($B34,'[4]Delta Monthly'!$A$1:$AW$55,6,FALSE)</f>
        <v>0</v>
      </c>
      <c r="I34" s="45">
        <f>VLOOKUP($B34,'[4]Delta Monthly'!$A$1:$AW$55,8,FALSE)</f>
        <v>0</v>
      </c>
      <c r="J34" s="45">
        <f>VLOOKUP($B34,'[4]Delta Monthly'!$A$1:$AW$55,10,FALSE)</f>
        <v>0</v>
      </c>
      <c r="K34" s="45">
        <f>VLOOKUP($B34,'[4]Delta Monthly'!$A$1:$AW$55,12,FALSE)</f>
        <v>0</v>
      </c>
      <c r="L34" s="45">
        <f>VLOOKUP($B34,'[4]Delta Monthly'!$A$1:$AW$55,14,FALSE)</f>
        <v>0</v>
      </c>
      <c r="M34" s="45">
        <f>VLOOKUP($B34,'[4]Delta Monthly'!$A$1:$AW$55,16,FALSE)</f>
        <v>0</v>
      </c>
      <c r="N34" s="45">
        <f>VLOOKUP($B34,'[4]Delta Monthly'!$A$1:$AW$55,18,FALSE)</f>
        <v>0</v>
      </c>
      <c r="O34" s="45">
        <f>VLOOKUP($B34,'[4]Delta Monthly'!$A$1:$AW$72,20,FALSE)</f>
        <v>0</v>
      </c>
      <c r="P34" s="45">
        <f>VLOOKUP($B34,'[4]Delta Monthly'!$A$1:$AW$72,22,FALSE)</f>
        <v>-7190.0186134307933</v>
      </c>
      <c r="Q34" s="45">
        <f>VLOOKUP($B34,'[4]Delta Monthly'!$A$1:$AW$72,24,FALSE)</f>
        <v>0</v>
      </c>
      <c r="R34" s="126">
        <f>SUM(G34:Q34)</f>
        <v>-7190.0186134307933</v>
      </c>
      <c r="S34" s="100">
        <f>VLOOKUP($B34,'[4]Delta Monthly'!$A$1:$AW$72,26,FALSE)+VLOOKUP($B34,'[4]Delta Monthly'!$A$1:$AW$72,28,FALSE)</f>
        <v>0</v>
      </c>
      <c r="T34" s="45">
        <f>VLOOKUP($B34,'[4]Delta Monthly'!$A$1:$AW$72,30,FALSE)+VLOOKUP($B34,'[4]Delta Monthly'!$A$1:$AW$72,32,FALSE)</f>
        <v>0</v>
      </c>
      <c r="U34" s="45">
        <f>VLOOKUP($B34,'[4]Delta Monthly'!$A$1:$AW$72,34,FALSE)</f>
        <v>0</v>
      </c>
      <c r="V34" s="45">
        <f>VLOOKUP($B34,'[4]Delta Monthly'!$A$1:$AW$72,36,FALSE)</f>
        <v>0</v>
      </c>
      <c r="W34" s="45">
        <f>VLOOKUP($B34,'[4]Delta Monthly'!$A$1:$AW$72,38,FALSE)+VLOOKUP($B34,'[4]Delta Monthly'!$A$1:$AW$72,40,FALSE)</f>
        <v>0</v>
      </c>
      <c r="X34" s="45">
        <f>VLOOKUP($B34,'[4]Delta Monthly'!$A$1:$AW$72,42,FALSE)</f>
        <v>0</v>
      </c>
      <c r="Y34" s="45">
        <f>VLOOKUP($B34,'[4]Delta Monthly'!$A$1:$AW$72,44,FALSE)+VLOOKUP($B34,'[4]Delta Monthly'!$A$1:$AW$72,46,FALSE)+VLOOKUP($B34,'[4]Delta Monthly'!$A$1:$AW$72,48,FALSE)</f>
        <v>0</v>
      </c>
      <c r="Z34" s="67">
        <f>SUM(S34:Y34)</f>
        <v>0</v>
      </c>
      <c r="AA34" s="66">
        <f>VLOOKUP($B34,'[3]Delta Yearly'!$A$1:$AD$72,4,FALSE)</f>
        <v>0</v>
      </c>
      <c r="AB34" s="44">
        <f>VLOOKUP($B34,'[3]Delta Yearly'!$A$1:$AC$72,6,FALSE)+VLOOKUP($B34,'[3]Delta Yearly'!$A$1:$AC$72,8,FALSE)+VLOOKUP($B34,'[3]Delta Yearly'!$A$1:$AC$72,10,FALSE)+VLOOKUP($B34,'[3]Delta Yearly'!$A$1:$AC$72,12,FALSE)+VLOOKUP($B34,'[3]Delta Yearly'!$A$1:$AC$72,14,FALSE)+VLOOKUP($B34,'[3]Delta Yearly'!$A$1:$AC$72,16,FALSE)+VLOOKUP($B34,'[3]Delta Yearly'!$A$1:$AC$72,18,FALSE)+VLOOKUP($B34,'[3]Delta Yearly'!$A$1:$AC$72,20,FALSE)+VLOOKUP($B34,'[3]Delta Yearly'!$A$1:$AC$72,22,FALSE)+VLOOKUP($B34,'[3]Delta Yearly'!$A$1:$AC$72,24,FALSE)+VLOOKUP($B34,'[3]Delta Yearly'!$A$1:$AC$72,26,FALSE)+VLOOKUP($B34,'[3]Delta Yearly'!$A$1:$AC$72,28,FALSE)</f>
        <v>0</v>
      </c>
      <c r="AC34" s="67">
        <f>SUM(AB34,AA34,Z34,R34)</f>
        <v>-7190.0186134307933</v>
      </c>
      <c r="AD34" s="38"/>
    </row>
    <row r="35" spans="1:30" s="39" customFormat="1" ht="9" customHeight="1" thickBot="1" x14ac:dyDescent="0.35">
      <c r="A35" s="98"/>
      <c r="B35" s="82"/>
      <c r="C35" s="82"/>
      <c r="D35" s="67"/>
      <c r="E35" s="112"/>
      <c r="F35" s="112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126"/>
      <c r="S35" s="129"/>
      <c r="T35" s="65"/>
      <c r="U35" s="65"/>
      <c r="V35" s="65"/>
      <c r="W35" s="65"/>
      <c r="X35" s="65"/>
      <c r="Y35" s="65"/>
      <c r="Z35" s="110"/>
      <c r="AA35" s="130"/>
      <c r="AB35" s="44"/>
      <c r="AC35" s="110"/>
      <c r="AD35" s="38"/>
    </row>
    <row r="36" spans="1:30" s="39" customFormat="1" ht="18" thickBot="1" x14ac:dyDescent="0.35">
      <c r="A36" s="113" t="s">
        <v>78</v>
      </c>
      <c r="B36" s="131" t="s">
        <v>78</v>
      </c>
      <c r="C36" s="114" t="s">
        <v>79</v>
      </c>
      <c r="D36" s="115"/>
      <c r="E36" s="120">
        <f>(VLOOKUP(C36,[6]Sheet1!$B$1:$G$65,2,0))*-1</f>
        <v>10783563.586213</v>
      </c>
      <c r="F36" s="120">
        <f>(VLOOKUP(C36,[6]Sheet1!$B$1:$G$65,4,0))</f>
        <v>597867.82138079964</v>
      </c>
      <c r="G36" s="118" t="e">
        <f>SUM(G28,G30,#REF!,G32,G34)</f>
        <v>#REF!</v>
      </c>
      <c r="H36" s="118" t="e">
        <f>SUM(H28,H30,#REF!,H32,H34)</f>
        <v>#REF!</v>
      </c>
      <c r="I36" s="118" t="e">
        <f>SUM(I28,I30,#REF!,I32,I34)</f>
        <v>#REF!</v>
      </c>
      <c r="J36" s="118" t="e">
        <f>SUM(J28,J30,#REF!,J32,J34)</f>
        <v>#REF!</v>
      </c>
      <c r="K36" s="118" t="e">
        <f>SUM(K28,K30,#REF!,K32,K34)</f>
        <v>#REF!</v>
      </c>
      <c r="L36" s="118" t="e">
        <f>SUM(L28,L30,#REF!,L32,L34)</f>
        <v>#REF!</v>
      </c>
      <c r="M36" s="118" t="e">
        <f>SUM(M28,M30,#REF!,M32,M34)</f>
        <v>#REF!</v>
      </c>
      <c r="N36" s="118" t="e">
        <f>SUM(N28,N30,#REF!,N32,N34)</f>
        <v>#REF!</v>
      </c>
      <c r="O36" s="118">
        <f t="shared" ref="O36:AC36" si="2">SUM(O28,O30,O32,O34)</f>
        <v>0</v>
      </c>
      <c r="P36" s="118">
        <f t="shared" si="2"/>
        <v>268571.74029420514</v>
      </c>
      <c r="Q36" s="118">
        <f t="shared" si="2"/>
        <v>-99075.068879795072</v>
      </c>
      <c r="R36" s="115">
        <f t="shared" si="2"/>
        <v>169496.67141441006</v>
      </c>
      <c r="S36" s="118">
        <f t="shared" si="2"/>
        <v>-992778.92893385282</v>
      </c>
      <c r="T36" s="118">
        <f t="shared" si="2"/>
        <v>-923129.09860907751</v>
      </c>
      <c r="U36" s="118">
        <f t="shared" si="2"/>
        <v>-501984.54469606123</v>
      </c>
      <c r="V36" s="118">
        <f t="shared" si="2"/>
        <v>-346700.94245523401</v>
      </c>
      <c r="W36" s="118">
        <f t="shared" si="2"/>
        <v>18405.962673634291</v>
      </c>
      <c r="X36" s="118">
        <f t="shared" si="2"/>
        <v>-312913.25730397587</v>
      </c>
      <c r="Y36" s="118">
        <f t="shared" si="2"/>
        <v>4332162.6813196521</v>
      </c>
      <c r="Z36" s="115">
        <f t="shared" si="2"/>
        <v>1273061.8719950849</v>
      </c>
      <c r="AA36" s="115">
        <f t="shared" si="2"/>
        <v>-171788.3419981068</v>
      </c>
      <c r="AB36" s="115">
        <f t="shared" si="2"/>
        <v>231234.39363535159</v>
      </c>
      <c r="AC36" s="132">
        <f t="shared" si="2"/>
        <v>1502004.5950467391</v>
      </c>
      <c r="AD36" s="133"/>
    </row>
    <row r="37" spans="1:30" s="39" customFormat="1" ht="18" thickBot="1" x14ac:dyDescent="0.35">
      <c r="A37" s="134"/>
      <c r="B37" s="134"/>
      <c r="C37" s="134"/>
      <c r="D37" s="135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5"/>
      <c r="S37" s="135"/>
      <c r="T37" s="135"/>
      <c r="U37" s="135"/>
      <c r="V37" s="135"/>
      <c r="W37" s="44"/>
      <c r="X37" s="135"/>
      <c r="Y37" s="44"/>
      <c r="Z37" s="44"/>
      <c r="AA37" s="135"/>
      <c r="AB37" s="44"/>
      <c r="AC37" s="44"/>
      <c r="AD37" s="38"/>
    </row>
    <row r="38" spans="1:30" s="39" customFormat="1" ht="18" thickBot="1" x14ac:dyDescent="0.35">
      <c r="A38" s="85"/>
      <c r="B38" s="86"/>
      <c r="C38" s="86"/>
      <c r="D38" s="89" t="s">
        <v>26</v>
      </c>
      <c r="E38" s="57">
        <v>12500000</v>
      </c>
      <c r="F38" s="137"/>
      <c r="G38" s="88"/>
      <c r="H38" s="88"/>
      <c r="I38" s="88"/>
      <c r="J38" s="56" t="s">
        <v>80</v>
      </c>
      <c r="K38" s="88"/>
      <c r="L38" s="88"/>
      <c r="M38" s="88"/>
      <c r="N38" s="88"/>
      <c r="O38" s="88"/>
      <c r="P38" s="88"/>
      <c r="Q38" s="88"/>
      <c r="R38" s="56"/>
      <c r="S38" s="57"/>
      <c r="T38" s="56"/>
      <c r="U38" s="56"/>
      <c r="V38" s="56"/>
      <c r="W38" s="56"/>
      <c r="X38" s="56"/>
      <c r="Y38" s="56"/>
      <c r="Z38" s="89"/>
      <c r="AA38" s="87"/>
      <c r="AB38" s="89"/>
      <c r="AC38" s="87"/>
      <c r="AD38" s="38"/>
    </row>
    <row r="39" spans="1:30" s="39" customFormat="1" ht="15" customHeight="1" x14ac:dyDescent="0.3">
      <c r="A39" s="138"/>
      <c r="B39" s="64"/>
      <c r="C39" s="64"/>
      <c r="D39" s="94"/>
      <c r="E39" s="139"/>
      <c r="F39" s="140"/>
      <c r="G39" s="141"/>
      <c r="H39" s="141"/>
      <c r="I39" s="141"/>
      <c r="J39" s="84"/>
      <c r="K39" s="141"/>
      <c r="L39" s="141"/>
      <c r="M39" s="141"/>
      <c r="N39" s="141"/>
      <c r="O39" s="141"/>
      <c r="P39" s="141"/>
      <c r="Q39" s="141"/>
      <c r="R39" s="142"/>
      <c r="S39" s="143"/>
      <c r="T39" s="144"/>
      <c r="U39" s="144"/>
      <c r="V39" s="144"/>
      <c r="W39" s="144"/>
      <c r="X39" s="144"/>
      <c r="Y39" s="144"/>
      <c r="Z39" s="145"/>
      <c r="AA39" s="93"/>
      <c r="AB39" s="146"/>
      <c r="AC39" s="93"/>
      <c r="AD39" s="38"/>
    </row>
    <row r="40" spans="1:30" s="39" customFormat="1" ht="15" hidden="1" customHeight="1" x14ac:dyDescent="0.3">
      <c r="A40" s="147"/>
      <c r="B40" s="148"/>
      <c r="C40" s="148"/>
      <c r="D40" s="149"/>
      <c r="E40" s="150"/>
      <c r="F40" s="151"/>
      <c r="G40" s="152"/>
      <c r="H40" s="152"/>
      <c r="I40" s="152"/>
      <c r="J40" s="153"/>
      <c r="K40" s="152"/>
      <c r="L40" s="152"/>
      <c r="M40" s="152"/>
      <c r="N40" s="152"/>
      <c r="O40" s="152"/>
      <c r="P40" s="152"/>
      <c r="Q40" s="152"/>
      <c r="R40" s="154"/>
      <c r="S40" s="154"/>
      <c r="T40" s="153"/>
      <c r="U40" s="153"/>
      <c r="V40" s="153"/>
      <c r="W40" s="153"/>
      <c r="X40" s="153"/>
      <c r="Y40" s="153"/>
      <c r="Z40" s="149"/>
      <c r="AA40" s="155"/>
      <c r="AB40" s="149">
        <f>VLOOKUP($B41,'[3]Delta Yearly'!$A$1:$AC$55,6,0)+VLOOKUP($B41,'[3]Delta Yearly'!$A$1:$AC$55,8,0)+VLOOKUP($B41,'[3]Delta Yearly'!$A$1:$AC$55,10,0)+VLOOKUP($B41,'[3]Delta Yearly'!$A$1:$AC$55,12,0)+VLOOKUP($B41,'[3]Delta Yearly'!$A$1:$AC$55,14,0)+VLOOKUP($B41,'[3]Delta Yearly'!$A$1:$AC$55,16,0)+VLOOKUP($B41,'[3]Delta Yearly'!$A$1:$AC$55,18,0)+VLOOKUP($B41,'[3]Delta Yearly'!$A$1:$AC$55,20,0)+VLOOKUP($B41,'[3]Delta Yearly'!$A$1:$AC$55,22,0)+VLOOKUP($B41,'[3]Delta Yearly'!$A$1:$AC$55,24,0)+VLOOKUP($B41,'[3]Delta Yearly'!$A$1:$AC$55,26,0)+VLOOKUP($B41,'[3]Delta Yearly'!$A$1:$AC$55,28,0)</f>
        <v>0</v>
      </c>
      <c r="AC40" s="155"/>
      <c r="AD40" s="38"/>
    </row>
    <row r="41" spans="1:30" s="39" customFormat="1" ht="15" hidden="1" customHeight="1" x14ac:dyDescent="0.3">
      <c r="A41" s="147"/>
      <c r="B41" s="148" t="s">
        <v>81</v>
      </c>
      <c r="C41" s="156"/>
      <c r="D41" s="149"/>
      <c r="E41" s="149"/>
      <c r="F41" s="155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4"/>
      <c r="S41" s="154"/>
      <c r="T41" s="153"/>
      <c r="U41" s="153"/>
      <c r="V41" s="153"/>
      <c r="W41" s="153"/>
      <c r="X41" s="153"/>
      <c r="Y41" s="153"/>
      <c r="Z41" s="149"/>
      <c r="AA41" s="155"/>
      <c r="AB41" s="149">
        <f>VLOOKUP($B42,'[3]Delta Yearly'!$A$1:$AC$55,6,0)+VLOOKUP($B42,'[3]Delta Yearly'!$A$1:$AC$55,8,0)+VLOOKUP($B42,'[3]Delta Yearly'!$A$1:$AC$55,10,0)+VLOOKUP($B42,'[3]Delta Yearly'!$A$1:$AC$55,12,0)+VLOOKUP($B42,'[3]Delta Yearly'!$A$1:$AC$55,14,0)+VLOOKUP($B42,'[3]Delta Yearly'!$A$1:$AC$55,16,0)+VLOOKUP($B42,'[3]Delta Yearly'!$A$1:$AC$55,18,0)+VLOOKUP($B42,'[3]Delta Yearly'!$A$1:$AC$55,20,0)+VLOOKUP($B42,'[3]Delta Yearly'!$A$1:$AC$55,22,0)+VLOOKUP($B42,'[3]Delta Yearly'!$A$1:$AC$55,24,0)+VLOOKUP($B42,'[3]Delta Yearly'!$A$1:$AC$55,26,0)+VLOOKUP($B42,'[3]Delta Yearly'!$A$1:$AC$55,28,0)</f>
        <v>-397709.72447717632</v>
      </c>
      <c r="AC41" s="155"/>
      <c r="AD41" s="38"/>
    </row>
    <row r="42" spans="1:30" s="39" customFormat="1" ht="15" hidden="1" customHeight="1" x14ac:dyDescent="0.3">
      <c r="A42" s="147"/>
      <c r="B42" s="148" t="s">
        <v>82</v>
      </c>
      <c r="C42" s="156"/>
      <c r="D42" s="149"/>
      <c r="E42" s="149"/>
      <c r="F42" s="155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4"/>
      <c r="S42" s="154"/>
      <c r="T42" s="153"/>
      <c r="U42" s="153"/>
      <c r="V42" s="153"/>
      <c r="W42" s="153"/>
      <c r="X42" s="153"/>
      <c r="Y42" s="153"/>
      <c r="Z42" s="149"/>
      <c r="AA42" s="155"/>
      <c r="AB42" s="149">
        <f>VLOOKUP($B43,'[3]Delta Yearly'!$A$1:$AC$55,6,0)+VLOOKUP($B43,'[3]Delta Yearly'!$A$1:$AC$55,8,0)+VLOOKUP($B43,'[3]Delta Yearly'!$A$1:$AC$55,10,0)+VLOOKUP($B43,'[3]Delta Yearly'!$A$1:$AC$55,12,0)+VLOOKUP($B43,'[3]Delta Yearly'!$A$1:$AC$55,14,0)+VLOOKUP($B43,'[3]Delta Yearly'!$A$1:$AC$55,16,0)+VLOOKUP($B43,'[3]Delta Yearly'!$A$1:$AC$55,18,0)+VLOOKUP($B43,'[3]Delta Yearly'!$A$1:$AC$55,20,0)+VLOOKUP($B43,'[3]Delta Yearly'!$A$1:$AC$55,22,0)+VLOOKUP($B43,'[3]Delta Yearly'!$A$1:$AC$55,24,0)+VLOOKUP($B43,'[3]Delta Yearly'!$A$1:$AC$55,26,0)+VLOOKUP($B43,'[3]Delta Yearly'!$A$1:$AC$55,28,0)</f>
        <v>462438.8992969016</v>
      </c>
      <c r="AC42" s="155"/>
      <c r="AD42" s="38"/>
    </row>
    <row r="43" spans="1:30" s="39" customFormat="1" ht="15" customHeight="1" x14ac:dyDescent="0.3">
      <c r="A43" s="98" t="s">
        <v>83</v>
      </c>
      <c r="B43" s="64" t="s">
        <v>84</v>
      </c>
      <c r="C43" s="2" t="s">
        <v>85</v>
      </c>
      <c r="D43" s="67" t="s">
        <v>86</v>
      </c>
      <c r="E43" s="94">
        <f>(VLOOKUP(C43,[6]Sheet1!$B$1:$G$65,2,0))*-1</f>
        <v>1696506.32644123</v>
      </c>
      <c r="F43" s="93">
        <f>(VLOOKUP(C43,[6]Sheet1!$B$1:$G$65,4,0))</f>
        <v>-289530.5794402</v>
      </c>
      <c r="G43" s="45">
        <f>VLOOKUP($B43,'[4]Delta Monthly'!$A$1:$AW$55,4,1)+VLOOKUP($B41,'[4]Delta Monthly'!$A$1:$AW$55,4,1)</f>
        <v>0</v>
      </c>
      <c r="H43" s="45">
        <f>VLOOKUP($B43,'[4]Delta Monthly'!$A$1:$AW$55,6,FALSE)+VLOOKUP($B41,'[4]Delta Monthly'!$A$1:$AW$55,6,FALSE)</f>
        <v>0</v>
      </c>
      <c r="I43" s="45">
        <f>VLOOKUP($B43,'[4]Delta Monthly'!$A$1:$AW$55,8,FALSE)+VLOOKUP($B41,'[4]Delta Monthly'!$A$1:$AW$55,8,FALSE)</f>
        <v>0</v>
      </c>
      <c r="J43" s="45">
        <f>VLOOKUP($B43,'[4]Delta Monthly'!$A$1:$AW$55,10,FALSE)+VLOOKUP($B41,'[4]Delta Monthly'!$A$1:$AW$55,10,FALSE)+VLOOKUP($B41,'[4]Delta Monthly'!$A$1:$AW$55,10,FALSE)</f>
        <v>0</v>
      </c>
      <c r="K43" s="45">
        <v>0</v>
      </c>
      <c r="L43" s="45">
        <v>0</v>
      </c>
      <c r="M43" s="45">
        <v>0</v>
      </c>
      <c r="N43" s="45">
        <v>0</v>
      </c>
      <c r="O43" s="45">
        <f>VLOOKUP($B41,'[4]Delta Monthly'!$A$1:$AW$72,20,1)+VLOOKUP($B42,'[4]Delta Monthly'!$A$1:$AW$72,20,1)+VLOOKUP($B43,'[4]Delta Monthly'!$A$1:$AW$72,20,FALSE)</f>
        <v>0</v>
      </c>
      <c r="P43" s="45">
        <f>VLOOKUP($B41,'[4]Delta Monthly'!$A$1:$AW$72,22,1)+VLOOKUP($B42,'[4]Delta Monthly'!$A$1:$AW$72,22,1)+VLOOKUP($B43,'[4]Delta Monthly'!$A$1:$AW$72,22,FALSE)</f>
        <v>-46148.761927654647</v>
      </c>
      <c r="Q43" s="45">
        <f>VLOOKUP($B41,'[4]Delta Monthly'!$A$1:$AW$72,24,1)+VLOOKUP($B42,'[4]Delta Monthly'!$A$1:$AW$72,24,1)+VLOOKUP($B43,'[4]Delta Monthly'!$A$1:$AW$72,24,FALSE)</f>
        <v>-105398.00309105629</v>
      </c>
      <c r="R43" s="126">
        <f>SUM(G43:Q43)</f>
        <v>-151546.76501871092</v>
      </c>
      <c r="S43" s="100">
        <f>VLOOKUP($B43,'[4]Delta Monthly'!$A$1:$AW$72,26,1)+VLOOKUP($B41,'[4]Delta Monthly'!$A$1:$AW$72,26,1)+VLOOKUP($B43,'[4]Delta Monthly'!$A$1:$AW$72,28,1)+VLOOKUP($B41,'[4]Delta Monthly'!$A$1:$AW$72,28,1)+VLOOKUP($B42,'[4]Delta Monthly'!$A$1:$AW$72,28,FALSE)+VLOOKUP($B42,'[4]Delta Monthly'!$A$1:$AW$72,26,FALSE)</f>
        <v>26776.021174973983</v>
      </c>
      <c r="T43" s="45">
        <f>VLOOKUP($B43,'[4]Delta Monthly'!$A$1:$AW$72,30,1)+VLOOKUP($B41,'[4]Delta Monthly'!$A$1:$AW$72,30,1)+VLOOKUP($B43,'[4]Delta Monthly'!$A$1:$AW$72,32,1)+VLOOKUP($B41,'[4]Delta Monthly'!$A$1:$AW$72,32,1)+VLOOKUP($B42,'[4]Delta Monthly'!$A$1:$AW$72,30,FALSE)+VLOOKUP($B42,'[4]Delta Monthly'!$A$1:$AW$72,32,FALSE)</f>
        <v>23867.796986894798</v>
      </c>
      <c r="U43" s="45">
        <f>VLOOKUP($B41,'[4]Delta Monthly'!$A$1:$AW$72,34,1)+VLOOKUP($B42,'[4]Delta Monthly'!$A$1:$AW$72,34,1)+VLOOKUP($B43,'[4]Delta Monthly'!$A$1:$AW$72,34,FALSE)</f>
        <v>-15317.028720768307</v>
      </c>
      <c r="V43" s="45">
        <f>VLOOKUP($B41,'[4]Delta Monthly'!$A$1:$AW$72,36,1)+VLOOKUP($B42,'[4]Delta Monthly'!$A$1:$AW$72,36,1)+VLOOKUP($B43,'[4]Delta Monthly'!$A$1:$AW$72,36,FALSE)</f>
        <v>914.4670923928079</v>
      </c>
      <c r="W43" s="45">
        <f>VLOOKUP($B43,'[4]Delta Monthly'!$A$1:$AW$72,38,1)+VLOOKUP($B41,'[4]Delta Monthly'!$A$1:$AW$72,38,1)+VLOOKUP($B43,'[4]Delta Monthly'!$A$1:$AW$72,40,1)+VLOOKUP($B41,'[4]Delta Monthly'!$A$1:$AW$72,40,1)+VLOOKUP($B42,'[4]Delta Monthly'!$A$1:$AW$72,38,FALSE)+VLOOKUP($B42,'[4]Delta Monthly'!$A$1:$AW$72,40,FALSE)</f>
        <v>-186901.65560096051</v>
      </c>
      <c r="X43" s="45">
        <f>VLOOKUP($B43,'[4]Delta Monthly'!$A$1:$AW$72,42,1)+VLOOKUP($B41,'[4]Delta Monthly'!$A$1:$AW$72,42,1)+VLOOKUP($B42,'[4]Delta Monthly'!$A$1:$AW$72,42,FALSE)</f>
        <v>-18966.154958628147</v>
      </c>
      <c r="Y43" s="45">
        <f>VLOOKUP($B43,'[4]Delta Monthly'!$A$1:$AW$72,44,1)+VLOOKUP($B41,'[4]Delta Monthly'!$A$1:$AW$72,44,1)+VLOOKUP($B43,'[4]Delta Monthly'!$A$1:$AW$72,46,1)+VLOOKUP($B41,'[4]Delta Monthly'!$A$1:$AW$72,46,1)+VLOOKUP($B42,'[4]Delta Monthly'!$A$1:$AW$72,44,FALSE)+VLOOKUP($B42,'[4]Delta Monthly'!$A$1:$AW$72,46,FALSE)+VLOOKUP($B41,'[4]Delta Monthly'!$A$1:$AW$72,48,FALSE)+VLOOKUP($B43,'[4]Delta Monthly'!$A$1:$AW$72,48,FALSE)+VLOOKUP($B42,'[4]Delta Monthly'!$A$1:$AW$72,48,FALSE)</f>
        <v>10309.282969189757</v>
      </c>
      <c r="Z43" s="67">
        <f>SUM(S43:Y43)</f>
        <v>-159317.27105690562</v>
      </c>
      <c r="AA43" s="66">
        <f>VLOOKUP($B41,'[3]Delta Yearly'!$A$1:$AC$72,4,FALSE)+VLOOKUP(B42,'[3]Delta Yearly'!$A$1:$AC$72,4,FALSE)+VLOOKUP($B43,'[3]Delta Yearly'!$A$1:$AC$72,4,0)</f>
        <v>99485.814393070294</v>
      </c>
      <c r="AB43" s="67">
        <f>SUM(AB40,AB41,AB42)</f>
        <v>64729.174819725275</v>
      </c>
      <c r="AC43" s="66">
        <f>SUM(AB43,AA43,Z43,R43)</f>
        <v>-146649.04686282098</v>
      </c>
      <c r="AD43" s="38"/>
    </row>
    <row r="44" spans="1:30" s="39" customFormat="1" ht="15" customHeight="1" x14ac:dyDescent="0.3">
      <c r="A44" s="125"/>
      <c r="B44" s="3"/>
      <c r="C44" s="3"/>
      <c r="D44" s="67"/>
      <c r="E44" s="157"/>
      <c r="F44" s="101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126"/>
      <c r="S44" s="126"/>
      <c r="T44" s="44"/>
      <c r="U44" s="44"/>
      <c r="V44" s="44"/>
      <c r="W44" s="44"/>
      <c r="X44" s="44"/>
      <c r="Y44" s="44"/>
      <c r="Z44" s="67"/>
      <c r="AA44" s="66"/>
      <c r="AB44" s="158"/>
      <c r="AC44" s="66"/>
      <c r="AD44" s="38"/>
    </row>
    <row r="45" spans="1:30" s="39" customFormat="1" x14ac:dyDescent="0.3">
      <c r="A45" s="98" t="s">
        <v>87</v>
      </c>
      <c r="B45" s="64" t="s">
        <v>88</v>
      </c>
      <c r="C45" s="2" t="s">
        <v>89</v>
      </c>
      <c r="D45" s="67" t="s">
        <v>90</v>
      </c>
      <c r="E45" s="94">
        <f>(VLOOKUP(C45,[6]Sheet1!$B$1:$G$65,2,0))*-1</f>
        <v>2426441.7041338696</v>
      </c>
      <c r="F45" s="93">
        <f>(VLOOKUP(C45,[6]Sheet1!$B$1:$G$65,4,0))</f>
        <v>395875.22284676949</v>
      </c>
      <c r="G45" s="45">
        <f>VLOOKUP($B45,'[4]Delta Monthly'!$A$1:$AW$55,4,1)</f>
        <v>0</v>
      </c>
      <c r="H45" s="45">
        <f>VLOOKUP($B45,'[4]Delta Monthly'!$A$1:$AW$55,6,FALSE)</f>
        <v>0</v>
      </c>
      <c r="I45" s="45">
        <f>VLOOKUP($B45,'[4]Delta Monthly'!$A$1:$AW$55,8,FALSE)</f>
        <v>0</v>
      </c>
      <c r="J45" s="45">
        <f>VLOOKUP($B45,'[4]Delta Monthly'!$A$1:$AW$55,10,FALSE)</f>
        <v>0</v>
      </c>
      <c r="K45" s="45">
        <f>VLOOKUP($B45,'[4]Delta Monthly'!$A$1:$AW$55,12,FALSE)</f>
        <v>0</v>
      </c>
      <c r="L45" s="45">
        <f>VLOOKUP($B45,'[4]Delta Monthly'!$A$1:$AW$55,14,FALSE)</f>
        <v>0</v>
      </c>
      <c r="M45" s="45">
        <f>VLOOKUP($B45,'[4]Delta Monthly'!$A$1:$AW$55,16,FALSE)</f>
        <v>0</v>
      </c>
      <c r="N45" s="45">
        <f>VLOOKUP($B45,'[4]Delta Monthly'!$A$1:$AW$55,18,FALSE)</f>
        <v>0</v>
      </c>
      <c r="O45" s="45">
        <f>VLOOKUP($B45,'[4]Delta Monthly'!$A$1:$AW$72,20,FALSE)</f>
        <v>0</v>
      </c>
      <c r="P45" s="45">
        <f>VLOOKUP($B45,'[4]Delta Monthly'!$A$1:$AW$72,22,FALSE)</f>
        <v>109439.60206449944</v>
      </c>
      <c r="Q45" s="45">
        <f>VLOOKUP($B45,'[4]Delta Monthly'!$A$1:$AW$72,24,FALSE)</f>
        <v>303904.67670459696</v>
      </c>
      <c r="R45" s="126">
        <f>SUM(G45:Q45)</f>
        <v>413344.27876909642</v>
      </c>
      <c r="S45" s="100">
        <f>VLOOKUP($B45,'[4]Delta Monthly'!$A$1:$AW$72,26,FALSE)+VLOOKUP($B45,'[4]Delta Monthly'!$A$1:$AW$72,28,FALSE)</f>
        <v>584302.78606226319</v>
      </c>
      <c r="T45" s="45">
        <f>VLOOKUP($B45,'[4]Delta Monthly'!$A$1:$AW$72,30,FALSE)+VLOOKUP($B45,'[4]Delta Monthly'!$A$1:$AW$72,32,FALSE)</f>
        <v>632733.67845678655</v>
      </c>
      <c r="U45" s="45">
        <f>VLOOKUP($B45,'[4]Delta Monthly'!$A$1:$AW$72,34,FALSE)</f>
        <v>139336.68729315631</v>
      </c>
      <c r="V45" s="45">
        <f>VLOOKUP($B45,'[4]Delta Monthly'!$A$1:$AW$72,36,FALSE)</f>
        <v>110587.35907497691</v>
      </c>
      <c r="W45" s="45">
        <f>VLOOKUP($B45,'[4]Delta Monthly'!$A$1:$AW$72,38,FALSE)+VLOOKUP($B45,'[4]Delta Monthly'!$A$1:$AW$72,40,FALSE)</f>
        <v>-465288.86775915266</v>
      </c>
      <c r="X45" s="45">
        <f>VLOOKUP($B45,'[4]Delta Monthly'!$A$1:$AW$72,42,FALSE)</f>
        <v>-31354.371420503499</v>
      </c>
      <c r="Y45" s="45">
        <f>VLOOKUP($B45,'[4]Delta Monthly'!$A$1:$AW$72,44,FALSE)+VLOOKUP($B45,'[4]Delta Monthly'!$A$1:$AW$72,46,FALSE)+VLOOKUP($B45,'[4]Delta Monthly'!$A$1:$AW$72,48,FALSE)</f>
        <v>2141866.8013334945</v>
      </c>
      <c r="Z45" s="67">
        <f>SUM(S45:Y45)</f>
        <v>3112184.0730410214</v>
      </c>
      <c r="AA45" s="66">
        <f>VLOOKUP($B45,'[3]Delta Yearly'!$A$1:$AD$72,4,FALSE)</f>
        <v>-701962.07003242022</v>
      </c>
      <c r="AB45" s="67">
        <f>VLOOKUP($B45,'[3]Delta Yearly'!$A$1:$AC$72,6,FALSE)+VLOOKUP($B45,'[3]Delta Yearly'!$A$1:$AC$72,8,FALSE)+VLOOKUP($B45,'[3]Delta Yearly'!$A$1:$AC$72,10,FALSE)+VLOOKUP($B45,'[3]Delta Yearly'!$A$1:$AC$72,12,FALSE)+VLOOKUP($B45,'[3]Delta Yearly'!$A$1:$AC$72,14,FALSE)+VLOOKUP($B45,'[3]Delta Yearly'!$A$1:$AC$72,16,FALSE)+VLOOKUP($B45,'[3]Delta Yearly'!$A$1:$AC$72,18,FALSE)+VLOOKUP($B45,'[3]Delta Yearly'!$A$1:$AC$72,20,FALSE)+VLOOKUP($B45,'[3]Delta Yearly'!$A$1:$AC$72,22,FALSE)+VLOOKUP($B45,'[3]Delta Yearly'!$A$1:$AC$72,24,FALSE)+VLOOKUP($B45,'[3]Delta Yearly'!$A$1:$AC$72,26,FALSE)+VLOOKUP($B45,'[3]Delta Yearly'!$A$1:$AC$72,28,FALSE)</f>
        <v>652348.62636590679</v>
      </c>
      <c r="AC45" s="66">
        <f>SUM(AB45,AA45,Z45,R45)</f>
        <v>3475914.9081436042</v>
      </c>
      <c r="AD45" s="38"/>
    </row>
    <row r="46" spans="1:30" s="39" customFormat="1" ht="9" customHeight="1" x14ac:dyDescent="0.3">
      <c r="A46" s="125"/>
      <c r="B46" s="64"/>
      <c r="C46" s="64"/>
      <c r="D46" s="67"/>
      <c r="E46" s="157"/>
      <c r="F46" s="101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126"/>
      <c r="S46" s="126"/>
      <c r="T46" s="44"/>
      <c r="U46" s="44"/>
      <c r="V46" s="44"/>
      <c r="W46" s="44"/>
      <c r="X46" s="44"/>
      <c r="Y46" s="44"/>
      <c r="Z46" s="67"/>
      <c r="AA46" s="66"/>
      <c r="AB46" s="67"/>
      <c r="AC46" s="66"/>
      <c r="AD46" s="38"/>
    </row>
    <row r="47" spans="1:30" s="39" customFormat="1" x14ac:dyDescent="0.3">
      <c r="A47" s="98" t="s">
        <v>91</v>
      </c>
      <c r="B47" s="64" t="s">
        <v>92</v>
      </c>
      <c r="C47" s="2" t="s">
        <v>93</v>
      </c>
      <c r="D47" s="67" t="s">
        <v>94</v>
      </c>
      <c r="E47" s="94">
        <f>(VLOOKUP(C47,[6]Sheet1!$B$1:$G$65,2,0))*-1</f>
        <v>1000598.35857411</v>
      </c>
      <c r="F47" s="93">
        <f>(VLOOKUP(C47,[6]Sheet1!$B$1:$G$65,4,0))</f>
        <v>-64948.789779499988</v>
      </c>
      <c r="G47" s="45">
        <f>VLOOKUP($B47,'[4]Delta Monthly'!$A$1:$AW$55,4,1)</f>
        <v>0</v>
      </c>
      <c r="H47" s="45">
        <f>VLOOKUP($B47,'[4]Delta Monthly'!$A$1:$AW$55,6,FALSE)</f>
        <v>0</v>
      </c>
      <c r="I47" s="45">
        <f>VLOOKUP($B47,'[4]Delta Monthly'!$A$1:$AW$55,8,FALSE)</f>
        <v>0</v>
      </c>
      <c r="J47" s="45">
        <f>VLOOKUP($B47,'[4]Delta Monthly'!$A$1:$AW$55,10,FALSE)</f>
        <v>0</v>
      </c>
      <c r="K47" s="45">
        <f>VLOOKUP($B47,'[4]Delta Monthly'!$A$1:$AW$55,12,FALSE)</f>
        <v>0</v>
      </c>
      <c r="L47" s="45">
        <f>VLOOKUP($B47,'[4]Delta Monthly'!$A$1:$AW$55,14,FALSE)</f>
        <v>0</v>
      </c>
      <c r="M47" s="45">
        <f>VLOOKUP($B47,'[4]Delta Monthly'!$A$1:$AW$55,16,FALSE)</f>
        <v>0</v>
      </c>
      <c r="N47" s="45">
        <f>VLOOKUP($B47,'[4]Delta Monthly'!$A$1:$AW$55,18,FALSE)</f>
        <v>0</v>
      </c>
      <c r="O47" s="45">
        <f>VLOOKUP($B47,'[4]Delta Monthly'!$A$1:$AW$72,20,FALSE)</f>
        <v>0</v>
      </c>
      <c r="P47" s="45">
        <f>VLOOKUP($B47,'[4]Delta Monthly'!$A$1:$AW$72,22,FALSE)</f>
        <v>17587.676631471215</v>
      </c>
      <c r="Q47" s="45">
        <f>VLOOKUP($B47,'[4]Delta Monthly'!$A$1:$AW$72,24,FALSE)</f>
        <v>-87741.511400199932</v>
      </c>
      <c r="R47" s="126">
        <f>SUM(G47:Q47)</f>
        <v>-70153.834768728717</v>
      </c>
      <c r="S47" s="100">
        <f>VLOOKUP($B47,'[4]Delta Monthly'!$A$1:$AW$72,26,FALSE)+VLOOKUP($B47,'[4]Delta Monthly'!$A$1:$AW$72,28,FALSE)</f>
        <v>-935651.3582098491</v>
      </c>
      <c r="T47" s="45">
        <f>VLOOKUP($B47,'[4]Delta Monthly'!$A$1:$AW$72,30,FALSE)+VLOOKUP($B47,'[4]Delta Monthly'!$A$1:$AW$72,32,FALSE)</f>
        <v>-67916.319119417196</v>
      </c>
      <c r="U47" s="45">
        <f>VLOOKUP($B47,'[4]Delta Monthly'!$A$1:$AW$72,34,FALSE)</f>
        <v>0</v>
      </c>
      <c r="V47" s="45">
        <f>VLOOKUP($B47,'[4]Delta Monthly'!$A$1:$AW$72,36,FALSE)</f>
        <v>0</v>
      </c>
      <c r="W47" s="45">
        <f>VLOOKUP($B47,'[4]Delta Monthly'!$A$1:$AW$72,38,FALSE)+VLOOKUP($B47,'[4]Delta Monthly'!$A$1:$AW$72,40,FALSE)</f>
        <v>20294.09319641595</v>
      </c>
      <c r="X47" s="45">
        <f>VLOOKUP($B47,'[4]Delta Monthly'!$A$1:$AW$72,42,FALSE)</f>
        <v>0</v>
      </c>
      <c r="Y47" s="45">
        <f>VLOOKUP($B47,'[4]Delta Monthly'!$A$1:$AW$72,44,FALSE)+VLOOKUP($B47,'[4]Delta Monthly'!$A$1:$AW$72,46,FALSE)+VLOOKUP($B47,'[4]Delta Monthly'!$A$1:$AW$72,48,FALSE)</f>
        <v>0</v>
      </c>
      <c r="Z47" s="67">
        <f>SUM(S47:Y47)</f>
        <v>-983273.5841328504</v>
      </c>
      <c r="AA47" s="66">
        <f>VLOOKUP($B47,'[3]Delta Yearly'!$A$1:$AD$72,4,FALSE)</f>
        <v>0</v>
      </c>
      <c r="AB47" s="67">
        <f>VLOOKUP($B47,'[3]Delta Yearly'!$A$1:$AC$72,6,FALSE)+VLOOKUP($B47,'[3]Delta Yearly'!$A$1:$AC$72,8,FALSE)+VLOOKUP($B47,'[3]Delta Yearly'!$A$1:$AC$72,10,FALSE)+VLOOKUP($B47,'[3]Delta Yearly'!$A$1:$AC$72,12,FALSE)+VLOOKUP($B47,'[3]Delta Yearly'!$A$1:$AC$72,14,FALSE)+VLOOKUP($B47,'[3]Delta Yearly'!$A$1:$AC$72,16,FALSE)+VLOOKUP($B47,'[3]Delta Yearly'!$A$1:$AC$72,18,FALSE)+VLOOKUP($B47,'[3]Delta Yearly'!$A$1:$AC$72,20,FALSE)+VLOOKUP($B47,'[3]Delta Yearly'!$A$1:$AC$72,22,FALSE)+VLOOKUP($B47,'[3]Delta Yearly'!$A$1:$AC$72,24,FALSE)+VLOOKUP($B47,'[3]Delta Yearly'!$A$1:$AC$72,26,FALSE)+VLOOKUP($B47,'[3]Delta Yearly'!$A$1:$AC$72,28,FALSE)</f>
        <v>0</v>
      </c>
      <c r="AC47" s="66">
        <f>SUM(AB47,AA47,Z47,R47)</f>
        <v>-1053427.4189015792</v>
      </c>
      <c r="AD47" s="38"/>
    </row>
    <row r="48" spans="1:30" s="39" customFormat="1" ht="9" customHeight="1" x14ac:dyDescent="0.3">
      <c r="A48" s="125"/>
      <c r="B48" s="64"/>
      <c r="C48" s="64"/>
      <c r="D48" s="67"/>
      <c r="E48" s="157"/>
      <c r="F48" s="101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126"/>
      <c r="S48" s="126"/>
      <c r="T48" s="44"/>
      <c r="U48" s="44"/>
      <c r="V48" s="44"/>
      <c r="W48" s="44"/>
      <c r="X48" s="44"/>
      <c r="Y48" s="44"/>
      <c r="Z48" s="67"/>
      <c r="AA48" s="66"/>
      <c r="AB48" s="67"/>
      <c r="AC48" s="66"/>
      <c r="AD48" s="38"/>
    </row>
    <row r="49" spans="1:30" s="39" customFormat="1" ht="21" customHeight="1" x14ac:dyDescent="0.3">
      <c r="A49" s="98" t="s">
        <v>95</v>
      </c>
      <c r="B49" s="64" t="s">
        <v>96</v>
      </c>
      <c r="C49" s="64" t="s">
        <v>97</v>
      </c>
      <c r="D49" s="67" t="s">
        <v>98</v>
      </c>
      <c r="E49" s="94">
        <f>(VLOOKUP(C49,[6]Sheet1!$B$1:$G$65,2,0))*-1</f>
        <v>57686.570024563</v>
      </c>
      <c r="F49" s="93">
        <f>(VLOOKUP(C49,[6]Sheet1!$B$1:$G$65,4,0))</f>
        <v>-1168.4478932605998</v>
      </c>
      <c r="G49" s="45"/>
      <c r="H49" s="45"/>
      <c r="I49" s="45"/>
      <c r="J49" s="45"/>
      <c r="K49" s="45"/>
      <c r="L49" s="45"/>
      <c r="M49" s="45">
        <f>VLOOKUP($B49,'[4]Delta Monthly'!$A$1:$AW$55,16,FALSE)</f>
        <v>0</v>
      </c>
      <c r="N49" s="45">
        <f>VLOOKUP($B49,'[4]Delta Monthly'!$A$1:$AW$55,18,FALSE)</f>
        <v>0</v>
      </c>
      <c r="O49" s="45">
        <f>VLOOKUP($B49,'[4]Delta Monthly'!$A$1:$AW$72,20,FALSE)</f>
        <v>0</v>
      </c>
      <c r="P49" s="45">
        <f>VLOOKUP($B49,'[4]Delta Monthly'!$A$1:$AW$72,22,FALSE)</f>
        <v>-10410.479837943802</v>
      </c>
      <c r="Q49" s="45">
        <f>VLOOKUP($B49,'[4]Delta Monthly'!$A$1:$AW$72,24,FALSE)</f>
        <v>-15953.002072763762</v>
      </c>
      <c r="R49" s="126">
        <f>SUM(G49:Q49)</f>
        <v>-26363.481910707564</v>
      </c>
      <c r="S49" s="100">
        <f>VLOOKUP($B49,'[4]Delta Monthly'!$A$1:$AW$72,26,FALSE)+VLOOKUP($B49,'[4]Delta Monthly'!$A$1:$AW$72,28,FALSE)</f>
        <v>0</v>
      </c>
      <c r="T49" s="45">
        <f>VLOOKUP($B49,'[4]Delta Monthly'!$A$1:$AW$72,30,FALSE)+VLOOKUP($B49,'[4]Delta Monthly'!$A$1:$AW$72,32,FALSE)</f>
        <v>0</v>
      </c>
      <c r="U49" s="45">
        <f>VLOOKUP($B49,'[4]Delta Monthly'!$A$1:$AW$72,34,FALSE)</f>
        <v>0</v>
      </c>
      <c r="V49" s="45">
        <f>VLOOKUP($B49,'[4]Delta Monthly'!$A$1:$AW$72,36,FALSE)</f>
        <v>0</v>
      </c>
      <c r="W49" s="45">
        <f>VLOOKUP($B49,'[4]Delta Monthly'!$A$1:$AW$72,38,FALSE)+VLOOKUP($B49,'[4]Delta Monthly'!$A$1:$AW$72,40,FALSE)</f>
        <v>0</v>
      </c>
      <c r="X49" s="45">
        <f>VLOOKUP($B49,'[4]Delta Monthly'!$A$1:$AW$72,42,FALSE)</f>
        <v>0</v>
      </c>
      <c r="Y49" s="45">
        <f>VLOOKUP($B49,'[4]Delta Monthly'!$A$1:$AW$72,44,FALSE)+VLOOKUP($B49,'[4]Delta Monthly'!$A$1:$AW$72,46,FALSE)+VLOOKUP($B49,'[4]Delta Monthly'!$A$1:$AW$72,48,FALSE)</f>
        <v>0</v>
      </c>
      <c r="Z49" s="67">
        <f>SUM(S49:Y49)</f>
        <v>0</v>
      </c>
      <c r="AA49" s="66">
        <f>VLOOKUP($B49,'[3]Delta Yearly'!$A$1:$AD$72,4,FALSE)</f>
        <v>0</v>
      </c>
      <c r="AB49" s="67">
        <f>VLOOKUP($B49,'[3]Delta Yearly'!$A$1:$AC$72,6,FALSE)+VLOOKUP($B49,'[3]Delta Yearly'!$A$1:$AC$72,8,FALSE)+VLOOKUP($B49,'[3]Delta Yearly'!$A$1:$AC$72,10,FALSE)+VLOOKUP($B49,'[3]Delta Yearly'!$A$1:$AC$72,12,FALSE)+VLOOKUP($B49,'[3]Delta Yearly'!$A$1:$AC$72,14,FALSE)+VLOOKUP($B49,'[3]Delta Yearly'!$A$1:$AC$72,16,FALSE)+VLOOKUP($B49,'[3]Delta Yearly'!$A$1:$AC$72,18,FALSE)+VLOOKUP($B49,'[3]Delta Yearly'!$A$1:$AC$72,20,FALSE)+VLOOKUP($B49,'[3]Delta Yearly'!$A$1:$AC$72,22,FALSE)+VLOOKUP($B49,'[3]Delta Yearly'!$A$1:$AC$72,24,FALSE)+VLOOKUP($B49,'[3]Delta Yearly'!$A$1:$AC$72,26,FALSE)+VLOOKUP($B49,'[3]Delta Yearly'!$A$1:$AC$72,28,FALSE)</f>
        <v>0</v>
      </c>
      <c r="AC49" s="66">
        <f>SUM(AB49,AA49,Z49,R49)</f>
        <v>-26363.481910707564</v>
      </c>
      <c r="AD49" s="38"/>
    </row>
    <row r="50" spans="1:30" s="39" customFormat="1" ht="9" customHeight="1" x14ac:dyDescent="0.3">
      <c r="A50" s="125"/>
      <c r="B50" s="64"/>
      <c r="C50" s="64"/>
      <c r="D50" s="67"/>
      <c r="E50" s="157"/>
      <c r="F50" s="101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126"/>
      <c r="S50" s="126"/>
      <c r="T50" s="44"/>
      <c r="U50" s="44"/>
      <c r="V50" s="44"/>
      <c r="W50" s="44"/>
      <c r="X50" s="44"/>
      <c r="Y50" s="44"/>
      <c r="Z50" s="67"/>
      <c r="AA50" s="66"/>
      <c r="AB50" s="67"/>
      <c r="AC50" s="66"/>
      <c r="AD50" s="38"/>
    </row>
    <row r="51" spans="1:30" s="39" customFormat="1" x14ac:dyDescent="0.3">
      <c r="A51" s="98" t="s">
        <v>99</v>
      </c>
      <c r="B51" s="64" t="s">
        <v>100</v>
      </c>
      <c r="C51" s="2" t="s">
        <v>101</v>
      </c>
      <c r="D51" s="67" t="s">
        <v>102</v>
      </c>
      <c r="E51" s="94">
        <f>(VLOOKUP(C51,[6]Sheet1!$B$1:$G$65,2,0))*-1</f>
        <v>1297970.27766544</v>
      </c>
      <c r="F51" s="93">
        <f>(VLOOKUP(C51,[6]Sheet1!$B$1:$G$65,4,0))</f>
        <v>-504185.22839392</v>
      </c>
      <c r="G51" s="45">
        <f>VLOOKUP($B51,'[4]Delta Monthly'!$A$1:$AW$55,4,1)</f>
        <v>0</v>
      </c>
      <c r="H51" s="45">
        <f>VLOOKUP($B51,'[4]Delta Monthly'!$A$1:$AW$55,6,FALSE)</f>
        <v>0</v>
      </c>
      <c r="I51" s="45">
        <f>VLOOKUP($B51,'[4]Delta Monthly'!$A$1:$AW$55,8,FALSE)</f>
        <v>0</v>
      </c>
      <c r="J51" s="45">
        <f>VLOOKUP($B51,'[4]Delta Monthly'!$A$1:$AW$55,10,FALSE)</f>
        <v>0</v>
      </c>
      <c r="K51" s="45">
        <f>VLOOKUP($B51,'[4]Delta Monthly'!$A$1:$AW$55,12,FALSE)</f>
        <v>0</v>
      </c>
      <c r="L51" s="45">
        <f>VLOOKUP($B51,'[4]Delta Monthly'!$A$1:$AW$55,14,FALSE)</f>
        <v>0</v>
      </c>
      <c r="M51" s="45">
        <f>VLOOKUP($B51,'[4]Delta Monthly'!$A$1:$AW$55,16,FALSE)</f>
        <v>0</v>
      </c>
      <c r="N51" s="45">
        <f>VLOOKUP($B51,'[4]Delta Monthly'!$A$1:$AW$55,18,FALSE)</f>
        <v>0</v>
      </c>
      <c r="O51" s="45">
        <f>VLOOKUP($B51,'[4]Delta Monthly'!$A$1:$AW$72,20,FALSE)</f>
        <v>0</v>
      </c>
      <c r="P51" s="45">
        <f>VLOOKUP($B51,'[4]Delta Monthly'!$A$1:$AW$72,22,FALSE)</f>
        <v>-19057.815226260045</v>
      </c>
      <c r="Q51" s="45">
        <f>VLOOKUP($B51,'[4]Delta Monthly'!$A$1:$AW$72,24,FALSE)</f>
        <v>-78013.123380011108</v>
      </c>
      <c r="R51" s="126">
        <f>SUM(G51:Q51)</f>
        <v>-97070.938606271156</v>
      </c>
      <c r="S51" s="100">
        <f>VLOOKUP($B51,'[4]Delta Monthly'!$A$1:$AW$72,26,FALSE)+VLOOKUP($B51,'[4]Delta Monthly'!$A$1:$AW$72,28,FALSE)</f>
        <v>-235251.1321452233</v>
      </c>
      <c r="T51" s="45">
        <f>VLOOKUP($B51,'[4]Delta Monthly'!$A$1:$AW$72,30,FALSE)+VLOOKUP($B51,'[4]Delta Monthly'!$A$1:$AW$72,32,FALSE)</f>
        <v>183356.26283433882</v>
      </c>
      <c r="U51" s="45">
        <f>VLOOKUP($B51,'[4]Delta Monthly'!$A$1:$AW$72,34,FALSE)</f>
        <v>57847.576461149692</v>
      </c>
      <c r="V51" s="45">
        <f>VLOOKUP($B51,'[4]Delta Monthly'!$A$1:$AW$72,36,FALSE)</f>
        <v>-332725.55563429295</v>
      </c>
      <c r="W51" s="45">
        <f>VLOOKUP($B51,'[4]Delta Monthly'!$A$1:$AW$72,38,FALSE)+VLOOKUP($B51,'[4]Delta Monthly'!$A$1:$AW$72,40,FALSE)</f>
        <v>-225329.87690592936</v>
      </c>
      <c r="X51" s="45">
        <f>VLOOKUP($B51,'[4]Delta Monthly'!$A$1:$AW$72,42,FALSE)</f>
        <v>-9479.3347516669292</v>
      </c>
      <c r="Y51" s="45">
        <f>VLOOKUP($B51,'[4]Delta Monthly'!$A$1:$AW$72,44,FALSE)+VLOOKUP($B51,'[4]Delta Monthly'!$A$1:$AW$72,46,FALSE)+VLOOKUP($B51,'[4]Delta Monthly'!$A$1:$AW$72,48,FALSE)</f>
        <v>144028.90027967194</v>
      </c>
      <c r="Z51" s="67">
        <f>SUM(S51:Y51)</f>
        <v>-417553.15986195201</v>
      </c>
      <c r="AA51" s="66">
        <f>VLOOKUP($B51,'[3]Delta Yearly'!$A$1:$AD$72,4,FALSE)</f>
        <v>-89489.401324156832</v>
      </c>
      <c r="AB51" s="67">
        <f>VLOOKUP($B51,'[3]Delta Yearly'!$A$1:$AC$72,6,FALSE)+VLOOKUP($B51,'[3]Delta Yearly'!$A$1:$AC$72,8,FALSE)+VLOOKUP($B51,'[3]Delta Yearly'!$A$1:$AC$72,10,FALSE)+VLOOKUP($B51,'[3]Delta Yearly'!$A$1:$AC$72,12,FALSE)+VLOOKUP($B51,'[3]Delta Yearly'!$A$1:$AC$72,14,FALSE)+VLOOKUP($B51,'[3]Delta Yearly'!$A$1:$AC$72,16,FALSE)+VLOOKUP($B51,'[3]Delta Yearly'!$A$1:$AC$72,18,FALSE)+VLOOKUP($B51,'[3]Delta Yearly'!$A$1:$AC$72,20,FALSE)+VLOOKUP($B51,'[3]Delta Yearly'!$A$1:$AC$72,22,FALSE)+VLOOKUP($B51,'[3]Delta Yearly'!$A$1:$AC$72,24,FALSE)+VLOOKUP($B51,'[3]Delta Yearly'!$A$1:$AC$72,26,FALSE)+VLOOKUP($B51,'[3]Delta Yearly'!$A$1:$AC$72,28,FALSE)</f>
        <v>129192.80556925303</v>
      </c>
      <c r="AC51" s="66">
        <f>SUM(AB51,AA51,Z51,R51)</f>
        <v>-474920.69422312698</v>
      </c>
      <c r="AD51" s="38"/>
    </row>
    <row r="52" spans="1:30" s="39" customFormat="1" ht="9" customHeight="1" x14ac:dyDescent="0.3">
      <c r="A52" s="98"/>
      <c r="B52" s="82"/>
      <c r="C52" s="82"/>
      <c r="D52" s="67"/>
      <c r="E52" s="157"/>
      <c r="F52" s="101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126"/>
      <c r="S52" s="126"/>
      <c r="T52" s="44"/>
      <c r="U52" s="44"/>
      <c r="V52" s="44"/>
      <c r="W52" s="44"/>
      <c r="X52" s="44"/>
      <c r="Y52" s="44"/>
      <c r="Z52" s="67"/>
      <c r="AA52" s="66"/>
      <c r="AB52" s="67"/>
      <c r="AC52" s="66"/>
      <c r="AD52" s="38"/>
    </row>
    <row r="53" spans="1:30" s="39" customFormat="1" x14ac:dyDescent="0.3">
      <c r="A53" s="98" t="s">
        <v>103</v>
      </c>
      <c r="B53" s="64" t="s">
        <v>104</v>
      </c>
      <c r="C53" s="2" t="s">
        <v>105</v>
      </c>
      <c r="D53" s="67" t="s">
        <v>106</v>
      </c>
      <c r="E53" s="94">
        <f>(VLOOKUP(C53,[6]Sheet1!$B$1:$G$65,2,0))*-1</f>
        <v>78533.409789870711</v>
      </c>
      <c r="F53" s="93">
        <f>(VLOOKUP(C53,[6]Sheet1!$B$1:$G$65,4,0))</f>
        <v>-5018.6281809595821</v>
      </c>
      <c r="G53" s="45">
        <f>VLOOKUP($B53,'[4]Delta Monthly'!$A$1:$AW$55,4,1)</f>
        <v>0</v>
      </c>
      <c r="H53" s="45">
        <f>VLOOKUP($B53,'[4]Delta Monthly'!$A$1:$AW$55,6,FALSE)</f>
        <v>0</v>
      </c>
      <c r="I53" s="45">
        <f>VLOOKUP($B53,'[4]Delta Monthly'!$A$1:$AW$55,8,FALSE)</f>
        <v>0</v>
      </c>
      <c r="J53" s="45">
        <f>VLOOKUP($B53,'[4]Delta Monthly'!$A$1:$AW$55,10,FALSE)</f>
        <v>0</v>
      </c>
      <c r="K53" s="45">
        <f>VLOOKUP($B53,'[4]Delta Monthly'!$A$1:$AW$55,12,FALSE)</f>
        <v>0</v>
      </c>
      <c r="L53" s="45">
        <f>VLOOKUP($B53,'[4]Delta Monthly'!$A$1:$AW$55,14,FALSE)</f>
        <v>0</v>
      </c>
      <c r="M53" s="45">
        <f>VLOOKUP($B53,'[4]Delta Monthly'!$A$1:$AW$55,16,FALSE)</f>
        <v>0</v>
      </c>
      <c r="N53" s="45">
        <f>VLOOKUP($B53,'[4]Delta Monthly'!$A$1:$AW$55,18,FALSE)</f>
        <v>0</v>
      </c>
      <c r="O53" s="45">
        <f>VLOOKUP($B53,'[4]Delta Monthly'!$A$1:$AW$72,20,FALSE)</f>
        <v>0</v>
      </c>
      <c r="P53" s="45">
        <f>VLOOKUP($B53,'[4]Delta Monthly'!$A$1:$AW$72,22,FALSE)</f>
        <v>-37560.628960836781</v>
      </c>
      <c r="Q53" s="45">
        <f>VLOOKUP($B53,'[4]Delta Monthly'!$A$1:$AW$72,24,FALSE)</f>
        <v>0</v>
      </c>
      <c r="R53" s="126">
        <f>SUM(G53:Q53)</f>
        <v>-37560.628960836781</v>
      </c>
      <c r="S53" s="100">
        <f>VLOOKUP($B53,'[4]Delta Monthly'!$A$1:$AW$72,26,FALSE)+VLOOKUP($B53,'[4]Delta Monthly'!$A$1:$AW$72,28,FALSE)</f>
        <v>0</v>
      </c>
      <c r="T53" s="45">
        <f>VLOOKUP($B53,'[4]Delta Monthly'!$A$1:$AW$72,30,FALSE)+VLOOKUP($B53,'[4]Delta Monthly'!$A$1:$AW$72,32,FALSE)</f>
        <v>0</v>
      </c>
      <c r="U53" s="45">
        <f>VLOOKUP($B53,'[4]Delta Monthly'!$A$1:$AW$72,34,FALSE)</f>
        <v>0</v>
      </c>
      <c r="V53" s="45">
        <f>VLOOKUP($B53,'[4]Delta Monthly'!$A$1:$AW$72,36,FALSE)</f>
        <v>0</v>
      </c>
      <c r="W53" s="45">
        <f>VLOOKUP($B53,'[4]Delta Monthly'!$A$1:$AW$72,38,FALSE)+VLOOKUP($B53,'[4]Delta Monthly'!$A$1:$AW$72,40,FALSE)</f>
        <v>0</v>
      </c>
      <c r="X53" s="45">
        <f>VLOOKUP($B53,'[4]Delta Monthly'!$A$1:$AW$72,42,FALSE)</f>
        <v>0</v>
      </c>
      <c r="Y53" s="45">
        <f>VLOOKUP($B53,'[4]Delta Monthly'!$A$1:$AW$72,44,FALSE)+VLOOKUP($B53,'[4]Delta Monthly'!$A$1:$AW$72,46,FALSE)+VLOOKUP($B53,'[4]Delta Monthly'!$A$1:$AW$72,48,FALSE)</f>
        <v>0</v>
      </c>
      <c r="Z53" s="67">
        <f>SUM(S53:Y53)</f>
        <v>0</v>
      </c>
      <c r="AA53" s="66">
        <f>VLOOKUP($B53,'[3]Delta Yearly'!$A$1:$AD$72,4,FALSE)</f>
        <v>0</v>
      </c>
      <c r="AB53" s="67">
        <f>VLOOKUP($B53,'[3]Delta Yearly'!$A$1:$AC$72,6,FALSE)+VLOOKUP($B53,'[3]Delta Yearly'!$A$1:$AC$72,8,FALSE)+VLOOKUP($B53,'[3]Delta Yearly'!$A$1:$AC$72,10,FALSE)+VLOOKUP($B53,'[3]Delta Yearly'!$A$1:$AC$72,12,FALSE)+VLOOKUP($B53,'[3]Delta Yearly'!$A$1:$AC$72,14,FALSE)+VLOOKUP($B53,'[3]Delta Yearly'!$A$1:$AC$72,16,FALSE)+VLOOKUP($B53,'[3]Delta Yearly'!$A$1:$AC$72,18,FALSE)+VLOOKUP($B53,'[3]Delta Yearly'!$A$1:$AC$72,20,FALSE)+VLOOKUP($B53,'[3]Delta Yearly'!$A$1:$AC$72,22,FALSE)+VLOOKUP($B53,'[3]Delta Yearly'!$A$1:$AC$72,24,FALSE)+VLOOKUP($B53,'[3]Delta Yearly'!$A$1:$AC$72,26,FALSE)+VLOOKUP($B53,'[3]Delta Yearly'!$A$1:$AC$72,28,FALSE)</f>
        <v>0</v>
      </c>
      <c r="AC53" s="66">
        <f>SUM(AB53,AA53,Z53,R53)</f>
        <v>-37560.628960836781</v>
      </c>
      <c r="AD53" s="38"/>
    </row>
    <row r="54" spans="1:30" s="39" customFormat="1" ht="9" customHeight="1" x14ac:dyDescent="0.3">
      <c r="A54" s="125"/>
      <c r="B54" s="64"/>
      <c r="C54" s="64"/>
      <c r="D54" s="67"/>
      <c r="E54" s="157"/>
      <c r="F54" s="101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126"/>
      <c r="S54" s="126"/>
      <c r="T54" s="44"/>
      <c r="U54" s="44"/>
      <c r="V54" s="44"/>
      <c r="W54" s="44"/>
      <c r="X54" s="44"/>
      <c r="Y54" s="44"/>
      <c r="Z54" s="67"/>
      <c r="AA54" s="66"/>
      <c r="AB54" s="67"/>
      <c r="AC54" s="66"/>
      <c r="AD54" s="38"/>
    </row>
    <row r="55" spans="1:30" s="39" customFormat="1" x14ac:dyDescent="0.3">
      <c r="A55" s="98" t="s">
        <v>107</v>
      </c>
      <c r="B55" s="64" t="s">
        <v>108</v>
      </c>
      <c r="C55" s="2" t="s">
        <v>109</v>
      </c>
      <c r="D55" s="67" t="s">
        <v>110</v>
      </c>
      <c r="E55" s="94">
        <f>(VLOOKUP(C55,[6]Sheet1!$B$1:$G$65,2,0))*-1</f>
        <v>4230.3696412713498</v>
      </c>
      <c r="F55" s="93">
        <f>(VLOOKUP(C55,[6]Sheet1!$B$1:$G$65,4,0))</f>
        <v>-1632.9243159549405</v>
      </c>
      <c r="G55" s="45">
        <f>VLOOKUP($B55,'[4]Delta Monthly'!$A$1:$AW$55,4,1)</f>
        <v>0</v>
      </c>
      <c r="H55" s="45">
        <f>VLOOKUP($B55,'[4]Delta Monthly'!$A$1:$AW$55,6,FALSE)</f>
        <v>0</v>
      </c>
      <c r="I55" s="45">
        <f>VLOOKUP($B55,'[4]Delta Monthly'!$A$1:$AW$55,8,FALSE)</f>
        <v>0</v>
      </c>
      <c r="J55" s="45">
        <f>VLOOKUP($B55,'[4]Delta Monthly'!$A$1:$AW$55,10,FALSE)</f>
        <v>0</v>
      </c>
      <c r="K55" s="45">
        <f>VLOOKUP($B55,'[4]Delta Monthly'!$A$1:$AW$55,12,FALSE)</f>
        <v>0</v>
      </c>
      <c r="L55" s="45">
        <f>VLOOKUP($B55,'[4]Delta Monthly'!$A$1:$AW$55,14,FALSE)</f>
        <v>0</v>
      </c>
      <c r="M55" s="45">
        <f>VLOOKUP($B55,'[4]Delta Monthly'!$A$1:$AW$55,16,FALSE)</f>
        <v>0</v>
      </c>
      <c r="N55" s="45">
        <f>VLOOKUP($B55,'[4]Delta Monthly'!$A$1:$AW$55,18,FALSE)</f>
        <v>0</v>
      </c>
      <c r="O55" s="45">
        <f>VLOOKUP($B55,'[4]Delta Monthly'!$A$1:$AW$72,20,FALSE)</f>
        <v>0</v>
      </c>
      <c r="P55" s="45">
        <f>VLOOKUP($B55,'[4]Delta Monthly'!$A$1:$AW$72,22,FALSE)</f>
        <v>0</v>
      </c>
      <c r="Q55" s="45">
        <f>VLOOKUP($B55,'[4]Delta Monthly'!$A$1:$AW$72,24,FALSE)</f>
        <v>0</v>
      </c>
      <c r="R55" s="126">
        <f>SUM(G55:Q55)</f>
        <v>0</v>
      </c>
      <c r="S55" s="100">
        <f>VLOOKUP($B55,'[4]Delta Monthly'!$A$1:$AW$72,26,FALSE)+VLOOKUP($B55,'[4]Delta Monthly'!$A$1:$AW$72,28,FALSE)</f>
        <v>0</v>
      </c>
      <c r="T55" s="45">
        <f>VLOOKUP($B55,'[4]Delta Monthly'!$A$1:$AW$72,30,FALSE)+VLOOKUP($B55,'[4]Delta Monthly'!$A$1:$AW$72,32,FALSE)</f>
        <v>0</v>
      </c>
      <c r="U55" s="45">
        <f>VLOOKUP($B55,'[4]Delta Monthly'!$A$1:$AW$72,34,FALSE)</f>
        <v>0</v>
      </c>
      <c r="V55" s="45">
        <f>VLOOKUP($B55,'[4]Delta Monthly'!$A$1:$AW$72,36,FALSE)</f>
        <v>0</v>
      </c>
      <c r="W55" s="45">
        <f>VLOOKUP($B55,'[4]Delta Monthly'!$A$1:$AW$72,38,FALSE)+VLOOKUP($B55,'[4]Delta Monthly'!$A$1:$AW$72,40,FALSE)</f>
        <v>0</v>
      </c>
      <c r="X55" s="45">
        <f>VLOOKUP($B55,'[4]Delta Monthly'!$A$1:$AW$72,42,FALSE)</f>
        <v>0</v>
      </c>
      <c r="Y55" s="45">
        <f>VLOOKUP($B55,'[4]Delta Monthly'!$A$1:$AW$72,44,FALSE)+VLOOKUP($B55,'[4]Delta Monthly'!$A$1:$AW$72,46,FALSE)+VLOOKUP($B55,'[4]Delta Monthly'!$A$1:$AW$72,48,FALSE)</f>
        <v>0</v>
      </c>
      <c r="Z55" s="67">
        <f>SUM(S55:Y55)</f>
        <v>0</v>
      </c>
      <c r="AA55" s="66">
        <f>VLOOKUP($B55,'[3]Delta Yearly'!$A$1:$AD$72,4,FALSE)</f>
        <v>0</v>
      </c>
      <c r="AB55" s="67">
        <f>VLOOKUP($B55,'[3]Delta Yearly'!$A$1:$AC$72,6,FALSE)+VLOOKUP($B55,'[3]Delta Yearly'!$A$1:$AC$72,8,FALSE)+VLOOKUP($B55,'[3]Delta Yearly'!$A$1:$AC$72,10,FALSE)+VLOOKUP($B55,'[3]Delta Yearly'!$A$1:$AC$72,12,FALSE)+VLOOKUP($B55,'[3]Delta Yearly'!$A$1:$AC$72,14,FALSE)+VLOOKUP($B55,'[3]Delta Yearly'!$A$1:$AC$72,16,FALSE)+VLOOKUP($B55,'[3]Delta Yearly'!$A$1:$AC$72,18,FALSE)+VLOOKUP($B55,'[3]Delta Yearly'!$A$1:$AC$72,20,FALSE)+VLOOKUP($B55,'[3]Delta Yearly'!$A$1:$AC$72,22,FALSE)+VLOOKUP($B55,'[3]Delta Yearly'!$A$1:$AC$72,24,FALSE)+VLOOKUP($B55,'[3]Delta Yearly'!$A$1:$AC$72,26,FALSE)+VLOOKUP($B55,'[3]Delta Yearly'!$A$1:$AC$72,28,FALSE)</f>
        <v>0</v>
      </c>
      <c r="AC55" s="66">
        <f>SUM(AB55,AA55,Z55,R55)</f>
        <v>0</v>
      </c>
      <c r="AD55" s="38"/>
    </row>
    <row r="56" spans="1:30" s="39" customFormat="1" ht="9" customHeight="1" x14ac:dyDescent="0.3">
      <c r="A56" s="98"/>
      <c r="B56" s="64"/>
      <c r="C56" s="2"/>
      <c r="D56" s="67"/>
      <c r="E56" s="94"/>
      <c r="F56" s="93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126"/>
      <c r="S56" s="100"/>
      <c r="T56" s="45"/>
      <c r="U56" s="45"/>
      <c r="V56" s="45"/>
      <c r="W56" s="45"/>
      <c r="X56" s="45"/>
      <c r="Y56" s="45"/>
      <c r="Z56" s="67"/>
      <c r="AA56" s="66"/>
      <c r="AB56" s="67"/>
      <c r="AC56" s="66"/>
      <c r="AD56" s="38"/>
    </row>
    <row r="57" spans="1:30" s="39" customFormat="1" x14ac:dyDescent="0.3">
      <c r="A57" s="98" t="s">
        <v>111</v>
      </c>
      <c r="B57" s="64" t="s">
        <v>112</v>
      </c>
      <c r="C57" s="2" t="s">
        <v>113</v>
      </c>
      <c r="D57" s="67" t="s">
        <v>114</v>
      </c>
      <c r="E57" s="94">
        <f>(VLOOKUP(C57,[6]Sheet1!$B$1:$G$65,2,0))*-1</f>
        <v>0</v>
      </c>
      <c r="F57" s="93">
        <f>(VLOOKUP(C57,[6]Sheet1!$B$1:$G$65,4,0))</f>
        <v>0</v>
      </c>
      <c r="G57" s="45">
        <f>VLOOKUP($B57,'[4]Delta Monthly'!$A$1:$AW$55,4,1)</f>
        <v>0</v>
      </c>
      <c r="H57" s="45">
        <f>VLOOKUP($B57,'[4]Delta Monthly'!$A$1:$AW$55,6,FALSE)</f>
        <v>0</v>
      </c>
      <c r="I57" s="45">
        <f>VLOOKUP($B57,'[4]Delta Monthly'!$A$1:$AW$55,8,FALSE)</f>
        <v>0</v>
      </c>
      <c r="J57" s="45">
        <f>VLOOKUP($B57,'[4]Delta Monthly'!$A$1:$AW$55,10,FALSE)</f>
        <v>0</v>
      </c>
      <c r="K57" s="45">
        <f>VLOOKUP($B57,'[4]Delta Monthly'!$A$1:$AW$55,12,FALSE)</f>
        <v>0</v>
      </c>
      <c r="L57" s="45">
        <f>VLOOKUP($B57,'[4]Delta Monthly'!$A$1:$AW$55,14,FALSE)</f>
        <v>0</v>
      </c>
      <c r="M57" s="45">
        <f>VLOOKUP($B57,'[4]Delta Monthly'!$A$1:$AW$55,16,FALSE)</f>
        <v>0</v>
      </c>
      <c r="N57" s="45">
        <f>VLOOKUP($B57,'[4]Delta Monthly'!$A$1:$AW$55,18,FALSE)</f>
        <v>0</v>
      </c>
      <c r="O57" s="45">
        <f>VLOOKUP($B57,'[4]Delta Monthly'!$A$1:$AW$72,20,FALSE)</f>
        <v>0</v>
      </c>
      <c r="P57" s="45">
        <f>VLOOKUP($B57,'[4]Delta Monthly'!$A$1:$AW$72,22,FALSE)</f>
        <v>0</v>
      </c>
      <c r="Q57" s="45">
        <f>VLOOKUP($B57,'[4]Delta Monthly'!$A$1:$AW$72,24,FALSE)</f>
        <v>0</v>
      </c>
      <c r="R57" s="126">
        <f>SUM(G57:Q57)</f>
        <v>0</v>
      </c>
      <c r="S57" s="100">
        <f>VLOOKUP($B57,'[4]Delta Monthly'!$A$1:$AW$72,26,FALSE)+VLOOKUP($B57,'[4]Delta Monthly'!$A$1:$AW$72,28,FALSE)</f>
        <v>0</v>
      </c>
      <c r="T57" s="45">
        <f>VLOOKUP($B57,'[4]Delta Monthly'!$A$1:$AW$72,30,FALSE)+VLOOKUP($B57,'[4]Delta Monthly'!$A$1:$AW$72,32,FALSE)</f>
        <v>0</v>
      </c>
      <c r="U57" s="45">
        <f>VLOOKUP($B57,'[4]Delta Monthly'!$A$1:$AW$72,34,FALSE)</f>
        <v>0</v>
      </c>
      <c r="V57" s="45">
        <f>VLOOKUP($B57,'[4]Delta Monthly'!$A$1:$AW$72,36,FALSE)</f>
        <v>0</v>
      </c>
      <c r="W57" s="45">
        <f>VLOOKUP($B57,'[4]Delta Monthly'!$A$1:$AW$72,38,FALSE)+VLOOKUP($B57,'[4]Delta Monthly'!$A$1:$AW$72,40,FALSE)</f>
        <v>0</v>
      </c>
      <c r="X57" s="45">
        <f>VLOOKUP($B57,'[4]Delta Monthly'!$A$1:$AW$72,42,FALSE)</f>
        <v>0</v>
      </c>
      <c r="Y57" s="45">
        <f>VLOOKUP($B57,'[4]Delta Monthly'!$A$1:$AW$72,44,FALSE)+VLOOKUP($B57,'[4]Delta Monthly'!$A$1:$AW$72,46,FALSE)+VLOOKUP($B57,'[4]Delta Monthly'!$A$1:$AW$72,48,FALSE)</f>
        <v>0</v>
      </c>
      <c r="Z57" s="67">
        <f>SUM(S57:Y57)</f>
        <v>0</v>
      </c>
      <c r="AA57" s="66">
        <f>VLOOKUP($B57,'[3]Delta Yearly'!$A$1:$AD$72,4,FALSE)</f>
        <v>0</v>
      </c>
      <c r="AB57" s="67">
        <f>VLOOKUP($B57,'[3]Delta Yearly'!$A$1:$AC$72,6,FALSE)+VLOOKUP($B57,'[3]Delta Yearly'!$A$1:$AC$72,8,FALSE)+VLOOKUP($B57,'[3]Delta Yearly'!$A$1:$AC$72,10,FALSE)+VLOOKUP($B57,'[3]Delta Yearly'!$A$1:$AC$72,12,FALSE)+VLOOKUP($B57,'[3]Delta Yearly'!$A$1:$AC$72,14,FALSE)+VLOOKUP($B57,'[3]Delta Yearly'!$A$1:$AC$72,16,FALSE)+VLOOKUP($B57,'[3]Delta Yearly'!$A$1:$AC$72,18,FALSE)+VLOOKUP($B57,'[3]Delta Yearly'!$A$1:$AC$72,20,FALSE)+VLOOKUP($B57,'[3]Delta Yearly'!$A$1:$AC$72,22,FALSE)+VLOOKUP($B57,'[3]Delta Yearly'!$A$1:$AC$72,24,FALSE)+VLOOKUP($B57,'[3]Delta Yearly'!$A$1:$AC$72,26,FALSE)+VLOOKUP($B57,'[3]Delta Yearly'!$A$1:$AC$72,28,FALSE)</f>
        <v>0</v>
      </c>
      <c r="AC57" s="66">
        <f>SUM(AB57,AA57,Z57,R57)</f>
        <v>0</v>
      </c>
      <c r="AD57" s="38"/>
    </row>
    <row r="58" spans="1:30" s="39" customFormat="1" ht="9" customHeight="1" thickBot="1" x14ac:dyDescent="0.35">
      <c r="A58" s="98"/>
      <c r="B58" s="64"/>
      <c r="C58" s="64"/>
      <c r="D58" s="67"/>
      <c r="E58" s="157"/>
      <c r="F58" s="101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126"/>
      <c r="S58" s="126"/>
      <c r="T58" s="44"/>
      <c r="U58" s="44"/>
      <c r="V58" s="44"/>
      <c r="W58" s="44"/>
      <c r="X58" s="44"/>
      <c r="Y58" s="44"/>
      <c r="Z58" s="110"/>
      <c r="AA58" s="66"/>
      <c r="AB58" s="110"/>
      <c r="AC58" s="66"/>
      <c r="AD58" s="38"/>
    </row>
    <row r="59" spans="1:30" s="39" customFormat="1" ht="18" thickBot="1" x14ac:dyDescent="0.35">
      <c r="A59" s="113" t="s">
        <v>115</v>
      </c>
      <c r="B59" s="131" t="s">
        <v>115</v>
      </c>
      <c r="C59" s="159" t="s">
        <v>116</v>
      </c>
      <c r="D59" s="115"/>
      <c r="E59" s="115">
        <f>(VLOOKUP(C59,[6]Sheet1!$B$1:$G$65,2,0))*-1</f>
        <v>4052299.0789658399</v>
      </c>
      <c r="F59" s="120">
        <f>(VLOOKUP(C59,[6]Sheet1!$B$1:$G$65,4,0))</f>
        <v>-836668.98213697039</v>
      </c>
      <c r="G59" s="118">
        <f t="shared" ref="G59:AC59" si="3">SUM(G43,G45,G47,G49,G51,G53,G55,G57)</f>
        <v>0</v>
      </c>
      <c r="H59" s="118">
        <f t="shared" si="3"/>
        <v>0</v>
      </c>
      <c r="I59" s="118">
        <f t="shared" si="3"/>
        <v>0</v>
      </c>
      <c r="J59" s="118">
        <f t="shared" si="3"/>
        <v>0</v>
      </c>
      <c r="K59" s="118">
        <f t="shared" si="3"/>
        <v>0</v>
      </c>
      <c r="L59" s="118">
        <f t="shared" si="3"/>
        <v>0</v>
      </c>
      <c r="M59" s="118">
        <f t="shared" si="3"/>
        <v>0</v>
      </c>
      <c r="N59" s="118">
        <f t="shared" si="3"/>
        <v>0</v>
      </c>
      <c r="O59" s="118">
        <f t="shared" si="3"/>
        <v>0</v>
      </c>
      <c r="P59" s="118">
        <f t="shared" si="3"/>
        <v>13849.592743275382</v>
      </c>
      <c r="Q59" s="118">
        <f t="shared" si="3"/>
        <v>16799.036760565854</v>
      </c>
      <c r="R59" s="117">
        <f t="shared" si="3"/>
        <v>30648.629503841279</v>
      </c>
      <c r="S59" s="119">
        <f t="shared" si="3"/>
        <v>-559823.6831178352</v>
      </c>
      <c r="T59" s="118">
        <f t="shared" si="3"/>
        <v>772041.41915860295</v>
      </c>
      <c r="U59" s="118">
        <f t="shared" si="3"/>
        <v>181867.2350335377</v>
      </c>
      <c r="V59" s="118">
        <f t="shared" si="3"/>
        <v>-221223.72946692322</v>
      </c>
      <c r="W59" s="118">
        <f t="shared" si="3"/>
        <v>-857226.30706962664</v>
      </c>
      <c r="X59" s="118">
        <f t="shared" si="3"/>
        <v>-59799.861130798578</v>
      </c>
      <c r="Y59" s="116">
        <f t="shared" si="3"/>
        <v>2296204.9845823562</v>
      </c>
      <c r="Z59" s="115">
        <f t="shared" si="3"/>
        <v>1552040.057989313</v>
      </c>
      <c r="AA59" s="115">
        <f t="shared" si="3"/>
        <v>-691965.65696350671</v>
      </c>
      <c r="AB59" s="160">
        <f t="shared" si="3"/>
        <v>846270.60675488517</v>
      </c>
      <c r="AC59" s="115">
        <f t="shared" si="3"/>
        <v>1736993.6372845327</v>
      </c>
      <c r="AD59" s="38"/>
    </row>
    <row r="60" spans="1:30" s="39" customFormat="1" ht="18" thickBot="1" x14ac:dyDescent="0.35">
      <c r="A60" s="134"/>
      <c r="B60" s="134"/>
      <c r="C60" s="134"/>
      <c r="D60" s="135"/>
      <c r="E60" s="135"/>
      <c r="F60" s="135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46"/>
      <c r="R60" s="161"/>
      <c r="S60" s="44"/>
      <c r="T60" s="44"/>
      <c r="U60" s="44"/>
      <c r="V60" s="44"/>
      <c r="W60" s="44"/>
      <c r="X60" s="44"/>
      <c r="Y60" s="44"/>
      <c r="Z60" s="44"/>
      <c r="AA60" s="135"/>
      <c r="AB60" s="44"/>
      <c r="AC60" s="44"/>
      <c r="AD60" s="38"/>
    </row>
    <row r="61" spans="1:30" s="39" customFormat="1" ht="18" thickBot="1" x14ac:dyDescent="0.35">
      <c r="A61" s="121"/>
      <c r="B61" s="122"/>
      <c r="C61" s="122"/>
      <c r="D61" s="89" t="s">
        <v>26</v>
      </c>
      <c r="E61" s="89">
        <v>3000000</v>
      </c>
      <c r="F61" s="87"/>
      <c r="G61" s="56"/>
      <c r="H61" s="56"/>
      <c r="I61" s="56"/>
      <c r="J61" s="56" t="s">
        <v>117</v>
      </c>
      <c r="K61" s="56"/>
      <c r="L61" s="56"/>
      <c r="M61" s="56"/>
      <c r="N61" s="56"/>
      <c r="O61" s="56"/>
      <c r="P61" s="56"/>
      <c r="Q61" s="162"/>
      <c r="R61" s="89"/>
      <c r="S61" s="56"/>
      <c r="T61" s="56"/>
      <c r="U61" s="56"/>
      <c r="V61" s="56"/>
      <c r="W61" s="56"/>
      <c r="X61" s="56"/>
      <c r="Y61" s="56"/>
      <c r="Z61" s="89"/>
      <c r="AA61" s="87"/>
      <c r="AB61" s="89"/>
      <c r="AC61" s="87"/>
      <c r="AD61" s="38"/>
    </row>
    <row r="62" spans="1:30" s="39" customFormat="1" ht="9" customHeight="1" x14ac:dyDescent="0.3">
      <c r="A62" s="98"/>
      <c r="B62" s="82"/>
      <c r="C62" s="82"/>
      <c r="D62" s="67"/>
      <c r="E62" s="157"/>
      <c r="F62" s="101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145"/>
      <c r="S62" s="144"/>
      <c r="T62" s="144"/>
      <c r="U62" s="144"/>
      <c r="V62" s="144"/>
      <c r="W62" s="144"/>
      <c r="X62" s="144"/>
      <c r="Y62" s="144"/>
      <c r="Z62" s="145"/>
      <c r="AA62" s="93"/>
      <c r="AB62" s="67"/>
      <c r="AC62" s="66"/>
      <c r="AD62" s="38"/>
    </row>
    <row r="63" spans="1:30" s="39" customFormat="1" x14ac:dyDescent="0.3">
      <c r="A63" s="98" t="s">
        <v>118</v>
      </c>
      <c r="B63" s="64" t="s">
        <v>119</v>
      </c>
      <c r="C63" s="2" t="s">
        <v>120</v>
      </c>
      <c r="D63" s="67" t="s">
        <v>121</v>
      </c>
      <c r="E63" s="94">
        <f>(VLOOKUP(C63,[6]Sheet1!$B$1:$G$65,2,0))*-1</f>
        <v>993392.69712313311</v>
      </c>
      <c r="F63" s="93">
        <f>(VLOOKUP(C63,[6]Sheet1!$B$1:$G$65,4,0))</f>
        <v>-45681.212409936939</v>
      </c>
      <c r="G63" s="45">
        <v>0</v>
      </c>
      <c r="H63" s="45">
        <f>VLOOKUP($B63,'[4]Delta Monthly'!$A$1:$AW$55,6,FALSE)</f>
        <v>0</v>
      </c>
      <c r="I63" s="45">
        <f>VLOOKUP($B63,'[4]Delta Monthly'!$A$1:$AW$55,8,FALSE)</f>
        <v>0</v>
      </c>
      <c r="J63" s="45">
        <f>VLOOKUP($B63,'[4]Delta Monthly'!$A$1:$AW$55,10,FALSE)</f>
        <v>0</v>
      </c>
      <c r="K63" s="45">
        <f>VLOOKUP($B63,'[4]Delta Monthly'!$A$1:$AW$55,12,FALSE)</f>
        <v>0</v>
      </c>
      <c r="L63" s="45">
        <f>VLOOKUP($B63,'[4]Delta Monthly'!$A$1:$AW$55,14,FALSE)</f>
        <v>0</v>
      </c>
      <c r="M63" s="45">
        <f>VLOOKUP($B63,'[4]Delta Monthly'!$A$1:$AW$55,16,FALSE)</f>
        <v>0</v>
      </c>
      <c r="N63" s="45">
        <f>VLOOKUP($B63,'[4]Delta Monthly'!$A$1:$AW$55,18,FALSE)</f>
        <v>0</v>
      </c>
      <c r="O63" s="45">
        <f>VLOOKUP($B63,'[4]Delta Monthly'!$A$1:$AW$72,20,FALSE)</f>
        <v>0</v>
      </c>
      <c r="P63" s="45">
        <f>VLOOKUP($B63,'[4]Delta Monthly'!$A$1:$AW$72,22,FALSE)</f>
        <v>66279.795703437369</v>
      </c>
      <c r="Q63" s="45">
        <f>VLOOKUP($B63,'[4]Delta Monthly'!$A$1:$AW$72,24,FALSE)</f>
        <v>-215106.92562133027</v>
      </c>
      <c r="R63" s="67">
        <f>SUM(G63:Q63)</f>
        <v>-148827.12991789292</v>
      </c>
      <c r="S63" s="45">
        <f>VLOOKUP($B63,'[4]Delta Monthly'!$A$1:$AW$72,26,FALSE)+VLOOKUP($B63,'[4]Delta Monthly'!$A$1:$AW$72,28,FALSE)</f>
        <v>233732.9286445321</v>
      </c>
      <c r="T63" s="45">
        <f>VLOOKUP($B63,'[4]Delta Monthly'!$A$1:$AW$72,30,FALSE)+VLOOKUP($B63,'[4]Delta Monthly'!$A$1:$AW$72,32,FALSE)</f>
        <v>-204370.90295951359</v>
      </c>
      <c r="U63" s="45">
        <f>VLOOKUP($B63,'[4]Delta Monthly'!$A$1:$AW$72,34,FALSE)</f>
        <v>-191135.9562544465</v>
      </c>
      <c r="V63" s="45">
        <f>VLOOKUP($B63,'[4]Delta Monthly'!$A$1:$AW$72,36,FALSE)</f>
        <v>63053.739125564302</v>
      </c>
      <c r="W63" s="45">
        <f>VLOOKUP($B63,'[4]Delta Monthly'!$A$1:$AW$72,38,FALSE)+VLOOKUP($B63,'[4]Delta Monthly'!$A$1:$AW$72,40,FALSE)</f>
        <v>-763957.18443946051</v>
      </c>
      <c r="X63" s="45">
        <f>VLOOKUP($B63,'[4]Delta Monthly'!$A$1:$AW$72,42,FALSE)</f>
        <v>-250426.0263471248</v>
      </c>
      <c r="Y63" s="45">
        <f>VLOOKUP($B63,'[4]Delta Monthly'!$A$1:$AW$72,44,FALSE)+VLOOKUP($B63,'[4]Delta Monthly'!$A$1:$AW$72,46,FALSE)+VLOOKUP($B63,'[4]Delta Monthly'!$A$1:$AW$72,48,FALSE)</f>
        <v>-49816.393006820697</v>
      </c>
      <c r="Z63" s="67">
        <f>SUM(S63:Y63)</f>
        <v>-1162919.7952372697</v>
      </c>
      <c r="AA63" s="66">
        <f>VLOOKUP($B63,'[3]Delta Yearly'!$A$1:$AD$72,4,FALSE)</f>
        <v>79951.193353432405</v>
      </c>
      <c r="AB63" s="44">
        <f>VLOOKUP($B63,'[3]Delta Yearly'!$A$1:$AC$72,6,FALSE)+VLOOKUP($B63,'[3]Delta Yearly'!$A$1:$AC$72,8,FALSE)+VLOOKUP($B63,'[3]Delta Yearly'!$A$1:$AC$72,10,FALSE)+VLOOKUP($B63,'[3]Delta Yearly'!$A$1:$AC$72,12,FALSE)+VLOOKUP($B63,'[3]Delta Yearly'!$A$1:$AC$72,14,FALSE)+VLOOKUP($B63,'[3]Delta Yearly'!$A$1:$AC$72,16,FALSE)+VLOOKUP($B63,'[3]Delta Yearly'!$A$1:$AC$72,18,FALSE)+VLOOKUP($B63,'[3]Delta Yearly'!$A$1:$AC$72,20,FALSE)+VLOOKUP($B63,'[3]Delta Yearly'!$A$1:$AC$72,22,FALSE)+VLOOKUP($B63,'[3]Delta Yearly'!$A$1:$AC$72,24,FALSE)+VLOOKUP($B63,'[3]Delta Yearly'!$A$1:$AC$72,26,FALSE)+VLOOKUP($B63,'[3]Delta Yearly'!$A$1:$AC$72,28,FALSE)</f>
        <v>1054606.7558218886</v>
      </c>
      <c r="AC63" s="67">
        <f>SUM(AB63,AA63,Z63,R63)</f>
        <v>-177188.97597984161</v>
      </c>
      <c r="AD63" s="38"/>
    </row>
    <row r="64" spans="1:30" s="39" customFormat="1" ht="9" customHeight="1" x14ac:dyDescent="0.3">
      <c r="A64" s="98"/>
      <c r="B64" s="82"/>
      <c r="C64" s="82"/>
      <c r="D64" s="67"/>
      <c r="E64" s="157"/>
      <c r="F64" s="101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94"/>
      <c r="S64" s="84"/>
      <c r="T64" s="84"/>
      <c r="U64" s="84"/>
      <c r="V64" s="84"/>
      <c r="W64" s="84"/>
      <c r="X64" s="84"/>
      <c r="Y64" s="84"/>
      <c r="Z64" s="94"/>
      <c r="AA64" s="93"/>
      <c r="AB64" s="67"/>
      <c r="AC64" s="66"/>
      <c r="AD64" s="38"/>
    </row>
    <row r="65" spans="1:30" s="39" customFormat="1" x14ac:dyDescent="0.3">
      <c r="A65" s="98" t="s">
        <v>122</v>
      </c>
      <c r="B65" s="64" t="s">
        <v>123</v>
      </c>
      <c r="C65" s="2" t="s">
        <v>124</v>
      </c>
      <c r="D65" s="67" t="s">
        <v>125</v>
      </c>
      <c r="E65" s="94">
        <f>(VLOOKUP(C65,[6]Sheet1!$B$1:$G$65,2,0))*-1</f>
        <v>1716885.3298042901</v>
      </c>
      <c r="F65" s="93">
        <f>(VLOOKUP(C65,[6]Sheet1!$B$1:$G$65,4,0))</f>
        <v>130927.65311918012</v>
      </c>
      <c r="G65" s="45">
        <f>VLOOKUP($B65,'[4]Delta Monthly'!$A$1:$AW$55,4,1)</f>
        <v>0</v>
      </c>
      <c r="H65" s="45">
        <f>VLOOKUP($B65,'[4]Delta Monthly'!$A$1:$AW$55,6,FALSE)</f>
        <v>0</v>
      </c>
      <c r="I65" s="45">
        <f>VLOOKUP($B65,'[4]Delta Monthly'!$A$1:$AW$55,8,FALSE)</f>
        <v>0</v>
      </c>
      <c r="J65" s="45">
        <f>VLOOKUP($B65,'[4]Delta Monthly'!$A$1:$AW$55,10,FALSE)</f>
        <v>0</v>
      </c>
      <c r="K65" s="45">
        <f>VLOOKUP($B65,'[4]Delta Monthly'!$A$1:$AW$55,12,FALSE)</f>
        <v>0</v>
      </c>
      <c r="L65" s="45">
        <f>VLOOKUP($B65,'[4]Delta Monthly'!$A$1:$AW$55,14,FALSE)</f>
        <v>0</v>
      </c>
      <c r="M65" s="45">
        <f>VLOOKUP($B65,'[4]Delta Monthly'!$A$1:$AW$55,16,FALSE)</f>
        <v>0</v>
      </c>
      <c r="N65" s="45">
        <f>VLOOKUP($B65,'[4]Delta Monthly'!$A$1:$AW$55,18,FALSE)</f>
        <v>0</v>
      </c>
      <c r="O65" s="45">
        <f>VLOOKUP($B65,'[4]Delta Monthly'!$A$1:$AW$72,20,FALSE)</f>
        <v>0</v>
      </c>
      <c r="P65" s="45">
        <f>VLOOKUP($B65,'[4]Delta Monthly'!$A$1:$AW$72,22,FALSE)</f>
        <v>11179.724576483441</v>
      </c>
      <c r="Q65" s="45">
        <f>VLOOKUP($B65,'[4]Delta Monthly'!$A$1:$AW$72,24,FALSE)</f>
        <v>-31882.95786087029</v>
      </c>
      <c r="R65" s="126">
        <f>SUM(G65:Q65)</f>
        <v>-20703.23328438685</v>
      </c>
      <c r="S65" s="100">
        <f>VLOOKUP($B65,'[4]Delta Monthly'!$A$1:$AW$72,26,FALSE)+VLOOKUP($B65,'[4]Delta Monthly'!$A$1:$AW$72,28,FALSE)</f>
        <v>233732.92864453339</v>
      </c>
      <c r="T65" s="45">
        <f>VLOOKUP($B65,'[4]Delta Monthly'!$A$1:$AW$72,30,FALSE)+VLOOKUP($B65,'[4]Delta Monthly'!$A$1:$AW$72,32,FALSE)</f>
        <v>170309.08579959441</v>
      </c>
      <c r="U65" s="45">
        <f>VLOOKUP($B65,'[4]Delta Monthly'!$A$1:$AW$72,34,FALSE)</f>
        <v>-34751.992046262501</v>
      </c>
      <c r="V65" s="45">
        <f>VLOOKUP($B65,'[4]Delta Monthly'!$A$1:$AW$72,36,FALSE)</f>
        <v>31526.8695627823</v>
      </c>
      <c r="W65" s="45">
        <f>VLOOKUP($B65,'[4]Delta Monthly'!$A$1:$AW$72,38,FALSE)+VLOOKUP($B65,'[4]Delta Monthly'!$A$1:$AW$72,40,FALSE)</f>
        <v>34559.594503423097</v>
      </c>
      <c r="X65" s="45">
        <f>VLOOKUP($B65,'[4]Delta Monthly'!$A$1:$AW$72,42,FALSE)</f>
        <v>62606.506586781201</v>
      </c>
      <c r="Y65" s="45">
        <f>VLOOKUP($B65,'[4]Delta Monthly'!$A$1:$AW$72,44,FALSE)+VLOOKUP($B65,'[4]Delta Monthly'!$A$1:$AW$72,46,FALSE)+VLOOKUP($B65,'[4]Delta Monthly'!$A$1:$AW$72,48,FALSE)</f>
        <v>199265.57202728599</v>
      </c>
      <c r="Z65" s="67">
        <f>SUM(S65:Y65)</f>
        <v>697248.56507813791</v>
      </c>
      <c r="AA65" s="66">
        <f>VLOOKUP($B65,'[3]Delta Yearly'!$A$1:$AD$72,4,FALSE)</f>
        <v>403379.1019339498</v>
      </c>
      <c r="AB65" s="44">
        <f>VLOOKUP($B65,'[3]Delta Yearly'!$A$1:$AC$72,6,FALSE)+VLOOKUP($B65,'[3]Delta Yearly'!$A$1:$AC$72,8,FALSE)+VLOOKUP($B65,'[3]Delta Yearly'!$A$1:$AC$72,10,FALSE)+VLOOKUP($B65,'[3]Delta Yearly'!$A$1:$AC$72,12,FALSE)+VLOOKUP($B65,'[3]Delta Yearly'!$A$1:$AC$72,14,FALSE)+VLOOKUP($B65,'[3]Delta Yearly'!$A$1:$AC$72,16,FALSE)+VLOOKUP($B65,'[3]Delta Yearly'!$A$1:$AC$72,18,FALSE)+VLOOKUP($B65,'[3]Delta Yearly'!$A$1:$AC$72,20,FALSE)+VLOOKUP($B65,'[3]Delta Yearly'!$A$1:$AC$72,22,FALSE)+VLOOKUP($B65,'[3]Delta Yearly'!$A$1:$AC$72,24,FALSE)+VLOOKUP($B65,'[3]Delta Yearly'!$A$1:$AC$72,26,FALSE)+VLOOKUP($B65,'[3]Delta Yearly'!$A$1:$AC$72,28,FALSE)</f>
        <v>0</v>
      </c>
      <c r="AC65" s="67">
        <f>SUM(AB65,AA65,Z65,R65)</f>
        <v>1079924.433727701</v>
      </c>
      <c r="AD65" s="38"/>
    </row>
    <row r="66" spans="1:30" s="39" customFormat="1" ht="9" customHeight="1" x14ac:dyDescent="0.3">
      <c r="A66" s="98"/>
      <c r="B66" s="82"/>
      <c r="C66" s="82"/>
      <c r="D66" s="67"/>
      <c r="E66" s="157"/>
      <c r="F66" s="101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94"/>
      <c r="S66" s="84"/>
      <c r="T66" s="84"/>
      <c r="U66" s="84"/>
      <c r="V66" s="84"/>
      <c r="W66" s="84"/>
      <c r="X66" s="84"/>
      <c r="Y66" s="84"/>
      <c r="Z66" s="94"/>
      <c r="AA66" s="93"/>
      <c r="AB66" s="44"/>
      <c r="AC66" s="66"/>
      <c r="AD66" s="38"/>
    </row>
    <row r="67" spans="1:30" s="39" customFormat="1" x14ac:dyDescent="0.3">
      <c r="A67" s="98" t="s">
        <v>126</v>
      </c>
      <c r="B67" s="64" t="s">
        <v>127</v>
      </c>
      <c r="C67" s="64" t="s">
        <v>128</v>
      </c>
      <c r="D67" s="67" t="s">
        <v>129</v>
      </c>
      <c r="E67" s="94">
        <f>(VLOOKUP(C67,[6]Sheet1!$B$1:$G$65,2,0))*-1</f>
        <v>7520.5662196726698</v>
      </c>
      <c r="F67" s="93">
        <f>(VLOOKUP(C67,[6]Sheet1!$B$1:$G$65,4,0))</f>
        <v>-2200.4747079174194</v>
      </c>
      <c r="G67" s="45">
        <v>0</v>
      </c>
      <c r="H67" s="45"/>
      <c r="I67" s="45"/>
      <c r="J67" s="45"/>
      <c r="K67" s="45"/>
      <c r="L67" s="45">
        <f>VLOOKUP($B67,'[4]Delta Monthly'!$A$1:$AW$55,14,FALSE)</f>
        <v>0</v>
      </c>
      <c r="M67" s="45">
        <f>VLOOKUP($B67,'[4]Delta Monthly'!$A$1:$AW$55,16,FALSE)</f>
        <v>0</v>
      </c>
      <c r="N67" s="45">
        <f>VLOOKUP($B67,'[4]Delta Monthly'!$A$1:$AW$55,18,FALSE)</f>
        <v>0</v>
      </c>
      <c r="O67" s="45">
        <f>VLOOKUP($B67,'[4]Delta Monthly'!$A$1:$AW$72,20,FALSE)</f>
        <v>0</v>
      </c>
      <c r="P67" s="45">
        <f>VLOOKUP($B67,'[4]Delta Monthly'!$A$1:$AW$72,22,FALSE)</f>
        <v>5589.862288241723</v>
      </c>
      <c r="Q67" s="45">
        <f>VLOOKUP($B67,'[4]Delta Monthly'!$A$1:$AW$72,24,FALSE)</f>
        <v>0</v>
      </c>
      <c r="R67" s="67">
        <f>SUM(G67:Q67)</f>
        <v>5589.862288241723</v>
      </c>
      <c r="S67" s="45">
        <f>VLOOKUP($B67,'[4]Delta Monthly'!$A$1:$AW$72,26,FALSE)+VLOOKUP($B67,'[4]Delta Monthly'!$A$1:$AW$72,28,FALSE)</f>
        <v>0</v>
      </c>
      <c r="T67" s="45">
        <f>VLOOKUP($B67,'[4]Delta Monthly'!$A$1:$AW$72,30,FALSE)+VLOOKUP($B67,'[4]Delta Monthly'!$A$1:$AW$72,32,FALSE)</f>
        <v>0</v>
      </c>
      <c r="U67" s="45">
        <f>VLOOKUP($B67,'[4]Delta Monthly'!$A$1:$AW$72,34,FALSE)</f>
        <v>0</v>
      </c>
      <c r="V67" s="45">
        <f>VLOOKUP($B67,'[4]Delta Monthly'!$A$1:$AW$72,36,FALSE)</f>
        <v>0</v>
      </c>
      <c r="W67" s="45">
        <f>VLOOKUP($B67,'[4]Delta Monthly'!$A$1:$AW$72,38,FALSE)+VLOOKUP($B67,'[4]Delta Monthly'!$A$1:$AW$72,40,FALSE)</f>
        <v>0</v>
      </c>
      <c r="X67" s="45">
        <f>VLOOKUP($B67,'[4]Delta Monthly'!$A$1:$AW$72,42,FALSE)</f>
        <v>0</v>
      </c>
      <c r="Y67" s="45">
        <f>VLOOKUP($B67,'[4]Delta Monthly'!$A$1:$AW$72,44,FALSE)+VLOOKUP($B67,'[4]Delta Monthly'!$A$1:$AW$72,46,FALSE)+VLOOKUP($B67,'[4]Delta Monthly'!$A$1:$AW$72,48,FALSE)</f>
        <v>0</v>
      </c>
      <c r="Z67" s="67">
        <f>SUM(S67:Y67)</f>
        <v>0</v>
      </c>
      <c r="AA67" s="66">
        <f>VLOOKUP($B67,'[3]Delta Yearly'!$A$1:$AD$72,4,FALSE)</f>
        <v>0</v>
      </c>
      <c r="AB67" s="44">
        <f>VLOOKUP($B67,'[3]Delta Yearly'!$A$1:$AC$72,6,FALSE)+VLOOKUP($B67,'[3]Delta Yearly'!$A$1:$AC$72,8,FALSE)+VLOOKUP($B67,'[3]Delta Yearly'!$A$1:$AC$72,10,FALSE)+VLOOKUP($B67,'[3]Delta Yearly'!$A$1:$AC$72,12,FALSE)+VLOOKUP($B67,'[3]Delta Yearly'!$A$1:$AC$72,14,FALSE)+VLOOKUP($B67,'[3]Delta Yearly'!$A$1:$AC$72,16,FALSE)+VLOOKUP($B67,'[3]Delta Yearly'!$A$1:$AC$72,18,FALSE)+VLOOKUP($B67,'[3]Delta Yearly'!$A$1:$AC$72,20,FALSE)+VLOOKUP($B67,'[3]Delta Yearly'!$A$1:$AC$72,22,FALSE)+VLOOKUP($B67,'[3]Delta Yearly'!$A$1:$AC$72,24,FALSE)+VLOOKUP($B67,'[3]Delta Yearly'!$A$1:$AC$72,26,FALSE)+VLOOKUP($B67,'[3]Delta Yearly'!$A$1:$AC$72,28,FALSE)</f>
        <v>0</v>
      </c>
      <c r="AC67" s="67">
        <f>SUM(AB67,AA67,Z67,R67)</f>
        <v>5589.862288241723</v>
      </c>
      <c r="AD67" s="38"/>
    </row>
    <row r="68" spans="1:30" s="39" customFormat="1" ht="9" customHeight="1" x14ac:dyDescent="0.3">
      <c r="A68" s="98"/>
      <c r="B68" s="82"/>
      <c r="C68" s="82"/>
      <c r="D68" s="67"/>
      <c r="E68" s="157"/>
      <c r="F68" s="101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94"/>
      <c r="S68" s="84"/>
      <c r="T68" s="84"/>
      <c r="U68" s="84"/>
      <c r="V68" s="84"/>
      <c r="W68" s="84"/>
      <c r="X68" s="84"/>
      <c r="Y68" s="84"/>
      <c r="Z68" s="94"/>
      <c r="AA68" s="93"/>
      <c r="AB68" s="67"/>
      <c r="AC68" s="66"/>
      <c r="AD68" s="38"/>
    </row>
    <row r="69" spans="1:30" s="39" customFormat="1" x14ac:dyDescent="0.3">
      <c r="A69" s="98" t="s">
        <v>130</v>
      </c>
      <c r="B69" s="64" t="s">
        <v>131</v>
      </c>
      <c r="C69" s="64" t="s">
        <v>132</v>
      </c>
      <c r="D69" s="67" t="s">
        <v>133</v>
      </c>
      <c r="E69" s="94">
        <v>0</v>
      </c>
      <c r="F69" s="93">
        <v>0</v>
      </c>
      <c r="G69" s="45">
        <f>VLOOKUP($B69,'[4]Delta Monthly'!$A$1:$AW$55,4,1)</f>
        <v>0</v>
      </c>
      <c r="H69" s="45">
        <f>VLOOKUP($B69,'[4]Delta Monthly'!$A$1:$AW$55,6,FALSE)</f>
        <v>0</v>
      </c>
      <c r="I69" s="45">
        <f>VLOOKUP($B69,'[4]Delta Monthly'!$A$1:$AW$55,8,FALSE)</f>
        <v>0</v>
      </c>
      <c r="J69" s="45">
        <v>0</v>
      </c>
      <c r="K69" s="45">
        <v>0</v>
      </c>
      <c r="L69" s="45">
        <v>0</v>
      </c>
      <c r="M69" s="45">
        <f>VLOOKUP($B69,'[4]Delta Monthly'!$A$1:$AW$55,16,FALSE)</f>
        <v>0</v>
      </c>
      <c r="N69" s="45">
        <f>VLOOKUP($B69,'[4]Delta Monthly'!$A$1:$AW$55,18,FALSE)</f>
        <v>0</v>
      </c>
      <c r="O69" s="45">
        <f>VLOOKUP($B69,'[4]Delta Monthly'!$A$1:$AW$55,20,FALSE)</f>
        <v>0</v>
      </c>
      <c r="P69" s="45">
        <f>VLOOKUP($B69,'[4]Delta Monthly'!$A$1:$AW$55,22,FALSE)</f>
        <v>0</v>
      </c>
      <c r="Q69" s="45">
        <f>VLOOKUP($B69,'[4]Delta Monthly'!$A$1:$AW$55,24,FALSE)</f>
        <v>0</v>
      </c>
      <c r="R69" s="67">
        <f>SUM(G69:Q69)</f>
        <v>0</v>
      </c>
      <c r="S69" s="45">
        <f>VLOOKUP($B69,'[4]Delta Monthly'!$A$1:$AW$55,26,FALSE)+VLOOKUP($B69,'[4]Delta Monthly'!$A$1:$AW$55,28,FALSE)</f>
        <v>0</v>
      </c>
      <c r="T69" s="45">
        <f>VLOOKUP($B69,'[4]Delta Monthly'!$A$1:$AW$55,30,FALSE)+VLOOKUP($B69,'[4]Delta Monthly'!$A$1:$AW$55,32,FALSE)</f>
        <v>0</v>
      </c>
      <c r="U69" s="45">
        <f>VLOOKUP($B69,'[4]Delta Monthly'!$A$1:$AW$55,34,FALSE)</f>
        <v>0</v>
      </c>
      <c r="V69" s="45">
        <f>VLOOKUP($B69,'[4]Delta Monthly'!$A$1:$AW$55,36,FALSE)</f>
        <v>0</v>
      </c>
      <c r="W69" s="45">
        <f>VLOOKUP($B69,'[4]Delta Monthly'!$A$1:$AW$55,38,FALSE)+VLOOKUP($B69,'[4]Delta Monthly'!$A$1:$AW$55,40,FALSE)</f>
        <v>0</v>
      </c>
      <c r="X69" s="45">
        <f>VLOOKUP($B69,'[4]Delta Monthly'!$A$1:$AW$55,42,FALSE)</f>
        <v>0</v>
      </c>
      <c r="Y69" s="45">
        <f>VLOOKUP($B69,'[4]Delta Monthly'!$A$1:$AW$55,44,FALSE)+VLOOKUP($B69,'[4]Delta Monthly'!$A$1:$AW$55,46,FALSE)+VLOOKUP($B69,'[4]Delta Monthly'!$A$1:$AW$55,48,FALSE)</f>
        <v>0</v>
      </c>
      <c r="Z69" s="67">
        <f>SUM(S69:Y69)</f>
        <v>0</v>
      </c>
      <c r="AA69" s="66">
        <f>VLOOKUP($B69,'[3]Delta Yearly'!$A$1:$AD$55,4,FALSE)</f>
        <v>0</v>
      </c>
      <c r="AB69" s="44">
        <f>VLOOKUP($B69,'[3]Delta Yearly'!$A$1:$AC$55,6,FALSE)+VLOOKUP($B69,'[3]Delta Yearly'!$A$1:$AC$55,8,FALSE)+VLOOKUP($B69,'[3]Delta Yearly'!$A$1:$AC$55,10,FALSE)+VLOOKUP($B69,'[3]Delta Yearly'!$A$1:$AC$55,12,FALSE)+VLOOKUP($B69,'[3]Delta Yearly'!$A$1:$AC$55,14,FALSE)+VLOOKUP($B69,'[3]Delta Yearly'!$A$1:$AC$55,16,FALSE)+VLOOKUP($B69,'[3]Delta Yearly'!$A$1:$AC$55,18,FALSE)+VLOOKUP($B69,'[3]Delta Yearly'!$A$1:$AC$55,20,FALSE)+VLOOKUP($B69,'[3]Delta Yearly'!$A$1:$AC$55,22,FALSE)+VLOOKUP($B69,'[3]Delta Yearly'!$A$1:$AC$55,24,FALSE)+VLOOKUP($B69,'[3]Delta Yearly'!$A$1:$AC$55,26,FALSE)+VLOOKUP($B69,'[3]Delta Yearly'!$A$1:$AC$55,28,FALSE)</f>
        <v>0</v>
      </c>
      <c r="AC69" s="67">
        <f>SUM(AB69,AA69,Z69,R69)</f>
        <v>0</v>
      </c>
      <c r="AD69" s="38"/>
    </row>
    <row r="70" spans="1:30" s="39" customFormat="1" ht="6.75" customHeight="1" thickBot="1" x14ac:dyDescent="0.35">
      <c r="A70" s="98"/>
      <c r="B70" s="82"/>
      <c r="C70" s="82"/>
      <c r="D70" s="67"/>
      <c r="E70" s="157"/>
      <c r="F70" s="101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110"/>
      <c r="S70" s="44"/>
      <c r="T70" s="44"/>
      <c r="U70" s="44"/>
      <c r="V70" s="44"/>
      <c r="W70" s="44"/>
      <c r="X70" s="44"/>
      <c r="Y70" s="44"/>
      <c r="Z70" s="67"/>
      <c r="AA70" s="66"/>
      <c r="AB70" s="67"/>
      <c r="AC70" s="66"/>
      <c r="AD70" s="38"/>
    </row>
    <row r="71" spans="1:30" s="39" customFormat="1" ht="18" thickBot="1" x14ac:dyDescent="0.35">
      <c r="A71" s="113" t="s">
        <v>134</v>
      </c>
      <c r="B71" s="131" t="s">
        <v>134</v>
      </c>
      <c r="C71" s="159" t="s">
        <v>135</v>
      </c>
      <c r="D71" s="115"/>
      <c r="E71" s="115">
        <f>(VLOOKUP(C71,[6]Sheet1!$B$1:$G$65,2,0))*-1</f>
        <v>2393195.74499811</v>
      </c>
      <c r="F71" s="120">
        <f>(VLOOKUP(C71,[6]Sheet1!$B$1:$G$65,4,0))</f>
        <v>11052.30271507008</v>
      </c>
      <c r="G71" s="118">
        <f t="shared" ref="G71:N71" si="4">SUM(G63,G67,G69)</f>
        <v>0</v>
      </c>
      <c r="H71" s="118">
        <f t="shared" si="4"/>
        <v>0</v>
      </c>
      <c r="I71" s="118">
        <f t="shared" si="4"/>
        <v>0</v>
      </c>
      <c r="J71" s="118">
        <f t="shared" si="4"/>
        <v>0</v>
      </c>
      <c r="K71" s="118">
        <f t="shared" si="4"/>
        <v>0</v>
      </c>
      <c r="L71" s="118">
        <f t="shared" si="4"/>
        <v>0</v>
      </c>
      <c r="M71" s="118">
        <f t="shared" si="4"/>
        <v>0</v>
      </c>
      <c r="N71" s="118">
        <f t="shared" si="4"/>
        <v>0</v>
      </c>
      <c r="O71" s="118">
        <f t="shared" ref="O71:AC71" si="5">SUM(O63,O65,O67,O69)</f>
        <v>0</v>
      </c>
      <c r="P71" s="118">
        <f t="shared" si="5"/>
        <v>83049.382568162531</v>
      </c>
      <c r="Q71" s="118">
        <f t="shared" si="5"/>
        <v>-246989.88348220056</v>
      </c>
      <c r="R71" s="163">
        <f t="shared" si="5"/>
        <v>-163940.50091403807</v>
      </c>
      <c r="S71" s="119">
        <f t="shared" si="5"/>
        <v>467465.85728906549</v>
      </c>
      <c r="T71" s="118">
        <f t="shared" si="5"/>
        <v>-34061.817159919185</v>
      </c>
      <c r="U71" s="118">
        <f t="shared" si="5"/>
        <v>-225887.94830070902</v>
      </c>
      <c r="V71" s="118">
        <f t="shared" si="5"/>
        <v>94580.608688346605</v>
      </c>
      <c r="W71" s="118">
        <f t="shared" si="5"/>
        <v>-729397.58993603743</v>
      </c>
      <c r="X71" s="118">
        <f t="shared" si="5"/>
        <v>-187819.5197603436</v>
      </c>
      <c r="Y71" s="118">
        <f t="shared" si="5"/>
        <v>149449.17902046529</v>
      </c>
      <c r="Z71" s="115">
        <f t="shared" si="5"/>
        <v>-465671.23015913181</v>
      </c>
      <c r="AA71" s="115">
        <f t="shared" si="5"/>
        <v>483330.29528738221</v>
      </c>
      <c r="AB71" s="115">
        <f t="shared" si="5"/>
        <v>1054606.7558218886</v>
      </c>
      <c r="AC71" s="120">
        <f t="shared" si="5"/>
        <v>908325.32003610115</v>
      </c>
      <c r="AD71" s="38"/>
    </row>
    <row r="72" spans="1:30" s="39" customFormat="1" ht="18" thickBot="1" x14ac:dyDescent="0.35">
      <c r="A72" s="134"/>
      <c r="B72" s="134"/>
      <c r="C72" s="134"/>
      <c r="D72" s="135"/>
      <c r="E72" s="135"/>
      <c r="F72" s="135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46"/>
      <c r="R72" s="161"/>
      <c r="S72" s="44"/>
      <c r="T72" s="44"/>
      <c r="U72" s="44"/>
      <c r="V72" s="44"/>
      <c r="W72" s="44"/>
      <c r="X72" s="44"/>
      <c r="Y72" s="44"/>
      <c r="Z72" s="44"/>
      <c r="AA72" s="135"/>
      <c r="AB72" s="44"/>
      <c r="AC72" s="44"/>
      <c r="AD72" s="38"/>
    </row>
    <row r="73" spans="1:30" s="39" customFormat="1" ht="18" thickBot="1" x14ac:dyDescent="0.35">
      <c r="A73" s="121"/>
      <c r="B73" s="122"/>
      <c r="C73" s="122"/>
      <c r="D73" s="89" t="s">
        <v>26</v>
      </c>
      <c r="E73" s="56">
        <v>5000000</v>
      </c>
      <c r="F73" s="87"/>
      <c r="G73" s="56"/>
      <c r="H73" s="56"/>
      <c r="I73" s="56"/>
      <c r="J73" s="56" t="s">
        <v>136</v>
      </c>
      <c r="K73" s="56"/>
      <c r="L73" s="56"/>
      <c r="M73" s="56"/>
      <c r="N73" s="56"/>
      <c r="O73" s="56"/>
      <c r="P73" s="56"/>
      <c r="Q73" s="162"/>
      <c r="R73" s="164"/>
      <c r="S73" s="57"/>
      <c r="T73" s="56"/>
      <c r="U73" s="56"/>
      <c r="V73" s="56"/>
      <c r="W73" s="56"/>
      <c r="X73" s="56"/>
      <c r="Y73" s="56"/>
      <c r="Z73" s="89"/>
      <c r="AA73" s="87"/>
      <c r="AB73" s="89"/>
      <c r="AC73" s="87"/>
      <c r="AD73" s="38"/>
    </row>
    <row r="74" spans="1:30" s="39" customFormat="1" ht="8.25" customHeight="1" x14ac:dyDescent="0.3">
      <c r="A74" s="41"/>
      <c r="B74" s="42"/>
      <c r="C74" s="42"/>
      <c r="D74" s="92"/>
      <c r="E74" s="97"/>
      <c r="F74" s="97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2"/>
      <c r="S74" s="43"/>
      <c r="T74" s="43"/>
      <c r="U74" s="43"/>
      <c r="V74" s="43"/>
      <c r="W74" s="43"/>
      <c r="X74" s="43"/>
      <c r="Y74" s="43"/>
      <c r="Z74" s="92"/>
      <c r="AA74" s="92"/>
      <c r="AB74" s="127"/>
      <c r="AC74" s="92"/>
      <c r="AD74" s="38"/>
    </row>
    <row r="75" spans="1:30" s="39" customFormat="1" ht="18.75" customHeight="1" x14ac:dyDescent="0.3">
      <c r="A75" s="98" t="s">
        <v>137</v>
      </c>
      <c r="B75" s="64" t="s">
        <v>138</v>
      </c>
      <c r="C75" s="64" t="s">
        <v>139</v>
      </c>
      <c r="D75" s="67" t="s">
        <v>140</v>
      </c>
      <c r="E75" s="93">
        <f>(VLOOKUP(C75,[6]Sheet1!$B$1:$G$65,2,0))*-1</f>
        <v>3178062.92179312</v>
      </c>
      <c r="F75" s="93">
        <f>(VLOOKUP(C75,[6]Sheet1!$B$1:$G$65,4,0))</f>
        <v>-118936.95327595016</v>
      </c>
      <c r="G75" s="45"/>
      <c r="H75" s="45"/>
      <c r="I75" s="45"/>
      <c r="J75" s="45"/>
      <c r="K75" s="45"/>
      <c r="L75" s="45"/>
      <c r="M75" s="45">
        <f>VLOOKUP($B75,'[4]Delta Monthly'!$A$1:$AW$55,16,0)</f>
        <v>0</v>
      </c>
      <c r="N75" s="45">
        <f>VLOOKUP($B75,'[4]Delta Monthly'!$A$1:$AW$55,18,0)</f>
        <v>0</v>
      </c>
      <c r="O75" s="45">
        <f>VLOOKUP($B75,'[4]Delta Monthly'!$A$1:$AW$72,20,FALSE)</f>
        <v>0</v>
      </c>
      <c r="P75" s="45">
        <f>VLOOKUP($B75,'[4]Delta Monthly'!$A$1:$AW$72,22,FALSE)</f>
        <v>-30451.892787654455</v>
      </c>
      <c r="Q75" s="45">
        <f>VLOOKUP($B75,'[4]Delta Monthly'!$A$1:$AW$72,24,FALSE)</f>
        <v>-26545.989146505715</v>
      </c>
      <c r="R75" s="67">
        <f>SUM(G75:Q75)</f>
        <v>-56997.88193416017</v>
      </c>
      <c r="S75" s="45">
        <f>VLOOKUP($B75,'[4]Delta Monthly'!$A$1:$AW$72,26,FALSE)+VLOOKUP($B75,'[4]Delta Monthly'!$A$1:$AW$72,28,FALSE)</f>
        <v>-151212.02294719385</v>
      </c>
      <c r="T75" s="45">
        <f>VLOOKUP($B75,'[4]Delta Monthly'!$A$1:$AW$72,30,FALSE)+VLOOKUP($B75,'[4]Delta Monthly'!$A$1:$AW$72,32,FALSE)</f>
        <v>-245428.36942519419</v>
      </c>
      <c r="U75" s="45">
        <f>VLOOKUP($B75,'[4]Delta Monthly'!$A$1:$AW$72,34,FALSE)</f>
        <v>-100849.57506447751</v>
      </c>
      <c r="V75" s="45">
        <f>VLOOKUP($B75,'[4]Delta Monthly'!$A$1:$AW$72,36,FALSE)</f>
        <v>36559.254863750379</v>
      </c>
      <c r="W75" s="45">
        <f>VLOOKUP($B75,'[4]Delta Monthly'!$A$1:$AW$72,38,FALSE)+VLOOKUP($B75,'[4]Delta Monthly'!$A$1:$AW$72,40,FALSE)</f>
        <v>-332711.58873821737</v>
      </c>
      <c r="X75" s="45">
        <f>VLOOKUP($B75,'[4]Delta Monthly'!$A$1:$AW$72,42,FALSE)</f>
        <v>-227690.345742601</v>
      </c>
      <c r="Y75" s="45">
        <f>VLOOKUP($B75,'[4]Delta Monthly'!$A$1:$AW$72,44,FALSE)+VLOOKUP($B75,'[4]Delta Monthly'!$A$1:$AW$72,46,FALSE)+VLOOKUP($B75,'[4]Delta Monthly'!$A$1:$AW$72,48,FALSE)</f>
        <v>-76434.275296975786</v>
      </c>
      <c r="Z75" s="67">
        <f>SUM(S75:Y75)</f>
        <v>-1097766.9223509093</v>
      </c>
      <c r="AA75" s="67">
        <f>VLOOKUP($B75,'[3]Delta Yearly'!$A$1:$AD$72,4,FALSE)</f>
        <v>259803.35372809539</v>
      </c>
      <c r="AB75" s="44">
        <f>VLOOKUP($B75,'[3]Delta Yearly'!$A$1:$AC$72,6,FALSE)+VLOOKUP($B75,'[3]Delta Yearly'!$A$1:$AC$72,8,FALSE)+VLOOKUP($B75,'[3]Delta Yearly'!$A$1:$AC$72,10,FALSE)+VLOOKUP($B75,'[3]Delta Yearly'!$A$1:$AC$72,12,FALSE)+VLOOKUP($B75,'[3]Delta Yearly'!$A$1:$AC$72,14,FALSE)+VLOOKUP($B75,'[3]Delta Yearly'!$A$1:$AC$72,16,FALSE)+VLOOKUP($B75,'[3]Delta Yearly'!$A$1:$AC$72,18,FALSE)+VLOOKUP($B75,'[3]Delta Yearly'!$A$1:$AC$72,20,FALSE)+VLOOKUP($B75,'[3]Delta Yearly'!$A$1:$AC$72,22,FALSE)+VLOOKUP($B75,'[3]Delta Yearly'!$A$1:$AC$72,24,FALSE)+VLOOKUP($B75,'[3]Delta Yearly'!$A$1:$AC$72,26,FALSE)+VLOOKUP($B75,'[3]Delta Yearly'!$A$1:$AC$72,28,FALSE)</f>
        <v>238506.08106216099</v>
      </c>
      <c r="AC75" s="67">
        <f>SUM(AB75,AA75,Z75,R75)</f>
        <v>-656455.36949481303</v>
      </c>
      <c r="AD75" s="38"/>
    </row>
    <row r="76" spans="1:30" s="39" customFormat="1" ht="9" customHeight="1" x14ac:dyDescent="0.3">
      <c r="A76" s="125"/>
      <c r="B76" s="64"/>
      <c r="C76" s="64"/>
      <c r="D76" s="67"/>
      <c r="E76" s="66"/>
      <c r="F76" s="66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67"/>
      <c r="S76" s="44"/>
      <c r="T76" s="44"/>
      <c r="U76" s="44"/>
      <c r="V76" s="44"/>
      <c r="W76" s="44"/>
      <c r="X76" s="44"/>
      <c r="Y76" s="44"/>
      <c r="Z76" s="67"/>
      <c r="AA76" s="67"/>
      <c r="AB76" s="44"/>
      <c r="AC76" s="67"/>
      <c r="AD76" s="38"/>
    </row>
    <row r="77" spans="1:30" s="39" customFormat="1" x14ac:dyDescent="0.3">
      <c r="A77" s="98" t="s">
        <v>141</v>
      </c>
      <c r="B77" s="64" t="s">
        <v>142</v>
      </c>
      <c r="C77" t="s">
        <v>143</v>
      </c>
      <c r="D77" s="67" t="s">
        <v>144</v>
      </c>
      <c r="E77" s="93">
        <f>(VLOOKUP(C77,[6]Sheet1!$B$1:$G$65,2,0))*-1</f>
        <v>1811922.8976678101</v>
      </c>
      <c r="F77" s="93">
        <f>(VLOOKUP(C77,[6]Sheet1!$B$1:$G$65,4,0))</f>
        <v>509663.3976804202</v>
      </c>
      <c r="G77" s="45">
        <f>VLOOKUP($B77,'[4]Delta Monthly'!$A$1:$AW$55,4,1)</f>
        <v>0</v>
      </c>
      <c r="H77" s="45">
        <f>VLOOKUP($B77,'[4]Delta Monthly'!$A$1:$AW$55,6,1)</f>
        <v>0</v>
      </c>
      <c r="I77" s="45">
        <f>VLOOKUP($B77,'[4]Delta Monthly'!$A$1:$AW$55,8,1)</f>
        <v>0</v>
      </c>
      <c r="J77" s="45">
        <f>VLOOKUP($B77,'[4]Delta Monthly'!$A$1:$AW$55,10,0)</f>
        <v>0</v>
      </c>
      <c r="K77" s="45">
        <f>VLOOKUP($B77,'[4]Delta Monthly'!$A$1:$AW$55,12,0)</f>
        <v>0</v>
      </c>
      <c r="L77" s="45">
        <f>VLOOKUP($B77,'[4]Delta Monthly'!$A$1:$AW$55,14,0)</f>
        <v>0</v>
      </c>
      <c r="M77" s="45">
        <f>VLOOKUP($B77,'[4]Delta Monthly'!$A$1:$AW$55,16,0)</f>
        <v>0</v>
      </c>
      <c r="N77" s="45">
        <f>VLOOKUP($B77,'[4]Delta Monthly'!$A$1:$AW$55,18,0)</f>
        <v>0</v>
      </c>
      <c r="O77" s="45">
        <f>VLOOKUP($B77,'[4]Delta Monthly'!$A$1:$AW$72,20,FALSE)</f>
        <v>0</v>
      </c>
      <c r="P77" s="45">
        <f>VLOOKUP($B77,'[4]Delta Monthly'!$A$1:$AW$72,22,FALSE)</f>
        <v>0</v>
      </c>
      <c r="Q77" s="45">
        <f>VLOOKUP($B77,'[4]Delta Monthly'!$A$1:$AW$72,24,FALSE)</f>
        <v>0</v>
      </c>
      <c r="R77" s="67">
        <f>SUM(G77:Q77)</f>
        <v>0</v>
      </c>
      <c r="S77" s="45">
        <f>VLOOKUP($B77,'[4]Delta Monthly'!$A$1:$AW$72,26,FALSE)+VLOOKUP($B77,'[4]Delta Monthly'!$A$1:$AW$72,28,FALSE)</f>
        <v>200342.51026674139</v>
      </c>
      <c r="T77" s="45">
        <f>VLOOKUP($B77,'[4]Delta Monthly'!$A$1:$AW$72,30,FALSE)+VLOOKUP($B77,'[4]Delta Monthly'!$A$1:$AW$72,32,FALSE)</f>
        <v>-170309.0857995947</v>
      </c>
      <c r="U77" s="45">
        <f>VLOOKUP($B77,'[4]Delta Monthly'!$A$1:$AW$72,34,FALSE)</f>
        <v>-424110.87602697249</v>
      </c>
      <c r="V77" s="45">
        <f>VLOOKUP($B77,'[4]Delta Monthly'!$A$1:$AW$72,36,FALSE)</f>
        <v>15763.434781391299</v>
      </c>
      <c r="W77" s="45">
        <f>VLOOKUP($B77,'[4]Delta Monthly'!$A$1:$AW$72,38,FALSE)+VLOOKUP($B77,'[4]Delta Monthly'!$A$1:$AW$72,40,FALSE)</f>
        <v>-34559.594503424101</v>
      </c>
      <c r="X77" s="45">
        <f>VLOOKUP($B77,'[4]Delta Monthly'!$A$1:$AW$72,42,FALSE)</f>
        <v>-359987.41287399182</v>
      </c>
      <c r="Y77" s="45">
        <f>VLOOKUP($B77,'[4]Delta Monthly'!$A$1:$AW$72,44,FALSE)+VLOOKUP($B77,'[4]Delta Monthly'!$A$1:$AW$72,46,FALSE)+VLOOKUP($B77,'[4]Delta Monthly'!$A$1:$AW$72,48,FALSE)</f>
        <v>-448347.53706139402</v>
      </c>
      <c r="Z77" s="67">
        <f>SUM(S77:Y77)</f>
        <v>-1221208.5612172445</v>
      </c>
      <c r="AA77" s="67">
        <f>VLOOKUP($B77,'[3]Delta Yearly'!$A$1:$AD$72,4,FALSE)</f>
        <v>421558.97673886642</v>
      </c>
      <c r="AB77" s="44">
        <f>VLOOKUP($B77,'[3]Delta Yearly'!$A$1:$AC$72,6,FALSE)+VLOOKUP($B77,'[3]Delta Yearly'!$A$1:$AC$72,8,FALSE)+VLOOKUP($B77,'[3]Delta Yearly'!$A$1:$AC$72,10,FALSE)+VLOOKUP($B77,'[3]Delta Yearly'!$A$1:$AC$72,12,FALSE)+VLOOKUP($B77,'[3]Delta Yearly'!$A$1:$AC$72,14,FALSE)+VLOOKUP($B77,'[3]Delta Yearly'!$A$1:$AC$72,16,FALSE)+VLOOKUP($B77,'[3]Delta Yearly'!$A$1:$AC$72,18,FALSE)+VLOOKUP($B77,'[3]Delta Yearly'!$A$1:$AC$72,20,FALSE)+VLOOKUP($B77,'[3]Delta Yearly'!$A$1:$AC$72,22,FALSE)+VLOOKUP($B77,'[3]Delta Yearly'!$A$1:$AC$72,24,FALSE)+VLOOKUP($B77,'[3]Delta Yearly'!$A$1:$AC$72,26,FALSE)+VLOOKUP($B77,'[3]Delta Yearly'!$A$1:$AC$72,28,FALSE)</f>
        <v>-730179.39369165455</v>
      </c>
      <c r="AC77" s="67">
        <f>SUM(AB77,AA77,Z77,R77)</f>
        <v>-1529828.9781700326</v>
      </c>
      <c r="AD77" s="38"/>
    </row>
    <row r="78" spans="1:30" s="39" customFormat="1" ht="9" customHeight="1" x14ac:dyDescent="0.3">
      <c r="A78" s="98"/>
      <c r="B78" s="82"/>
      <c r="C78" s="82"/>
      <c r="D78" s="67"/>
      <c r="E78" s="101"/>
      <c r="F78" s="101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67"/>
      <c r="S78" s="44"/>
      <c r="T78" s="44"/>
      <c r="U78" s="44"/>
      <c r="V78" s="44"/>
      <c r="W78" s="44"/>
      <c r="X78" s="44"/>
      <c r="Y78" s="44"/>
      <c r="Z78" s="67"/>
      <c r="AA78" s="67"/>
      <c r="AB78" s="126"/>
      <c r="AC78" s="67"/>
      <c r="AD78" s="38"/>
    </row>
    <row r="79" spans="1:30" s="39" customFormat="1" x14ac:dyDescent="0.3">
      <c r="A79" s="98" t="s">
        <v>145</v>
      </c>
      <c r="B79" s="64" t="s">
        <v>146</v>
      </c>
      <c r="C79" t="s">
        <v>147</v>
      </c>
      <c r="D79" s="67" t="s">
        <v>148</v>
      </c>
      <c r="E79" s="93">
        <f>(VLOOKUP(C79,[6]Sheet1!$B$1:$G$65,2,0))*-1</f>
        <v>136714.45681740702</v>
      </c>
      <c r="F79" s="93">
        <f>(VLOOKUP(C79,[6]Sheet1!$B$1:$G$65,4,0))</f>
        <v>81392.04370033661</v>
      </c>
      <c r="G79" s="45">
        <f>VLOOKUP($B79,'[4]Delta Monthly'!$A$1:$AW$55,4,1)</f>
        <v>0</v>
      </c>
      <c r="H79" s="45">
        <f>VLOOKUP($B79,'[4]Delta Monthly'!$A$1:$AW$55,6,1)</f>
        <v>0</v>
      </c>
      <c r="I79" s="45">
        <f>VLOOKUP($B79,'[4]Delta Monthly'!$A$1:$AW$55,8,1)</f>
        <v>0</v>
      </c>
      <c r="J79" s="45">
        <f>VLOOKUP($B79,'[4]Delta Monthly'!$A$1:$AW$55,10,0)</f>
        <v>0</v>
      </c>
      <c r="K79" s="45">
        <f>VLOOKUP($B79,'[4]Delta Monthly'!$A$1:$AW$55,12,0)</f>
        <v>0</v>
      </c>
      <c r="L79" s="45">
        <f>VLOOKUP($B79,'[4]Delta Monthly'!$A$1:$AW$55,14,0)</f>
        <v>0</v>
      </c>
      <c r="M79" s="45">
        <f>VLOOKUP($B79,'[4]Delta Monthly'!$A$1:$AW$55,16,0)</f>
        <v>0</v>
      </c>
      <c r="N79" s="45">
        <f>VLOOKUP($B79,'[4]Delta Monthly'!$A$1:$AW$55,18,0)</f>
        <v>0</v>
      </c>
      <c r="O79" s="45">
        <f>VLOOKUP($B79,'[4]Delta Monthly'!$A$1:$AW$72,20,FALSE)</f>
        <v>0</v>
      </c>
      <c r="P79" s="45">
        <f>VLOOKUP($B79,'[4]Delta Monthly'!$A$1:$AW$72,22,FALSE)</f>
        <v>-28747.863196671668</v>
      </c>
      <c r="Q79" s="45">
        <f>VLOOKUP($B79,'[4]Delta Monthly'!$A$1:$AW$72,24,FALSE)</f>
        <v>-63765.915721740239</v>
      </c>
      <c r="R79" s="67">
        <f>SUM(G79:Q79)</f>
        <v>-92513.778918411903</v>
      </c>
      <c r="S79" s="45">
        <f>VLOOKUP($B79,'[4]Delta Monthly'!$A$1:$AW$72,26,FALSE)+VLOOKUP($B79,'[4]Delta Monthly'!$A$1:$AW$72,28,FALSE)</f>
        <v>0</v>
      </c>
      <c r="T79" s="45">
        <f>VLOOKUP($B79,'[4]Delta Monthly'!$A$1:$AW$72,30,FALSE)+VLOOKUP($B79,'[4]Delta Monthly'!$A$1:$AW$72,32,FALSE)</f>
        <v>0</v>
      </c>
      <c r="U79" s="45">
        <f>VLOOKUP($B79,'[4]Delta Monthly'!$A$1:$AW$72,34,FALSE)</f>
        <v>0</v>
      </c>
      <c r="V79" s="45">
        <f>VLOOKUP($B79,'[4]Delta Monthly'!$A$1:$AW$72,36,FALSE)</f>
        <v>0</v>
      </c>
      <c r="W79" s="45">
        <f>VLOOKUP($B79,'[4]Delta Monthly'!$A$1:$AW$72,38,FALSE)+VLOOKUP($B79,'[4]Delta Monthly'!$A$1:$AW$72,40,FALSE)</f>
        <v>0</v>
      </c>
      <c r="X79" s="45">
        <f>VLOOKUP($B79,'[4]Delta Monthly'!$A$1:$AW$72,42,FALSE)</f>
        <v>0</v>
      </c>
      <c r="Y79" s="45">
        <f>VLOOKUP($B79,'[4]Delta Monthly'!$A$1:$AW$72,44,FALSE)+VLOOKUP($B79,'[4]Delta Monthly'!$A$1:$AW$72,46,FALSE)+VLOOKUP($B79,'[4]Delta Monthly'!$A$1:$AW$72,48,FALSE)</f>
        <v>0</v>
      </c>
      <c r="Z79" s="67">
        <f>SUM(S79:Y79)</f>
        <v>0</v>
      </c>
      <c r="AA79" s="67">
        <f>VLOOKUP($B79,'[3]Delta Yearly'!$A$1:$AD$72,4,FALSE)</f>
        <v>0</v>
      </c>
      <c r="AB79" s="44">
        <f>VLOOKUP($B79,'[3]Delta Yearly'!$A$1:$AC$72,6,FALSE)+VLOOKUP($B79,'[3]Delta Yearly'!$A$1:$AC$72,8,FALSE)+VLOOKUP($B79,'[3]Delta Yearly'!$A$1:$AC$72,10,FALSE)+VLOOKUP($B79,'[3]Delta Yearly'!$A$1:$AC$72,12,FALSE)+VLOOKUP($B79,'[3]Delta Yearly'!$A$1:$AC$72,14,FALSE)+VLOOKUP($B79,'[3]Delta Yearly'!$A$1:$AC$72,16,FALSE)+VLOOKUP($B79,'[3]Delta Yearly'!$A$1:$AC$72,18,FALSE)+VLOOKUP($B79,'[3]Delta Yearly'!$A$1:$AC$72,20,FALSE)+VLOOKUP($B79,'[3]Delta Yearly'!$A$1:$AC$72,22,FALSE)+VLOOKUP($B79,'[3]Delta Yearly'!$A$1:$AC$72,24,FALSE)+VLOOKUP($B79,'[3]Delta Yearly'!$A$1:$AC$72,26,FALSE)+VLOOKUP($B79,'[3]Delta Yearly'!$A$1:$AC$72,28,FALSE)</f>
        <v>0</v>
      </c>
      <c r="AC79" s="67">
        <f>SUM(AB79,AA79,Z79,R79)</f>
        <v>-92513.778918411903</v>
      </c>
      <c r="AD79" s="38"/>
    </row>
    <row r="80" spans="1:30" s="39" customFormat="1" ht="9" customHeight="1" x14ac:dyDescent="0.3">
      <c r="A80" s="98"/>
      <c r="B80" s="64"/>
      <c r="C80" s="64"/>
      <c r="D80" s="67"/>
      <c r="E80" s="101"/>
      <c r="F80" s="101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94"/>
      <c r="S80" s="84"/>
      <c r="T80" s="84"/>
      <c r="U80" s="84"/>
      <c r="V80" s="84"/>
      <c r="W80" s="84"/>
      <c r="X80" s="84"/>
      <c r="Y80" s="84"/>
      <c r="Z80" s="94"/>
      <c r="AA80" s="94"/>
      <c r="AB80" s="126"/>
      <c r="AC80" s="67"/>
      <c r="AD80" s="38"/>
    </row>
    <row r="81" spans="1:38" s="39" customFormat="1" x14ac:dyDescent="0.3">
      <c r="A81" s="98" t="s">
        <v>149</v>
      </c>
      <c r="B81" s="64" t="s">
        <v>150</v>
      </c>
      <c r="C81" t="s">
        <v>151</v>
      </c>
      <c r="D81" s="67" t="s">
        <v>152</v>
      </c>
      <c r="E81" s="93">
        <f>(VLOOKUP(C81,[6]Sheet1!$B$1:$G$65,2,0))*-1</f>
        <v>438847.86231576803</v>
      </c>
      <c r="F81" s="93">
        <f>(VLOOKUP(C81,[6]Sheet1!$B$1:$G$65,4,0))</f>
        <v>-246061.61378267</v>
      </c>
      <c r="G81" s="45">
        <f>VLOOKUP($B81,'[4]Delta Monthly'!$A$1:$AW$55,4,1)</f>
        <v>0</v>
      </c>
      <c r="H81" s="45">
        <f>VLOOKUP($B81,'[4]Delta Monthly'!$A$1:$AW$55,6,1)</f>
        <v>0</v>
      </c>
      <c r="I81" s="45">
        <f>VLOOKUP($B81,'[4]Delta Monthly'!$A$1:$AW$55,8,1)</f>
        <v>0</v>
      </c>
      <c r="J81" s="45">
        <f>VLOOKUP($B81,'[4]Delta Monthly'!$A$1:$AW$55,10,0)</f>
        <v>0</v>
      </c>
      <c r="K81" s="45">
        <f>VLOOKUP($B81,'[4]Delta Monthly'!$A$1:$AW$55,12,0)</f>
        <v>0</v>
      </c>
      <c r="L81" s="45">
        <f>VLOOKUP($B81,'[4]Delta Monthly'!$A$1:$AW$55,14,0)</f>
        <v>0</v>
      </c>
      <c r="M81" s="45">
        <f>VLOOKUP($B81,'[4]Delta Monthly'!$A$1:$AW$55,16,0)</f>
        <v>0</v>
      </c>
      <c r="N81" s="45">
        <f>VLOOKUP($B81,'[4]Delta Monthly'!$A$1:$AW$55,18,0)</f>
        <v>0</v>
      </c>
      <c r="O81" s="45">
        <f>VLOOKUP($B81,'[4]Delta Monthly'!$A$1:$AW$72,20,FALSE)</f>
        <v>0</v>
      </c>
      <c r="P81" s="45">
        <f>VLOOKUP($B81,'[4]Delta Monthly'!$A$1:$AW$72,22,FALSE)</f>
        <v>-5589.862288241723</v>
      </c>
      <c r="Q81" s="45">
        <f>VLOOKUP($B81,'[4]Delta Monthly'!$A$1:$AW$72,24,FALSE)</f>
        <v>-63765.915721740319</v>
      </c>
      <c r="R81" s="67">
        <f>SUM(G81:Q81)</f>
        <v>-69355.778009982037</v>
      </c>
      <c r="S81" s="45">
        <f>VLOOKUP($B81,'[4]Delta Monthly'!$A$1:$AW$72,26,FALSE)+VLOOKUP($B81,'[4]Delta Monthly'!$A$1:$AW$72,28,FALSE)</f>
        <v>33390.418377790404</v>
      </c>
      <c r="T81" s="45">
        <f>VLOOKUP($B81,'[4]Delta Monthly'!$A$1:$AW$72,30,FALSE)+VLOOKUP($B81,'[4]Delta Monthly'!$A$1:$AW$72,32,FALSE)</f>
        <v>0</v>
      </c>
      <c r="U81" s="45">
        <f>VLOOKUP($B81,'[4]Delta Monthly'!$A$1:$AW$72,34,FALSE)</f>
        <v>0</v>
      </c>
      <c r="V81" s="45">
        <f>VLOOKUP($B81,'[4]Delta Monthly'!$A$1:$AW$72,36,FALSE)</f>
        <v>0</v>
      </c>
      <c r="W81" s="45">
        <f>VLOOKUP($B81,'[4]Delta Monthly'!$A$1:$AW$72,38,FALSE)+VLOOKUP($B81,'[4]Delta Monthly'!$A$1:$AW$72,40,FALSE)</f>
        <v>0</v>
      </c>
      <c r="X81" s="45">
        <f>VLOOKUP($B81,'[4]Delta Monthly'!$A$1:$AW$72,42,FALSE)</f>
        <v>0</v>
      </c>
      <c r="Y81" s="45">
        <f>VLOOKUP($B81,'[4]Delta Monthly'!$A$1:$AW$72,44,FALSE)+VLOOKUP($B81,'[4]Delta Monthly'!$A$1:$AW$72,46,FALSE)+VLOOKUP($B81,'[4]Delta Monthly'!$A$1:$AW$72,48,FALSE)</f>
        <v>0</v>
      </c>
      <c r="Z81" s="67">
        <f>SUM(S81:Y81)</f>
        <v>33390.418377790404</v>
      </c>
      <c r="AA81" s="67">
        <f>VLOOKUP($B81,'[3]Delta Yearly'!$A$1:$AD$72,4,FALSE)</f>
        <v>0</v>
      </c>
      <c r="AB81" s="44">
        <f>VLOOKUP($B81,'[3]Delta Yearly'!$A$1:$AC$72,6,FALSE)+VLOOKUP($B81,'[3]Delta Yearly'!$A$1:$AC$72,8,FALSE)+VLOOKUP($B81,'[3]Delta Yearly'!$A$1:$AC$72,10,FALSE)+VLOOKUP($B81,'[3]Delta Yearly'!$A$1:$AC$72,12,FALSE)+VLOOKUP($B81,'[3]Delta Yearly'!$A$1:$AC$72,14,FALSE)+VLOOKUP($B81,'[3]Delta Yearly'!$A$1:$AC$72,16,FALSE)+VLOOKUP($B81,'[3]Delta Yearly'!$A$1:$AC$72,18,FALSE)+VLOOKUP($B81,'[3]Delta Yearly'!$A$1:$AC$72,20,FALSE)+VLOOKUP($B81,'[3]Delta Yearly'!$A$1:$AC$72,22,FALSE)+VLOOKUP($B81,'[3]Delta Yearly'!$A$1:$AC$72,24,FALSE)+VLOOKUP($B81,'[3]Delta Yearly'!$A$1:$AC$72,26,FALSE)+VLOOKUP($B81,'[3]Delta Yearly'!$A$1:$AC$72,28,FALSE)</f>
        <v>0</v>
      </c>
      <c r="AC81" s="67">
        <f>SUM(AB81,AA81,Z81,R81)</f>
        <v>-35965.359632191634</v>
      </c>
      <c r="AD81" s="38"/>
    </row>
    <row r="82" spans="1:38" s="39" customFormat="1" ht="9" customHeight="1" x14ac:dyDescent="0.3">
      <c r="A82" s="98"/>
      <c r="B82" s="64"/>
      <c r="C82" s="64"/>
      <c r="D82" s="67"/>
      <c r="E82" s="101"/>
      <c r="F82" s="101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94"/>
      <c r="S82" s="84"/>
      <c r="T82" s="84"/>
      <c r="U82" s="84"/>
      <c r="V82" s="84"/>
      <c r="W82" s="84"/>
      <c r="X82" s="84"/>
      <c r="Y82" s="84"/>
      <c r="Z82" s="94"/>
      <c r="AA82" s="94"/>
      <c r="AB82" s="126"/>
      <c r="AC82" s="67"/>
      <c r="AD82" s="38"/>
    </row>
    <row r="83" spans="1:38" s="39" customFormat="1" x14ac:dyDescent="0.3">
      <c r="A83" s="98" t="s">
        <v>153</v>
      </c>
      <c r="B83" s="64" t="s">
        <v>154</v>
      </c>
      <c r="C83" t="s">
        <v>155</v>
      </c>
      <c r="D83" s="67" t="s">
        <v>156</v>
      </c>
      <c r="E83" s="93">
        <f>(VLOOKUP(C83,[6]Sheet1!$B$1:$G$65,2,0))*-1</f>
        <v>1688.6485006832102</v>
      </c>
      <c r="F83" s="93">
        <f>(VLOOKUP(C83,[6]Sheet1!$B$1:$G$65,4,0))</f>
        <v>66.811432682930217</v>
      </c>
      <c r="G83" s="45">
        <f>VLOOKUP($B83,'[4]Delta Monthly'!$A$1:$AW$55,4,1)</f>
        <v>0</v>
      </c>
      <c r="H83" s="45">
        <f>VLOOKUP($B83,'[4]Delta Monthly'!$A$1:$AW$55,6,1)</f>
        <v>0</v>
      </c>
      <c r="I83" s="45">
        <f>VLOOKUP($B83,'[4]Delta Monthly'!$A$1:$AW$55,8,1)</f>
        <v>0</v>
      </c>
      <c r="J83" s="45">
        <f>VLOOKUP($B83,'[4]Delta Monthly'!$A$1:$AW$55,10,0)</f>
        <v>0</v>
      </c>
      <c r="K83" s="45">
        <f>VLOOKUP($B83,'[4]Delta Monthly'!$A$1:$AW$55,12,0)</f>
        <v>0</v>
      </c>
      <c r="L83" s="45">
        <f>VLOOKUP($B83,'[4]Delta Monthly'!$A$1:$AW$55,14,0)</f>
        <v>0</v>
      </c>
      <c r="M83" s="45">
        <f>VLOOKUP($B83,'[4]Delta Monthly'!$A$1:$AW$55,16,0)</f>
        <v>0</v>
      </c>
      <c r="N83" s="45">
        <f>VLOOKUP($B83,'[4]Delta Monthly'!$A$1:$AW$55,18,0)</f>
        <v>0</v>
      </c>
      <c r="O83" s="45">
        <f>VLOOKUP($B83,'[4]Delta Monthly'!$A$1:$AW$72,20,FALSE)</f>
        <v>0</v>
      </c>
      <c r="P83" s="45">
        <f>VLOOKUP($B83,'[4]Delta Monthly'!$A$1:$AW$72,22,FALSE)</f>
        <v>5589.8622882416948</v>
      </c>
      <c r="Q83" s="45">
        <f>VLOOKUP($B83,'[4]Delta Monthly'!$A$1:$AW$72,24,FALSE)</f>
        <v>0</v>
      </c>
      <c r="R83" s="67">
        <f>SUM(G83:Q83)</f>
        <v>5589.8622882416948</v>
      </c>
      <c r="S83" s="45">
        <f>VLOOKUP($B83,'[4]Delta Monthly'!$A$1:$AW$72,26,FALSE)+VLOOKUP($B83,'[4]Delta Monthly'!$A$1:$AW$72,28,FALSE)</f>
        <v>0</v>
      </c>
      <c r="T83" s="45">
        <f>VLOOKUP($B83,'[4]Delta Monthly'!$A$1:$AW$72,30,FALSE)+VLOOKUP($B83,'[4]Delta Monthly'!$A$1:$AW$72,32,FALSE)</f>
        <v>0</v>
      </c>
      <c r="U83" s="45">
        <f>VLOOKUP($B83,'[4]Delta Monthly'!$A$1:$AW$72,34,FALSE)</f>
        <v>0</v>
      </c>
      <c r="V83" s="45">
        <f>VLOOKUP($B83,'[4]Delta Monthly'!$A$1:$AW$72,36,FALSE)</f>
        <v>0</v>
      </c>
      <c r="W83" s="45">
        <f>VLOOKUP($B83,'[4]Delta Monthly'!$A$1:$AW$72,38,FALSE)+VLOOKUP($B83,'[4]Delta Monthly'!$A$1:$AW$72,40,FALSE)</f>
        <v>0</v>
      </c>
      <c r="X83" s="45">
        <f>VLOOKUP($B83,'[4]Delta Monthly'!$A$1:$AW$72,42,FALSE)</f>
        <v>0</v>
      </c>
      <c r="Y83" s="45">
        <f>VLOOKUP($B83,'[4]Delta Monthly'!$A$1:$AW$72,44,FALSE)+VLOOKUP($B83,'[4]Delta Monthly'!$A$1:$AW$72,46,FALSE)+VLOOKUP($B83,'[4]Delta Monthly'!$A$1:$AW$72,48,FALSE)</f>
        <v>0</v>
      </c>
      <c r="Z83" s="67">
        <f>SUM(S83:Y83)</f>
        <v>0</v>
      </c>
      <c r="AA83" s="67">
        <f>VLOOKUP($B83,'[3]Delta Yearly'!$A$1:$AD$72,4,FALSE)</f>
        <v>0</v>
      </c>
      <c r="AB83" s="44">
        <f>VLOOKUP($B83,'[3]Delta Yearly'!$A$1:$AC$72,6,FALSE)+VLOOKUP($B83,'[3]Delta Yearly'!$A$1:$AC$72,8,FALSE)+VLOOKUP($B83,'[3]Delta Yearly'!$A$1:$AC$72,10,FALSE)+VLOOKUP($B83,'[3]Delta Yearly'!$A$1:$AC$72,12,FALSE)+VLOOKUP($B83,'[3]Delta Yearly'!$A$1:$AC$72,14,FALSE)+VLOOKUP($B83,'[3]Delta Yearly'!$A$1:$AC$72,16,FALSE)+VLOOKUP($B83,'[3]Delta Yearly'!$A$1:$AC$72,18,FALSE)+VLOOKUP($B83,'[3]Delta Yearly'!$A$1:$AC$72,20,FALSE)+VLOOKUP($B83,'[3]Delta Yearly'!$A$1:$AC$72,22,FALSE)+VLOOKUP($B83,'[3]Delta Yearly'!$A$1:$AC$72,24,FALSE)+VLOOKUP($B83,'[3]Delta Yearly'!$A$1:$AC$72,26,FALSE)+VLOOKUP($B83,'[3]Delta Yearly'!$A$1:$AC$72,28,FALSE)</f>
        <v>0</v>
      </c>
      <c r="AC83" s="67">
        <f>SUM(AB83,AA83,Z83,R83)</f>
        <v>5589.8622882416948</v>
      </c>
      <c r="AD83" s="38"/>
    </row>
    <row r="84" spans="1:38" s="39" customFormat="1" ht="9" customHeight="1" x14ac:dyDescent="0.3">
      <c r="A84" s="98"/>
      <c r="B84" s="82"/>
      <c r="C84" s="64" t="s">
        <v>157</v>
      </c>
      <c r="D84" s="67"/>
      <c r="E84" s="101"/>
      <c r="F84" s="101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67"/>
      <c r="S84" s="44"/>
      <c r="T84" s="44"/>
      <c r="U84" s="44"/>
      <c r="V84" s="44"/>
      <c r="W84" s="44"/>
      <c r="X84" s="44"/>
      <c r="Y84" s="44"/>
      <c r="Z84" s="67"/>
      <c r="AA84" s="67"/>
      <c r="AB84" s="126"/>
      <c r="AC84" s="67"/>
      <c r="AD84" s="38"/>
    </row>
    <row r="85" spans="1:38" s="39" customFormat="1" x14ac:dyDescent="0.3">
      <c r="A85" s="98" t="s">
        <v>158</v>
      </c>
      <c r="B85" s="64" t="s">
        <v>159</v>
      </c>
      <c r="C85" t="s">
        <v>160</v>
      </c>
      <c r="D85" s="67" t="s">
        <v>161</v>
      </c>
      <c r="E85" s="93">
        <f>(VLOOKUP(C85,[6]Sheet1!$B$1:$G$65,2,0))*-1</f>
        <v>47051.723644557103</v>
      </c>
      <c r="F85" s="93">
        <f>(VLOOKUP(C85,[6]Sheet1!$B$1:$G$65,4,0))</f>
        <v>1117.2940252565022</v>
      </c>
      <c r="G85" s="45">
        <f>VLOOKUP($B85,'[4]Delta Monthly'!$A$1:$AW$55,4,1)</f>
        <v>0</v>
      </c>
      <c r="H85" s="45">
        <f>VLOOKUP($B85,'[4]Delta Monthly'!$A$1:$AW$55,6,FALSE)</f>
        <v>0</v>
      </c>
      <c r="I85" s="45">
        <f>VLOOKUP($B85,'[4]Delta Monthly'!$A$1:$AW$55,8,FALSE)</f>
        <v>0</v>
      </c>
      <c r="J85" s="45">
        <f>VLOOKUP($B85,'[4]Delta Monthly'!$A$1:$AW$55,10,FALSE)</f>
        <v>0</v>
      </c>
      <c r="K85" s="45">
        <f>VLOOKUP($B85,'[4]Delta Monthly'!$A$1:$AW$55,12,FALSE)</f>
        <v>0</v>
      </c>
      <c r="L85" s="45">
        <f>VLOOKUP($B85,'[4]Delta Monthly'!$A$1:$AW$55,14,FALSE)</f>
        <v>0</v>
      </c>
      <c r="M85" s="45">
        <f>+VLOOKUP($B85,'[4]Delta Monthly'!$A$1:$AW$55,16,FALSE)</f>
        <v>0</v>
      </c>
      <c r="N85" s="45">
        <f>VLOOKUP($B85,'[4]Delta Monthly'!$A$1:$AW$55,18,FALSE)</f>
        <v>0</v>
      </c>
      <c r="O85" s="45">
        <f>VLOOKUP($B85,'[4]Delta Monthly'!$A$1:$AW$72,20,FALSE)</f>
        <v>0</v>
      </c>
      <c r="P85" s="45">
        <f>VLOOKUP($B85,'[4]Delta Monthly'!$A$1:$AW$72,22,FALSE)</f>
        <v>4.2963933873418556</v>
      </c>
      <c r="Q85" s="45">
        <f>VLOOKUP($B85,'[4]Delta Monthly'!$A$1:$AW$72,24,FALSE)</f>
        <v>-4045.5543010779847</v>
      </c>
      <c r="R85" s="67">
        <f>SUM(G85:Q85)</f>
        <v>-4041.2579076906427</v>
      </c>
      <c r="S85" s="45">
        <f>VLOOKUP($B85,'[4]Delta Monthly'!$A$1:$AW$72,26,FALSE)+VLOOKUP($B85,'[4]Delta Monthly'!$A$1:$AW$72,28,FALSE)</f>
        <v>48348.581196156039</v>
      </c>
      <c r="T85" s="45">
        <f>VLOOKUP($B85,'[4]Delta Monthly'!$A$1:$AW$72,30,FALSE)+VLOOKUP($B85,'[4]Delta Monthly'!$A$1:$AW$72,32,FALSE)</f>
        <v>-1298.6013093694501</v>
      </c>
      <c r="U85" s="45">
        <f>VLOOKUP($B85,'[4]Delta Monthly'!$A$1:$AW$72,34,FALSE)</f>
        <v>7784.1299296144698</v>
      </c>
      <c r="V85" s="45">
        <f>VLOOKUP($B85,'[4]Delta Monthly'!$A$1:$AW$72,36,FALSE)</f>
        <v>-15207.3171774409</v>
      </c>
      <c r="W85" s="45">
        <f>VLOOKUP($B85,'[4]Delta Monthly'!$A$1:$AW$72,38,FALSE)+VLOOKUP($B85,'[4]Delta Monthly'!$A$1:$AW$72,40,FALSE)</f>
        <v>-44724.509534868354</v>
      </c>
      <c r="X85" s="45">
        <f>VLOOKUP($B85,'[4]Delta Monthly'!$A$1:$AW$72,42,FALSE)</f>
        <v>-6371.2436322511703</v>
      </c>
      <c r="Y85" s="45">
        <f>VLOOKUP($B85,'[4]Delta Monthly'!$A$1:$AW$72,44,FALSE)+VLOOKUP($B85,'[4]Delta Monthly'!$A$1:$AW$72,46,FALSE)+VLOOKUP($B85,'[4]Delta Monthly'!$A$1:$AW$72,48,FALSE)</f>
        <v>23048.473993767431</v>
      </c>
      <c r="Z85" s="67">
        <f>SUM(S85:Y85)</f>
        <v>11579.51346560807</v>
      </c>
      <c r="AA85" s="67">
        <f>VLOOKUP($B85,'[3]Delta Yearly'!$A$1:$AD$72,4,FALSE)</f>
        <v>-45600.147467500923</v>
      </c>
      <c r="AB85" s="44">
        <f>VLOOKUP($B85,'[3]Delta Yearly'!$A$1:$AC$72,6,FALSE)+VLOOKUP($B85,'[3]Delta Yearly'!$A$1:$AC$72,8,FALSE)+VLOOKUP($B85,'[3]Delta Yearly'!$A$1:$AC$72,10,FALSE)+VLOOKUP($B85,'[3]Delta Yearly'!$A$1:$AC$72,12,FALSE)+VLOOKUP($B85,'[3]Delta Yearly'!$A$1:$AC$72,14,FALSE)+VLOOKUP($B85,'[3]Delta Yearly'!$A$1:$AC$72,16,FALSE)+VLOOKUP($B85,'[3]Delta Yearly'!$A$1:$AC$72,18,FALSE)+VLOOKUP($B85,'[3]Delta Yearly'!$A$1:$AC$72,20,FALSE)+VLOOKUP($B85,'[3]Delta Yearly'!$A$1:$AC$72,22,FALSE)+VLOOKUP($B85,'[3]Delta Yearly'!$A$1:$AC$72,24,FALSE)+VLOOKUP($B85,'[3]Delta Yearly'!$A$1:$AC$72,26,FALSE)+VLOOKUP($B85,'[3]Delta Yearly'!$A$1:$AC$72,28,FALSE)</f>
        <v>0</v>
      </c>
      <c r="AC85" s="67">
        <f>SUM(AB85,AA85,Z85,R85)</f>
        <v>-38061.891909583494</v>
      </c>
      <c r="AD85" s="38"/>
    </row>
    <row r="86" spans="1:38" s="39" customFormat="1" ht="9" customHeight="1" thickBot="1" x14ac:dyDescent="0.35">
      <c r="A86" s="98"/>
      <c r="B86" s="64"/>
      <c r="C86" s="64"/>
      <c r="D86" s="67"/>
      <c r="E86" s="112"/>
      <c r="F86" s="112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110"/>
      <c r="S86" s="65"/>
      <c r="T86" s="65"/>
      <c r="U86" s="65"/>
      <c r="V86" s="65"/>
      <c r="W86" s="65"/>
      <c r="X86" s="65"/>
      <c r="Y86" s="65"/>
      <c r="Z86" s="110"/>
      <c r="AA86" s="110"/>
      <c r="AB86" s="129"/>
      <c r="AC86" s="67"/>
      <c r="AD86" s="38"/>
    </row>
    <row r="87" spans="1:38" s="39" customFormat="1" ht="18" thickBot="1" x14ac:dyDescent="0.35">
      <c r="A87" s="113" t="s">
        <v>162</v>
      </c>
      <c r="B87" s="114" t="s">
        <v>162</v>
      </c>
      <c r="C87" s="159" t="s">
        <v>163</v>
      </c>
      <c r="D87" s="115"/>
      <c r="E87" s="120">
        <f>(VLOOKUP(C87,[6]Sheet1!$B$1:$G$65,2,0))*-1</f>
        <v>5231246.1395960599</v>
      </c>
      <c r="F87" s="120">
        <f>(VLOOKUP(C87,[6]Sheet1!$B$1:$G$65,4,0))</f>
        <v>326927.97218335979</v>
      </c>
      <c r="G87" s="118">
        <f>SUM(G77,G79)</f>
        <v>0</v>
      </c>
      <c r="H87" s="118">
        <f>SUM(H77,H79)</f>
        <v>0</v>
      </c>
      <c r="I87" s="118">
        <f>SUM(I77,I79)</f>
        <v>0</v>
      </c>
      <c r="J87" s="118">
        <f>SUM(J77:J83)</f>
        <v>0</v>
      </c>
      <c r="K87" s="118">
        <f>SUM(K77,K79,K81,K83,K85)</f>
        <v>0</v>
      </c>
      <c r="L87" s="118">
        <f>SUM(L77,L79,L81,L83,L85)</f>
        <v>0</v>
      </c>
      <c r="M87" s="118">
        <f t="shared" ref="M87:AC87" si="6">SUM(M77,M79,M81,M83,M85,M75)</f>
        <v>0</v>
      </c>
      <c r="N87" s="118">
        <f t="shared" si="6"/>
        <v>0</v>
      </c>
      <c r="O87" s="118">
        <f t="shared" si="6"/>
        <v>0</v>
      </c>
      <c r="P87" s="118">
        <f t="shared" si="6"/>
        <v>-59195.459590938801</v>
      </c>
      <c r="Q87" s="118">
        <f t="shared" si="6"/>
        <v>-158123.37489106428</v>
      </c>
      <c r="R87" s="115">
        <f t="shared" si="6"/>
        <v>-217318.83448200309</v>
      </c>
      <c r="S87" s="118">
        <f t="shared" si="6"/>
        <v>130869.486893494</v>
      </c>
      <c r="T87" s="118">
        <f t="shared" si="6"/>
        <v>-417036.05653415836</v>
      </c>
      <c r="U87" s="118">
        <f t="shared" si="6"/>
        <v>-517176.32116183551</v>
      </c>
      <c r="V87" s="118">
        <f t="shared" si="6"/>
        <v>37115.372467700778</v>
      </c>
      <c r="W87" s="118">
        <f t="shared" si="6"/>
        <v>-411995.69277650979</v>
      </c>
      <c r="X87" s="118">
        <f t="shared" si="6"/>
        <v>-594049.00224884402</v>
      </c>
      <c r="Y87" s="118">
        <f t="shared" si="6"/>
        <v>-501733.33836460236</v>
      </c>
      <c r="Z87" s="115">
        <f t="shared" si="6"/>
        <v>-2274005.5517247552</v>
      </c>
      <c r="AA87" s="160">
        <f t="shared" si="6"/>
        <v>635762.18299946084</v>
      </c>
      <c r="AB87" s="132">
        <f t="shared" si="6"/>
        <v>-491673.31262949354</v>
      </c>
      <c r="AC87" s="115">
        <f t="shared" si="6"/>
        <v>-2347235.5158367911</v>
      </c>
      <c r="AD87" s="133"/>
    </row>
    <row r="88" spans="1:38" s="39" customFormat="1" x14ac:dyDescent="0.3">
      <c r="A88" s="165"/>
      <c r="B88" s="165"/>
      <c r="C88" s="165"/>
      <c r="D88" s="166"/>
      <c r="E88" s="165"/>
      <c r="F88" s="1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/>
      <c r="X88" s="3"/>
      <c r="Y88" s="5"/>
      <c r="Z88" s="5"/>
      <c r="AA88" s="3"/>
      <c r="AB88" s="3"/>
      <c r="AC88" s="3"/>
      <c r="AD88" s="38"/>
    </row>
    <row r="89" spans="1:38" x14ac:dyDescent="0.3">
      <c r="A89" s="165"/>
      <c r="B89" s="165"/>
      <c r="C89" s="165"/>
      <c r="D89" s="166"/>
      <c r="E89" s="165"/>
      <c r="F89" s="165"/>
    </row>
    <row r="90" spans="1:38" x14ac:dyDescent="0.3">
      <c r="A90" s="165"/>
      <c r="B90" s="165"/>
      <c r="C90" s="165"/>
      <c r="D90" s="166"/>
      <c r="E90" s="165"/>
      <c r="F90" s="165"/>
    </row>
    <row r="91" spans="1:38" ht="18" thickBot="1" x14ac:dyDescent="0.35">
      <c r="A91" s="165"/>
      <c r="B91" s="165"/>
      <c r="C91" s="165"/>
      <c r="D91" s="166"/>
      <c r="E91" s="165"/>
      <c r="F91" s="165"/>
    </row>
    <row r="92" spans="1:38" x14ac:dyDescent="0.3">
      <c r="A92" s="7" t="s">
        <v>0</v>
      </c>
      <c r="B92" s="8"/>
      <c r="C92" s="8"/>
      <c r="D92" s="9" t="s">
        <v>1</v>
      </c>
      <c r="E92" s="8"/>
      <c r="F92" s="8" t="s">
        <v>2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3"/>
      <c r="S92" s="13"/>
      <c r="T92" s="11"/>
      <c r="U92" s="11"/>
      <c r="V92" s="11"/>
      <c r="W92" s="11"/>
      <c r="X92" s="11"/>
      <c r="Y92" s="11"/>
      <c r="Z92" s="12"/>
      <c r="AA92" s="15"/>
      <c r="AB92" s="12"/>
      <c r="AC92" s="15"/>
    </row>
    <row r="93" spans="1:38" ht="18" thickBot="1" x14ac:dyDescent="0.35">
      <c r="A93" s="16" t="s">
        <v>3</v>
      </c>
      <c r="B93" s="17"/>
      <c r="C93" s="17"/>
      <c r="D93" s="18" t="s">
        <v>3</v>
      </c>
      <c r="E93" s="17" t="s">
        <v>4</v>
      </c>
      <c r="F93" s="17" t="s">
        <v>4</v>
      </c>
      <c r="G93" s="20" t="s">
        <v>5</v>
      </c>
      <c r="H93" s="20" t="s">
        <v>6</v>
      </c>
      <c r="I93" s="20" t="s">
        <v>7</v>
      </c>
      <c r="J93" s="20" t="s">
        <v>8</v>
      </c>
      <c r="K93" s="20" t="s">
        <v>9</v>
      </c>
      <c r="L93" s="20" t="s">
        <v>10</v>
      </c>
      <c r="M93" s="20" t="s">
        <v>11</v>
      </c>
      <c r="N93" s="20" t="s">
        <v>12</v>
      </c>
      <c r="O93" s="20" t="s">
        <v>13</v>
      </c>
      <c r="P93" s="20" t="s">
        <v>14</v>
      </c>
      <c r="Q93" s="20" t="s">
        <v>15</v>
      </c>
      <c r="R93" s="22" t="s">
        <v>16</v>
      </c>
      <c r="S93" s="22" t="s">
        <v>17</v>
      </c>
      <c r="T93" s="20" t="s">
        <v>18</v>
      </c>
      <c r="U93" s="20" t="s">
        <v>19</v>
      </c>
      <c r="V93" s="20" t="s">
        <v>20</v>
      </c>
      <c r="W93" s="20" t="s">
        <v>21</v>
      </c>
      <c r="X93" s="20" t="s">
        <v>22</v>
      </c>
      <c r="Y93" s="20" t="s">
        <v>23</v>
      </c>
      <c r="Z93" s="23">
        <v>2002</v>
      </c>
      <c r="AA93" s="24">
        <v>2003</v>
      </c>
      <c r="AB93" s="21" t="s">
        <v>164</v>
      </c>
      <c r="AC93" s="26" t="s">
        <v>25</v>
      </c>
    </row>
    <row r="94" spans="1:38" ht="18" thickBot="1" x14ac:dyDescent="0.35">
      <c r="A94" s="167"/>
      <c r="B94" s="165"/>
      <c r="C94" s="165"/>
      <c r="D94" s="166"/>
      <c r="E94" s="165"/>
      <c r="F94" s="165"/>
      <c r="AF94" s="379" t="s">
        <v>165</v>
      </c>
      <c r="AG94" s="380"/>
      <c r="AH94" s="380"/>
      <c r="AI94" s="380"/>
      <c r="AJ94" s="381"/>
    </row>
    <row r="95" spans="1:38" ht="18" thickBot="1" x14ac:dyDescent="0.35">
      <c r="A95" s="165"/>
      <c r="B95" s="165"/>
      <c r="C95" s="165"/>
      <c r="D95" s="166"/>
      <c r="E95" s="165"/>
      <c r="F95" s="165"/>
      <c r="AF95" s="2" t="s">
        <v>166</v>
      </c>
    </row>
    <row r="96" spans="1:38" ht="38.25" customHeight="1" thickBot="1" x14ac:dyDescent="0.35">
      <c r="A96" s="168"/>
      <c r="B96" s="169"/>
      <c r="C96" s="169"/>
      <c r="D96" s="170" t="s">
        <v>167</v>
      </c>
      <c r="E96" s="171"/>
      <c r="F96" s="171"/>
      <c r="G96" s="122"/>
      <c r="H96" s="122"/>
      <c r="I96" s="122"/>
      <c r="J96" s="122" t="s">
        <v>168</v>
      </c>
      <c r="K96" s="122"/>
      <c r="L96" s="122"/>
      <c r="M96" s="122"/>
      <c r="N96" s="122"/>
      <c r="O96" s="122"/>
      <c r="P96" s="122"/>
      <c r="Q96" s="122"/>
      <c r="R96" s="172"/>
      <c r="S96" s="121"/>
      <c r="T96" s="122"/>
      <c r="U96" s="122"/>
      <c r="V96" s="122"/>
      <c r="W96" s="122"/>
      <c r="X96" s="122"/>
      <c r="Y96" s="122"/>
      <c r="Z96" s="173"/>
      <c r="AA96" s="174"/>
      <c r="AB96" s="172"/>
      <c r="AC96" s="175"/>
      <c r="AF96" s="176" t="s">
        <v>169</v>
      </c>
      <c r="AG96" s="177" t="s">
        <v>170</v>
      </c>
      <c r="AH96" s="177" t="s">
        <v>171</v>
      </c>
      <c r="AI96" s="177" t="s">
        <v>172</v>
      </c>
      <c r="AJ96" s="177" t="s">
        <v>173</v>
      </c>
      <c r="AK96" s="178"/>
      <c r="AL96" s="178"/>
    </row>
    <row r="97" spans="1:38" ht="15" customHeight="1" x14ac:dyDescent="0.3">
      <c r="A97" s="179"/>
      <c r="B97" s="180"/>
      <c r="C97" s="180"/>
      <c r="D97" s="181"/>
      <c r="E97" s="182"/>
      <c r="F97" s="182"/>
      <c r="G97" s="64"/>
      <c r="H97" s="64"/>
      <c r="I97" s="64"/>
      <c r="J97" s="42"/>
      <c r="K97" s="42"/>
      <c r="L97" s="42"/>
      <c r="M97" s="42"/>
      <c r="N97" s="42"/>
      <c r="O97" s="42"/>
      <c r="P97" s="42"/>
      <c r="Q97" s="42"/>
      <c r="R97" s="183"/>
      <c r="S97" s="184"/>
      <c r="T97" s="184"/>
      <c r="U97" s="184"/>
      <c r="V97" s="184"/>
      <c r="W97" s="184"/>
      <c r="X97" s="184"/>
      <c r="Y97" s="184"/>
      <c r="Z97" s="183"/>
      <c r="AA97" s="183"/>
      <c r="AB97" s="183"/>
      <c r="AC97" s="183"/>
      <c r="AF97" s="185"/>
      <c r="AG97" s="185"/>
      <c r="AH97" s="186"/>
      <c r="AI97" s="187"/>
      <c r="AJ97" s="186"/>
      <c r="AK97" s="178"/>
      <c r="AL97" s="178"/>
    </row>
    <row r="98" spans="1:38" ht="19.5" hidden="1" customHeight="1" x14ac:dyDescent="0.3">
      <c r="A98" s="188" t="s">
        <v>174</v>
      </c>
      <c r="B98" s="189"/>
      <c r="C98" s="189"/>
      <c r="D98" s="190" t="s">
        <v>175</v>
      </c>
      <c r="E98" s="191"/>
      <c r="F98" s="191"/>
      <c r="G98" s="192"/>
      <c r="H98" s="152"/>
      <c r="I98" s="152"/>
      <c r="J98" s="152"/>
      <c r="K98" s="152"/>
      <c r="L98" s="152"/>
      <c r="M98" s="152">
        <f>'[1]sprdoptgas positions'!D7</f>
        <v>0</v>
      </c>
      <c r="N98" s="152">
        <v>0</v>
      </c>
      <c r="O98" s="152">
        <f>'[1]sprdoptgas positions'!E8</f>
        <v>0</v>
      </c>
      <c r="P98" s="152">
        <f>'[1]sprdoptgas positions'!F8</f>
        <v>0</v>
      </c>
      <c r="Q98" s="152">
        <f>'[1]sprdoptgas positions'!G8</f>
        <v>0</v>
      </c>
      <c r="R98" s="149">
        <f>'[1]sprdoptgas positions'!H8</f>
        <v>0</v>
      </c>
      <c r="S98" s="152">
        <f>'[1]sprdoptgas positions'!I8</f>
        <v>0</v>
      </c>
      <c r="T98" s="152">
        <f>'[1]sprdoptgas positions'!J8</f>
        <v>0</v>
      </c>
      <c r="U98" s="152">
        <f>'[1]sprdoptgas positions'!K8</f>
        <v>0</v>
      </c>
      <c r="V98" s="152">
        <f>'[1]sprdoptgas positions'!L8</f>
        <v>0</v>
      </c>
      <c r="W98" s="152">
        <f>'[1]sprdoptgas positions'!M8</f>
        <v>0</v>
      </c>
      <c r="X98" s="152">
        <f>'[1]sprdoptgas positions'!N8</f>
        <v>0</v>
      </c>
      <c r="Y98" s="152">
        <f>'[1]sprdoptgas positions'!O8</f>
        <v>0</v>
      </c>
      <c r="Z98" s="150">
        <f>'[1]sprdoptgas positions'!P8</f>
        <v>0</v>
      </c>
      <c r="AA98" s="150">
        <f>'[1]sprdoptgas positions'!Q8</f>
        <v>0</v>
      </c>
      <c r="AB98" s="150">
        <f>'[1]sprdoptgas positions'!R8</f>
        <v>0</v>
      </c>
      <c r="AC98" s="149">
        <f>SUM(R98,Z98:AB98)</f>
        <v>0</v>
      </c>
      <c r="AF98" s="193"/>
      <c r="AG98" s="193"/>
      <c r="AH98" s="194"/>
      <c r="AI98" s="178"/>
      <c r="AJ98" s="194"/>
      <c r="AK98" s="178"/>
      <c r="AL98" s="178"/>
    </row>
    <row r="99" spans="1:38" hidden="1" x14ac:dyDescent="0.3">
      <c r="A99" s="188" t="s">
        <v>174</v>
      </c>
      <c r="B99" s="195" t="s">
        <v>176</v>
      </c>
      <c r="C99" s="195"/>
      <c r="D99" s="190" t="s">
        <v>177</v>
      </c>
      <c r="E99" s="191"/>
      <c r="F99" s="191"/>
      <c r="G99" s="152"/>
      <c r="H99" s="152"/>
      <c r="I99" s="152"/>
      <c r="J99" s="152"/>
      <c r="K99" s="152"/>
      <c r="L99" s="152"/>
      <c r="M99" s="152">
        <f>VLOOKUP($B99,'[4]Delta Monthly'!$A$1:$AW$56,16,1)</f>
        <v>0</v>
      </c>
      <c r="N99" s="152">
        <f>VLOOKUP($B99,'[4]Delta Monthly'!$A$1:$AW$71,18,1)</f>
        <v>0</v>
      </c>
      <c r="O99" s="152">
        <f>VLOOKUP($B99,'[4]Delta Monthly'!$A$1:$AW$71,20,FALSE)</f>
        <v>0</v>
      </c>
      <c r="P99" s="152">
        <f>VLOOKUP($B99,'[4]Delta Monthly'!$A$1:$AW$71,22,FALSE)</f>
        <v>-1347500</v>
      </c>
      <c r="Q99" s="152">
        <f>VLOOKUP($B99,'[4]Delta Monthly'!$A$1:$AW$71,24,FALSE)</f>
        <v>-2996387.5929999999</v>
      </c>
      <c r="R99" s="149">
        <f>SUM(G99:Q99)</f>
        <v>-4343887.5930000003</v>
      </c>
      <c r="S99" s="152">
        <f>VLOOKUP($B99,'[4]Delta Monthly'!$A$1:$AW$71,26,FALSE)+VLOOKUP($B99,'[4]Delta Monthly'!$A$1:$AW$71,28,FALSE)</f>
        <v>-2841743.2308000005</v>
      </c>
      <c r="T99" s="152">
        <f>VLOOKUP($B99,'[4]Delta Monthly'!$A$1:$AW$71,30,FALSE)+VLOOKUP($B99,'[4]Delta Monthly'!$A$1:$AW$71,32,FALSE)</f>
        <v>-1007331.4234000001</v>
      </c>
      <c r="U99" s="152">
        <f>VLOOKUP($B99,'[4]Delta Monthly'!$A$1:$AW$71,34,FALSE)</f>
        <v>-919408.66780000005</v>
      </c>
      <c r="V99" s="152">
        <f>VLOOKUP($B99,'[4]Delta Monthly'!$A$1:$AW$71,36,FALSE)</f>
        <v>-816292.91980000003</v>
      </c>
      <c r="W99" s="152">
        <f>VLOOKUP($B99,'[4]Delta Monthly'!$A$1:$AW$71,38,FALSE)+VLOOKUP($B99,'[4]Delta Monthly'!$A$1:$AW$71,40,FALSE)</f>
        <v>-1829553.7220999999</v>
      </c>
      <c r="X99" s="152">
        <f>VLOOKUP($B99,'[4]Delta Monthly'!$A$1:$AW$71,42,FALSE)</f>
        <v>-2775175.5033999998</v>
      </c>
      <c r="Y99" s="152">
        <f>VLOOKUP($B99,'[4]Delta Monthly'!$A$1:$AW$71,44,FALSE)+VLOOKUP($B99,'[4]Delta Monthly'!$A$1:$AW$71,46,FALSE)+VLOOKUP($B99,'[4]Delta Monthly'!$A$1:$AW$71,48,FALSE)</f>
        <v>630935.12239999999</v>
      </c>
      <c r="Z99" s="149">
        <f>SUM(S99:Y99)</f>
        <v>-9558570.3449000008</v>
      </c>
      <c r="AA99" s="149">
        <f>VLOOKUP($B99,'[3]Delta Yearly'!$A$1:$AD$71,4,FALSE)</f>
        <v>-9240454.1844999995</v>
      </c>
      <c r="AB99" s="149">
        <f>VLOOKUP($B99,'[3]Delta Yearly'!$A$1:$AC$56,6,FALSE)+VLOOKUP($B99,'[3]Delta Yearly'!$A$1:$AC$56,8,FALSE)+VLOOKUP($B99,'[3]Delta Yearly'!$A$1:$AC$56,10,FALSE)+VLOOKUP($B99,'[3]Delta Yearly'!$A$1:$AC$56,12,FALSE)+VLOOKUP($B99,'[3]Delta Yearly'!$A$1:$AC$56,14,FALSE)+VLOOKUP($B99,'[3]Delta Yearly'!$A$1:$AC$56,16,FALSE)+VLOOKUP($B99,'[3]Delta Yearly'!$A$1:$AC$56,18,FALSE)+VLOOKUP($B99,'[3]Delta Yearly'!$A$1:$AC$56,20,FALSE)+VLOOKUP($B99,'[3]Delta Yearly'!$A$1:$AC$56,22,FALSE)+VLOOKUP($B99,'[3]Delta Yearly'!$A$1:$AC$56,24,FALSE)+VLOOKUP($B99,'[3]Delta Yearly'!$A$1:$AC$56,26,FALSE)+VLOOKUP($B99,'[3]Delta Yearly'!$A$1:$AC$56,28,FALSE)</f>
        <v>0</v>
      </c>
      <c r="AC99" s="149">
        <f>SUM(AB99,AA99,Z99,R99)</f>
        <v>-23142912.122400001</v>
      </c>
      <c r="AE99" s="40"/>
      <c r="AF99" s="193"/>
      <c r="AG99" s="193"/>
      <c r="AH99" s="194"/>
      <c r="AI99" s="178"/>
      <c r="AJ99" s="194"/>
      <c r="AK99" s="178"/>
      <c r="AL99" s="178"/>
    </row>
    <row r="100" spans="1:38" x14ac:dyDescent="0.3">
      <c r="A100" s="196" t="s">
        <v>174</v>
      </c>
      <c r="B100" s="165" t="s">
        <v>176</v>
      </c>
      <c r="C100" s="2" t="s">
        <v>178</v>
      </c>
      <c r="D100" s="181" t="s">
        <v>36</v>
      </c>
      <c r="E100" s="93">
        <f>(VLOOKUP(C100,[6]Sheet1!$B$1:$G$65,2,0))*-1</f>
        <v>2846731.2215395598</v>
      </c>
      <c r="F100" s="93">
        <f>(VLOOKUP(C100,[6]Sheet1!$B$1:$G$65,4,0))</f>
        <v>86818.914643050171</v>
      </c>
      <c r="G100" s="45"/>
      <c r="H100" s="45"/>
      <c r="I100" s="45"/>
      <c r="J100" s="45"/>
      <c r="K100" s="45"/>
      <c r="L100" s="45"/>
      <c r="M100" s="45"/>
      <c r="N100" s="45"/>
      <c r="O100" s="45">
        <f t="shared" ref="O100:AC100" si="7">SUM(O98:O99)/10000</f>
        <v>0</v>
      </c>
      <c r="P100" s="45">
        <f t="shared" si="7"/>
        <v>-134.75</v>
      </c>
      <c r="Q100" s="45">
        <f t="shared" si="7"/>
        <v>-299.6387593</v>
      </c>
      <c r="R100" s="67">
        <f t="shared" si="7"/>
        <v>-434.38875930000006</v>
      </c>
      <c r="S100" s="45">
        <f t="shared" si="7"/>
        <v>-284.17432308000002</v>
      </c>
      <c r="T100" s="45">
        <f t="shared" si="7"/>
        <v>-100.73314234000001</v>
      </c>
      <c r="U100" s="45">
        <f t="shared" si="7"/>
        <v>-91.940866780000007</v>
      </c>
      <c r="V100" s="45">
        <f t="shared" si="7"/>
        <v>-81.629291980000005</v>
      </c>
      <c r="W100" s="45">
        <f t="shared" si="7"/>
        <v>-182.95537220999998</v>
      </c>
      <c r="X100" s="45">
        <f t="shared" si="7"/>
        <v>-277.51755033999996</v>
      </c>
      <c r="Y100" s="45">
        <f t="shared" si="7"/>
        <v>63.093512240000003</v>
      </c>
      <c r="Z100" s="67">
        <f t="shared" si="7"/>
        <v>-955.85703449000005</v>
      </c>
      <c r="AA100" s="67">
        <f t="shared" si="7"/>
        <v>-924.04541844999994</v>
      </c>
      <c r="AB100" s="67">
        <f t="shared" si="7"/>
        <v>0</v>
      </c>
      <c r="AC100" s="67">
        <f t="shared" si="7"/>
        <v>-2314.2912122400003</v>
      </c>
      <c r="AE100" s="40"/>
      <c r="AF100" s="196" t="s">
        <v>174</v>
      </c>
      <c r="AG100" s="197">
        <f>AC99/10000</f>
        <v>-2314.2912122400003</v>
      </c>
      <c r="AH100" s="198">
        <f>AC98/10000</f>
        <v>0</v>
      </c>
      <c r="AI100" s="199"/>
      <c r="AJ100" s="198">
        <f>SUM(AG100:AI100)</f>
        <v>-2314.2912122400003</v>
      </c>
      <c r="AK100" s="5"/>
      <c r="AL100" s="5"/>
    </row>
    <row r="101" spans="1:38" ht="12" customHeight="1" x14ac:dyDescent="0.3">
      <c r="A101" s="196"/>
      <c r="B101" s="180"/>
      <c r="C101" s="180"/>
      <c r="D101" s="181"/>
      <c r="E101" s="200"/>
      <c r="F101" s="200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67"/>
      <c r="S101" s="44"/>
      <c r="T101" s="44"/>
      <c r="U101" s="44"/>
      <c r="V101" s="44"/>
      <c r="W101" s="44"/>
      <c r="X101" s="44"/>
      <c r="Y101" s="44"/>
      <c r="Z101" s="67"/>
      <c r="AA101" s="67"/>
      <c r="AB101" s="94"/>
      <c r="AC101" s="67"/>
      <c r="AE101" s="40"/>
      <c r="AF101" s="196"/>
      <c r="AG101" s="197"/>
      <c r="AH101" s="198"/>
      <c r="AI101" s="199"/>
      <c r="AJ101" s="198"/>
      <c r="AK101" s="5"/>
      <c r="AL101" s="5"/>
    </row>
    <row r="102" spans="1:38" ht="19.5" customHeight="1" x14ac:dyDescent="0.3">
      <c r="A102" s="196" t="s">
        <v>179</v>
      </c>
      <c r="B102" s="165" t="s">
        <v>180</v>
      </c>
      <c r="C102" s="2" t="s">
        <v>181</v>
      </c>
      <c r="D102" s="181" t="s">
        <v>65</v>
      </c>
      <c r="E102" s="93">
        <f>(VLOOKUP(C102,[6]Sheet1!$B$1:$G$65,2,0))*-1</f>
        <v>3378087.1778517999</v>
      </c>
      <c r="F102" s="93">
        <f>(VLOOKUP(C102,[6]Sheet1!$B$1:$G$65,4,0))</f>
        <v>745582.81187685998</v>
      </c>
      <c r="G102" s="45"/>
      <c r="H102" s="45"/>
      <c r="I102" s="45"/>
      <c r="J102" s="45"/>
      <c r="K102" s="45"/>
      <c r="L102" s="45"/>
      <c r="M102" s="45"/>
      <c r="N102" s="45"/>
      <c r="O102" s="45">
        <f>VLOOKUP($B102,'[4]Delta Monthly'!$A$1:$AW$78,20,FALSE)/10000</f>
        <v>0</v>
      </c>
      <c r="P102" s="45">
        <f>VLOOKUP($B102,'[4]Delta Monthly'!$A$1:$AW$78,22,FALSE)/10000</f>
        <v>-217.25</v>
      </c>
      <c r="Q102" s="45">
        <f>VLOOKUP($B102,'[4]Delta Monthly'!$A$1:$AW$78,24,FALSE)/10000</f>
        <v>-1130.26030481</v>
      </c>
      <c r="R102" s="67">
        <f>SUM(G102:Q102)</f>
        <v>-1347.51030481</v>
      </c>
      <c r="S102" s="45">
        <f>(VLOOKUP($B102,'[4]Delta Monthly'!$A$1:$AW$78,26,FALSE)+VLOOKUP($B102,'[4]Delta Monthly'!$A$1:$AW$78,28,FALSE))/10000</f>
        <v>1771.6830737300002</v>
      </c>
      <c r="T102" s="45">
        <f>(VLOOKUP($B102,'[4]Delta Monthly'!$A$1:$AW$78,30,FALSE)+VLOOKUP($B102,'[4]Delta Monthly'!$A$1:$AW$78,32,FALSE))/10000</f>
        <v>-1044.13426643</v>
      </c>
      <c r="U102" s="45">
        <f>VLOOKUP($B102,'[4]Delta Monthly'!$A$1:$AW$78,34,FALSE)/10000</f>
        <v>-364.50441699999999</v>
      </c>
      <c r="V102" s="45">
        <f>VLOOKUP($B102,'[4]Delta Monthly'!$A$1:$AW$78,36,FALSE)/10000</f>
        <v>-106.68189598000001</v>
      </c>
      <c r="W102" s="45">
        <f>(VLOOKUP($B102,'[4]Delta Monthly'!$A$1:$AW$78,38,FALSE)+VLOOKUP($B102,'[4]Delta Monthly'!$A$1:$AW$78,40,FALSE))/10000</f>
        <v>-232.60996005999999</v>
      </c>
      <c r="X102" s="45">
        <f>VLOOKUP($B102,'[4]Delta Monthly'!$A$1:$AW$78,42,FALSE)/10000</f>
        <v>-105.98918060000001</v>
      </c>
      <c r="Y102" s="45">
        <f>(VLOOKUP($B102,'[4]Delta Monthly'!$A$1:$AW$78,44,FALSE)+VLOOKUP($B102,'[4]Delta Monthly'!$A$1:$AW$78,46,FALSE)+VLOOKUP($B102,'[4]Delta Monthly'!$A$1:$AW$78,48,FALSE))/10000</f>
        <v>796.86227059000009</v>
      </c>
      <c r="Z102" s="67">
        <f>SUM(S102:Y102)</f>
        <v>714.62562425000021</v>
      </c>
      <c r="AA102" s="67">
        <f>VLOOKUP($B102,'[3]Delta Yearly'!$A$1:$AD$78,4,FALSE)/10000</f>
        <v>-131.64475482999998</v>
      </c>
      <c r="AB102" s="67">
        <f>(VLOOKUP($B102,'[3]Delta Yearly'!$A$1:$AC$78,6,FALSE)+VLOOKUP($B102,'[3]Delta Yearly'!$A$1:$AC$78,8,FALSE)+VLOOKUP($B102,'[3]Delta Yearly'!$A$1:$AC$78,10,FALSE)+VLOOKUP($B102,'[3]Delta Yearly'!$A$1:$AC$78,12,FALSE)+VLOOKUP($B102,'[3]Delta Yearly'!$A$1:$AC$78,14,FALSE)+VLOOKUP($B102,'[3]Delta Yearly'!$A$1:$AC$78,16,FALSE)+VLOOKUP($B102,'[3]Delta Yearly'!$A$1:$AC$78,18,FALSE)+VLOOKUP($B102,'[3]Delta Yearly'!$A$1:$AC$78,20,FALSE)+VLOOKUP($B102,'[3]Delta Yearly'!$A$1:$AC$78,22,FALSE)+VLOOKUP($B102,'[3]Delta Yearly'!$A$1:$AC$78,24,FALSE)+VLOOKUP($B102,'[3]Delta Yearly'!$A$1:$AC$78,26,FALSE)+VLOOKUP($B102,'[3]Delta Yearly'!$A$1:$AC$78,28,FALSE))/10000</f>
        <v>0</v>
      </c>
      <c r="AC102" s="67">
        <f>SUM(AB102,AA102,Z102,R102)</f>
        <v>-764.52943538999978</v>
      </c>
      <c r="AE102" s="40"/>
      <c r="AF102" s="196" t="s">
        <v>179</v>
      </c>
      <c r="AG102" s="197">
        <f>AC102</f>
        <v>-764.52943538999978</v>
      </c>
      <c r="AH102" s="198"/>
      <c r="AI102" s="199"/>
      <c r="AJ102" s="198">
        <f>SUM(AG102:AI102)</f>
        <v>-764.52943538999978</v>
      </c>
      <c r="AK102" s="5"/>
      <c r="AL102" s="5"/>
    </row>
    <row r="103" spans="1:38" ht="9" customHeight="1" x14ac:dyDescent="0.3">
      <c r="A103" s="196"/>
      <c r="B103" s="165"/>
      <c r="D103" s="181"/>
      <c r="E103" s="93"/>
      <c r="F103" s="93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67"/>
      <c r="S103" s="45"/>
      <c r="T103" s="45"/>
      <c r="U103" s="45"/>
      <c r="V103" s="45"/>
      <c r="W103" s="45"/>
      <c r="X103" s="45"/>
      <c r="Y103" s="45"/>
      <c r="Z103" s="67"/>
      <c r="AA103" s="67"/>
      <c r="AB103" s="67"/>
      <c r="AC103" s="67"/>
      <c r="AE103" s="40"/>
      <c r="AF103" s="196"/>
      <c r="AG103" s="197"/>
      <c r="AH103" s="198"/>
      <c r="AI103" s="199"/>
      <c r="AJ103" s="198"/>
      <c r="AK103" s="5"/>
      <c r="AL103" s="5"/>
    </row>
    <row r="104" spans="1:38" ht="19.5" customHeight="1" x14ac:dyDescent="0.3">
      <c r="A104" s="196" t="s">
        <v>182</v>
      </c>
      <c r="B104" s="165" t="s">
        <v>183</v>
      </c>
      <c r="C104" s="2" t="s">
        <v>184</v>
      </c>
      <c r="D104" s="181" t="s">
        <v>65</v>
      </c>
      <c r="E104" s="93">
        <f>(VLOOKUP(C104,[6]Sheet1!$B$1:$G$65,2,0))*-1</f>
        <v>4308626.1067526806</v>
      </c>
      <c r="F104" s="93">
        <f>(VLOOKUP(C104,[6]Sheet1!$B$1:$G$65,4,0))</f>
        <v>117181.67302730074</v>
      </c>
      <c r="G104" s="45"/>
      <c r="H104" s="45"/>
      <c r="I104" s="45"/>
      <c r="J104" s="45"/>
      <c r="K104" s="45"/>
      <c r="L104" s="45"/>
      <c r="M104" s="45"/>
      <c r="N104" s="45"/>
      <c r="O104" s="45">
        <f>VLOOKUP($B104,'[4]Delta Monthly'!$A$1:$AW$78,20,FALSE)/10000</f>
        <v>0</v>
      </c>
      <c r="P104" s="45">
        <f>VLOOKUP($B104,'[4]Delta Monthly'!$A$1:$AW$78,22,FALSE)/10000</f>
        <v>-258.5</v>
      </c>
      <c r="Q104" s="45">
        <f>VLOOKUP($B104,'[4]Delta Monthly'!$A$1:$AW$78,24,FALSE)/10000</f>
        <v>0</v>
      </c>
      <c r="R104" s="67">
        <f>SUM(G104:Q104)</f>
        <v>-258.5</v>
      </c>
      <c r="S104" s="45">
        <f>(VLOOKUP($B104,'[4]Delta Monthly'!$A$1:$AW$78,26,FALSE)+VLOOKUP($B104,'[4]Delta Monthly'!$A$1:$AW$78,28,FALSE))/10000</f>
        <v>0</v>
      </c>
      <c r="T104" s="45">
        <f>(VLOOKUP($B104,'[4]Delta Monthly'!$A$1:$AW$78,30,FALSE)+VLOOKUP($B104,'[4]Delta Monthly'!$A$1:$AW$78,32,FALSE))/10000</f>
        <v>-302.91076165999999</v>
      </c>
      <c r="U104" s="45">
        <f>VLOOKUP($B104,'[4]Delta Monthly'!$A$1:$AW$78,34,FALSE)/10000</f>
        <v>0</v>
      </c>
      <c r="V104" s="45">
        <f>VLOOKUP($B104,'[4]Delta Monthly'!$A$1:$AW$78,36,FALSE)/10000</f>
        <v>0</v>
      </c>
      <c r="W104" s="45">
        <f>(VLOOKUP($B104,'[4]Delta Monthly'!$A$1:$AW$78,38,FALSE)+VLOOKUP($B104,'[4]Delta Monthly'!$A$1:$AW$78,40,FALSE))/10000</f>
        <v>274.94125637999997</v>
      </c>
      <c r="X104" s="45">
        <f>VLOOKUP($B104,'[4]Delta Monthly'!$A$1:$AW$78,42,FALSE)/10000</f>
        <v>0</v>
      </c>
      <c r="Y104" s="45">
        <f>(VLOOKUP($B104,'[4]Delta Monthly'!$A$1:$AW$78,44,FALSE)+VLOOKUP($B104,'[4]Delta Monthly'!$A$1:$AW$78,46,FALSE)+VLOOKUP($B104,'[4]Delta Monthly'!$A$1:$AW$78,48,FALSE))/10000</f>
        <v>-1759.0044162099998</v>
      </c>
      <c r="Z104" s="67">
        <f>SUM(S104:Y104)</f>
        <v>-1786.9739214899998</v>
      </c>
      <c r="AA104" s="67">
        <f>VLOOKUP($B104,'[3]Delta Yearly'!$A$1:$AD$78,4,FALSE)/10000</f>
        <v>-1497.5124477900001</v>
      </c>
      <c r="AB104" s="67">
        <f>(VLOOKUP($B104,'[3]Delta Yearly'!$A$1:$AC$78,6,FALSE)+VLOOKUP($B104,'[3]Delta Yearly'!$A$1:$AC$78,8,FALSE)+VLOOKUP($B104,'[3]Delta Yearly'!$A$1:$AC$78,10,FALSE)+VLOOKUP($B104,'[3]Delta Yearly'!$A$1:$AC$78,12,FALSE)+VLOOKUP($B104,'[3]Delta Yearly'!$A$1:$AC$78,14,FALSE)+VLOOKUP($B104,'[3]Delta Yearly'!$A$1:$AC$78,16,FALSE)+VLOOKUP($B104,'[3]Delta Yearly'!$A$1:$AC$78,18,FALSE)+VLOOKUP($B104,'[3]Delta Yearly'!$A$1:$AC$78,20,FALSE)+VLOOKUP($B104,'[3]Delta Yearly'!$A$1:$AC$78,22,FALSE)+VLOOKUP($B104,'[3]Delta Yearly'!$A$1:$AC$78,24,FALSE)+VLOOKUP($B104,'[3]Delta Yearly'!$A$1:$AC$78,26,FALSE)+VLOOKUP($B104,'[3]Delta Yearly'!$A$1:$AC$78,28,FALSE))/10000</f>
        <v>0</v>
      </c>
      <c r="AC104" s="67">
        <f>SUM(AB104,AA104,Z104,R104)</f>
        <v>-3542.98636928</v>
      </c>
      <c r="AE104" s="40"/>
      <c r="AF104" s="196" t="s">
        <v>182</v>
      </c>
      <c r="AG104" s="197">
        <f>AC104</f>
        <v>-3542.98636928</v>
      </c>
      <c r="AH104" s="198"/>
      <c r="AI104" s="199"/>
      <c r="AJ104" s="198">
        <f>SUM(AG104:AI104)</f>
        <v>-3542.98636928</v>
      </c>
      <c r="AK104" s="5"/>
      <c r="AL104" s="5"/>
    </row>
    <row r="105" spans="1:38" ht="9" customHeight="1" x14ac:dyDescent="0.3">
      <c r="A105" s="196"/>
      <c r="B105" s="180"/>
      <c r="C105" s="180"/>
      <c r="D105" s="181"/>
      <c r="E105" s="200"/>
      <c r="F105" s="200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67"/>
      <c r="S105" s="44"/>
      <c r="T105" s="44"/>
      <c r="U105" s="44"/>
      <c r="V105" s="44"/>
      <c r="W105" s="44"/>
      <c r="X105" s="44"/>
      <c r="Y105" s="44"/>
      <c r="Z105" s="67"/>
      <c r="AA105" s="67"/>
      <c r="AB105" s="67"/>
      <c r="AC105" s="67"/>
      <c r="AE105" s="40"/>
      <c r="AF105" s="196"/>
      <c r="AG105" s="197"/>
      <c r="AH105" s="198"/>
      <c r="AI105" s="199"/>
      <c r="AJ105" s="198"/>
      <c r="AK105" s="5"/>
      <c r="AL105" s="5"/>
    </row>
    <row r="106" spans="1:38" ht="21" hidden="1" customHeight="1" x14ac:dyDescent="0.3">
      <c r="A106" s="188" t="s">
        <v>185</v>
      </c>
      <c r="B106" s="189"/>
      <c r="C106" s="189"/>
      <c r="D106" s="190" t="s">
        <v>186</v>
      </c>
      <c r="E106" s="201"/>
      <c r="F106" s="201"/>
      <c r="G106" s="192"/>
      <c r="H106" s="152"/>
      <c r="I106" s="152"/>
      <c r="J106" s="152"/>
      <c r="K106" s="152"/>
      <c r="L106" s="152"/>
      <c r="M106" s="152"/>
      <c r="N106" s="152"/>
      <c r="O106" s="152">
        <f>'[1]sprdoptgas positions'!E9+'[1]sprdoptgas positions'!E10+'[1]sprdoptgas positions'!E11+'[1]sprdoptgas positions'!E12+'[1]sprdoptgas positions'!E13</f>
        <v>0</v>
      </c>
      <c r="P106" s="152">
        <f>'[1]sprdoptgas positions'!F9+'[1]sprdoptgas positions'!F10+'[1]sprdoptgas positions'!F11+'[1]sprdoptgas positions'!F12+'[1]sprdoptgas positions'!F13</f>
        <v>0</v>
      </c>
      <c r="Q106" s="152">
        <f>'[1]sprdoptgas positions'!G9+'[1]sprdoptgas positions'!G10+'[1]sprdoptgas positions'!G11+'[1]sprdoptgas positions'!G12+'[1]sprdoptgas positions'!G13</f>
        <v>0</v>
      </c>
      <c r="R106" s="149">
        <f>'[1]sprdoptgas positions'!H9+'[1]sprdoptgas positions'!H10+'[1]sprdoptgas positions'!H11+'[1]sprdoptgas positions'!H12+'[1]sprdoptgas positions'!H13</f>
        <v>0</v>
      </c>
      <c r="S106" s="152">
        <f>'[1]sprdoptgas positions'!I9+'[1]sprdoptgas positions'!I10+'[1]sprdoptgas positions'!I11+'[1]sprdoptgas positions'!I12+'[1]sprdoptgas positions'!I13</f>
        <v>-943569.75110783277</v>
      </c>
      <c r="T106" s="152">
        <f>'[1]sprdoptgas positions'!J9+'[1]sprdoptgas positions'!J10+'[1]sprdoptgas positions'!J11+'[1]sprdoptgas positions'!J12+'[1]sprdoptgas positions'!J13</f>
        <v>-974141.20288637234</v>
      </c>
      <c r="U106" s="152">
        <f>'[1]sprdoptgas positions'!K9+'[1]sprdoptgas positions'!K10+'[1]sprdoptgas positions'!K11+'[1]sprdoptgas positions'!K12+'[1]sprdoptgas positions'!K13</f>
        <v>-542349.31148322369</v>
      </c>
      <c r="V106" s="152">
        <f>'[1]sprdoptgas positions'!L9+'[1]sprdoptgas positions'!L10+'[1]sprdoptgas positions'!L11+'[1]sprdoptgas positions'!L12+'[1]sprdoptgas positions'!L13</f>
        <v>-562886.5878013334</v>
      </c>
      <c r="W106" s="152">
        <f>'[1]sprdoptgas positions'!M9+'[1]sprdoptgas positions'!M10+'[1]sprdoptgas positions'!M11+'[1]sprdoptgas positions'!M12+'[1]sprdoptgas positions'!M13</f>
        <v>-1180573.3897140014</v>
      </c>
      <c r="X106" s="152">
        <f>'[1]sprdoptgas positions'!N9+'[1]sprdoptgas positions'!N10+'[1]sprdoptgas positions'!N11+'[1]sprdoptgas positions'!N12+'[1]sprdoptgas positions'!N13</f>
        <v>-518219.146798726</v>
      </c>
      <c r="Y106" s="152">
        <f>'[1]sprdoptgas positions'!O9+'[1]sprdoptgas positions'!O10+'[1]sprdoptgas positions'!O11+'[1]sprdoptgas positions'!O12+'[1]sprdoptgas positions'!O13</f>
        <v>-1414195.8093225325</v>
      </c>
      <c r="Z106" s="149">
        <f>'[1]sprdoptgas positions'!P9+'[1]sprdoptgas positions'!P10+'[1]sprdoptgas positions'!P11+'[1]sprdoptgas positions'!P12+'[1]sprdoptgas positions'!P13</f>
        <v>-6135935.1991140228</v>
      </c>
      <c r="AA106" s="149">
        <f>'[1]sprdoptgas positions'!Q9+'[1]sprdoptgas positions'!Q10+'[1]sprdoptgas positions'!Q11+'[1]sprdoptgas positions'!Q12+'[1]sprdoptgas positions'!Q13</f>
        <v>-5334068.4091684651</v>
      </c>
      <c r="AB106" s="149">
        <f>'[1]sprdoptgas positions'!R9+'[1]sprdoptgas positions'!R10+'[1]sprdoptgas positions'!R11+'[1]sprdoptgas positions'!S9+'[1]sprdoptgas positions'!S10+'[1]sprdoptgas positions'!S11+'[1]sprdoptgas positions'!R12+'[1]sprdoptgas positions'!S12+'[1]sprdoptgas positions'!R13+'[1]sprdoptgas positions'!S13</f>
        <v>-12566267.773771076</v>
      </c>
      <c r="AC106" s="149">
        <f>SUM(AB106,AA106,Z106,R106)</f>
        <v>-24036271.382053562</v>
      </c>
      <c r="AE106" s="40"/>
      <c r="AF106" s="188" t="s">
        <v>185</v>
      </c>
      <c r="AG106" s="197"/>
      <c r="AH106" s="198"/>
      <c r="AI106" s="199"/>
      <c r="AJ106" s="198"/>
      <c r="AK106" s="5"/>
      <c r="AL106" s="5"/>
    </row>
    <row r="107" spans="1:38" hidden="1" x14ac:dyDescent="0.3">
      <c r="A107" s="188" t="s">
        <v>185</v>
      </c>
      <c r="B107" s="195" t="s">
        <v>187</v>
      </c>
      <c r="C107" s="195"/>
      <c r="D107" s="190" t="s">
        <v>177</v>
      </c>
      <c r="E107" s="201"/>
      <c r="F107" s="201"/>
      <c r="G107" s="152"/>
      <c r="H107" s="152"/>
      <c r="I107" s="152"/>
      <c r="J107" s="152"/>
      <c r="K107" s="152"/>
      <c r="L107" s="152"/>
      <c r="M107" s="152"/>
      <c r="N107" s="152"/>
      <c r="O107" s="152">
        <f>VLOOKUP($B107,'[4]Delta Monthly'!$A$1:$AW$78,20,1)</f>
        <v>0</v>
      </c>
      <c r="P107" s="152">
        <f>VLOOKUP($B107,'[4]Delta Monthly'!$A$1:$AW$78,22,1)</f>
        <v>-550000</v>
      </c>
      <c r="Q107" s="152">
        <f>VLOOKUP($B107,'[4]Delta Monthly'!$A$1:$AW$78,24,1)</f>
        <v>1169184.7182</v>
      </c>
      <c r="R107" s="149">
        <f>SUM(G107:Q107)</f>
        <v>619184.7182</v>
      </c>
      <c r="S107" s="152">
        <f>VLOOKUP($B107,'[4]Delta Monthly'!$A$1:$AW$78,26,FALSE)+VLOOKUP($B107,'[4]Delta Monthly'!$A$1:$AW$78,28,FALSE)</f>
        <v>1350690.8842</v>
      </c>
      <c r="T107" s="152">
        <f>VLOOKUP($B107,'[4]Delta Monthly'!$A$1:$AW$78,30,FALSE)+VLOOKUP($B107,'[4]Delta Monthly'!$A$1:$AW$78,32,FALSE)</f>
        <v>824843.73210000002</v>
      </c>
      <c r="U107" s="152">
        <f>VLOOKUP($B107,'[4]Delta Monthly'!$A$1:$AW$78,34,FALSE)</f>
        <v>-198088.4382</v>
      </c>
      <c r="V107" s="152">
        <f>VLOOKUP($B107,'[4]Delta Monthly'!$A$1:$AW$78,36,FALSE)</f>
        <v>88965.915599999993</v>
      </c>
      <c r="W107" s="152">
        <f>VLOOKUP($B107,'[4]Delta Monthly'!$A$1:$AW$78,38,FALSE)+VLOOKUP($B107,'[4]Delta Monthly'!$A$1:$AW$78,40,FALSE)</f>
        <v>463162.68980000005</v>
      </c>
      <c r="X107" s="152">
        <f>VLOOKUP($B107,'[4]Delta Monthly'!$A$1:$AW$78,42,FALSE)</f>
        <v>78567.320099999997</v>
      </c>
      <c r="Y107" s="152">
        <f>VLOOKUP($B107,'[4]Delta Monthly'!$A$1:$AW$78,44,FALSE)+VLOOKUP($B107,'[4]Delta Monthly'!$A$1:$AW$78,46,FALSE)+VLOOKUP($B107,'[4]Delta Monthly'!$A$1:$AW$78,48,FALSE)</f>
        <v>-1240283.9853000001</v>
      </c>
      <c r="Z107" s="149">
        <f>SUM(S107:Y107)</f>
        <v>1367858.1183</v>
      </c>
      <c r="AA107" s="149">
        <f>VLOOKUP($B107,'[3]Delta Yearly'!$A$1:$AD$78,4,FALSE)</f>
        <v>3660859.9342</v>
      </c>
      <c r="AB107" s="149">
        <f>VLOOKUP($B107,'[3]Delta Yearly'!$A$1:$AC$78,6,FALSE)+VLOOKUP($B107,'[3]Delta Yearly'!$A$1:$AC$78,8,FALSE)+VLOOKUP($B107,'[3]Delta Yearly'!$A$1:$AC$78,10,FALSE)+VLOOKUP($B107,'[3]Delta Yearly'!$A$1:$AC$78,12,FALSE)+VLOOKUP($B107,'[3]Delta Yearly'!$A$1:$AC$78,14,FALSE)+VLOOKUP($B107,'[3]Delta Yearly'!$A$1:$AC$78,16,FALSE)+VLOOKUP($B107,'[3]Delta Yearly'!$A$1:$AC$78,18,FALSE)+VLOOKUP($B107,'[3]Delta Yearly'!$A$1:$AC$78,20,FALSE)+VLOOKUP($B107,'[3]Delta Yearly'!$A$1:$AC$78,22,FALSE)+VLOOKUP($B107,'[3]Delta Yearly'!$A$1:$AC$78,24,FALSE)+VLOOKUP($B107,'[3]Delta Yearly'!$A$1:$AC$78,26,FALSE)+VLOOKUP($B107,'[3]Delta Yearly'!$A$1:$AC$78,28,FALSE)</f>
        <v>12643042.886500001</v>
      </c>
      <c r="AC107" s="149">
        <f>SUM(AB107,AA107,Z107,R107)</f>
        <v>18290945.657200001</v>
      </c>
      <c r="AE107" s="40"/>
      <c r="AF107" s="188" t="s">
        <v>185</v>
      </c>
      <c r="AG107" s="197"/>
      <c r="AH107" s="198"/>
      <c r="AI107" s="199"/>
      <c r="AJ107" s="198"/>
      <c r="AK107" s="5"/>
      <c r="AL107" s="5"/>
    </row>
    <row r="108" spans="1:38" ht="21" customHeight="1" x14ac:dyDescent="0.3">
      <c r="A108" s="196" t="s">
        <v>185</v>
      </c>
      <c r="B108" s="165" t="s">
        <v>187</v>
      </c>
      <c r="C108" s="2" t="s">
        <v>188</v>
      </c>
      <c r="D108" s="181" t="s">
        <v>140</v>
      </c>
      <c r="E108" s="93">
        <f>(VLOOKUP(C108,[6]Sheet1!$B$1:$G$65,2,0))*-1</f>
        <v>1455491.0404660499</v>
      </c>
      <c r="F108" s="93">
        <f>(VLOOKUP(C108,[6]Sheet1!$B$1:$G$65,4,0))</f>
        <v>-126109.57306751003</v>
      </c>
      <c r="G108" s="45"/>
      <c r="H108" s="45"/>
      <c r="I108" s="45"/>
      <c r="J108" s="45"/>
      <c r="K108" s="45"/>
      <c r="L108" s="45"/>
      <c r="M108" s="45"/>
      <c r="N108" s="45"/>
      <c r="O108" s="45">
        <f t="shared" ref="O108:AC108" si="8">SUM(O106:O107)/10000</f>
        <v>0</v>
      </c>
      <c r="P108" s="45">
        <f t="shared" si="8"/>
        <v>-55</v>
      </c>
      <c r="Q108" s="45">
        <f t="shared" si="8"/>
        <v>116.91847181999999</v>
      </c>
      <c r="R108" s="67">
        <f t="shared" si="8"/>
        <v>61.918471820000001</v>
      </c>
      <c r="S108" s="45">
        <f t="shared" si="8"/>
        <v>40.712113309216718</v>
      </c>
      <c r="T108" s="45">
        <f t="shared" si="8"/>
        <v>-14.929747078637231</v>
      </c>
      <c r="U108" s="45">
        <f t="shared" si="8"/>
        <v>-74.043774968322367</v>
      </c>
      <c r="V108" s="45">
        <f t="shared" si="8"/>
        <v>-47.392067220133342</v>
      </c>
      <c r="W108" s="45">
        <f t="shared" si="8"/>
        <v>-71.741069991400138</v>
      </c>
      <c r="X108" s="45">
        <f t="shared" si="8"/>
        <v>-43.965182669872597</v>
      </c>
      <c r="Y108" s="45">
        <f t="shared" si="8"/>
        <v>-265.44797946225327</v>
      </c>
      <c r="Z108" s="67">
        <f t="shared" si="8"/>
        <v>-476.80770808140227</v>
      </c>
      <c r="AA108" s="67">
        <f t="shared" si="8"/>
        <v>-167.32084749684651</v>
      </c>
      <c r="AB108" s="67">
        <f t="shared" si="8"/>
        <v>7.6775112728925423</v>
      </c>
      <c r="AC108" s="67">
        <f t="shared" si="8"/>
        <v>-574.53257248535601</v>
      </c>
      <c r="AE108" s="40"/>
      <c r="AF108" s="196" t="s">
        <v>185</v>
      </c>
      <c r="AG108" s="197">
        <f>AC107/10000</f>
        <v>1829.0945657200002</v>
      </c>
      <c r="AH108" s="198"/>
      <c r="AI108" s="199">
        <f>AC106/10000</f>
        <v>-2403.627138205356</v>
      </c>
      <c r="AJ108" s="198">
        <f>SUM(AG108:AI108)</f>
        <v>-574.53257248535579</v>
      </c>
      <c r="AK108" s="5"/>
      <c r="AL108" s="5"/>
    </row>
    <row r="109" spans="1:38" ht="10.5" customHeight="1" x14ac:dyDescent="0.3">
      <c r="A109" s="196"/>
      <c r="B109" s="180"/>
      <c r="C109" s="180"/>
      <c r="D109" s="181"/>
      <c r="E109" s="200"/>
      <c r="F109" s="200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67"/>
      <c r="S109" s="44"/>
      <c r="T109" s="44"/>
      <c r="U109" s="44"/>
      <c r="V109" s="44"/>
      <c r="W109" s="44"/>
      <c r="X109" s="44"/>
      <c r="Y109" s="44"/>
      <c r="Z109" s="67"/>
      <c r="AA109" s="67"/>
      <c r="AB109" s="94"/>
      <c r="AC109" s="67"/>
      <c r="AE109" s="40"/>
      <c r="AF109" s="196"/>
      <c r="AG109" s="197"/>
      <c r="AH109" s="198"/>
      <c r="AI109" s="199"/>
      <c r="AJ109" s="198"/>
      <c r="AK109" s="5"/>
      <c r="AL109" s="5"/>
    </row>
    <row r="110" spans="1:38" hidden="1" x14ac:dyDescent="0.3">
      <c r="A110" s="188" t="s">
        <v>189</v>
      </c>
      <c r="B110" s="195" t="s">
        <v>190</v>
      </c>
      <c r="C110" s="195"/>
      <c r="D110" s="190" t="s">
        <v>191</v>
      </c>
      <c r="E110" s="201"/>
      <c r="F110" s="201"/>
      <c r="G110" s="152"/>
      <c r="H110" s="152"/>
      <c r="I110" s="152"/>
      <c r="J110" s="152"/>
      <c r="K110" s="152"/>
      <c r="L110" s="152"/>
      <c r="M110" s="152"/>
      <c r="N110" s="152"/>
      <c r="O110" s="152">
        <f>VLOOKUP($B110,'[4]Delta Monthly'!$A$1:$AW$72,20,1)</f>
        <v>0</v>
      </c>
      <c r="P110" s="152">
        <f>VLOOKUP($B110,'[4]Delta Monthly'!$A$1:$AW$72,22,1)</f>
        <v>0</v>
      </c>
      <c r="Q110" s="152">
        <f>VLOOKUP($B110,'[4]Delta Monthly'!$A$1:$AW$72,24,1)</f>
        <v>-4596794.6178000001</v>
      </c>
      <c r="R110" s="149">
        <f>SUM(G110:Q110)</f>
        <v>-4596794.6178000001</v>
      </c>
      <c r="S110" s="152">
        <f>VLOOKUP($B110,'[4]Delta Monthly'!$A$1:$AW$72,26,FALSE)+VLOOKUP($B110,'[4]Delta Monthly'!$A$1:$AW$72,28,FALSE)</f>
        <v>-2356978.2185999998</v>
      </c>
      <c r="T110" s="152">
        <f>VLOOKUP($B110,'[4]Delta Monthly'!$A$1:$AW$72,30,FALSE)+VLOOKUP($B110,'[4]Delta Monthly'!$A$1:$AW$72,32,FALSE)</f>
        <v>-1294077.8228</v>
      </c>
      <c r="U110" s="152">
        <f>VLOOKUP($B110,'[4]Delta Monthly'!$A$1:$AW$72,34,FALSE)</f>
        <v>-1980.8842999999999</v>
      </c>
      <c r="V110" s="152">
        <f>VLOOKUP($B110,'[4]Delta Monthly'!$A$1:$AW$72,36,FALSE)</f>
        <v>-59310.610500000003</v>
      </c>
      <c r="W110" s="152">
        <f>VLOOKUP($B110,'[4]Delta Monthly'!$A$1:$AW$72,38,FALSE)+VLOOKUP($B110,'[4]Delta Monthly'!$A$1:$AW$72,40,FALSE)</f>
        <v>-3941.8103000000001</v>
      </c>
      <c r="X110" s="152">
        <f>VLOOKUP($B110,'[4]Delta Monthly'!$A$1:$AW$72,42,FALSE)</f>
        <v>-58925.490100000003</v>
      </c>
      <c r="Y110" s="152">
        <f>VLOOKUP($B110,'[4]Delta Monthly'!$A$1:$AW$72,44,FALSE)+VLOOKUP($B110,'[4]Delta Monthly'!$A$1:$AW$72,46,FALSE)+VLOOKUP($B110,'[4]Delta Monthly'!$A$1:$AW$72,48,FALSE)</f>
        <v>532773.10940000007</v>
      </c>
      <c r="Z110" s="149">
        <f>SUM(S110:Y110)</f>
        <v>-3242441.7271999996</v>
      </c>
      <c r="AA110" s="149">
        <f>VLOOKUP($B110,'[3]Delta Yearly'!$A$1:$AD$72,4,FALSE)</f>
        <v>-2089552.253</v>
      </c>
      <c r="AB110" s="149">
        <f>VLOOKUP($B110,'[3]Delta Yearly'!$A$1:$AC$72,6,FALSE)+VLOOKUP($B110,'[3]Delta Yearly'!$A$1:$AC$72,8,FALSE)+VLOOKUP($B110,'[3]Delta Yearly'!$A$1:$AC$72,10,FALSE)+VLOOKUP($B110,'[3]Delta Yearly'!$A$1:$AC$72,12,FALSE)+VLOOKUP($B110,'[3]Delta Yearly'!$A$1:$AC$72,14,FALSE)+VLOOKUP($B110,'[3]Delta Yearly'!$A$1:$AC$72,16,FALSE)+VLOOKUP($B110,'[3]Delta Yearly'!$A$1:$AC$72,18,FALSE)+VLOOKUP($B110,'[3]Delta Yearly'!$A$1:$AC$72,20,FALSE)+VLOOKUP($B110,'[3]Delta Yearly'!$A$1:$AC$72,22,FALSE)+VLOOKUP($B110,'[3]Delta Yearly'!$A$1:$AC$72,24,FALSE)+VLOOKUP($B110,'[3]Delta Yearly'!$A$1:$AC$72,26,FALSE)+VLOOKUP($B110,'[3]Delta Yearly'!$A$1:$AC$72,28,FALSE)</f>
        <v>95643.401700000046</v>
      </c>
      <c r="AC110" s="149">
        <f>SUM(AB110,AA110,Z110,R110)</f>
        <v>-9833145.1963</v>
      </c>
      <c r="AE110" s="40"/>
      <c r="AF110" s="188" t="s">
        <v>189</v>
      </c>
      <c r="AG110" s="197"/>
      <c r="AH110" s="198"/>
      <c r="AI110" s="199"/>
      <c r="AJ110" s="198"/>
      <c r="AK110" s="5"/>
      <c r="AL110" s="5"/>
    </row>
    <row r="111" spans="1:38" hidden="1" x14ac:dyDescent="0.3">
      <c r="A111" s="188" t="s">
        <v>189</v>
      </c>
      <c r="B111" s="195" t="s">
        <v>190</v>
      </c>
      <c r="C111" s="195"/>
      <c r="D111" s="190" t="s">
        <v>175</v>
      </c>
      <c r="E111" s="201"/>
      <c r="F111" s="201"/>
      <c r="G111" s="152"/>
      <c r="H111" s="152"/>
      <c r="I111" s="152"/>
      <c r="J111" s="152"/>
      <c r="K111" s="152"/>
      <c r="L111" s="152"/>
      <c r="M111" s="152"/>
      <c r="N111" s="152"/>
      <c r="O111" s="152">
        <f>'[1]sprdoptgas positions'!E4</f>
        <v>0</v>
      </c>
      <c r="P111" s="152">
        <f>'[1]sprdoptgas positions'!F4</f>
        <v>-49517.774942058997</v>
      </c>
      <c r="Q111" s="152">
        <f>'[1]sprdoptgas positions'!G4</f>
        <v>-65258.368944867092</v>
      </c>
      <c r="R111" s="149">
        <f>'[1]sprdoptgas positions'!H4</f>
        <v>-114776.14388692609</v>
      </c>
      <c r="S111" s="152">
        <f>'[1]sprdoptgas positions'!I4</f>
        <v>0</v>
      </c>
      <c r="T111" s="152">
        <f>'[1]sprdoptgas positions'!J4</f>
        <v>0</v>
      </c>
      <c r="U111" s="152">
        <f>'[1]sprdoptgas positions'!K4</f>
        <v>0</v>
      </c>
      <c r="V111" s="152">
        <f>'[1]sprdoptgas positions'!L4</f>
        <v>0</v>
      </c>
      <c r="W111" s="152">
        <f>'[1]sprdoptgas positions'!M4</f>
        <v>0</v>
      </c>
      <c r="X111" s="152">
        <f>'[1]sprdoptgas positions'!N4</f>
        <v>0</v>
      </c>
      <c r="Y111" s="152">
        <f>'[1]sprdoptgas positions'!O4</f>
        <v>0</v>
      </c>
      <c r="Z111" s="149">
        <f>'[1]sprdoptgas positions'!P4</f>
        <v>0</v>
      </c>
      <c r="AA111" s="149">
        <f>'[1]sprdoptgas positions'!Q4</f>
        <v>0</v>
      </c>
      <c r="AB111" s="149">
        <f>'[1]sprdoptgas positions'!S4+'[1]sprdoptgas positions'!R4</f>
        <v>0</v>
      </c>
      <c r="AC111" s="149">
        <f>SUM(AB111,AA111,Z111,R111)</f>
        <v>-114776.14388692609</v>
      </c>
      <c r="AE111" s="40"/>
      <c r="AF111" s="188" t="s">
        <v>189</v>
      </c>
      <c r="AG111" s="197"/>
      <c r="AH111" s="198"/>
      <c r="AI111" s="199"/>
      <c r="AJ111" s="198"/>
      <c r="AK111" s="5"/>
      <c r="AL111" s="5"/>
    </row>
    <row r="112" spans="1:38" x14ac:dyDescent="0.3">
      <c r="A112" s="196" t="s">
        <v>189</v>
      </c>
      <c r="B112" s="165" t="s">
        <v>190</v>
      </c>
      <c r="C112" s="2" t="s">
        <v>192</v>
      </c>
      <c r="D112" s="181" t="s">
        <v>86</v>
      </c>
      <c r="E112" s="93">
        <f>(VLOOKUP(C112,[6]Sheet1!$B$1:$G$65,2,0))*-1</f>
        <v>1656383.65887976</v>
      </c>
      <c r="F112" s="93">
        <f>(VLOOKUP(C112,[6]Sheet1!$B$1:$G$65,4,0))</f>
        <v>-621775.93521027989</v>
      </c>
      <c r="G112" s="45"/>
      <c r="H112" s="45"/>
      <c r="I112" s="45"/>
      <c r="J112" s="45"/>
      <c r="K112" s="45"/>
      <c r="L112" s="45"/>
      <c r="M112" s="45"/>
      <c r="N112" s="45"/>
      <c r="O112" s="45">
        <f t="shared" ref="O112:AC112" si="9">SUM(O110:O111)/10000</f>
        <v>0</v>
      </c>
      <c r="P112" s="45">
        <f t="shared" si="9"/>
        <v>-4.9517774942059001</v>
      </c>
      <c r="Q112" s="45">
        <f t="shared" si="9"/>
        <v>-466.20529867448676</v>
      </c>
      <c r="R112" s="67">
        <f t="shared" si="9"/>
        <v>-471.15707616869258</v>
      </c>
      <c r="S112" s="45">
        <f t="shared" si="9"/>
        <v>-235.69782185999998</v>
      </c>
      <c r="T112" s="45">
        <f t="shared" si="9"/>
        <v>-129.40778227999999</v>
      </c>
      <c r="U112" s="45">
        <f t="shared" si="9"/>
        <v>-0.19808842999999998</v>
      </c>
      <c r="V112" s="45">
        <f t="shared" si="9"/>
        <v>-5.9310610500000003</v>
      </c>
      <c r="W112" s="45">
        <f t="shared" si="9"/>
        <v>-0.39418102999999999</v>
      </c>
      <c r="X112" s="45">
        <f t="shared" si="9"/>
        <v>-5.8925490100000006</v>
      </c>
      <c r="Y112" s="45">
        <f t="shared" si="9"/>
        <v>53.277310940000007</v>
      </c>
      <c r="Z112" s="67">
        <f t="shared" si="9"/>
        <v>-324.24417271999994</v>
      </c>
      <c r="AA112" s="67">
        <f t="shared" si="9"/>
        <v>-208.9552253</v>
      </c>
      <c r="AB112" s="67">
        <f t="shared" si="9"/>
        <v>9.5643401700000048</v>
      </c>
      <c r="AC112" s="67">
        <f t="shared" si="9"/>
        <v>-994.79213401869254</v>
      </c>
      <c r="AE112" s="40"/>
      <c r="AF112" s="196" t="s">
        <v>189</v>
      </c>
      <c r="AG112" s="197">
        <f>AC110/10000</f>
        <v>-983.31451962999995</v>
      </c>
      <c r="AH112" s="198">
        <f>AC111/10000</f>
        <v>-11.47761438869261</v>
      </c>
      <c r="AI112" s="199"/>
      <c r="AJ112" s="198">
        <f>SUM(AG112:AI112)</f>
        <v>-994.79213401869254</v>
      </c>
      <c r="AK112" s="5"/>
      <c r="AL112" s="5"/>
    </row>
    <row r="113" spans="1:38" ht="10.5" customHeight="1" x14ac:dyDescent="0.3">
      <c r="A113" s="196"/>
      <c r="B113" s="180"/>
      <c r="C113" s="180"/>
      <c r="D113" s="181"/>
      <c r="E113" s="200"/>
      <c r="F113" s="200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67"/>
      <c r="S113" s="44"/>
      <c r="T113" s="44"/>
      <c r="U113" s="44"/>
      <c r="V113" s="44"/>
      <c r="W113" s="44"/>
      <c r="X113" s="44"/>
      <c r="Y113" s="44"/>
      <c r="Z113" s="67"/>
      <c r="AA113" s="67"/>
      <c r="AB113" s="94"/>
      <c r="AC113" s="67"/>
      <c r="AE113" s="40"/>
      <c r="AF113" s="196"/>
      <c r="AG113" s="197"/>
      <c r="AH113" s="198"/>
      <c r="AI113" s="199"/>
      <c r="AJ113" s="198"/>
      <c r="AK113" s="5"/>
      <c r="AL113" s="5"/>
    </row>
    <row r="114" spans="1:38" ht="19.5" customHeight="1" x14ac:dyDescent="0.3">
      <c r="A114" s="196" t="s">
        <v>193</v>
      </c>
      <c r="B114" s="180" t="s">
        <v>194</v>
      </c>
      <c r="C114" s="202" t="s">
        <v>195</v>
      </c>
      <c r="D114" s="181" t="s">
        <v>156</v>
      </c>
      <c r="E114" s="93">
        <f>(VLOOKUP(C114,[6]Sheet1!$B$1:$G$65,2,0))*-1</f>
        <v>3.7444366715078798E-5</v>
      </c>
      <c r="F114" s="93">
        <f>(VLOOKUP(C114,[6]Sheet1!$B$1:$G$65,4,0))</f>
        <v>1.9679514481705298E-5</v>
      </c>
      <c r="G114" s="45"/>
      <c r="H114" s="45"/>
      <c r="I114" s="45"/>
      <c r="J114" s="45"/>
      <c r="K114" s="45"/>
      <c r="L114" s="45"/>
      <c r="M114" s="45"/>
      <c r="N114" s="45"/>
      <c r="O114" s="45">
        <f>VLOOKUP($B114,'[4]Delta Monthly'!$A$1:$AW$80,20,1)/10000</f>
        <v>0</v>
      </c>
      <c r="P114" s="45">
        <f>VLOOKUP($B114,'[4]Delta Monthly'!$A$1:$AW$80,22,1)/10000</f>
        <v>-5</v>
      </c>
      <c r="Q114" s="45">
        <f>VLOOKUP($B114,'[4]Delta Monthly'!$A$1:$AW$80,24,1)/10000</f>
        <v>0</v>
      </c>
      <c r="R114" s="67">
        <f>SUM(G114:Q114)</f>
        <v>-5</v>
      </c>
      <c r="S114" s="45">
        <f>(VLOOKUP($B114,'[4]Delta Monthly'!$A$1:$AW$80,26,FALSE)+VLOOKUP($B114,'[4]Delta Monthly'!$A$1:$AW$80,28,FALSE))/10000</f>
        <v>0</v>
      </c>
      <c r="T114" s="45">
        <f>(VLOOKUP($B114,'[4]Delta Monthly'!$A$1:$AW$80,30,FALSE)+VLOOKUP($B114,'[4]Delta Monthly'!$A$1:$AW$80,32,FALSE))/10000</f>
        <v>0</v>
      </c>
      <c r="U114" s="45">
        <f>VLOOKUP($B114,'[4]Delta Monthly'!$A$1:$AW$80,34,FALSE)/10000</f>
        <v>0</v>
      </c>
      <c r="V114" s="45">
        <f>VLOOKUP($B114,'[4]Delta Monthly'!$A$1:$AW$80,36,FALSE)/10000</f>
        <v>0</v>
      </c>
      <c r="W114" s="45">
        <f>(VLOOKUP($B114,'[4]Delta Monthly'!$A$1:$AW$80,38,FALSE)+VLOOKUP($B114,'[4]Delta Monthly'!$A$1:$AW$80,40,FALSE))/10000</f>
        <v>0</v>
      </c>
      <c r="X114" s="45">
        <f>VLOOKUP($B114,'[4]Delta Monthly'!$A$1:$AW$80,42,FALSE)/10000</f>
        <v>0</v>
      </c>
      <c r="Y114" s="45">
        <f>(VLOOKUP($B114,'[4]Delta Monthly'!$A$1:$AW$80,44,FALSE)+VLOOKUP($B114,'[4]Delta Monthly'!$A$1:$AW$80,46,FALSE)+VLOOKUP($B114,'[4]Delta Monthly'!$A$1:$AW$80,48,FALSE))/10000</f>
        <v>0</v>
      </c>
      <c r="Z114" s="67">
        <f>SUM(S114:Y114)</f>
        <v>0</v>
      </c>
      <c r="AA114" s="67">
        <f>VLOOKUP($B114,'[3]Delta Yearly'!$A$1:$AD$80,4,FALSE)/10000</f>
        <v>0</v>
      </c>
      <c r="AB114" s="67">
        <f>(VLOOKUP($B114,'[3]Delta Yearly'!$A$1:$AC$80,6,FALSE)+VLOOKUP($B114,'[3]Delta Yearly'!$A$1:$AC$80,8,FALSE)+VLOOKUP($B114,'[3]Delta Yearly'!$A$1:$AC$80,10,FALSE)+VLOOKUP($B114,'[3]Delta Yearly'!$A$1:$AC$80,12,FALSE)+VLOOKUP($B114,'[3]Delta Yearly'!$A$1:$AC$80,14,FALSE)+VLOOKUP($B114,'[3]Delta Yearly'!$A$1:$AC$80,16,FALSE)+VLOOKUP($B114,'[3]Delta Yearly'!$A$1:$AC$80,18,FALSE)+VLOOKUP($B114,'[3]Delta Yearly'!$A$1:$AC$80,20,FALSE)+VLOOKUP($B114,'[3]Delta Yearly'!$A$1:$AC$80,22,FALSE)+VLOOKUP($B114,'[3]Delta Yearly'!$A$1:$AC$80,24,FALSE)+VLOOKUP($B114,'[3]Delta Yearly'!$A$1:$AC$80,26,FALSE)+VLOOKUP($B114,'[3]Delta Yearly'!$A$1:$AC$80,28,FALSE))/10000</f>
        <v>0</v>
      </c>
      <c r="AC114" s="67">
        <f>SUM(AB114,AA114,Z114,R114)</f>
        <v>-5</v>
      </c>
      <c r="AE114" s="40"/>
      <c r="AF114" s="196" t="s">
        <v>193</v>
      </c>
      <c r="AG114" s="197">
        <f>AC114</f>
        <v>-5</v>
      </c>
      <c r="AH114" s="198"/>
      <c r="AI114" s="199"/>
      <c r="AJ114" s="198">
        <f>SUM(AG114:AI114)</f>
        <v>-5</v>
      </c>
      <c r="AK114" s="5"/>
      <c r="AL114" s="5"/>
    </row>
    <row r="115" spans="1:38" ht="8.1" customHeight="1" x14ac:dyDescent="0.3">
      <c r="A115" s="196"/>
      <c r="B115" s="180"/>
      <c r="C115" s="180"/>
      <c r="D115" s="181"/>
      <c r="E115" s="200"/>
      <c r="F115" s="200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67"/>
      <c r="S115" s="44"/>
      <c r="T115" s="44"/>
      <c r="U115" s="44"/>
      <c r="V115" s="44"/>
      <c r="W115" s="44"/>
      <c r="X115" s="44"/>
      <c r="Y115" s="44"/>
      <c r="Z115" s="67"/>
      <c r="AA115" s="67"/>
      <c r="AB115" s="94"/>
      <c r="AC115" s="67"/>
      <c r="AE115" s="40"/>
      <c r="AF115" s="196"/>
      <c r="AG115" s="197"/>
      <c r="AH115" s="198"/>
      <c r="AI115" s="199"/>
      <c r="AJ115" s="198"/>
      <c r="AK115" s="5"/>
      <c r="AL115" s="5"/>
    </row>
    <row r="116" spans="1:38" ht="19.5" customHeight="1" x14ac:dyDescent="0.3">
      <c r="A116" s="196" t="s">
        <v>196</v>
      </c>
      <c r="B116" s="165" t="s">
        <v>197</v>
      </c>
      <c r="C116" s="2" t="s">
        <v>198</v>
      </c>
      <c r="D116" s="181" t="s">
        <v>148</v>
      </c>
      <c r="E116" s="93">
        <f>(VLOOKUP(C116,[6]Sheet1!$B$1:$G$65,2,0))*-1</f>
        <v>1.12333100145236E-4</v>
      </c>
      <c r="F116" s="93">
        <f>(VLOOKUP(C116,[6]Sheet1!$B$1:$G$65,4,0))</f>
        <v>4.1273691211742204E-5</v>
      </c>
      <c r="G116" s="45"/>
      <c r="H116" s="45"/>
      <c r="I116" s="45"/>
      <c r="J116" s="45"/>
      <c r="K116" s="45"/>
      <c r="L116" s="45"/>
      <c r="M116" s="45"/>
      <c r="N116" s="45"/>
      <c r="O116" s="45">
        <f>VLOOKUP($B116,'[4]Delta Monthly'!$A$1:$AW$76,20,1)/10000</f>
        <v>0</v>
      </c>
      <c r="P116" s="45">
        <f>VLOOKUP($B116,'[4]Delta Monthly'!$A$1:$AW$76,22,1)/10000</f>
        <v>0</v>
      </c>
      <c r="Q116" s="45">
        <f>VLOOKUP($B116,'[4]Delta Monthly'!$A$1:$AW$76,24,1)/10000</f>
        <v>170.38119175</v>
      </c>
      <c r="R116" s="67">
        <f>SUM(G116:Q116)</f>
        <v>170.38119175</v>
      </c>
      <c r="S116" s="45">
        <f>(VLOOKUP($B116,'[4]Delta Monthly'!$A$1:$AW$76,26,FALSE)+VLOOKUP($B116,'[4]Delta Monthly'!$A$1:$AW$76,28,FALSE))/10000</f>
        <v>-443.69627532000004</v>
      </c>
      <c r="T116" s="45">
        <f>(VLOOKUP($B116,'[4]Delta Monthly'!$A$1:$AW$76,30,FALSE)+VLOOKUP($B116,'[4]Delta Monthly'!$A$1:$AW$76,32,FALSE))/10000</f>
        <v>-35.488179520000003</v>
      </c>
      <c r="U116" s="45">
        <f>VLOOKUP($B116,'[4]Delta Monthly'!$A$1:$AW$76,34,FALSE)/10000</f>
        <v>1.5351853900000001</v>
      </c>
      <c r="V116" s="45">
        <f>VLOOKUP($B116,'[4]Delta Monthly'!$A$1:$AW$76,36,FALSE)/10000</f>
        <v>1.4827652599999999</v>
      </c>
      <c r="W116" s="45">
        <f>(VLOOKUP($B116,'[4]Delta Monthly'!$A$1:$AW$76,38,FALSE)+VLOOKUP($B116,'[4]Delta Monthly'!$A$1:$AW$76,40,FALSE))/10000</f>
        <v>3.0549028600000003</v>
      </c>
      <c r="X116" s="45">
        <f>VLOOKUP($B116,'[4]Delta Monthly'!$A$1:$AW$76,42,FALSE)/10000</f>
        <v>1.4731372700000001</v>
      </c>
      <c r="Y116" s="45">
        <f>(VLOOKUP($B116,'[4]Delta Monthly'!$A$1:$AW$76,44,FALSE)+VLOOKUP($B116,'[4]Delta Monthly'!$A$1:$AW$76,46,FALSE)+VLOOKUP($B116,'[4]Delta Monthly'!$A$1:$AW$76,48,FALSE))/10000</f>
        <v>4.4952333299999996</v>
      </c>
      <c r="Z116" s="67">
        <f>SUM(S116:Y116)</f>
        <v>-467.14323073000003</v>
      </c>
      <c r="AA116" s="67">
        <f>VLOOKUP($B116,'[3]Delta Yearly'!$A$1:$AD$76,4,FALSE)/10000</f>
        <v>69.651741749999999</v>
      </c>
      <c r="AB116" s="67">
        <f>VLOOKUP($B116,'[3]Delta Yearly'!$A$1:$AC$76,6,FALSE)+VLOOKUP($B116,'[3]Delta Yearly'!$A$1:$AC$76,8,FALSE)+VLOOKUP($B116,'[3]Delta Yearly'!$A$1:$AC$76,10,FALSE)+VLOOKUP($B116,'[3]Delta Yearly'!$A$1:$AC$76,12,FALSE)+VLOOKUP($B116,'[3]Delta Yearly'!$A$1:$AC$76,14,FALSE)+VLOOKUP($B116,'[3]Delta Yearly'!$A$1:$AC$76,16,FALSE)+VLOOKUP($B116,'[3]Delta Yearly'!$A$1:$AC$76,18,FALSE)+VLOOKUP($B116,'[3]Delta Yearly'!$A$1:$AC$76,20,FALSE)+VLOOKUP($B116,'[3]Delta Yearly'!$A$1:$AC$76,22,FALSE)+VLOOKUP($B116,'[3]Delta Yearly'!$A$1:$AC$76,24,FALSE)+VLOOKUP($B116,'[3]Delta Yearly'!$A$1:$AC$76,26,FALSE)+VLOOKUP($B116,'[3]Delta Yearly'!$A$1:$AC$76,28,FALSE)</f>
        <v>0</v>
      </c>
      <c r="AC116" s="67">
        <f>SUM(AB116,AA116,Z116,R116)</f>
        <v>-227.11029723000004</v>
      </c>
      <c r="AE116" s="40"/>
      <c r="AF116" s="196" t="s">
        <v>196</v>
      </c>
      <c r="AG116" s="197">
        <f>AC116</f>
        <v>-227.11029723000004</v>
      </c>
      <c r="AH116" s="198"/>
      <c r="AI116" s="199"/>
      <c r="AJ116" s="198">
        <f>SUM(AG116:AI116)</f>
        <v>-227.11029723000004</v>
      </c>
      <c r="AK116" s="5"/>
      <c r="AL116" s="5"/>
    </row>
    <row r="117" spans="1:38" ht="8.1" customHeight="1" x14ac:dyDescent="0.3">
      <c r="A117" s="196"/>
      <c r="B117" s="180"/>
      <c r="C117" s="180"/>
      <c r="D117" s="181"/>
      <c r="E117" s="200"/>
      <c r="F117" s="200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67"/>
      <c r="S117" s="44"/>
      <c r="T117" s="44"/>
      <c r="U117" s="44"/>
      <c r="V117" s="44"/>
      <c r="W117" s="44"/>
      <c r="X117" s="44"/>
      <c r="Y117" s="44"/>
      <c r="Z117" s="67"/>
      <c r="AA117" s="67"/>
      <c r="AB117" s="67"/>
      <c r="AC117" s="67"/>
      <c r="AE117" s="40"/>
      <c r="AF117" s="196"/>
      <c r="AG117" s="197"/>
      <c r="AH117" s="198"/>
      <c r="AI117" s="199"/>
      <c r="AJ117" s="198"/>
      <c r="AK117" s="5"/>
      <c r="AL117" s="5"/>
    </row>
    <row r="118" spans="1:38" ht="19.5" hidden="1" customHeight="1" x14ac:dyDescent="0.3">
      <c r="A118" s="188" t="s">
        <v>199</v>
      </c>
      <c r="B118" s="189"/>
      <c r="C118" s="189"/>
      <c r="D118" s="190" t="s">
        <v>175</v>
      </c>
      <c r="E118" s="201"/>
      <c r="F118" s="201"/>
      <c r="G118" s="152"/>
      <c r="H118" s="152"/>
      <c r="I118" s="152"/>
      <c r="J118" s="152"/>
      <c r="K118" s="152"/>
      <c r="L118" s="152"/>
      <c r="M118" s="152"/>
      <c r="N118" s="152"/>
      <c r="O118" s="152">
        <f>'[1]sprdoptgas positions'!E3+'[1]sprdoptgas positions'!E5+'[1]sprdoptgas positions'!E6+'[1]sprdoptgas positions'!E7</f>
        <v>0</v>
      </c>
      <c r="P118" s="152">
        <f>'[1]sprdoptgas positions'!F3+'[1]sprdoptgas positions'!F5+'[1]sprdoptgas positions'!F6+'[1]sprdoptgas positions'!F7</f>
        <v>-26.220038786742766</v>
      </c>
      <c r="Q118" s="152">
        <f>'[1]sprdoptgas positions'!G3+'[1]sprdoptgas positions'!G5+'[1]sprdoptgas positions'!G6+'[1]sprdoptgas positions'!G7</f>
        <v>-26914.774488630213</v>
      </c>
      <c r="R118" s="149">
        <f>'[1]sprdoptgas positions'!H3+'[1]sprdoptgas positions'!H5+'[1]sprdoptgas positions'!H6+'[1]sprdoptgas positions'!H7</f>
        <v>-26940.994527416955</v>
      </c>
      <c r="S118" s="152">
        <f>'[1]sprdoptgas positions'!I3+'[1]sprdoptgas positions'!I5+'[1]sprdoptgas positions'!I6+'[1]sprdoptgas positions'!I7</f>
        <v>17774.174455966626</v>
      </c>
      <c r="T118" s="152">
        <f>'[1]sprdoptgas positions'!J3+'[1]sprdoptgas positions'!J5+'[1]sprdoptgas positions'!J6+'[1]sprdoptgas positions'!J7</f>
        <v>16334.230019912728</v>
      </c>
      <c r="U118" s="152">
        <f>'[1]sprdoptgas positions'!K3+'[1]sprdoptgas positions'!K5+'[1]sprdoptgas positions'!K6+'[1]sprdoptgas positions'!K7</f>
        <v>9400.0167394152486</v>
      </c>
      <c r="V118" s="152">
        <f>'[1]sprdoptgas positions'!L3+'[1]sprdoptgas positions'!L5+'[1]sprdoptgas positions'!L6+'[1]sprdoptgas positions'!L7</f>
        <v>120664.38864645862</v>
      </c>
      <c r="W118" s="152">
        <f>'[1]sprdoptgas positions'!M3+'[1]sprdoptgas positions'!M5+'[1]sprdoptgas positions'!M6+'[1]sprdoptgas positions'!M7</f>
        <v>476207.9895243448</v>
      </c>
      <c r="X118" s="152">
        <f>'[1]sprdoptgas positions'!N3+'[1]sprdoptgas positions'!N5+'[1]sprdoptgas positions'!N6+'[1]sprdoptgas positions'!N7</f>
        <v>128368.02036564006</v>
      </c>
      <c r="Y118" s="152">
        <f>'[1]sprdoptgas positions'!O3+'[1]sprdoptgas positions'!O5+'[1]sprdoptgas positions'!O6+'[1]sprdoptgas positions'!O7</f>
        <v>20679.165997993347</v>
      </c>
      <c r="Z118" s="149">
        <f>'[1]sprdoptgas positions'!P3+'[1]sprdoptgas positions'!P5+'[1]sprdoptgas positions'!P6+'[1]sprdoptgas positions'!P7</f>
        <v>789427.98574973131</v>
      </c>
      <c r="AA118" s="149">
        <f>'[1]sprdoptgas positions'!Q3+'[1]sprdoptgas positions'!Q5+'[1]sprdoptgas positions'!Q6+'[1]sprdoptgas positions'!Q7</f>
        <v>-826351.56441491586</v>
      </c>
      <c r="AB118" s="149">
        <f>'[1]sprdoptgas positions'!R3+'[1]sprdoptgas positions'!R5+'[1]sprdoptgas positions'!R6+'[1]sprdoptgas positions'!R7</f>
        <v>0</v>
      </c>
      <c r="AC118" s="149">
        <f>SUM(AB118,AA118,Z118,R118)</f>
        <v>-63864.573192601514</v>
      </c>
      <c r="AE118" s="40"/>
      <c r="AF118" s="188" t="s">
        <v>199</v>
      </c>
      <c r="AG118" s="197"/>
      <c r="AH118" s="198"/>
      <c r="AI118" s="199"/>
      <c r="AJ118" s="198"/>
      <c r="AK118" s="5"/>
      <c r="AL118" s="5"/>
    </row>
    <row r="119" spans="1:38" hidden="1" x14ac:dyDescent="0.3">
      <c r="A119" s="188" t="s">
        <v>199</v>
      </c>
      <c r="B119" s="189" t="s">
        <v>200</v>
      </c>
      <c r="C119" s="189"/>
      <c r="D119" s="190" t="s">
        <v>201</v>
      </c>
      <c r="E119" s="201"/>
      <c r="F119" s="201"/>
      <c r="G119" s="152"/>
      <c r="H119" s="152"/>
      <c r="I119" s="152"/>
      <c r="J119" s="152"/>
      <c r="K119" s="152"/>
      <c r="L119" s="152"/>
      <c r="M119" s="152"/>
      <c r="N119" s="152"/>
      <c r="O119" s="152">
        <f>VLOOKUP($B119,'[4]Delta Monthly'!$A$1:$AW$80,20,1)</f>
        <v>0</v>
      </c>
      <c r="P119" s="152">
        <f>VLOOKUP($B119,'[4]Delta Monthly'!$A$1:$AW$80,22,1)</f>
        <v>0</v>
      </c>
      <c r="Q119" s="152">
        <f>VLOOKUP($B119,'[4]Delta Monthly'!$A$1:$AW$80,24,1)</f>
        <v>-162386.76639999999</v>
      </c>
      <c r="R119" s="149">
        <f>SUM(G119:Q119)</f>
        <v>-162386.76639999999</v>
      </c>
      <c r="S119" s="152">
        <f>VLOOKUP($B119,'[4]Delta Monthly'!$A$1:$AW$80,26,FALSE)+VLOOKUP($B119,'[4]Delta Monthly'!$A$1:$AW$80,28,FALSE)</f>
        <v>92453.268599999996</v>
      </c>
      <c r="T119" s="152">
        <f>VLOOKUP($B119,'[4]Delta Monthly'!$A$1:$AW$80,30,FALSE)+VLOOKUP($B119,'[4]Delta Monthly'!$A$1:$AW$80,32,FALSE)</f>
        <v>-399610.59010000003</v>
      </c>
      <c r="U119" s="152">
        <f>VLOOKUP($B119,'[4]Delta Monthly'!$A$1:$AW$80,34,FALSE)</f>
        <v>-279799.91889999999</v>
      </c>
      <c r="V119" s="152">
        <f>VLOOKUP($B119,'[4]Delta Monthly'!$A$1:$AW$80,36,FALSE)</f>
        <v>-261955.19589999999</v>
      </c>
      <c r="W119" s="152">
        <f>VLOOKUP($B119,'[4]Delta Monthly'!$A$1:$AW$80,38,FALSE)+VLOOKUP($B119,'[4]Delta Monthly'!$A$1:$AW$80,40,FALSE)</f>
        <v>-497653.52839999995</v>
      </c>
      <c r="X119" s="152">
        <f>VLOOKUP($B119,'[4]Delta Monthly'!$A$1:$AW$80,42,FALSE)</f>
        <v>-250433.3328</v>
      </c>
      <c r="Y119" s="152">
        <f>VLOOKUP($B119,'[4]Delta Monthly'!$A$1:$AW$80,44,FALSE)+VLOOKUP($B119,'[4]Delta Monthly'!$A$1:$AW$80,46,FALSE)+VLOOKUP($B119,'[4]Delta Monthly'!$A$1:$AW$80,48,FALSE)</f>
        <v>-315748.44530000002</v>
      </c>
      <c r="Z119" s="149">
        <f>SUM(S119:Y119)</f>
        <v>-1912747.7427999999</v>
      </c>
      <c r="AA119" s="149">
        <f>VLOOKUP($B119,'[3]Delta Yearly'!$A$1:$AD$80,4,FALSE)</f>
        <v>966789.93700000003</v>
      </c>
      <c r="AB119" s="149">
        <f>VLOOKUP($B119,'[3]Delta Yearly'!$A$1:$AC$80,6,FALSE)+VLOOKUP($B119,'[3]Delta Yearly'!$A$1:$AC$80,8,FALSE)+VLOOKUP($B119,'[3]Delta Yearly'!$A$1:$AC$80,10,FALSE)+VLOOKUP($B119,'[3]Delta Yearly'!$A$1:$AC$80,12,FALSE)+VLOOKUP($B119,'[3]Delta Yearly'!$A$1:$AC$80,14,FALSE)+VLOOKUP($B119,'[3]Delta Yearly'!$A$1:$AC$80,16,FALSE)+VLOOKUP($B119,'[3]Delta Yearly'!$A$1:$AC$80,18,FALSE)+VLOOKUP($B119,'[3]Delta Yearly'!$A$1:$AC$80,20,FALSE)+VLOOKUP($B119,'[3]Delta Yearly'!$A$1:$AC$80,22,FALSE)+VLOOKUP($B119,'[3]Delta Yearly'!$A$1:$AC$80,24,FALSE)+VLOOKUP($B119,'[3]Delta Yearly'!$A$1:$AC$80,26,FALSE)+VLOOKUP($B119,'[3]Delta Yearly'!$A$1:$AC$80,28,FALSE)</f>
        <v>0</v>
      </c>
      <c r="AC119" s="149">
        <f>SUM(AB119,AA119,Z119,R119)</f>
        <v>-1108344.5721999998</v>
      </c>
      <c r="AE119" s="40"/>
      <c r="AF119" s="188" t="s">
        <v>199</v>
      </c>
      <c r="AG119" s="197"/>
      <c r="AH119" s="198"/>
      <c r="AI119" s="199"/>
      <c r="AJ119" s="198"/>
      <c r="AK119" s="5"/>
      <c r="AL119" s="5"/>
    </row>
    <row r="120" spans="1:38" x14ac:dyDescent="0.3">
      <c r="A120" s="196" t="s">
        <v>199</v>
      </c>
      <c r="B120" s="180" t="s">
        <v>200</v>
      </c>
      <c r="C120" s="2" t="s">
        <v>202</v>
      </c>
      <c r="D120" s="67" t="s">
        <v>161</v>
      </c>
      <c r="E120" s="93">
        <f>(VLOOKUP(C120,[6]Sheet1!$B$1:$G$65,2,0))*-1</f>
        <v>142408.36298031404</v>
      </c>
      <c r="F120" s="93">
        <f>(VLOOKUP(C120,[6]Sheet1!$B$1:$G$65,4,0))</f>
        <v>5751.3842699910165</v>
      </c>
      <c r="G120" s="45"/>
      <c r="H120" s="45"/>
      <c r="I120" s="45"/>
      <c r="J120" s="45"/>
      <c r="K120" s="45"/>
      <c r="L120" s="45"/>
      <c r="M120" s="45"/>
      <c r="N120" s="45"/>
      <c r="O120" s="45">
        <f t="shared" ref="O120:AC120" si="10">SUM(O118:O119)/10000</f>
        <v>0</v>
      </c>
      <c r="P120" s="45">
        <f t="shared" si="10"/>
        <v>-2.6220038786742765E-3</v>
      </c>
      <c r="Q120" s="45">
        <f t="shared" si="10"/>
        <v>-18.93015408886302</v>
      </c>
      <c r="R120" s="67">
        <f t="shared" si="10"/>
        <v>-18.932776092741694</v>
      </c>
      <c r="S120" s="45">
        <f t="shared" si="10"/>
        <v>11.022744305596662</v>
      </c>
      <c r="T120" s="45">
        <f t="shared" si="10"/>
        <v>-38.327636008008731</v>
      </c>
      <c r="U120" s="45">
        <f t="shared" si="10"/>
        <v>-27.039990216058474</v>
      </c>
      <c r="V120" s="45">
        <f t="shared" si="10"/>
        <v>-14.129080725354136</v>
      </c>
      <c r="W120" s="45">
        <f t="shared" si="10"/>
        <v>-2.1445538875655155</v>
      </c>
      <c r="X120" s="45">
        <f t="shared" si="10"/>
        <v>-12.206531243435995</v>
      </c>
      <c r="Y120" s="45">
        <f t="shared" si="10"/>
        <v>-29.506927930200671</v>
      </c>
      <c r="Z120" s="67">
        <f t="shared" si="10"/>
        <v>-112.33197570502686</v>
      </c>
      <c r="AA120" s="67">
        <f t="shared" si="10"/>
        <v>14.043837258508418</v>
      </c>
      <c r="AB120" s="67">
        <f t="shared" si="10"/>
        <v>0</v>
      </c>
      <c r="AC120" s="67">
        <f t="shared" si="10"/>
        <v>-117.22091453926014</v>
      </c>
      <c r="AF120" s="196" t="s">
        <v>199</v>
      </c>
      <c r="AG120" s="197">
        <f>AC119/10000</f>
        <v>-110.83445721999998</v>
      </c>
      <c r="AH120" s="198">
        <f>AC118/10000</f>
        <v>-6.3864573192601517</v>
      </c>
      <c r="AI120" s="199"/>
      <c r="AJ120" s="198">
        <f>SUM(AG120:AI120)</f>
        <v>-117.22091453926012</v>
      </c>
      <c r="AK120" s="5"/>
      <c r="AL120" s="5"/>
    </row>
    <row r="121" spans="1:38" ht="8.1" customHeight="1" x14ac:dyDescent="0.3">
      <c r="A121" s="196"/>
      <c r="B121" s="180"/>
      <c r="C121" s="180"/>
      <c r="D121" s="181"/>
      <c r="E121" s="200"/>
      <c r="F121" s="200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67"/>
      <c r="S121" s="44"/>
      <c r="T121" s="44"/>
      <c r="U121" s="44"/>
      <c r="V121" s="44"/>
      <c r="W121" s="44"/>
      <c r="X121" s="44"/>
      <c r="Y121" s="44"/>
      <c r="Z121" s="67"/>
      <c r="AA121" s="67"/>
      <c r="AB121" s="67"/>
      <c r="AC121" s="67"/>
      <c r="AF121" s="196"/>
      <c r="AG121" s="197"/>
      <c r="AH121" s="198"/>
      <c r="AI121" s="199"/>
      <c r="AJ121" s="198"/>
      <c r="AK121" s="5"/>
      <c r="AL121" s="5"/>
    </row>
    <row r="122" spans="1:38" x14ac:dyDescent="0.3">
      <c r="A122" s="196" t="s">
        <v>203</v>
      </c>
      <c r="B122" s="165" t="s">
        <v>204</v>
      </c>
      <c r="C122" s="2" t="s">
        <v>205</v>
      </c>
      <c r="D122" s="181" t="s">
        <v>90</v>
      </c>
      <c r="E122" s="93">
        <f>(VLOOKUP(C122,[6]Sheet1!$B$1:$G$65,2,0))*-1</f>
        <v>1712901.1482005599</v>
      </c>
      <c r="F122" s="93">
        <f>(VLOOKUP(C122,[6]Sheet1!$B$1:$G$65,4,0))</f>
        <v>1082920.0242597437</v>
      </c>
      <c r="G122" s="45"/>
      <c r="H122" s="45"/>
      <c r="I122" s="45"/>
      <c r="J122" s="45"/>
      <c r="K122" s="45"/>
      <c r="L122" s="45"/>
      <c r="M122" s="45"/>
      <c r="N122" s="45"/>
      <c r="O122" s="45">
        <f>VLOOKUP($B122,'[4]Delta Monthly'!$A$1:$AW$80,20,1)/10000</f>
        <v>0</v>
      </c>
      <c r="P122" s="45">
        <f>VLOOKUP($B122,'[4]Delta Monthly'!$A$1:$AW$80,22,1)/10000</f>
        <v>22.184200000000001</v>
      </c>
      <c r="Q122" s="45">
        <f>VLOOKUP($B122,'[4]Delta Monthly'!$A$1:$AW$80,24,1)/10000</f>
        <v>-1316.58193626</v>
      </c>
      <c r="R122" s="67">
        <f>SUM(G122:Q122)</f>
        <v>-1294.3977362600001</v>
      </c>
      <c r="S122" s="45">
        <f>(VLOOKUP($B122,'[4]Delta Monthly'!$A$1:$AW$80,26,2)+VLOOKUP($B122,'[4]Delta Monthly'!$A$1:$AW$80,28,2))/10000</f>
        <v>0</v>
      </c>
      <c r="T122" s="45">
        <f>(VLOOKUP($B122,'[4]Delta Monthly'!$A$1:$AW$80,30,FALSE)+VLOOKUP($B122,'[4]Delta Monthly'!$A$1:$AW$80,32,FALSE))/10000</f>
        <v>0</v>
      </c>
      <c r="U122" s="45">
        <f>(VLOOKUP($B122,'[4]Delta Monthly'!$A$1:$AW$80,34,FALSE))/10000</f>
        <v>0</v>
      </c>
      <c r="V122" s="45">
        <f>(VLOOKUP($B122,'[4]Delta Monthly'!$A$1:$AW$80,36,FALSE))/10000</f>
        <v>0</v>
      </c>
      <c r="W122" s="45">
        <f>(VLOOKUP($B122,'[4]Delta Monthly'!$A$1:$AW$80,38,FALSE)+VLOOKUP($B122,'[4]Delta Monthly'!$A$1:$AW$80,40,FALSE))/10000</f>
        <v>0</v>
      </c>
      <c r="X122" s="45">
        <f>(VLOOKUP($B122,'[4]Delta Monthly'!$A$1:$AW$80,42,FALSE))/10000</f>
        <v>0</v>
      </c>
      <c r="Y122" s="45">
        <f>(VLOOKUP($B122,'[4]Delta Monthly'!$A$1:$AW$80,44,FALSE)+VLOOKUP($B122,'[4]Delta Monthly'!$A$1:$AW$80,46,FALSE)+VLOOKUP($B122,'[4]Delta Monthly'!$A$1:$AW$80,48,FALSE))/10000</f>
        <v>0</v>
      </c>
      <c r="Z122" s="67">
        <f>SUM(S122:Y122)</f>
        <v>0</v>
      </c>
      <c r="AA122" s="67">
        <f>VLOOKUP($B122,'[3]Delta Yearly'!$A$1:$AD$80,4,FALSE)/10000</f>
        <v>-1393.0348351299999</v>
      </c>
      <c r="AB122" s="67">
        <f>(VLOOKUP($B122,'[3]Delta Yearly'!$A$1:$AC$80,6,FALSE)+VLOOKUP($B122,'[3]Delta Yearly'!$A$1:$AC$80,8,FALSE)+VLOOKUP($B122,'[3]Delta Yearly'!$A$1:$AC$80,10,FALSE)+VLOOKUP($B122,'[3]Delta Yearly'!$A$1:$AC$80,12,FALSE)+VLOOKUP($B122,'[3]Delta Yearly'!$A$1:$AC$80,14,FALSE)+VLOOKUP($B122,'[3]Delta Yearly'!$A$1:$AC$80,16,FALSE)+VLOOKUP($B122,'[3]Delta Yearly'!$A$1:$AC$80,18,FALSE)+VLOOKUP($B122,'[3]Delta Yearly'!$A$1:$AC$80,20,FALSE)+VLOOKUP($B122,'[3]Delta Yearly'!$A$1:$AC$80,22,FALSE)+VLOOKUP($B122,'[3]Delta Yearly'!$A$1:$AC$80,24,FALSE)+VLOOKUP($B122,'[3]Delta Yearly'!$A$1:$AC$80,26,FALSE)+VLOOKUP($B122,'[3]Delta Yearly'!$A$1:$AC$80,28,FALSE))/10000</f>
        <v>0</v>
      </c>
      <c r="AC122" s="67">
        <f>SUM(AB122,AA122,Z122,R122)</f>
        <v>-2687.4325713899998</v>
      </c>
      <c r="AF122" s="203" t="s">
        <v>203</v>
      </c>
      <c r="AG122" s="204">
        <f>AC122</f>
        <v>-2687.4325713899998</v>
      </c>
      <c r="AH122" s="205"/>
      <c r="AI122" s="206"/>
      <c r="AJ122" s="205">
        <f>SUM(AG122:AI122)</f>
        <v>-2687.4325713899998</v>
      </c>
      <c r="AK122" s="5"/>
      <c r="AL122" s="5"/>
    </row>
    <row r="123" spans="1:38" ht="8.1" customHeight="1" x14ac:dyDescent="0.3">
      <c r="A123" s="196"/>
      <c r="B123" s="165"/>
      <c r="C123" s="165"/>
      <c r="D123" s="181"/>
      <c r="E123" s="200"/>
      <c r="F123" s="200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67"/>
      <c r="S123" s="44"/>
      <c r="T123" s="44"/>
      <c r="U123" s="44"/>
      <c r="V123" s="44"/>
      <c r="W123" s="44"/>
      <c r="X123" s="44"/>
      <c r="Y123" s="44"/>
      <c r="Z123" s="67"/>
      <c r="AA123" s="67"/>
      <c r="AB123" s="67"/>
      <c r="AC123" s="67"/>
      <c r="AF123" s="196"/>
      <c r="AG123" s="197"/>
      <c r="AH123" s="198"/>
      <c r="AI123" s="199"/>
      <c r="AJ123" s="198"/>
      <c r="AK123" s="5"/>
      <c r="AL123" s="5"/>
    </row>
    <row r="124" spans="1:38" x14ac:dyDescent="0.3">
      <c r="A124" s="196" t="s">
        <v>206</v>
      </c>
      <c r="B124" s="165" t="s">
        <v>207</v>
      </c>
      <c r="C124" s="2" t="s">
        <v>208</v>
      </c>
      <c r="D124" s="181" t="s">
        <v>77</v>
      </c>
      <c r="E124" s="93">
        <f>(VLOOKUP(C124,[6]Sheet1!$B$1:$G$65,2,0))*-1</f>
        <v>0</v>
      </c>
      <c r="F124" s="93">
        <f>(VLOOKUP(C124,[6]Sheet1!$B$1:$G$65,4,0))</f>
        <v>0</v>
      </c>
      <c r="G124" s="45"/>
      <c r="H124" s="45"/>
      <c r="I124" s="45"/>
      <c r="J124" s="45"/>
      <c r="K124" s="45"/>
      <c r="L124" s="45"/>
      <c r="M124" s="45"/>
      <c r="N124" s="45"/>
      <c r="O124" s="45">
        <f>VLOOKUP($B124,'[4]Delta Monthly'!$A$1:$AW$80,20,1)/10000</f>
        <v>0</v>
      </c>
      <c r="P124" s="45">
        <f>VLOOKUP($B124,'[4]Delta Monthly'!$A$1:$AW$80,22,1)/10000</f>
        <v>0</v>
      </c>
      <c r="Q124" s="45">
        <f>VLOOKUP($B124,'[4]Delta Monthly'!$A$1:$AW$80,24,1)/10000</f>
        <v>0</v>
      </c>
      <c r="R124" s="67">
        <f>SUM(G124:Q124)</f>
        <v>0</v>
      </c>
      <c r="S124" s="45">
        <f>VLOOKUP($B124,'[4]Delta Monthly'!$A$1:$AW$80,26,FALSE)+VLOOKUP($B124,'[4]Delta Monthly'!$A$1:$AW$80,28,FALSE)</f>
        <v>0</v>
      </c>
      <c r="T124" s="45">
        <f>VLOOKUP($B124,'[4]Delta Monthly'!$A$1:$AW$80,30,FALSE)+VLOOKUP($B124,'[4]Delta Monthly'!$A$1:$AW$80,32,FALSE)</f>
        <v>0</v>
      </c>
      <c r="U124" s="45">
        <f>VLOOKUP($B124,'[4]Delta Monthly'!$A$1:$AW$80,34,FALSE)</f>
        <v>0</v>
      </c>
      <c r="V124" s="45">
        <f>VLOOKUP($B124,'[4]Delta Monthly'!$A$1:$AW$80,36,FALSE)</f>
        <v>0</v>
      </c>
      <c r="W124" s="45">
        <f>VLOOKUP($B124,'[4]Delta Monthly'!$A$1:$AW$80,38,FALSE)+VLOOKUP($B124,'[4]Delta Monthly'!$A$1:$AW$80,40,FALSE)</f>
        <v>0</v>
      </c>
      <c r="X124" s="45">
        <f>VLOOKUP($B124,'[4]Delta Monthly'!$A$1:$AW$80,42,FALSE)</f>
        <v>0</v>
      </c>
      <c r="Y124" s="45">
        <f>VLOOKUP($B124,'[4]Delta Monthly'!$A$1:$AW$80,44,FALSE)+VLOOKUP($B124,'[4]Delta Monthly'!$A$1:$AW$80,46,FALSE)+VLOOKUP($B124,'[4]Delta Monthly'!$A$1:$AW$80,48,FALSE)</f>
        <v>0</v>
      </c>
      <c r="Z124" s="67">
        <f>SUM(S124:Y124)</f>
        <v>0</v>
      </c>
      <c r="AA124" s="67">
        <f>VLOOKUP($B124,'[3]Delta Yearly'!$A$1:$AD$80,4,FALSE)/10000</f>
        <v>0</v>
      </c>
      <c r="AB124" s="67">
        <f>VLOOKUP($B124,'[3]Delta Yearly'!$A$1:$AC$80,6,FALSE)+VLOOKUP($B124,'[3]Delta Yearly'!$A$1:$AC$80,8,FALSE)+VLOOKUP($B124,'[3]Delta Yearly'!$A$1:$AC$80,10,FALSE)+VLOOKUP($B124,'[3]Delta Yearly'!$A$1:$AC$80,12,FALSE)+VLOOKUP($B124,'[3]Delta Yearly'!$A$1:$AC$80,14,FALSE)+VLOOKUP($B124,'[3]Delta Yearly'!$A$1:$AC$80,16,FALSE)+VLOOKUP($B124,'[3]Delta Yearly'!$A$1:$AC$80,18,FALSE)+VLOOKUP($B124,'[3]Delta Yearly'!$A$1:$AC$80,20,FALSE)+VLOOKUP($B124,'[3]Delta Yearly'!$A$1:$AC$80,22,FALSE)+VLOOKUP($B124,'[3]Delta Yearly'!$A$1:$AC$80,24,FALSE)+VLOOKUP($B124,'[3]Delta Yearly'!$A$1:$AC$80,26,FALSE)+VLOOKUP($B124,'[3]Delta Yearly'!$A$1:$AC$80,28,FALSE)</f>
        <v>0</v>
      </c>
      <c r="AC124" s="67">
        <f>SUM(AB124,AA124,Z124,R124)</f>
        <v>0</v>
      </c>
      <c r="AF124" s="196" t="s">
        <v>206</v>
      </c>
      <c r="AG124" s="197">
        <f>AC124</f>
        <v>0</v>
      </c>
      <c r="AH124" s="198"/>
      <c r="AI124" s="199"/>
      <c r="AJ124" s="198">
        <f>SUM(AG124:AI124)</f>
        <v>0</v>
      </c>
      <c r="AK124" s="5"/>
      <c r="AL124" s="5"/>
    </row>
    <row r="125" spans="1:38" ht="8.1" customHeight="1" x14ac:dyDescent="0.3">
      <c r="A125" s="196"/>
      <c r="B125" s="165"/>
      <c r="C125" s="165"/>
      <c r="D125" s="181"/>
      <c r="E125" s="200"/>
      <c r="F125" s="200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67"/>
      <c r="S125" s="44"/>
      <c r="T125" s="44"/>
      <c r="U125" s="44"/>
      <c r="V125" s="44"/>
      <c r="W125" s="44"/>
      <c r="X125" s="44"/>
      <c r="Y125" s="44"/>
      <c r="Z125" s="67"/>
      <c r="AA125" s="67"/>
      <c r="AB125" s="67"/>
      <c r="AC125" s="67"/>
      <c r="AF125" s="196"/>
      <c r="AG125" s="197"/>
      <c r="AH125" s="198"/>
      <c r="AI125" s="199"/>
      <c r="AJ125" s="198"/>
      <c r="AK125" s="5"/>
      <c r="AL125" s="5"/>
    </row>
    <row r="126" spans="1:38" x14ac:dyDescent="0.3">
      <c r="A126" s="196" t="s">
        <v>209</v>
      </c>
      <c r="B126" s="165" t="s">
        <v>210</v>
      </c>
      <c r="C126" s="2" t="s">
        <v>211</v>
      </c>
      <c r="D126" s="181" t="s">
        <v>121</v>
      </c>
      <c r="E126" s="93">
        <f>(VLOOKUP(C126,[6]Sheet1!$B$1:$G$65,2,0))*-1</f>
        <v>1.14778741801386E-4</v>
      </c>
      <c r="F126" s="93">
        <f>(VLOOKUP(C126,[6]Sheet1!$B$1:$G$65,4,0))</f>
        <v>-1.0032900450488002E-4</v>
      </c>
      <c r="G126" s="45"/>
      <c r="H126" s="45"/>
      <c r="I126" s="45"/>
      <c r="J126" s="45"/>
      <c r="K126" s="45"/>
      <c r="L126" s="45"/>
      <c r="M126" s="45"/>
      <c r="N126" s="45"/>
      <c r="O126" s="45">
        <f>VLOOKUP($B126,'[4]Delta Monthly'!$A$1:$AW$80,20,1)/10000</f>
        <v>0</v>
      </c>
      <c r="P126" s="45">
        <f>VLOOKUP($B126,'[4]Delta Monthly'!$A$1:$AW$80,22,1)/10000</f>
        <v>0</v>
      </c>
      <c r="Q126" s="45">
        <f>VLOOKUP($B126,'[4]Delta Monthly'!$A$1:$AW$80,24,1)/10000</f>
        <v>0</v>
      </c>
      <c r="R126" s="67">
        <f>SUM(G126:Q126)</f>
        <v>0</v>
      </c>
      <c r="S126" s="45">
        <f>(VLOOKUP($B126,'[4]Delta Monthly'!$A$1:$AW$80,26,FALSE)+VLOOKUP($B126,'[4]Delta Monthly'!$A$1:$AW$80,28,FALSE))/10000</f>
        <v>0</v>
      </c>
      <c r="T126" s="45">
        <f>(VLOOKUP($B126,'[4]Delta Monthly'!$A$1:$AW$80,30,FALSE)+VLOOKUP($B126,'[4]Delta Monthly'!$A$1:$AW$80,32,FALSE))/10000</f>
        <v>0</v>
      </c>
      <c r="U126" s="45">
        <f>(VLOOKUP($B126,'[4]Delta Monthly'!$A$1:$AW$80,34,FALSE))/10000</f>
        <v>0</v>
      </c>
      <c r="V126" s="45">
        <f>(VLOOKUP($B126,'[4]Delta Monthly'!$A$1:$AW$80,36,FALSE))/10000</f>
        <v>0</v>
      </c>
      <c r="W126" s="45">
        <f>(VLOOKUP($B126,'[4]Delta Monthly'!$A$1:$AW$80,38,FALSE)+VLOOKUP($B126,'[4]Delta Monthly'!$A$1:$AW$80,40,FALSE))/10000</f>
        <v>0</v>
      </c>
      <c r="X126" s="45">
        <f>(VLOOKUP($B126,'[4]Delta Monthly'!$A$1:$AW$80,42,FALSE))/10000</f>
        <v>0</v>
      </c>
      <c r="Y126" s="45">
        <f>(VLOOKUP($B126,'[4]Delta Monthly'!$A$1:$AW$80,44,FALSE)+VLOOKUP($B126,'[4]Delta Monthly'!$A$1:$AW$80,46,FALSE)+VLOOKUP($B126,'[4]Delta Monthly'!$A$1:$AW$80,48,FALSE))/10000</f>
        <v>0</v>
      </c>
      <c r="Z126" s="67">
        <f>SUM(S126:Y126)</f>
        <v>0</v>
      </c>
      <c r="AA126" s="67">
        <f>(VLOOKUP($B126,'[3]Delta Yearly'!$A$1:$AD$80,4,FALSE))/10000</f>
        <v>0</v>
      </c>
      <c r="AB126" s="67">
        <f>(VLOOKUP($B126,'[3]Delta Yearly'!$A$1:$AC$80,6,FALSE)+VLOOKUP($B126,'[3]Delta Yearly'!$A$1:$AC$80,8,FALSE)+VLOOKUP($B126,'[3]Delta Yearly'!$A$1:$AC$80,10,FALSE)+VLOOKUP($B126,'[3]Delta Yearly'!$A$1:$AC$80,12,FALSE)+VLOOKUP($B126,'[3]Delta Yearly'!$A$1:$AC$80,14,FALSE)+VLOOKUP($B126,'[3]Delta Yearly'!$A$1:$AC$80,16,FALSE)+VLOOKUP($B126,'[3]Delta Yearly'!$A$1:$AC$80,18,FALSE)+VLOOKUP($B126,'[3]Delta Yearly'!$A$1:$AC$80,20,FALSE)+VLOOKUP($B126,'[3]Delta Yearly'!$A$1:$AC$80,22,FALSE)+VLOOKUP($B126,'[3]Delta Yearly'!$A$1:$AC$80,24,FALSE)+VLOOKUP($B126,'[3]Delta Yearly'!$A$1:$AC$80,26,FALSE)+VLOOKUP($B126,'[3]Delta Yearly'!$A$1:$AC$80,28,FALSE))/10000</f>
        <v>0</v>
      </c>
      <c r="AC126" s="67">
        <f>SUM(AB126,AA126,Z126,R126)</f>
        <v>0</v>
      </c>
      <c r="AF126" s="196" t="s">
        <v>209</v>
      </c>
      <c r="AG126" s="197">
        <f>AC126</f>
        <v>0</v>
      </c>
      <c r="AH126" s="198"/>
      <c r="AI126" s="199"/>
      <c r="AJ126" s="198">
        <f>SUM(AG126:AI126)</f>
        <v>0</v>
      </c>
      <c r="AK126" s="5"/>
      <c r="AL126" s="5"/>
    </row>
    <row r="127" spans="1:38" ht="9" customHeight="1" x14ac:dyDescent="0.3">
      <c r="A127" s="196"/>
      <c r="B127" s="165"/>
      <c r="D127" s="181"/>
      <c r="E127" s="93"/>
      <c r="F127" s="93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67"/>
      <c r="S127" s="45"/>
      <c r="T127" s="45"/>
      <c r="U127" s="45"/>
      <c r="V127" s="45"/>
      <c r="W127" s="45"/>
      <c r="X127" s="45"/>
      <c r="Y127" s="45"/>
      <c r="Z127" s="67"/>
      <c r="AA127" s="67"/>
      <c r="AB127" s="67"/>
      <c r="AC127" s="67"/>
      <c r="AF127" s="196"/>
      <c r="AG127" s="197"/>
      <c r="AH127" s="198"/>
      <c r="AI127" s="199"/>
      <c r="AJ127" s="198"/>
      <c r="AK127" s="5"/>
      <c r="AL127" s="5"/>
    </row>
    <row r="128" spans="1:38" x14ac:dyDescent="0.3">
      <c r="A128" s="196" t="s">
        <v>212</v>
      </c>
      <c r="B128" s="165" t="s">
        <v>213</v>
      </c>
      <c r="C128" s="2" t="s">
        <v>214</v>
      </c>
      <c r="D128" s="181" t="s">
        <v>125</v>
      </c>
      <c r="E128" s="93">
        <f>(VLOOKUP(C128,[6]Sheet1!$B$1:$G$65,2,0))*-1</f>
        <v>1716885.3298042901</v>
      </c>
      <c r="F128" s="93">
        <f>(VLOOKUP(C128,[6]Sheet1!$B$1:$G$65,4,0))</f>
        <v>130927.65311918012</v>
      </c>
      <c r="G128" s="45"/>
      <c r="H128" s="45"/>
      <c r="I128" s="45"/>
      <c r="J128" s="45"/>
      <c r="K128" s="45"/>
      <c r="L128" s="45"/>
      <c r="M128" s="45"/>
      <c r="N128" s="45"/>
      <c r="O128" s="45">
        <f>VLOOKUP($B128,'[4]Delta Monthly'!$A$1:$AW$80,20,1)/10000</f>
        <v>0</v>
      </c>
      <c r="P128" s="45">
        <f>VLOOKUP($B128,'[4]Delta Monthly'!$A$1:$AW$80,22,1)/10000</f>
        <v>0</v>
      </c>
      <c r="Q128" s="45">
        <f>VLOOKUP($B128,'[4]Delta Monthly'!$A$1:$AW$80,24,1)/10000</f>
        <v>-108.42439474</v>
      </c>
      <c r="R128" s="67">
        <f>SUM(G128:Q128)</f>
        <v>-108.42439474</v>
      </c>
      <c r="S128" s="45">
        <f>(VLOOKUP($B128,'[4]Delta Monthly'!$A$1:$AW$80,26,FALSE)+VLOOKUP($B128,'[4]Delta Monthly'!$A$1:$AW$80,28,FALSE))/10000</f>
        <v>-328.84226950999999</v>
      </c>
      <c r="T128" s="45">
        <f>(VLOOKUP($B128,'[4]Delta Monthly'!$A$1:$AW$80,30,FALSE)+VLOOKUP($B128,'[4]Delta Monthly'!$A$1:$AW$80,32,FALSE))/10000</f>
        <v>-90.350474940000012</v>
      </c>
      <c r="U128" s="45">
        <f>(VLOOKUP($B128,'[4]Delta Monthly'!$A$1:$AW$80,34,FALSE))/10000</f>
        <v>-61.407415839999999</v>
      </c>
      <c r="V128" s="45">
        <f>(VLOOKUP($B128,'[4]Delta Monthly'!$A$1:$AW$80,36,FALSE))/10000</f>
        <v>-59.310610400000002</v>
      </c>
      <c r="W128" s="45">
        <f>(VLOOKUP($B128,'[4]Delta Monthly'!$A$1:$AW$80,38,FALSE)+VLOOKUP($B128,'[4]Delta Monthly'!$A$1:$AW$80,40,FALSE))/10000</f>
        <v>-122.19611392000002</v>
      </c>
      <c r="X128" s="45">
        <f>(VLOOKUP($B128,'[4]Delta Monthly'!$A$1:$AW$80,42,FALSE))/10000</f>
        <v>-58.925490050000001</v>
      </c>
      <c r="Y128" s="45">
        <f>(VLOOKUP($B128,'[4]Delta Monthly'!$A$1:$AW$80,44,FALSE)+VLOOKUP($B128,'[4]Delta Monthly'!$A$1:$AW$80,46,FALSE)+VLOOKUP($B128,'[4]Delta Monthly'!$A$1:$AW$80,48,FALSE))/10000</f>
        <v>-179.80933304000001</v>
      </c>
      <c r="Z128" s="67">
        <f>SUM(S128:Y128)</f>
        <v>-900.84170770000014</v>
      </c>
      <c r="AA128" s="67">
        <f>(VLOOKUP($B128,'[3]Delta Yearly'!$A$1:$AD$80,4,FALSE))/10000</f>
        <v>87.064677200000006</v>
      </c>
      <c r="AB128" s="67">
        <f>(VLOOKUP($B128,'[3]Delta Yearly'!$A$1:$AC$80,6,FALSE)+VLOOKUP($B128,'[3]Delta Yearly'!$A$1:$AC$80,8,FALSE)+VLOOKUP($B128,'[3]Delta Yearly'!$A$1:$AC$80,10,FALSE)+VLOOKUP($B128,'[3]Delta Yearly'!$A$1:$AC$80,12,FALSE)+VLOOKUP($B128,'[3]Delta Yearly'!$A$1:$AC$80,14,FALSE)+VLOOKUP($B128,'[3]Delta Yearly'!$A$1:$AC$80,16,FALSE)+VLOOKUP($B128,'[3]Delta Yearly'!$A$1:$AC$80,18,FALSE)+VLOOKUP($B128,'[3]Delta Yearly'!$A$1:$AC$80,20,FALSE)+VLOOKUP($B128,'[3]Delta Yearly'!$A$1:$AC$80,22,FALSE)+VLOOKUP($B128,'[3]Delta Yearly'!$A$1:$AC$80,24,FALSE)+VLOOKUP($B128,'[3]Delta Yearly'!$A$1:$AC$80,26,FALSE)+VLOOKUP($B128,'[3]Delta Yearly'!$A$1:$AC$80,28,FALSE))/10000</f>
        <v>0</v>
      </c>
      <c r="AC128" s="67">
        <f>SUM(AB128,AA128,Z128,R128)</f>
        <v>-922.20142524000016</v>
      </c>
      <c r="AF128" s="196" t="s">
        <v>212</v>
      </c>
      <c r="AG128" s="197">
        <f>AC128</f>
        <v>-922.20142524000016</v>
      </c>
      <c r="AH128" s="198"/>
      <c r="AI128" s="199"/>
      <c r="AJ128" s="198">
        <f>SUM(AG128:AI128)</f>
        <v>-922.20142524000016</v>
      </c>
      <c r="AK128" s="5"/>
      <c r="AL128" s="5"/>
    </row>
    <row r="129" spans="1:38" ht="8.1" customHeight="1" x14ac:dyDescent="0.3">
      <c r="A129" s="196"/>
      <c r="B129" s="165"/>
      <c r="C129" s="165"/>
      <c r="D129" s="181"/>
      <c r="E129" s="200"/>
      <c r="F129" s="200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67"/>
      <c r="S129" s="44"/>
      <c r="T129" s="44"/>
      <c r="U129" s="44"/>
      <c r="V129" s="44"/>
      <c r="W129" s="44"/>
      <c r="X129" s="44"/>
      <c r="Y129" s="44"/>
      <c r="Z129" s="67"/>
      <c r="AA129" s="67"/>
      <c r="AB129" s="67"/>
      <c r="AC129" s="67"/>
      <c r="AF129" s="196"/>
      <c r="AG129" s="197"/>
      <c r="AH129" s="198"/>
      <c r="AI129" s="199"/>
      <c r="AJ129" s="198"/>
      <c r="AK129" s="5"/>
      <c r="AL129" s="5"/>
    </row>
    <row r="130" spans="1:38" x14ac:dyDescent="0.3">
      <c r="A130" s="196" t="s">
        <v>215</v>
      </c>
      <c r="B130" s="165" t="s">
        <v>216</v>
      </c>
      <c r="C130" s="2" t="s">
        <v>217</v>
      </c>
      <c r="D130" s="181" t="s">
        <v>73</v>
      </c>
      <c r="E130" s="93">
        <f>(VLOOKUP(C130,[6]Sheet1!$B$1:$G$65,2,0))*-1</f>
        <v>10090.7552137123</v>
      </c>
      <c r="F130" s="93">
        <f>(VLOOKUP(C130,[6]Sheet1!$B$1:$G$65,4,0))</f>
        <v>-55588.529791697598</v>
      </c>
      <c r="G130" s="45"/>
      <c r="H130" s="45"/>
      <c r="I130" s="45"/>
      <c r="J130" s="45"/>
      <c r="K130" s="45"/>
      <c r="L130" s="45"/>
      <c r="M130" s="45"/>
      <c r="N130" s="45"/>
      <c r="O130" s="45">
        <f>VLOOKUP($B130,'[4]Delta Monthly'!$A$1:$AW$80,20,1)/10000</f>
        <v>0</v>
      </c>
      <c r="P130" s="45">
        <f>VLOOKUP($B130,'[4]Delta Monthly'!$A$1:$AW$80,22,1)/10000</f>
        <v>-7.5</v>
      </c>
      <c r="Q130" s="45">
        <f>VLOOKUP($B130,'[4]Delta Monthly'!$A$1:$AW$80,24,1)/10000</f>
        <v>15.489199249999999</v>
      </c>
      <c r="R130" s="67">
        <f>SUM(G130:Q130)</f>
        <v>7.9891992499999986</v>
      </c>
      <c r="S130" s="45">
        <f>VLOOKUP($B130,'[4]Delta Monthly'!$A$1:$AW$80,26,FALSE)+VLOOKUP($B130,'[4]Delta Monthly'!$A$1:$AW$80,28,FALSE)</f>
        <v>0</v>
      </c>
      <c r="T130" s="45">
        <f>VLOOKUP($B130,'[4]Delta Monthly'!$A$1:$AW$80,30,FALSE)+VLOOKUP($B130,'[4]Delta Monthly'!$A$1:$AW$80,32,FALSE)</f>
        <v>0</v>
      </c>
      <c r="U130" s="45">
        <f>VLOOKUP($B130,'[4]Delta Monthly'!$A$1:$AW$80,34,FALSE)</f>
        <v>0</v>
      </c>
      <c r="V130" s="45">
        <f>VLOOKUP($B130,'[4]Delta Monthly'!$A$1:$AW$80,36,FALSE)</f>
        <v>0</v>
      </c>
      <c r="W130" s="45">
        <f>VLOOKUP($B130,'[4]Delta Monthly'!$A$1:$AW$80,38,FALSE)+VLOOKUP($B130,'[4]Delta Monthly'!$A$1:$AW$80,40,FALSE)</f>
        <v>0</v>
      </c>
      <c r="X130" s="45">
        <f>VLOOKUP($B130,'[4]Delta Monthly'!$A$1:$AW$80,42,FALSE)</f>
        <v>0</v>
      </c>
      <c r="Y130" s="45">
        <f>VLOOKUP($B130,'[4]Delta Monthly'!$A$1:$AW$80,44,FALSE)+VLOOKUP($B130,'[4]Delta Monthly'!$A$1:$AW$80,46,FALSE)+VLOOKUP($B130,'[4]Delta Monthly'!$A$1:$AW$80,48,FALSE)</f>
        <v>0</v>
      </c>
      <c r="Z130" s="67">
        <f>SUM(S130:Y130)</f>
        <v>0</v>
      </c>
      <c r="AA130" s="67">
        <f>VLOOKUP($B130,'[3]Delta Yearly'!$A$1:$AD$80,4,FALSE)/10000</f>
        <v>0</v>
      </c>
      <c r="AB130" s="67">
        <f>VLOOKUP($B130,'[3]Delta Yearly'!$A$1:$AC$80,6,FALSE)+VLOOKUP($B130,'[3]Delta Yearly'!$A$1:$AC$80,8,FALSE)+VLOOKUP($B130,'[3]Delta Yearly'!$A$1:$AC$80,10,FALSE)+VLOOKUP($B130,'[3]Delta Yearly'!$A$1:$AC$80,12,FALSE)+VLOOKUP($B130,'[3]Delta Yearly'!$A$1:$AC$80,14,FALSE)+VLOOKUP($B130,'[3]Delta Yearly'!$A$1:$AC$80,16,FALSE)+VLOOKUP($B130,'[3]Delta Yearly'!$A$1:$AC$80,18,FALSE)+VLOOKUP($B130,'[3]Delta Yearly'!$A$1:$AC$80,20,FALSE)+VLOOKUP($B130,'[3]Delta Yearly'!$A$1:$AC$80,22,FALSE)+VLOOKUP($B130,'[3]Delta Yearly'!$A$1:$AC$80,24,FALSE)+VLOOKUP($B130,'[3]Delta Yearly'!$A$1:$AC$80,26,FALSE)+VLOOKUP($B130,'[3]Delta Yearly'!$A$1:$AC$80,28,FALSE)</f>
        <v>0</v>
      </c>
      <c r="AC130" s="67">
        <f>SUM(AB130,AA130,Z130,R130)</f>
        <v>7.9891992499999986</v>
      </c>
      <c r="AF130" s="196" t="s">
        <v>215</v>
      </c>
      <c r="AG130" s="204">
        <f>AC130</f>
        <v>7.9891992499999986</v>
      </c>
      <c r="AH130" s="205"/>
      <c r="AI130" s="206"/>
      <c r="AJ130" s="205">
        <f>SUM(AG130:AI130)</f>
        <v>7.9891992499999986</v>
      </c>
      <c r="AK130" s="5"/>
      <c r="AL130" s="5"/>
    </row>
    <row r="131" spans="1:38" ht="8.1" customHeight="1" x14ac:dyDescent="0.3">
      <c r="A131" s="196"/>
      <c r="B131" s="165"/>
      <c r="C131" s="165"/>
      <c r="D131" s="181"/>
      <c r="E131" s="200"/>
      <c r="F131" s="200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67"/>
      <c r="S131" s="44"/>
      <c r="T131" s="44"/>
      <c r="U131" s="44"/>
      <c r="V131" s="44"/>
      <c r="W131" s="44"/>
      <c r="X131" s="44"/>
      <c r="Y131" s="44"/>
      <c r="Z131" s="67"/>
      <c r="AA131" s="67"/>
      <c r="AB131" s="67"/>
      <c r="AC131" s="67"/>
      <c r="AF131" s="196"/>
      <c r="AG131" s="204"/>
      <c r="AH131" s="205"/>
      <c r="AI131" s="206"/>
      <c r="AJ131" s="205"/>
      <c r="AK131" s="5"/>
      <c r="AL131" s="5"/>
    </row>
    <row r="132" spans="1:38" x14ac:dyDescent="0.3">
      <c r="A132" s="196" t="s">
        <v>218</v>
      </c>
      <c r="B132" s="2" t="s">
        <v>219</v>
      </c>
      <c r="C132" s="2" t="s">
        <v>220</v>
      </c>
      <c r="D132" s="181" t="s">
        <v>41</v>
      </c>
      <c r="E132" s="93">
        <f>(VLOOKUP(C132,[6]Sheet1!$B$1:$G$65,2,0))*-1</f>
        <v>0</v>
      </c>
      <c r="F132" s="93">
        <f>(VLOOKUP(C132,[6]Sheet1!$B$1:$G$65,4,0))</f>
        <v>0</v>
      </c>
      <c r="G132" s="45"/>
      <c r="H132" s="45"/>
      <c r="I132" s="45"/>
      <c r="J132" s="45"/>
      <c r="K132" s="45"/>
      <c r="L132" s="45"/>
      <c r="M132" s="45"/>
      <c r="N132" s="45"/>
      <c r="O132" s="45">
        <f>VLOOKUP($B132,'[4]Delta Monthly'!$A$1:$AW$80,20,1)/10000</f>
        <v>0</v>
      </c>
      <c r="P132" s="45">
        <f>VLOOKUP($B132,'[4]Delta Monthly'!$A$1:$AW$80,22,1)/10000</f>
        <v>0</v>
      </c>
      <c r="Q132" s="45">
        <f>VLOOKUP($B132,'[4]Delta Monthly'!$A$1:$AW$80,24,1)/10000</f>
        <v>0</v>
      </c>
      <c r="R132" s="67">
        <f>SUM(G132:Q132)</f>
        <v>0</v>
      </c>
      <c r="S132" s="45">
        <f>VLOOKUP($B132,'[4]Delta Monthly'!$A$1:$AW$80,26,FALSE)+VLOOKUP($B132,'[4]Delta Monthly'!$A$1:$AW$80,28,FALSE)</f>
        <v>0</v>
      </c>
      <c r="T132" s="45">
        <f>VLOOKUP($B132,'[4]Delta Monthly'!$A$1:$AW$80,30,FALSE)+VLOOKUP($B132,'[4]Delta Monthly'!$A$1:$AW$80,32,FALSE)</f>
        <v>0</v>
      </c>
      <c r="U132" s="45">
        <f>VLOOKUP($B132,'[4]Delta Monthly'!$A$1:$AW$80,34,FALSE)</f>
        <v>0</v>
      </c>
      <c r="V132" s="45">
        <f>VLOOKUP($B132,'[4]Delta Monthly'!$A$1:$AW$80,36,FALSE)</f>
        <v>0</v>
      </c>
      <c r="W132" s="45">
        <f>VLOOKUP($B132,'[4]Delta Monthly'!$A$1:$AW$80,38,FALSE)+VLOOKUP($B132,'[4]Delta Monthly'!$A$1:$AW$80,40,FALSE)</f>
        <v>0</v>
      </c>
      <c r="X132" s="45">
        <f>VLOOKUP($B132,'[4]Delta Monthly'!$A$1:$AW$80,42,FALSE)</f>
        <v>0</v>
      </c>
      <c r="Y132" s="45">
        <f>VLOOKUP($B132,'[4]Delta Monthly'!$A$1:$AW$80,44,FALSE)+VLOOKUP($B132,'[4]Delta Monthly'!$A$1:$AW$80,46,FALSE)+VLOOKUP($B132,'[4]Delta Monthly'!$A$1:$AW$80,48,FALSE)</f>
        <v>0</v>
      </c>
      <c r="Z132" s="67">
        <f>SUM(S132:Y132)</f>
        <v>0</v>
      </c>
      <c r="AA132" s="67">
        <f>VLOOKUP($B132,'[3]Delta Yearly'!$A$1:$AD$80,4,FALSE)/10000</f>
        <v>0</v>
      </c>
      <c r="AB132" s="67">
        <f>VLOOKUP($B132,'[3]Delta Yearly'!$A$1:$AC$80,6,FALSE)+VLOOKUP($B132,'[3]Delta Yearly'!$A$1:$AC$80,8,FALSE)+VLOOKUP($B132,'[3]Delta Yearly'!$A$1:$AC$80,10,FALSE)+VLOOKUP($B132,'[3]Delta Yearly'!$A$1:$AC$80,12,FALSE)+VLOOKUP($B132,'[3]Delta Yearly'!$A$1:$AC$80,14,FALSE)+VLOOKUP($B132,'[3]Delta Yearly'!$A$1:$AC$80,16,FALSE)+VLOOKUP($B132,'[3]Delta Yearly'!$A$1:$AC$80,18,FALSE)+VLOOKUP($B132,'[3]Delta Yearly'!$A$1:$AC$80,20,FALSE)+VLOOKUP($B132,'[3]Delta Yearly'!$A$1:$AC$80,22,FALSE)+VLOOKUP($B132,'[3]Delta Yearly'!$A$1:$AC$80,24,FALSE)+VLOOKUP($B132,'[3]Delta Yearly'!$A$1:$AC$80,26,FALSE)+VLOOKUP($B132,'[3]Delta Yearly'!$A$1:$AC$80,28,FALSE)</f>
        <v>0</v>
      </c>
      <c r="AC132" s="67">
        <f>SUM(AB132,AA132,Z132,R132)</f>
        <v>0</v>
      </c>
      <c r="AF132" s="196" t="s">
        <v>218</v>
      </c>
      <c r="AG132" s="204">
        <f>AC132</f>
        <v>0</v>
      </c>
      <c r="AH132" s="198"/>
      <c r="AI132" s="199"/>
      <c r="AJ132" s="198"/>
      <c r="AK132" s="5"/>
      <c r="AL132" s="5"/>
    </row>
    <row r="133" spans="1:38" ht="8.1" customHeight="1" x14ac:dyDescent="0.3">
      <c r="A133" s="196"/>
      <c r="B133" s="165"/>
      <c r="C133" s="165"/>
      <c r="D133" s="181"/>
      <c r="E133" s="200"/>
      <c r="F133" s="200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67"/>
      <c r="S133" s="44"/>
      <c r="T133" s="44"/>
      <c r="U133" s="44"/>
      <c r="V133" s="44"/>
      <c r="W133" s="44"/>
      <c r="X133" s="44"/>
      <c r="Y133" s="44"/>
      <c r="Z133" s="67"/>
      <c r="AA133" s="67"/>
      <c r="AB133" s="67"/>
      <c r="AC133" s="67"/>
      <c r="AF133" s="196"/>
      <c r="AG133" s="197"/>
      <c r="AH133" s="198"/>
      <c r="AI133" s="199"/>
      <c r="AJ133" s="198"/>
      <c r="AK133" s="5"/>
      <c r="AL133" s="5"/>
    </row>
    <row r="134" spans="1:38" x14ac:dyDescent="0.3">
      <c r="A134" s="196" t="s">
        <v>221</v>
      </c>
      <c r="B134" s="207" t="s">
        <v>222</v>
      </c>
      <c r="C134" s="2" t="s">
        <v>223</v>
      </c>
      <c r="D134" s="181" t="s">
        <v>50</v>
      </c>
      <c r="E134" s="93">
        <f>(VLOOKUP(C134,[6]Sheet1!$B$1:$G$65,2,0))*-1</f>
        <v>68416.264741904291</v>
      </c>
      <c r="F134" s="93">
        <f>(VLOOKUP(C134,[6]Sheet1!$B$1:$G$65,4,0))</f>
        <v>4877.2525753567897</v>
      </c>
      <c r="G134" s="45"/>
      <c r="H134" s="45"/>
      <c r="I134" s="45"/>
      <c r="J134" s="45"/>
      <c r="K134" s="45"/>
      <c r="L134" s="45"/>
      <c r="M134" s="45"/>
      <c r="N134" s="45"/>
      <c r="O134" s="45">
        <f>VLOOKUP($B134,'[4]Delta Monthly'!$A$1:$AW$80,20,1)/10000</f>
        <v>0</v>
      </c>
      <c r="P134" s="45">
        <f>VLOOKUP($B134,'[4]Delta Monthly'!$A$1:$AW$80,22,1)/10000</f>
        <v>0</v>
      </c>
      <c r="Q134" s="45">
        <f>VLOOKUP($B134,'[4]Delta Monthly'!$A$1:$AW$80,24,1)/10000</f>
        <v>-77.445996250000007</v>
      </c>
      <c r="R134" s="67">
        <f>SUM(G134:Q134)</f>
        <v>-77.445996250000007</v>
      </c>
      <c r="S134" s="45">
        <f>(VLOOKUP($B134,'[4]Delta Monthly'!$A$1:$AW$80,26,FALSE)+VLOOKUP($B134,'[4]Delta Monthly'!$A$1:$AW$80,28,FALSE))/10000</f>
        <v>61.843761840000006</v>
      </c>
      <c r="T134" s="45">
        <f>(VLOOKUP($B134,'[4]Delta Monthly'!$A$1:$AW$80,30,FALSE)+VLOOKUP($B134,'[4]Delta Monthly'!$A$1:$AW$80,32,FALSE))/10000</f>
        <v>-15.406914859999999</v>
      </c>
      <c r="U134" s="45">
        <f>(VLOOKUP($B134,'[4]Delta Monthly'!$A$1:$AW$80,34,FALSE))/10000</f>
        <v>0</v>
      </c>
      <c r="V134" s="45">
        <f>(VLOOKUP($B134,'[4]Delta Monthly'!$A$1:$AW$80,36,FALSE))/10000</f>
        <v>0</v>
      </c>
      <c r="W134" s="45">
        <f>(VLOOKUP($B134,'[4]Delta Monthly'!$A$1:$AW$80,38,FALSE)+VLOOKUP($B134,'[4]Delta Monthly'!$A$1:$AW$80,40,FALSE))/10000</f>
        <v>0</v>
      </c>
      <c r="X134" s="45">
        <f>(VLOOKUP($B134,'[4]Delta Monthly'!$A$1:$AW$80,42,FALSE))/10000</f>
        <v>0</v>
      </c>
      <c r="Y134" s="45">
        <f>(VLOOKUP($B134,'[4]Delta Monthly'!$A$1:$AW$80,44,FALSE)+VLOOKUP($B134,'[4]Delta Monthly'!$A$1:$AW$80,46,FALSE)+VLOOKUP($B134,'[4]Delta Monthly'!$A$1:$AW$80,48,FALSE))/10000</f>
        <v>0</v>
      </c>
      <c r="Z134" s="67">
        <f>SUM(S134:Y134)</f>
        <v>46.436846980000006</v>
      </c>
      <c r="AA134" s="67">
        <f>VLOOKUP($B134,'[3]Delta Yearly'!$A$1:$AD$80,4,FALSE)/10000</f>
        <v>0</v>
      </c>
      <c r="AB134" s="67">
        <f>(VLOOKUP($B134,'[3]Delta Yearly'!$A$1:$AC$80,6,FALSE)+VLOOKUP($B134,'[3]Delta Yearly'!$A$1:$AC$80,8,FALSE)+VLOOKUP($B134,'[3]Delta Yearly'!$A$1:$AC$80,10,FALSE)+VLOOKUP($B134,'[3]Delta Yearly'!$A$1:$AC$80,12,FALSE)+VLOOKUP($B134,'[3]Delta Yearly'!$A$1:$AC$80,14,FALSE)+VLOOKUP($B134,'[3]Delta Yearly'!$A$1:$AC$80,16,FALSE)+VLOOKUP($B134,'[3]Delta Yearly'!$A$1:$AC$80,18,FALSE)+VLOOKUP($B134,'[3]Delta Yearly'!$A$1:$AC$80,20,FALSE)+VLOOKUP($B134,'[3]Delta Yearly'!$A$1:$AC$80,22,FALSE)+VLOOKUP($B134,'[3]Delta Yearly'!$A$1:$AC$80,24,FALSE)+VLOOKUP($B134,'[3]Delta Yearly'!$A$1:$AC$80,26,FALSE)+VLOOKUP($B134,'[3]Delta Yearly'!$A$1:$AC$80,28,FALSE))/10000</f>
        <v>0</v>
      </c>
      <c r="AC134" s="67">
        <f>SUM(AB134,AA134,Z134,R134)</f>
        <v>-31.009149270000002</v>
      </c>
      <c r="AF134" s="196" t="s">
        <v>221</v>
      </c>
      <c r="AG134" s="197">
        <f>AC134</f>
        <v>-31.009149270000002</v>
      </c>
      <c r="AH134" s="198"/>
      <c r="AI134" s="199"/>
      <c r="AJ134" s="198">
        <f>SUM(AG134:AI134)</f>
        <v>-31.009149270000002</v>
      </c>
      <c r="AK134" s="5"/>
      <c r="AL134" s="5"/>
    </row>
    <row r="135" spans="1:38" ht="8.1" customHeight="1" x14ac:dyDescent="0.3">
      <c r="A135" s="196"/>
      <c r="B135" s="207"/>
      <c r="D135" s="181"/>
      <c r="E135" s="93"/>
      <c r="F135" s="93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67"/>
      <c r="S135" s="45"/>
      <c r="T135" s="45"/>
      <c r="U135" s="45"/>
      <c r="V135" s="45"/>
      <c r="W135" s="45"/>
      <c r="X135" s="45"/>
      <c r="Y135" s="45"/>
      <c r="Z135" s="67"/>
      <c r="AA135" s="67"/>
      <c r="AB135" s="67"/>
      <c r="AC135" s="67"/>
      <c r="AF135" s="196"/>
      <c r="AG135" s="197"/>
      <c r="AH135" s="198"/>
      <c r="AI135" s="199"/>
      <c r="AJ135" s="198"/>
      <c r="AK135" s="5"/>
      <c r="AL135" s="5"/>
    </row>
    <row r="136" spans="1:38" x14ac:dyDescent="0.3">
      <c r="A136" s="196" t="s">
        <v>224</v>
      </c>
      <c r="B136" s="207" t="s">
        <v>225</v>
      </c>
      <c r="C136" s="207" t="s">
        <v>226</v>
      </c>
      <c r="D136" s="181" t="s">
        <v>41</v>
      </c>
      <c r="E136" s="93">
        <f>(VLOOKUP(C136,[6]Sheet1!$B$1:$G$65,2,0))*-1</f>
        <v>125115.98966737799</v>
      </c>
      <c r="F136" s="93">
        <f>(VLOOKUP(C136,[6]Sheet1!$B$1:$G$65,4,0))</f>
        <v>-4635.0628061130119</v>
      </c>
      <c r="G136" s="45"/>
      <c r="H136" s="45"/>
      <c r="I136" s="45"/>
      <c r="J136" s="45"/>
      <c r="K136" s="45"/>
      <c r="L136" s="45"/>
      <c r="M136" s="45"/>
      <c r="N136" s="45"/>
      <c r="O136" s="45">
        <f>VLOOKUP($B136,'[4]Delta Monthly'!$A$1:$AW$80,20,1)/10000</f>
        <v>0</v>
      </c>
      <c r="P136" s="45">
        <f>VLOOKUP($B136,'[4]Delta Monthly'!$A$1:$AW$80,22,1)/10000</f>
        <v>0</v>
      </c>
      <c r="Q136" s="45">
        <f>VLOOKUP($B136,'[4]Delta Monthly'!$A$1:$AW$80,24,1)/10000</f>
        <v>0</v>
      </c>
      <c r="R136" s="67">
        <f>SUM(G136:Q136)</f>
        <v>0</v>
      </c>
      <c r="S136" s="45">
        <f>(VLOOKUP($B136,'[4]Delta Monthly'!$A$1:$AW$80,26,FALSE)+VLOOKUP($B136,'[4]Delta Monthly'!$A$1:$AW$80,28,FALSE))/10000</f>
        <v>8.1982375600000008</v>
      </c>
      <c r="T136" s="45">
        <f>(VLOOKUP($B136,'[4]Delta Monthly'!$A$1:$AW$80,30,FALSE)+VLOOKUP($B136,'[4]Delta Monthly'!$A$1:$AW$80,32,FALSE))/10000</f>
        <v>8.4468392200000011</v>
      </c>
      <c r="U136" s="45">
        <f>(VLOOKUP($B136,'[4]Delta Monthly'!$A$1:$AW$80,34,FALSE))/10000</f>
        <v>4.2809519800000002</v>
      </c>
      <c r="V136" s="45">
        <f>(VLOOKUP($B136,'[4]Delta Monthly'!$A$1:$AW$80,36,FALSE))/10000</f>
        <v>4.1347754399999994</v>
      </c>
      <c r="W136" s="45">
        <f>(VLOOKUP($B136,'[4]Delta Monthly'!$A$1:$AW$80,38,FALSE)+VLOOKUP($B136,'[4]Delta Monthly'!$A$1:$AW$80,40,FALSE))/10000</f>
        <v>8.5187707100000001</v>
      </c>
      <c r="X136" s="45">
        <f>(VLOOKUP($B136,'[4]Delta Monthly'!$A$1:$AW$80,42,FALSE))/10000</f>
        <v>4.1079271999999998</v>
      </c>
      <c r="Y136" s="45">
        <f>(VLOOKUP($B136,'[4]Delta Monthly'!$A$1:$AW$80,44,FALSE)+VLOOKUP($B136,'[4]Delta Monthly'!$A$1:$AW$80,46,FALSE)+VLOOKUP($B136,'[4]Delta Monthly'!$A$1:$AW$80,48,FALSE))/10000</f>
        <v>12.535214360000001</v>
      </c>
      <c r="Z136" s="67">
        <f>SUM(S136:Y136)</f>
        <v>50.222716470000009</v>
      </c>
      <c r="AA136" s="67">
        <f>VLOOKUP($B136,'[3]Delta Yearly'!$A$1:$AD$80,4,FALSE)/10000</f>
        <v>24.53385707</v>
      </c>
      <c r="AB136" s="67">
        <f>(VLOOKUP($B136,'[3]Delta Yearly'!$A$1:$AC$80,6,FALSE)+VLOOKUP($B136,'[3]Delta Yearly'!$A$1:$AC$80,8,FALSE)+VLOOKUP($B136,'[3]Delta Yearly'!$A$1:$AC$80,10,FALSE)+VLOOKUP($B136,'[3]Delta Yearly'!$A$1:$AC$80,12,FALSE)+VLOOKUP($B136,'[3]Delta Yearly'!$A$1:$AC$80,14,FALSE)+VLOOKUP($B136,'[3]Delta Yearly'!$A$1:$AC$80,16,FALSE)+VLOOKUP($B136,'[3]Delta Yearly'!$A$1:$AC$80,18,FALSE)+VLOOKUP($B136,'[3]Delta Yearly'!$A$1:$AC$80,20,FALSE)+VLOOKUP($B136,'[3]Delta Yearly'!$A$1:$AC$80,22,FALSE)+VLOOKUP($B136,'[3]Delta Yearly'!$A$1:$AC$80,24,FALSE)+VLOOKUP($B136,'[3]Delta Yearly'!$A$1:$AC$80,26,FALSE)+VLOOKUP($B136,'[3]Delta Yearly'!$A$1:$AC$80,28,FALSE))/10000</f>
        <v>0</v>
      </c>
      <c r="AC136" s="67">
        <f>SUM(AB136,AA136,Z136,R136)</f>
        <v>74.756573540000005</v>
      </c>
      <c r="AF136" s="196" t="s">
        <v>224</v>
      </c>
      <c r="AG136" s="197">
        <f>AC136</f>
        <v>74.756573540000005</v>
      </c>
      <c r="AH136" s="198"/>
      <c r="AI136" s="199"/>
      <c r="AJ136" s="198">
        <f>AC136</f>
        <v>74.756573540000005</v>
      </c>
      <c r="AK136" s="5"/>
      <c r="AL136" s="5"/>
    </row>
    <row r="137" spans="1:38" ht="8.1" customHeight="1" x14ac:dyDescent="0.3">
      <c r="A137" s="196"/>
      <c r="B137" s="207"/>
      <c r="C137" s="207"/>
      <c r="D137" s="67"/>
      <c r="E137" s="93"/>
      <c r="F137" s="93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67"/>
      <c r="S137" s="45"/>
      <c r="T137" s="45"/>
      <c r="U137" s="45"/>
      <c r="V137" s="45"/>
      <c r="W137" s="45"/>
      <c r="X137" s="45"/>
      <c r="Y137" s="45"/>
      <c r="Z137" s="67"/>
      <c r="AA137" s="67"/>
      <c r="AB137" s="67"/>
      <c r="AC137" s="67"/>
      <c r="AF137" s="196"/>
      <c r="AG137" s="197"/>
      <c r="AH137" s="198"/>
      <c r="AI137" s="199"/>
      <c r="AJ137" s="198"/>
      <c r="AK137" s="5"/>
      <c r="AL137" s="5"/>
    </row>
    <row r="138" spans="1:38" x14ac:dyDescent="0.3">
      <c r="A138" s="196" t="s">
        <v>227</v>
      </c>
      <c r="B138" s="207" t="s">
        <v>228</v>
      </c>
      <c r="C138" s="207" t="s">
        <v>229</v>
      </c>
      <c r="D138" s="181" t="s">
        <v>45</v>
      </c>
      <c r="E138" s="93">
        <f>(VLOOKUP(C138,[6]Sheet1!$B$1:$G$65,2,0))*-1</f>
        <v>0</v>
      </c>
      <c r="F138" s="93">
        <f>(VLOOKUP(C138,[6]Sheet1!$B$1:$G$65,4,0))</f>
        <v>0</v>
      </c>
      <c r="G138" s="45"/>
      <c r="H138" s="45"/>
      <c r="I138" s="45"/>
      <c r="J138" s="45"/>
      <c r="K138" s="45"/>
      <c r="L138" s="45"/>
      <c r="M138" s="45"/>
      <c r="N138" s="45"/>
      <c r="O138" s="45">
        <f>VLOOKUP($B138,'[4]Delta Monthly'!$A$1:$AW$80,20,1)/10000</f>
        <v>0</v>
      </c>
      <c r="P138" s="45">
        <f>VLOOKUP($B138,'[4]Delta Monthly'!$A$1:$AW$80,22,1)/10000</f>
        <v>0</v>
      </c>
      <c r="Q138" s="45">
        <f>VLOOKUP($B138,'[4]Delta Monthly'!$A$1:$AW$80,24,1)/10000</f>
        <v>0</v>
      </c>
      <c r="R138" s="67">
        <f>SUM(G138:Q138)</f>
        <v>0</v>
      </c>
      <c r="S138" s="45">
        <f>(VLOOKUP($B138,'[4]Delta Monthly'!$A$1:$AW$80,26,2)+VLOOKUP($B138,'[4]Delta Monthly'!$A$1:$AW$80,28,2))/10000</f>
        <v>0</v>
      </c>
      <c r="T138" s="45">
        <f>(VLOOKUP($B138,'[4]Delta Monthly'!$A$1:$AW$80,30,FALSE)+VLOOKUP($B138,'[4]Delta Monthly'!$A$1:$AW$80,32,FALSE))/10000</f>
        <v>0</v>
      </c>
      <c r="U138" s="45">
        <f>(VLOOKUP($B138,'[4]Delta Monthly'!$A$1:$AW$80,34,FALSE))/10000</f>
        <v>0</v>
      </c>
      <c r="V138" s="45">
        <f>(VLOOKUP($B138,'[4]Delta Monthly'!$A$1:$AW$80,36,FALSE))/10000</f>
        <v>0</v>
      </c>
      <c r="W138" s="45">
        <f>(VLOOKUP($B138,'[4]Delta Monthly'!$A$1:$AW$80,38,FALSE)+VLOOKUP($B138,'[4]Delta Monthly'!$A$1:$AW$80,40,FALSE))/10000</f>
        <v>0</v>
      </c>
      <c r="X138" s="45">
        <f>(VLOOKUP($B138,'[4]Delta Monthly'!$A$1:$AW$80,42,FALSE))/10000</f>
        <v>0</v>
      </c>
      <c r="Y138" s="45">
        <f>(VLOOKUP($B138,'[4]Delta Monthly'!$A$1:$AW$80,44,FALSE)+VLOOKUP($B138,'[4]Delta Monthly'!$A$1:$AW$80,46,FALSE)+VLOOKUP($B138,'[4]Delta Monthly'!$A$1:$AW$80,48,FALSE))/10000</f>
        <v>0</v>
      </c>
      <c r="Z138" s="67">
        <f>SUM(S138:Y138)</f>
        <v>0</v>
      </c>
      <c r="AA138" s="67">
        <f>VLOOKUP($B138,'[3]Delta Yearly'!$A$1:$AD$80,4,FALSE)/10000</f>
        <v>0</v>
      </c>
      <c r="AB138" s="67">
        <f>(VLOOKUP($B138,'[3]Delta Yearly'!$A$1:$AC$80,6,FALSE)+VLOOKUP($B138,'[3]Delta Yearly'!$A$1:$AC$80,8,FALSE)+VLOOKUP($B138,'[3]Delta Yearly'!$A$1:$AC$80,10,FALSE)+VLOOKUP($B138,'[3]Delta Yearly'!$A$1:$AC$80,12,FALSE)+VLOOKUP($B138,'[3]Delta Yearly'!$A$1:$AC$80,14,FALSE)+VLOOKUP($B138,'[3]Delta Yearly'!$A$1:$AC$80,16,FALSE)+VLOOKUP($B138,'[3]Delta Yearly'!$A$1:$AC$80,18,FALSE)+VLOOKUP($B138,'[3]Delta Yearly'!$A$1:$AC$80,20,FALSE)+VLOOKUP($B138,'[3]Delta Yearly'!$A$1:$AC$80,22,FALSE)+VLOOKUP($B138,'[3]Delta Yearly'!$A$1:$AC$80,24,FALSE)+VLOOKUP($B138,'[3]Delta Yearly'!$A$1:$AC$80,26,FALSE)+VLOOKUP($B138,'[3]Delta Yearly'!$A$1:$AC$80,28,FALSE))/10000</f>
        <v>0</v>
      </c>
      <c r="AC138" s="67">
        <f>SUM(AB138,AA138,Z138,R138)</f>
        <v>0</v>
      </c>
      <c r="AF138" s="196" t="s">
        <v>227</v>
      </c>
      <c r="AG138" s="197">
        <f>AC138</f>
        <v>0</v>
      </c>
      <c r="AH138" s="198"/>
      <c r="AI138" s="199"/>
      <c r="AJ138" s="198">
        <f>AC138</f>
        <v>0</v>
      </c>
      <c r="AK138" s="5"/>
      <c r="AL138" s="5"/>
    </row>
    <row r="139" spans="1:38" ht="8.1" customHeight="1" x14ac:dyDescent="0.3">
      <c r="A139" s="196"/>
      <c r="B139" s="207"/>
      <c r="C139" s="207"/>
      <c r="D139" s="181"/>
      <c r="E139" s="93"/>
      <c r="F139" s="93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67"/>
      <c r="S139" s="45"/>
      <c r="T139" s="45"/>
      <c r="U139" s="45"/>
      <c r="V139" s="45"/>
      <c r="W139" s="45"/>
      <c r="X139" s="45"/>
      <c r="Y139" s="45"/>
      <c r="Z139" s="67"/>
      <c r="AA139" s="67"/>
      <c r="AB139" s="67"/>
      <c r="AC139" s="67"/>
      <c r="AF139" s="196"/>
      <c r="AG139" s="197"/>
      <c r="AH139" s="198"/>
      <c r="AI139" s="199"/>
      <c r="AJ139" s="198"/>
      <c r="AK139" s="5"/>
      <c r="AL139" s="5"/>
    </row>
    <row r="140" spans="1:38" x14ac:dyDescent="0.3">
      <c r="A140" s="196" t="s">
        <v>230</v>
      </c>
      <c r="B140" s="207" t="s">
        <v>231</v>
      </c>
      <c r="C140" s="207" t="s">
        <v>232</v>
      </c>
      <c r="D140" s="181" t="s">
        <v>54</v>
      </c>
      <c r="E140" s="93">
        <f>(VLOOKUP(C140,[6]Sheet1!$B$1:$G$65,2,0))*-1</f>
        <v>59046.229393957801</v>
      </c>
      <c r="F140" s="93">
        <f>(VLOOKUP(C140,[6]Sheet1!$B$1:$G$65,4,0))</f>
        <v>29994.5231878124</v>
      </c>
      <c r="G140" s="45"/>
      <c r="H140" s="45"/>
      <c r="I140" s="45"/>
      <c r="J140" s="45"/>
      <c r="K140" s="45"/>
      <c r="L140" s="45"/>
      <c r="M140" s="45"/>
      <c r="N140" s="45"/>
      <c r="O140" s="45">
        <f>VLOOKUP($B140,'[4]Delta Monthly'!$A$1:$AW$80,20,1)/10000</f>
        <v>0</v>
      </c>
      <c r="P140" s="45">
        <f>VLOOKUP($B140,'[4]Delta Monthly'!$A$1:$AW$80,22,1)/10000</f>
        <v>0</v>
      </c>
      <c r="Q140" s="45">
        <f>VLOOKUP($B140,'[4]Delta Monthly'!$A$1:$AW$80,24,1)/10000</f>
        <v>-30.978398519999999</v>
      </c>
      <c r="R140" s="67">
        <f>SUM(G140:Q140)</f>
        <v>-30.978398519999999</v>
      </c>
      <c r="S140" s="45">
        <f>(VLOOKUP($B140,'[4]Delta Monthly'!$A$1:$AW$80,26,2)+VLOOKUP($B140,'[4]Delta Monthly'!$A$1:$AW$80,28,2))/10000</f>
        <v>-3.7273179999997956E-2</v>
      </c>
      <c r="T140" s="45">
        <f>(VLOOKUP($B140,'[4]Delta Monthly'!$A$1:$AW$80,30,FALSE)+VLOOKUP($B140,'[4]Delta Monthly'!$A$1:$AW$80,32,FALSE))/10000</f>
        <v>0</v>
      </c>
      <c r="U140" s="45">
        <f>(VLOOKUP($B140,'[4]Delta Monthly'!$A$1:$AW$80,34,FALSE))/10000</f>
        <v>0</v>
      </c>
      <c r="V140" s="45">
        <f>(VLOOKUP($B140,'[4]Delta Monthly'!$A$1:$AW$80,36,FALSE))/10000</f>
        <v>0</v>
      </c>
      <c r="W140" s="45">
        <f>(VLOOKUP($B140,'[4]Delta Monthly'!$A$1:$AW$80,38,FALSE)+VLOOKUP($B140,'[4]Delta Monthly'!$A$1:$AW$80,40,FALSE))/10000</f>
        <v>0</v>
      </c>
      <c r="X140" s="45">
        <f>(VLOOKUP($B140,'[4]Delta Monthly'!$A$1:$AW$80,42,FALSE))/10000</f>
        <v>0</v>
      </c>
      <c r="Y140" s="45">
        <f>(VLOOKUP($B140,'[4]Delta Monthly'!$A$1:$AW$80,44,FALSE)+VLOOKUP($B140,'[4]Delta Monthly'!$A$1:$AW$80,46,FALSE)+VLOOKUP($B140,'[4]Delta Monthly'!$A$1:$AW$80,48,FALSE))/10000</f>
        <v>0</v>
      </c>
      <c r="Z140" s="67">
        <f>SUM(S140:Y140)</f>
        <v>-3.7273179999997956E-2</v>
      </c>
      <c r="AA140" s="67">
        <f>VLOOKUP($B140,'[3]Delta Yearly'!$A$1:$AD$80,4,FALSE)/10000</f>
        <v>0</v>
      </c>
      <c r="AB140" s="67">
        <f>(VLOOKUP($B140,'[3]Delta Yearly'!$A$1:$AC$80,6,FALSE)+VLOOKUP($B140,'[3]Delta Yearly'!$A$1:$AC$80,8,FALSE)+VLOOKUP($B140,'[3]Delta Yearly'!$A$1:$AC$80,10,FALSE)+VLOOKUP($B140,'[3]Delta Yearly'!$A$1:$AC$80,12,FALSE)+VLOOKUP($B140,'[3]Delta Yearly'!$A$1:$AC$80,14,FALSE)+VLOOKUP($B140,'[3]Delta Yearly'!$A$1:$AC$80,16,FALSE)+VLOOKUP($B140,'[3]Delta Yearly'!$A$1:$AC$80,18,FALSE)+VLOOKUP($B140,'[3]Delta Yearly'!$A$1:$AC$80,20,FALSE)+VLOOKUP($B140,'[3]Delta Yearly'!$A$1:$AC$80,22,FALSE)+VLOOKUP($B140,'[3]Delta Yearly'!$A$1:$AC$80,24,FALSE)+VLOOKUP($B140,'[3]Delta Yearly'!$A$1:$AC$80,26,FALSE)+VLOOKUP($B140,'[3]Delta Yearly'!$A$1:$AC$80,28,FALSE))/10000</f>
        <v>0</v>
      </c>
      <c r="AC140" s="67">
        <f>SUM(AB140,AA140,Z140,R140)</f>
        <v>-31.015671699999999</v>
      </c>
      <c r="AF140" s="196" t="s">
        <v>227</v>
      </c>
      <c r="AG140" s="197">
        <f>AC140</f>
        <v>-31.015671699999999</v>
      </c>
      <c r="AH140" s="198"/>
      <c r="AI140" s="199"/>
      <c r="AJ140" s="198">
        <f>AC140</f>
        <v>-31.015671699999999</v>
      </c>
      <c r="AK140" s="5"/>
      <c r="AL140" s="5"/>
    </row>
    <row r="141" spans="1:38" ht="8.1" customHeight="1" x14ac:dyDescent="0.3">
      <c r="A141" s="196"/>
      <c r="B141" s="207"/>
      <c r="C141" s="207"/>
      <c r="D141" s="181"/>
      <c r="E141" s="93"/>
      <c r="F141" s="93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67"/>
      <c r="S141" s="45"/>
      <c r="T141" s="45"/>
      <c r="U141" s="45"/>
      <c r="V141" s="45"/>
      <c r="W141" s="45"/>
      <c r="X141" s="45"/>
      <c r="Y141" s="45"/>
      <c r="Z141" s="67"/>
      <c r="AA141" s="67"/>
      <c r="AB141" s="67"/>
      <c r="AC141" s="67"/>
      <c r="AF141" s="196"/>
      <c r="AG141" s="197"/>
      <c r="AH141" s="198"/>
      <c r="AI141" s="199"/>
      <c r="AJ141" s="198"/>
      <c r="AK141" s="5"/>
      <c r="AL141" s="5"/>
    </row>
    <row r="142" spans="1:38" x14ac:dyDescent="0.3">
      <c r="A142" s="196" t="s">
        <v>233</v>
      </c>
      <c r="B142" s="207" t="s">
        <v>234</v>
      </c>
      <c r="C142" s="207" t="s">
        <v>235</v>
      </c>
      <c r="D142" s="67" t="s">
        <v>58</v>
      </c>
      <c r="E142" s="93">
        <f>(VLOOKUP(C142,[6]Sheet1!$B$1:$G$65,2,0))*-1</f>
        <v>28993.915313556001</v>
      </c>
      <c r="F142" s="93">
        <f>(VLOOKUP(C142,[6]Sheet1!$B$1:$G$65,4,0))</f>
        <v>28993.915295976654</v>
      </c>
      <c r="G142" s="45"/>
      <c r="H142" s="45"/>
      <c r="I142" s="45"/>
      <c r="J142" s="45"/>
      <c r="K142" s="45"/>
      <c r="L142" s="45"/>
      <c r="M142" s="45"/>
      <c r="N142" s="45"/>
      <c r="O142" s="45">
        <f>VLOOKUP($B142,'[4]Delta Monthly'!$A$1:$AW$80,20,1)/10000</f>
        <v>0</v>
      </c>
      <c r="P142" s="45">
        <f>VLOOKUP($B142,'[4]Delta Monthly'!$A$1:$AW$80,22,1)/10000</f>
        <v>0</v>
      </c>
      <c r="Q142" s="45">
        <f>VLOOKUP($B142,'[4]Delta Monthly'!$A$1:$AW$80,24,1)/10000</f>
        <v>-7.7445996599999996</v>
      </c>
      <c r="R142" s="67">
        <f>SUM(G142:Q142)</f>
        <v>-7.7445996599999996</v>
      </c>
      <c r="S142" s="45">
        <f>(VLOOKUP($B142,'[4]Delta Monthly'!$A$1:$AW$80,26,FALSE)+VLOOKUP($B142,'[4]Delta Monthly'!$A$1:$AW$80,28,FALSE))/10000</f>
        <v>0</v>
      </c>
      <c r="T142" s="45">
        <f>(VLOOKUP($B142,'[4]Delta Monthly'!$A$1:$AW$80,30,FALSE)+VLOOKUP($B142,'[4]Delta Monthly'!$A$1:$AW$80,32,FALSE))/10000</f>
        <v>0</v>
      </c>
      <c r="U142" s="45">
        <f>(VLOOKUP($B142,'[4]Delta Monthly'!$A$1:$AW$80,34,FALSE))/10000</f>
        <v>0</v>
      </c>
      <c r="V142" s="45">
        <f>(VLOOKUP($B142,'[4]Delta Monthly'!$A$1:$AW$80,36,FALSE))/10000</f>
        <v>0</v>
      </c>
      <c r="W142" s="45">
        <f>(VLOOKUP($B142,'[4]Delta Monthly'!$A$1:$AW$80,38,FALSE)+VLOOKUP($B142,'[4]Delta Monthly'!$A$1:$AW$80,40,FALSE))/10000</f>
        <v>0</v>
      </c>
      <c r="X142" s="45">
        <f>(VLOOKUP($B142,'[4]Delta Monthly'!$A$1:$AW$80,42,FALSE))/10000</f>
        <v>0</v>
      </c>
      <c r="Y142" s="45">
        <f>(VLOOKUP($B142,'[4]Delta Monthly'!$A$1:$AW$80,44,FALSE)+VLOOKUP($B142,'[4]Delta Monthly'!$A$1:$AW$80,46,FALSE)+VLOOKUP($B142,'[4]Delta Monthly'!$A$1:$AW$80,48,FALSE))/10000</f>
        <v>0</v>
      </c>
      <c r="Z142" s="67">
        <f>SUM(S142:Y142)</f>
        <v>0</v>
      </c>
      <c r="AA142" s="67">
        <f>VLOOKUP($B142,'[3]Delta Yearly'!$A$1:$AD$80,4,FALSE)/10000</f>
        <v>0</v>
      </c>
      <c r="AB142" s="67">
        <f>(VLOOKUP($B142,'[3]Delta Yearly'!$A$1:$AC$80,6,FALSE)+VLOOKUP($B142,'[3]Delta Yearly'!$A$1:$AC$80,8,FALSE)+VLOOKUP($B142,'[3]Delta Yearly'!$A$1:$AC$80,10,FALSE)+VLOOKUP($B142,'[3]Delta Yearly'!$A$1:$AC$80,12,FALSE)+VLOOKUP($B142,'[3]Delta Yearly'!$A$1:$AC$80,14,FALSE)+VLOOKUP($B142,'[3]Delta Yearly'!$A$1:$AC$80,16,FALSE)+VLOOKUP($B142,'[3]Delta Yearly'!$A$1:$AC$80,18,FALSE)+VLOOKUP($B142,'[3]Delta Yearly'!$A$1:$AC$80,20,FALSE)+VLOOKUP($B142,'[3]Delta Yearly'!$A$1:$AC$80,22,FALSE)+VLOOKUP($B142,'[3]Delta Yearly'!$A$1:$AC$80,24,FALSE)+VLOOKUP($B142,'[3]Delta Yearly'!$A$1:$AC$80,26,FALSE)+VLOOKUP($B142,'[3]Delta Yearly'!$A$1:$AC$80,28,FALSE))/10000</f>
        <v>0</v>
      </c>
      <c r="AC142" s="67">
        <f>SUM(AB142,AA142,Z142,R142)</f>
        <v>-7.7445996599999996</v>
      </c>
      <c r="AF142" s="203" t="s">
        <v>233</v>
      </c>
      <c r="AG142" s="204">
        <f>AC142</f>
        <v>-7.7445996599999996</v>
      </c>
      <c r="AH142" s="205"/>
      <c r="AI142" s="206"/>
      <c r="AJ142" s="205">
        <f>SUM(AG142:AI142)</f>
        <v>-7.7445996599999996</v>
      </c>
      <c r="AK142" s="5"/>
      <c r="AL142" s="5"/>
    </row>
    <row r="143" spans="1:38" ht="8.1" customHeight="1" x14ac:dyDescent="0.3">
      <c r="A143" s="196"/>
      <c r="B143" s="207"/>
      <c r="C143" s="207"/>
      <c r="D143" s="181"/>
      <c r="E143" s="93"/>
      <c r="F143" s="93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67"/>
      <c r="S143" s="45"/>
      <c r="T143" s="45"/>
      <c r="U143" s="45"/>
      <c r="V143" s="45"/>
      <c r="W143" s="45"/>
      <c r="X143" s="45"/>
      <c r="Y143" s="45"/>
      <c r="Z143" s="67"/>
      <c r="AA143" s="67"/>
      <c r="AB143" s="67"/>
      <c r="AC143" s="67"/>
      <c r="AF143" s="196"/>
      <c r="AG143" s="197"/>
      <c r="AH143" s="198"/>
      <c r="AI143" s="199"/>
      <c r="AJ143" s="198"/>
      <c r="AK143" s="5"/>
      <c r="AL143" s="5"/>
    </row>
    <row r="144" spans="1:38" x14ac:dyDescent="0.3">
      <c r="A144" s="196" t="s">
        <v>236</v>
      </c>
      <c r="B144" s="207" t="s">
        <v>237</v>
      </c>
      <c r="C144" s="207" t="s">
        <v>238</v>
      </c>
      <c r="D144" s="181" t="s">
        <v>36</v>
      </c>
      <c r="E144" s="93">
        <f>(VLOOKUP(C144,[6]Sheet1!$B$1:$G$65,2,0))*-1</f>
        <v>154580.18740093298</v>
      </c>
      <c r="F144" s="93">
        <f>(VLOOKUP(C144,[6]Sheet1!$B$1:$G$65,4,0))</f>
        <v>-191.76336356802494</v>
      </c>
      <c r="G144" s="45"/>
      <c r="H144" s="45"/>
      <c r="I144" s="45"/>
      <c r="J144" s="45"/>
      <c r="K144" s="45"/>
      <c r="L144" s="45"/>
      <c r="M144" s="45"/>
      <c r="N144" s="45"/>
      <c r="O144" s="45">
        <f>VLOOKUP($B144,'[4]Delta Monthly'!$A$1:$AW$80,20,1)/10000</f>
        <v>0</v>
      </c>
      <c r="P144" s="45">
        <f>VLOOKUP($B144,'[4]Delta Monthly'!$A$1:$AW$80,22,1)/10000</f>
        <v>0</v>
      </c>
      <c r="Q144" s="45">
        <f>VLOOKUP($B144,'[4]Delta Monthly'!$A$1:$AW$80,24,1)/10000</f>
        <v>0</v>
      </c>
      <c r="R144" s="67">
        <f>SUM(G144:Q144)</f>
        <v>0</v>
      </c>
      <c r="S144" s="45">
        <f>(VLOOKUP($B144,'[4]Delta Monthly'!$A$1:$AW$80,26,FALSE)+VLOOKUP($B144,'[4]Delta Monthly'!$A$1:$AW$80,28,FALSE))/10000</f>
        <v>0</v>
      </c>
      <c r="T144" s="45">
        <f>(VLOOKUP($B144,'[4]Delta Monthly'!$A$1:$AW$80,30,FALSE)+VLOOKUP($B144,'[4]Delta Monthly'!$A$1:$AW$80,32,FALSE))/10000</f>
        <v>0</v>
      </c>
      <c r="U144" s="45">
        <f>(VLOOKUP($B144,'[4]Delta Monthly'!$A$1:$AW$80,34,FALSE))/10000</f>
        <v>0</v>
      </c>
      <c r="V144" s="45">
        <f>(VLOOKUP($B144,'[4]Delta Monthly'!$A$1:$AW$80,36,FALSE))/10000</f>
        <v>0</v>
      </c>
      <c r="W144" s="45">
        <f>(VLOOKUP($B144,'[4]Delta Monthly'!$A$1:$AW$80,38,FALSE)+VLOOKUP($B144,'[4]Delta Monthly'!$A$1:$AW$80,40,FALSE))/10000</f>
        <v>0</v>
      </c>
      <c r="X144" s="45">
        <f>(VLOOKUP($B144,'[4]Delta Monthly'!$A$1:$AW$80,42,FALSE))/10000</f>
        <v>0</v>
      </c>
      <c r="Y144" s="45">
        <f>(VLOOKUP($B144,'[4]Delta Monthly'!$A$1:$AW$80,44,FALSE)+VLOOKUP($B144,'[4]Delta Monthly'!$A$1:$AW$80,46,FALSE)+VLOOKUP($B144,'[4]Delta Monthly'!$A$1:$AW$80,48,FALSE))/10000</f>
        <v>0</v>
      </c>
      <c r="Z144" s="67">
        <f>SUM(S144:Y144)</f>
        <v>0</v>
      </c>
      <c r="AA144" s="67">
        <f>VLOOKUP($B144,'[3]Delta Yearly'!$A$1:$AD$80,4,FALSE)/10000</f>
        <v>0</v>
      </c>
      <c r="AB144" s="67">
        <f>(VLOOKUP($B144,'[3]Delta Yearly'!$A$1:$AC$80,6,FALSE)+VLOOKUP($B144,'[3]Delta Yearly'!$A$1:$AC$80,8,FALSE)+VLOOKUP($B144,'[3]Delta Yearly'!$A$1:$AC$80,10,FALSE)+VLOOKUP($B144,'[3]Delta Yearly'!$A$1:$AC$80,12,FALSE)+VLOOKUP($B144,'[3]Delta Yearly'!$A$1:$AC$80,14,FALSE)+VLOOKUP($B144,'[3]Delta Yearly'!$A$1:$AC$80,16,FALSE)+VLOOKUP($B144,'[3]Delta Yearly'!$A$1:$AC$80,18,FALSE)+VLOOKUP($B144,'[3]Delta Yearly'!$A$1:$AC$80,20,FALSE)+VLOOKUP($B144,'[3]Delta Yearly'!$A$1:$AC$80,22,FALSE)+VLOOKUP($B144,'[3]Delta Yearly'!$A$1:$AC$80,24,FALSE)+VLOOKUP($B144,'[3]Delta Yearly'!$A$1:$AC$80,26,FALSE)+VLOOKUP($B144,'[3]Delta Yearly'!$A$1:$AC$80,28,FALSE))/10000</f>
        <v>0</v>
      </c>
      <c r="AC144" s="67">
        <f>SUM(AB144,AA144,Z144,R144)</f>
        <v>0</v>
      </c>
      <c r="AF144" s="196" t="s">
        <v>236</v>
      </c>
      <c r="AG144" s="204">
        <f>AC144</f>
        <v>0</v>
      </c>
      <c r="AH144" s="198"/>
      <c r="AI144" s="199"/>
      <c r="AJ144" s="198"/>
      <c r="AK144" s="5"/>
      <c r="AL144" s="5"/>
    </row>
    <row r="145" spans="1:38" ht="8.1" customHeight="1" x14ac:dyDescent="0.3">
      <c r="A145" s="196"/>
      <c r="B145" s="207"/>
      <c r="C145" s="207"/>
      <c r="D145" s="181"/>
      <c r="E145" s="93"/>
      <c r="F145" s="93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67"/>
      <c r="S145" s="45"/>
      <c r="T145" s="45"/>
      <c r="U145" s="45"/>
      <c r="V145" s="45"/>
      <c r="W145" s="45"/>
      <c r="X145" s="45"/>
      <c r="Y145" s="45"/>
      <c r="Z145" s="67"/>
      <c r="AA145" s="67"/>
      <c r="AB145" s="67"/>
      <c r="AC145" s="67"/>
      <c r="AF145" s="196"/>
      <c r="AG145" s="197"/>
      <c r="AH145" s="198"/>
      <c r="AI145" s="199"/>
      <c r="AJ145" s="198"/>
      <c r="AK145" s="5"/>
      <c r="AL145" s="5"/>
    </row>
    <row r="146" spans="1:38" x14ac:dyDescent="0.3">
      <c r="A146" s="196" t="s">
        <v>239</v>
      </c>
      <c r="B146" s="207" t="s">
        <v>240</v>
      </c>
      <c r="C146" s="207" t="s">
        <v>241</v>
      </c>
      <c r="D146" s="181" t="s">
        <v>102</v>
      </c>
      <c r="E146" s="93">
        <f>(VLOOKUP(C146,[6]Sheet1!$B$1:$G$65,2,0))*-1</f>
        <v>14333.2588388897</v>
      </c>
      <c r="F146" s="93">
        <f>(VLOOKUP(C146,[6]Sheet1!$B$1:$G$65,4,0))</f>
        <v>-664163.84349418536</v>
      </c>
      <c r="G146" s="45"/>
      <c r="H146" s="45"/>
      <c r="I146" s="45"/>
      <c r="J146" s="45"/>
      <c r="K146" s="45"/>
      <c r="L146" s="45"/>
      <c r="M146" s="45"/>
      <c r="N146" s="45"/>
      <c r="O146" s="45">
        <f>VLOOKUP($B146,'[4]Delta Monthly'!$A$1:$AW$80,20,1)/10000</f>
        <v>0</v>
      </c>
      <c r="P146" s="45">
        <f>VLOOKUP($B146,'[4]Delta Monthly'!$A$1:$AW$80,22,1)/10000</f>
        <v>0</v>
      </c>
      <c r="Q146" s="45">
        <f>VLOOKUP($B146,'[4]Delta Monthly'!$A$1:$AW$80,24,1)/10000</f>
        <v>7.74459958</v>
      </c>
      <c r="R146" s="67">
        <f>SUM(G146:Q146)</f>
        <v>7.74459958</v>
      </c>
      <c r="S146" s="45">
        <f>(VLOOKUP($B146,'[4]Delta Monthly'!$A$1:$AW$80,26,FALSE)+VLOOKUP($B146,'[4]Delta Monthly'!$A$1:$AW$80,28,FALSE))/10000</f>
        <v>0</v>
      </c>
      <c r="T146" s="45">
        <f>(VLOOKUP($B146,'[4]Delta Monthly'!$A$1:$AW$80,30,FALSE)+VLOOKUP($B146,'[4]Delta Monthly'!$A$1:$AW$80,32,FALSE))/10000</f>
        <v>0</v>
      </c>
      <c r="U146" s="45">
        <f>(VLOOKUP($B146,'[4]Delta Monthly'!$A$1:$AW$80,34,FALSE))/10000</f>
        <v>0</v>
      </c>
      <c r="V146" s="45">
        <f>(VLOOKUP($B146,'[4]Delta Monthly'!$A$1:$AW$80,36,FALSE))/10000</f>
        <v>0</v>
      </c>
      <c r="W146" s="45">
        <f>(VLOOKUP($B146,'[4]Delta Monthly'!$A$1:$AW$80,38,FALSE)+VLOOKUP($B146,'[4]Delta Monthly'!$A$1:$AW$80,40,FALSE))/10000</f>
        <v>0</v>
      </c>
      <c r="X146" s="45">
        <f>(VLOOKUP($B146,'[4]Delta Monthly'!$A$1:$AW$80,42,FALSE))/10000</f>
        <v>0</v>
      </c>
      <c r="Y146" s="45">
        <f>(VLOOKUP($B146,'[4]Delta Monthly'!$A$1:$AW$80,44,FALSE)+VLOOKUP($B146,'[4]Delta Monthly'!$A$1:$AW$80,46,FALSE)+VLOOKUP($B146,'[4]Delta Monthly'!$A$1:$AW$80,48,FALSE))/10000</f>
        <v>0</v>
      </c>
      <c r="Z146" s="67">
        <f>SUM(S146:Y146)</f>
        <v>0</v>
      </c>
      <c r="AA146" s="67">
        <f>VLOOKUP($B146,'[3]Delta Yearly'!$A$1:$AD$80,4,FALSE)/10000</f>
        <v>0</v>
      </c>
      <c r="AB146" s="67">
        <f>(VLOOKUP($B146,'[3]Delta Yearly'!$A$1:$AC$80,6,FALSE)+VLOOKUP($B146,'[3]Delta Yearly'!$A$1:$AC$80,8,FALSE)+VLOOKUP($B146,'[3]Delta Yearly'!$A$1:$AC$80,10,FALSE)+VLOOKUP($B146,'[3]Delta Yearly'!$A$1:$AC$80,12,FALSE)+VLOOKUP($B146,'[3]Delta Yearly'!$A$1:$AC$80,14,FALSE)+VLOOKUP($B146,'[3]Delta Yearly'!$A$1:$AC$80,16,FALSE)+VLOOKUP($B146,'[3]Delta Yearly'!$A$1:$AC$80,18,FALSE)+VLOOKUP($B146,'[3]Delta Yearly'!$A$1:$AC$80,20,FALSE)+VLOOKUP($B146,'[3]Delta Yearly'!$A$1:$AC$80,22,FALSE)+VLOOKUP($B146,'[3]Delta Yearly'!$A$1:$AC$80,24,FALSE)+VLOOKUP($B146,'[3]Delta Yearly'!$A$1:$AC$80,26,FALSE)+VLOOKUP($B146,'[3]Delta Yearly'!$A$1:$AC$80,28,FALSE))/10000</f>
        <v>0</v>
      </c>
      <c r="AC146" s="67">
        <f>SUM(AB146,AA146,Z146,R146)</f>
        <v>7.74459958</v>
      </c>
      <c r="AF146" s="196" t="s">
        <v>239</v>
      </c>
      <c r="AG146" s="197">
        <f>AC146</f>
        <v>7.74459958</v>
      </c>
      <c r="AH146" s="198"/>
      <c r="AI146" s="199"/>
      <c r="AJ146" s="198">
        <f>AC146</f>
        <v>7.74459958</v>
      </c>
      <c r="AK146" s="5"/>
      <c r="AL146" s="5"/>
    </row>
    <row r="147" spans="1:38" ht="8.1" customHeight="1" x14ac:dyDescent="0.3">
      <c r="A147" s="196"/>
      <c r="B147" s="207"/>
      <c r="C147" s="207"/>
      <c r="D147" s="181"/>
      <c r="E147" s="93"/>
      <c r="F147" s="93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67"/>
      <c r="S147" s="45"/>
      <c r="T147" s="45"/>
      <c r="U147" s="45"/>
      <c r="V147" s="45"/>
      <c r="W147" s="45"/>
      <c r="X147" s="45"/>
      <c r="Y147" s="45"/>
      <c r="Z147" s="67"/>
      <c r="AA147" s="67"/>
      <c r="AB147" s="67"/>
      <c r="AC147" s="67"/>
      <c r="AF147" s="196"/>
      <c r="AG147" s="197"/>
      <c r="AH147" s="198"/>
      <c r="AI147" s="199"/>
      <c r="AJ147" s="198"/>
      <c r="AK147" s="5"/>
      <c r="AL147" s="5"/>
    </row>
    <row r="148" spans="1:38" x14ac:dyDescent="0.3">
      <c r="A148" s="196" t="s">
        <v>242</v>
      </c>
      <c r="B148" s="207" t="s">
        <v>243</v>
      </c>
      <c r="C148" s="207" t="s">
        <v>244</v>
      </c>
      <c r="D148" s="67" t="s">
        <v>94</v>
      </c>
      <c r="E148" s="93">
        <f>(VLOOKUP(C148,[6]Sheet1!$B$1:$G$65,2,0))*-1</f>
        <v>78579.1493169694</v>
      </c>
      <c r="F148" s="93">
        <f>(VLOOKUP(C148,[6]Sheet1!$B$1:$G$65,4,0))</f>
        <v>-3004.623119444499</v>
      </c>
      <c r="G148" s="45"/>
      <c r="H148" s="45"/>
      <c r="I148" s="45"/>
      <c r="J148" s="45"/>
      <c r="K148" s="45"/>
      <c r="L148" s="45"/>
      <c r="M148" s="45"/>
      <c r="N148" s="45"/>
      <c r="O148" s="45">
        <f>VLOOKUP($B148,'[4]Delta Monthly'!$A$1:$AW$80,20,1)/10000</f>
        <v>0</v>
      </c>
      <c r="P148" s="45">
        <f>VLOOKUP($B148,'[4]Delta Monthly'!$A$1:$AW$80,22,1)/10000</f>
        <v>0</v>
      </c>
      <c r="Q148" s="45">
        <f>VLOOKUP($B148,'[4]Delta Monthly'!$A$1:$AW$80,24,1)/10000</f>
        <v>7.7445996100000007</v>
      </c>
      <c r="R148" s="67">
        <f>SUM(G148:Q148)</f>
        <v>7.7445996100000007</v>
      </c>
      <c r="S148" s="45">
        <f>(VLOOKUP($B148,'[4]Delta Monthly'!$A$1:$AW$80,26,FALSE)+VLOOKUP($B148,'[4]Delta Monthly'!$A$1:$AW$80,28,FALSE))/10000</f>
        <v>0</v>
      </c>
      <c r="T148" s="45">
        <f>(VLOOKUP($B148,'[4]Delta Monthly'!$A$1:$AW$80,30,FALSE)+VLOOKUP($B148,'[4]Delta Monthly'!$A$1:$AW$80,32,FALSE))/10000</f>
        <v>0</v>
      </c>
      <c r="U148" s="45">
        <f>(VLOOKUP($B148,'[4]Delta Monthly'!$A$1:$AW$80,34,FALSE))/10000</f>
        <v>0</v>
      </c>
      <c r="V148" s="45">
        <f>(VLOOKUP($B148,'[4]Delta Monthly'!$A$1:$AW$80,36,FALSE))/10000</f>
        <v>0</v>
      </c>
      <c r="W148" s="45">
        <f>(VLOOKUP($B148,'[4]Delta Monthly'!$A$1:$AW$80,38,FALSE)+VLOOKUP($B148,'[4]Delta Monthly'!$A$1:$AW$80,40,FALSE))/10000</f>
        <v>0</v>
      </c>
      <c r="X148" s="45">
        <f>(VLOOKUP($B148,'[4]Delta Monthly'!$A$1:$AW$80,42,FALSE))/10000</f>
        <v>0</v>
      </c>
      <c r="Y148" s="45">
        <f>(VLOOKUP($B148,'[4]Delta Monthly'!$A$1:$AW$80,44,FALSE)+VLOOKUP($B148,'[4]Delta Monthly'!$A$1:$AW$80,46,FALSE)+VLOOKUP($B148,'[4]Delta Monthly'!$A$1:$AW$80,48,FALSE))/10000</f>
        <v>0</v>
      </c>
      <c r="Z148" s="67">
        <f>SUM(S148:Y148)</f>
        <v>0</v>
      </c>
      <c r="AA148" s="67">
        <f>VLOOKUP($B148,'[3]Delta Yearly'!$A$1:$AD$80,4,FALSE)/10000</f>
        <v>-17.41293546</v>
      </c>
      <c r="AB148" s="67">
        <f>(VLOOKUP($B148,'[3]Delta Yearly'!$A$1:$AC$80,6,FALSE)+VLOOKUP($B148,'[3]Delta Yearly'!$A$1:$AC$80,8,FALSE)+VLOOKUP($B148,'[3]Delta Yearly'!$A$1:$AC$80,10,FALSE)+VLOOKUP($B148,'[3]Delta Yearly'!$A$1:$AC$80,12,FALSE)+VLOOKUP($B148,'[3]Delta Yearly'!$A$1:$AC$80,14,FALSE)+VLOOKUP($B148,'[3]Delta Yearly'!$A$1:$AC$80,16,FALSE)+VLOOKUP($B148,'[3]Delta Yearly'!$A$1:$AC$80,18,FALSE)+VLOOKUP($B148,'[3]Delta Yearly'!$A$1:$AC$80,20,FALSE)+VLOOKUP($B148,'[3]Delta Yearly'!$A$1:$AC$80,22,FALSE)+VLOOKUP($B148,'[3]Delta Yearly'!$A$1:$AC$80,24,FALSE)+VLOOKUP($B148,'[3]Delta Yearly'!$A$1:$AC$80,26,FALSE)+VLOOKUP($B148,'[3]Delta Yearly'!$A$1:$AC$80,28,FALSE))/10000</f>
        <v>0</v>
      </c>
      <c r="AC148" s="67">
        <f>SUM(AB148,AA148,Z148,R148)</f>
        <v>-9.6683358499999983</v>
      </c>
      <c r="AF148" s="196" t="s">
        <v>242</v>
      </c>
      <c r="AG148" s="197">
        <f>AC148</f>
        <v>-9.6683358499999983</v>
      </c>
      <c r="AH148" s="198"/>
      <c r="AI148" s="199"/>
      <c r="AJ148" s="198">
        <f>AC148</f>
        <v>-9.6683358499999983</v>
      </c>
      <c r="AK148" s="5"/>
      <c r="AL148" s="5"/>
    </row>
    <row r="149" spans="1:38" ht="8.1" customHeight="1" x14ac:dyDescent="0.3">
      <c r="A149" s="196"/>
      <c r="B149" s="207"/>
      <c r="C149" s="207"/>
      <c r="D149" s="67"/>
      <c r="E149" s="93"/>
      <c r="F149" s="93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67"/>
      <c r="S149" s="45"/>
      <c r="T149" s="45"/>
      <c r="U149" s="45"/>
      <c r="V149" s="45"/>
      <c r="W149" s="45"/>
      <c r="X149" s="45"/>
      <c r="Y149" s="45"/>
      <c r="Z149" s="67"/>
      <c r="AA149" s="67"/>
      <c r="AB149" s="67"/>
      <c r="AC149" s="67"/>
      <c r="AF149" s="196"/>
      <c r="AG149" s="197"/>
      <c r="AH149" s="198"/>
      <c r="AI149" s="199"/>
      <c r="AJ149" s="198"/>
      <c r="AK149" s="5"/>
      <c r="AL149" s="5"/>
    </row>
    <row r="150" spans="1:38" x14ac:dyDescent="0.3">
      <c r="A150" s="196" t="s">
        <v>245</v>
      </c>
      <c r="B150" s="207" t="s">
        <v>246</v>
      </c>
      <c r="C150" s="207" t="s">
        <v>247</v>
      </c>
      <c r="D150" s="67" t="s">
        <v>248</v>
      </c>
      <c r="E150" s="93">
        <f>(VLOOKUP(C150,[6]Sheet1!$B$1:$G$65,2,0))*-1</f>
        <v>591873.46313107898</v>
      </c>
      <c r="F150" s="93">
        <f>(VLOOKUP(C150,[6]Sheet1!$B$1:$G$65,4,0))</f>
        <v>-561.57952781300992</v>
      </c>
      <c r="G150" s="45"/>
      <c r="H150" s="45"/>
      <c r="I150" s="45"/>
      <c r="J150" s="45"/>
      <c r="K150" s="45"/>
      <c r="L150" s="45"/>
      <c r="M150" s="45"/>
      <c r="N150" s="45"/>
      <c r="O150" s="45">
        <f>VLOOKUP($B150,'[4]Delta Monthly'!$A$1:$AW$80,20,1)/10000</f>
        <v>0</v>
      </c>
      <c r="P150" s="45">
        <f>VLOOKUP($B150,'[4]Delta Monthly'!$A$1:$AW$80,22,1)/10000</f>
        <v>0</v>
      </c>
      <c r="Q150" s="45">
        <f>VLOOKUP($B150,'[4]Delta Monthly'!$A$1:$AW$80,24,1)/10000</f>
        <v>0</v>
      </c>
      <c r="R150" s="67">
        <f>SUM(G150:Q150)</f>
        <v>0</v>
      </c>
      <c r="S150" s="45">
        <f>(VLOOKUP($B150,'[4]Delta Monthly'!$A$1:$AW$80,26,FALSE)+VLOOKUP($B150,'[4]Delta Monthly'!$A$1:$AW$80,28,FALSE))/10000</f>
        <v>4.6339491299999995</v>
      </c>
      <c r="T150" s="45">
        <f>(VLOOKUP($B150,'[4]Delta Monthly'!$A$1:$AW$80,30,FALSE)+VLOOKUP($B150,'[4]Delta Monthly'!$A$1:$AW$80,32,FALSE))/10000</f>
        <v>3.9922200000000888E-3</v>
      </c>
      <c r="U150" s="45">
        <f>(VLOOKUP($B150,'[4]Delta Monthly'!$A$1:$AW$80,34,FALSE))/10000</f>
        <v>-2.3027780999999998</v>
      </c>
      <c r="V150" s="45">
        <f>(VLOOKUP($B150,'[4]Delta Monthly'!$A$1:$AW$80,36,FALSE))/10000</f>
        <v>-2.2982861300000001</v>
      </c>
      <c r="W150" s="45">
        <f>(VLOOKUP($B150,'[4]Delta Monthly'!$A$1:$AW$80,38,FALSE)+VLOOKUP($B150,'[4]Delta Monthly'!$A$1:$AW$80,40,FALSE))/10000</f>
        <v>-6.10980568</v>
      </c>
      <c r="X150" s="45">
        <f>(VLOOKUP($B150,'[4]Delta Monthly'!$A$1:$AW$80,42,FALSE))/10000</f>
        <v>-3.0444836400000002</v>
      </c>
      <c r="Y150" s="45">
        <f>(VLOOKUP($B150,'[4]Delta Monthly'!$A$1:$AW$80,44,FALSE)+VLOOKUP($B150,'[4]Delta Monthly'!$A$1:$AW$80,46,FALSE)+VLOOKUP($B150,'[4]Delta Monthly'!$A$1:$AW$80,48,FALSE))/10000</f>
        <v>20.448426340000001</v>
      </c>
      <c r="Z150" s="67">
        <f>SUM(S150:Y150)</f>
        <v>11.331014140000001</v>
      </c>
      <c r="AA150" s="67">
        <f>VLOOKUP($B150,'[3]Delta Yearly'!$A$1:$AD$80,4,FALSE)/10000</f>
        <v>177.48473179999999</v>
      </c>
      <c r="AB150" s="67">
        <f>(VLOOKUP($B150,'[3]Delta Yearly'!$A$1:$AC$80,6,FALSE)+VLOOKUP($B150,'[3]Delta Yearly'!$A$1:$AC$80,8,FALSE)+VLOOKUP($B150,'[3]Delta Yearly'!$A$1:$AC$80,10,FALSE)+VLOOKUP($B150,'[3]Delta Yearly'!$A$1:$AC$80,12,FALSE)+VLOOKUP($B150,'[3]Delta Yearly'!$A$1:$AC$80,14,FALSE)+VLOOKUP($B150,'[3]Delta Yearly'!$A$1:$AC$80,16,FALSE)+VLOOKUP($B150,'[3]Delta Yearly'!$A$1:$AC$80,18,FALSE)+VLOOKUP($B150,'[3]Delta Yearly'!$A$1:$AC$80,20,FALSE)+VLOOKUP($B150,'[3]Delta Yearly'!$A$1:$AC$80,22,FALSE)+VLOOKUP($B150,'[3]Delta Yearly'!$A$1:$AC$80,24,FALSE)+VLOOKUP($B150,'[3]Delta Yearly'!$A$1:$AC$80,26,FALSE)+VLOOKUP($B150,'[3]Delta Yearly'!$A$1:$AC$80,28,FALSE))/10000</f>
        <v>0</v>
      </c>
      <c r="AC150" s="67">
        <f>SUM(AB150,AA150,Z150,R150)</f>
        <v>188.81574594</v>
      </c>
      <c r="AF150" s="196" t="s">
        <v>245</v>
      </c>
      <c r="AG150" s="204">
        <f>AC150</f>
        <v>188.81574594</v>
      </c>
      <c r="AH150" s="198"/>
      <c r="AI150" s="199"/>
      <c r="AJ150" s="198"/>
      <c r="AK150" s="5"/>
      <c r="AL150" s="5"/>
    </row>
    <row r="151" spans="1:38" ht="8.1" customHeight="1" x14ac:dyDescent="0.3">
      <c r="A151" s="196"/>
      <c r="B151" s="207"/>
      <c r="C151" s="207"/>
      <c r="D151" s="67"/>
      <c r="E151" s="93"/>
      <c r="F151" s="93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67"/>
      <c r="S151" s="45"/>
      <c r="T151" s="45"/>
      <c r="U151" s="45"/>
      <c r="V151" s="45"/>
      <c r="W151" s="45"/>
      <c r="X151" s="45"/>
      <c r="Y151" s="45"/>
      <c r="Z151" s="67"/>
      <c r="AA151" s="67"/>
      <c r="AB151" s="67"/>
      <c r="AC151" s="67"/>
      <c r="AF151" s="196"/>
      <c r="AG151" s="197"/>
      <c r="AH151" s="198"/>
      <c r="AI151" s="199"/>
      <c r="AJ151" s="198"/>
      <c r="AK151" s="5"/>
      <c r="AL151" s="5"/>
    </row>
    <row r="152" spans="1:38" x14ac:dyDescent="0.3">
      <c r="A152" s="196" t="s">
        <v>249</v>
      </c>
      <c r="B152" s="207" t="s">
        <v>250</v>
      </c>
      <c r="C152" s="207" t="s">
        <v>251</v>
      </c>
      <c r="D152" s="67" t="s">
        <v>144</v>
      </c>
      <c r="E152" s="93">
        <f>(VLOOKUP(C152,[6]Sheet1!$B$1:$G$65,2,0))*-1</f>
        <v>1572280.6705618501</v>
      </c>
      <c r="F152" s="93">
        <f>(VLOOKUP(C152,[6]Sheet1!$B$1:$G$65,4,0))</f>
        <v>660077.16968533106</v>
      </c>
      <c r="G152" s="45"/>
      <c r="H152" s="45"/>
      <c r="I152" s="45"/>
      <c r="J152" s="45"/>
      <c r="K152" s="45"/>
      <c r="L152" s="45"/>
      <c r="M152" s="45"/>
      <c r="N152" s="45"/>
      <c r="O152" s="45">
        <f>VLOOKUP($B152,'[4]Delta Monthly'!$A$1:$AW$80,20,1)/10000</f>
        <v>0</v>
      </c>
      <c r="P152" s="45">
        <f>VLOOKUP($B152,'[4]Delta Monthly'!$A$1:$AW$80,22,1)/10000</f>
        <v>0</v>
      </c>
      <c r="Q152" s="45">
        <f>VLOOKUP($B152,'[4]Delta Monthly'!$A$1:$AW$80,24,1)/10000</f>
        <v>0</v>
      </c>
      <c r="R152" s="67">
        <f>SUM(G152:Q152)</f>
        <v>0</v>
      </c>
      <c r="S152" s="45">
        <f>(VLOOKUP($B152,'[4]Delta Monthly'!$A$1:$AW$80,26,FALSE)+VLOOKUP($B152,'[4]Delta Monthly'!$A$1:$AW$80,28,FALSE))/10000</f>
        <v>29.399569660000001</v>
      </c>
      <c r="T152" s="45">
        <f>(VLOOKUP($B152,'[4]Delta Monthly'!$A$1:$AW$80,30,FALSE)+VLOOKUP($B152,'[4]Delta Monthly'!$A$1:$AW$80,32,FALSE))/10000</f>
        <v>97.269802039999988</v>
      </c>
      <c r="U152" s="45">
        <f>(VLOOKUP($B152,'[4]Delta Monthly'!$A$1:$AW$80,34,FALSE))/10000</f>
        <v>84.435196779999998</v>
      </c>
      <c r="V152" s="45">
        <f>(VLOOKUP($B152,'[4]Delta Monthly'!$A$1:$AW$80,36,FALSE))/10000</f>
        <v>81.55208931</v>
      </c>
      <c r="W152" s="45">
        <f>(VLOOKUP($B152,'[4]Delta Monthly'!$A$1:$AW$80,38,FALSE)+VLOOKUP($B152,'[4]Delta Monthly'!$A$1:$AW$80,40,FALSE))/10000</f>
        <v>168.01965666000001</v>
      </c>
      <c r="X152" s="45">
        <f>(VLOOKUP($B152,'[4]Delta Monthly'!$A$1:$AW$80,42,FALSE))/10000</f>
        <v>81.022548829999991</v>
      </c>
      <c r="Y152" s="45">
        <f>(VLOOKUP($B152,'[4]Delta Monthly'!$A$1:$AW$80,44,FALSE)+VLOOKUP($B152,'[4]Delta Monthly'!$A$1:$AW$80,46,FALSE)+VLOOKUP($B152,'[4]Delta Monthly'!$A$1:$AW$80,48,FALSE))/10000</f>
        <v>113.29180058999999</v>
      </c>
      <c r="Z152" s="67">
        <f>SUM(S152:Y152)</f>
        <v>654.99066386999993</v>
      </c>
      <c r="AA152" s="67">
        <f>VLOOKUP($B152,'[3]Delta Yearly'!$A$1:$AD$80,4,FALSE)/10000</f>
        <v>696.51741752999999</v>
      </c>
      <c r="AB152" s="67">
        <f>(VLOOKUP($B152,'[3]Delta Yearly'!$A$1:$AC$80,6,FALSE)+VLOOKUP($B152,'[3]Delta Yearly'!$A$1:$AC$80,8,FALSE)+VLOOKUP($B152,'[3]Delta Yearly'!$A$1:$AC$80,10,FALSE)+VLOOKUP($B152,'[3]Delta Yearly'!$A$1:$AC$80,12,FALSE)+VLOOKUP($B152,'[3]Delta Yearly'!$A$1:$AC$80,14,FALSE)+VLOOKUP($B152,'[3]Delta Yearly'!$A$1:$AC$80,16,FALSE)+VLOOKUP($B152,'[3]Delta Yearly'!$A$1:$AC$80,18,FALSE)+VLOOKUP($B152,'[3]Delta Yearly'!$A$1:$AC$80,20,FALSE)+VLOOKUP($B152,'[3]Delta Yearly'!$A$1:$AC$80,22,FALSE)+VLOOKUP($B152,'[3]Delta Yearly'!$A$1:$AC$80,24,FALSE)+VLOOKUP($B152,'[3]Delta Yearly'!$A$1:$AC$80,26,FALSE)+VLOOKUP($B152,'[3]Delta Yearly'!$A$1:$AC$80,28,FALSE))/10000</f>
        <v>0</v>
      </c>
      <c r="AC152" s="67">
        <f>SUM(AB152,AA152,Z152,R152)</f>
        <v>1351.5080813999998</v>
      </c>
      <c r="AF152" s="196" t="s">
        <v>249</v>
      </c>
      <c r="AG152" s="208">
        <f>AC152</f>
        <v>1351.5080813999998</v>
      </c>
      <c r="AH152" s="198"/>
      <c r="AI152" s="199"/>
      <c r="AJ152" s="198">
        <f>AC152</f>
        <v>1351.5080813999998</v>
      </c>
      <c r="AK152" s="5"/>
      <c r="AL152" s="5"/>
    </row>
    <row r="153" spans="1:38" ht="4.5" customHeight="1" x14ac:dyDescent="0.3">
      <c r="A153" s="196"/>
      <c r="B153" s="207"/>
      <c r="C153" s="207"/>
      <c r="D153" s="67"/>
      <c r="E153" s="93"/>
      <c r="F153" s="93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67"/>
      <c r="S153" s="45"/>
      <c r="T153" s="45"/>
      <c r="U153" s="45"/>
      <c r="V153" s="45"/>
      <c r="W153" s="45"/>
      <c r="X153" s="45"/>
      <c r="Y153" s="45"/>
      <c r="Z153" s="67"/>
      <c r="AA153" s="67"/>
      <c r="AB153" s="67"/>
      <c r="AC153" s="67"/>
      <c r="AF153" s="196"/>
      <c r="AG153" s="208"/>
      <c r="AH153" s="198"/>
      <c r="AI153" s="199"/>
      <c r="AJ153" s="198"/>
      <c r="AK153" s="5"/>
      <c r="AL153" s="5"/>
    </row>
    <row r="154" spans="1:38" x14ac:dyDescent="0.3">
      <c r="A154" s="196" t="s">
        <v>252</v>
      </c>
      <c r="B154" s="207" t="s">
        <v>253</v>
      </c>
      <c r="C154" s="207" t="s">
        <v>254</v>
      </c>
      <c r="D154" s="67" t="s">
        <v>255</v>
      </c>
      <c r="E154" s="93">
        <f>(VLOOKUP(C154,[6]Sheet1!$B$1:$G$65,2,0))*-1</f>
        <v>322606.35353820404</v>
      </c>
      <c r="F154" s="93">
        <f>(VLOOKUP(C154,[6]Sheet1!$B$1:$G$65,4,0))</f>
        <v>-294310.31691908097</v>
      </c>
      <c r="G154" s="45"/>
      <c r="H154" s="45"/>
      <c r="I154" s="45"/>
      <c r="J154" s="45"/>
      <c r="K154" s="45"/>
      <c r="L154" s="45"/>
      <c r="M154" s="45"/>
      <c r="N154" s="45"/>
      <c r="O154" s="45">
        <f>VLOOKUP($B154,'[4]Delta Monthly'!$A$1:$AW$80,20,1)/10000</f>
        <v>0</v>
      </c>
      <c r="P154" s="45">
        <f>VLOOKUP($B154,'[4]Delta Monthly'!$A$1:$AW$80,22,1)/10000</f>
        <v>0</v>
      </c>
      <c r="Q154" s="45">
        <f>VLOOKUP($B154,'[4]Delta Monthly'!$A$1:$AW$80,24,1)/10000</f>
        <v>30.978398509999998</v>
      </c>
      <c r="R154" s="67">
        <f>SUM(G154:Q154)</f>
        <v>30.978398509999998</v>
      </c>
      <c r="S154" s="45">
        <f>(VLOOKUP($B154,'[4]Delta Monthly'!$A$1:$AW$80,26,FALSE)+VLOOKUP($B154,'[4]Delta Monthly'!$A$1:$AW$80,28,FALSE))/10000</f>
        <v>70.558967229999993</v>
      </c>
      <c r="T154" s="45">
        <f>(VLOOKUP($B154,'[4]Delta Monthly'!$A$1:$AW$80,30,FALSE)+VLOOKUP($B154,'[4]Delta Monthly'!$A$1:$AW$80,32,FALSE))/10000</f>
        <v>72.698582829999992</v>
      </c>
      <c r="U154" s="45">
        <f>(VLOOKUP($B154,'[4]Delta Monthly'!$A$1:$AW$80,34,FALSE))/10000</f>
        <v>36.844449560000001</v>
      </c>
      <c r="V154" s="45">
        <f>(VLOOKUP($B154,'[4]Delta Monthly'!$A$1:$AW$80,36,FALSE))/10000</f>
        <v>35.586366239999997</v>
      </c>
      <c r="W154" s="45">
        <f>(VLOOKUP($B154,'[4]Delta Monthly'!$A$1:$AW$80,38,FALSE)+VLOOKUP($B154,'[4]Delta Monthly'!$A$1:$AW$80,40,FALSE))/10000</f>
        <v>73.317668259999991</v>
      </c>
      <c r="X154" s="45">
        <f>(VLOOKUP($B154,'[4]Delta Monthly'!$A$1:$AW$80,42,FALSE))/10000</f>
        <v>35.355294010000001</v>
      </c>
      <c r="Y154" s="45">
        <f>(VLOOKUP($B154,'[4]Delta Monthly'!$A$1:$AW$80,44,FALSE)+VLOOKUP($B154,'[4]Delta Monthly'!$A$1:$AW$80,46,FALSE)+VLOOKUP($B154,'[4]Delta Monthly'!$A$1:$AW$80,48,FALSE))/10000</f>
        <v>107.88559986</v>
      </c>
      <c r="Z154" s="67">
        <f>SUM(S154:Y154)</f>
        <v>432.24692798999996</v>
      </c>
      <c r="AA154" s="67">
        <f>VLOOKUP($B154,'[3]Delta Yearly'!$A$1:$AD$80,4,FALSE)/10000</f>
        <v>0</v>
      </c>
      <c r="AB154" s="67">
        <f>(VLOOKUP($B154,'[3]Delta Yearly'!$A$1:$AC$80,6,FALSE)+VLOOKUP($B154,'[3]Delta Yearly'!$A$1:$AC$80,8,FALSE)+VLOOKUP($B154,'[3]Delta Yearly'!$A$1:$AC$80,10,FALSE)+VLOOKUP($B154,'[3]Delta Yearly'!$A$1:$AC$80,12,FALSE)+VLOOKUP($B154,'[3]Delta Yearly'!$A$1:$AC$80,14,FALSE)+VLOOKUP($B154,'[3]Delta Yearly'!$A$1:$AC$80,16,FALSE)+VLOOKUP($B154,'[3]Delta Yearly'!$A$1:$AC$80,18,FALSE)+VLOOKUP($B154,'[3]Delta Yearly'!$A$1:$AC$80,20,FALSE)+VLOOKUP($B154,'[3]Delta Yearly'!$A$1:$AC$80,22,FALSE)+VLOOKUP($B154,'[3]Delta Yearly'!$A$1:$AC$80,24,FALSE)+VLOOKUP($B154,'[3]Delta Yearly'!$A$1:$AC$80,26,FALSE)+VLOOKUP($B154,'[3]Delta Yearly'!$A$1:$AC$80,28,FALSE))/10000</f>
        <v>0</v>
      </c>
      <c r="AC154" s="67">
        <f>SUM(AB154,AA154,Z154,R154)</f>
        <v>463.22532649999994</v>
      </c>
      <c r="AF154" s="196" t="s">
        <v>252</v>
      </c>
      <c r="AG154" s="208">
        <f>AC154</f>
        <v>463.22532649999994</v>
      </c>
      <c r="AH154" s="198"/>
      <c r="AI154" s="199"/>
      <c r="AJ154" s="198">
        <f>AC154</f>
        <v>463.22532649999994</v>
      </c>
      <c r="AK154" s="5"/>
      <c r="AL154" s="5"/>
    </row>
    <row r="155" spans="1:38" ht="8.1" customHeight="1" thickBot="1" x14ac:dyDescent="0.35">
      <c r="A155" s="196"/>
      <c r="B155" s="209"/>
      <c r="C155" s="209"/>
      <c r="D155" s="67"/>
      <c r="E155" s="93"/>
      <c r="F155" s="93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110"/>
      <c r="S155" s="46"/>
      <c r="T155" s="46"/>
      <c r="U155" s="46"/>
      <c r="V155" s="46"/>
      <c r="W155" s="46"/>
      <c r="X155" s="46"/>
      <c r="Y155" s="46"/>
      <c r="Z155" s="110"/>
      <c r="AA155" s="110"/>
      <c r="AB155" s="110"/>
      <c r="AC155" s="110"/>
      <c r="AF155" s="196"/>
      <c r="AG155" s="210"/>
      <c r="AH155" s="198"/>
      <c r="AI155" s="199"/>
      <c r="AJ155" s="198"/>
      <c r="AK155" s="5"/>
      <c r="AL155" s="5"/>
    </row>
    <row r="156" spans="1:38" ht="21.6" thickBot="1" x14ac:dyDescent="0.45">
      <c r="A156" s="211" t="s">
        <v>256</v>
      </c>
      <c r="B156" s="212" t="s">
        <v>257</v>
      </c>
      <c r="C156" s="212"/>
      <c r="D156" s="213"/>
      <c r="E156" s="214"/>
      <c r="F156" s="214"/>
      <c r="G156" s="215" t="e">
        <f>SUM(G100,G102,G108,#REF!,G112,G116,G122,G124,#REF!,G126,G130,G132,G114,G120,#REF!,G134)</f>
        <v>#REF!</v>
      </c>
      <c r="H156" s="215" t="e">
        <f>SUM(H100,H102,H108,#REF!,H112,H116,H122,H124,#REF!,H126,H130,H132,H114,H120,#REF!,H134)</f>
        <v>#REF!</v>
      </c>
      <c r="I156" s="215" t="e">
        <f>SUM(I100,I102,I108,#REF!,I112,I116,I122,I124,#REF!,I126,I130,I132,I114,I120,#REF!,I134)</f>
        <v>#REF!</v>
      </c>
      <c r="J156" s="215" t="e">
        <f>SUM(J100,J102,J108,#REF!,J112,J116,J122,J124,#REF!,J126,J130,J132,J114,J120,#REF!,J134)</f>
        <v>#REF!</v>
      </c>
      <c r="K156" s="215" t="e">
        <f>SUM(K100,K102,K108,#REF!,K112,K116,K122,K124,#REF!,K126,K130,K132,K114,K120,#REF!,K134,K136)</f>
        <v>#REF!</v>
      </c>
      <c r="L156" s="215" t="e">
        <f>SUM(L100,L102,L108,#REF!,L112,L116,L122,L124,#REF!,L126,L130,L132,L114,L120,#REF!,L134,L136,L144,L146,L148)</f>
        <v>#REF!</v>
      </c>
      <c r="M156" s="215" t="e">
        <f>SUM(M100,M102,M108,#REF!,M112,M116,M122,M124,#REF!,M126,M130,M132,M114,M120,#REF!,M134,M136,M144,M146,M148,M150)</f>
        <v>#REF!</v>
      </c>
      <c r="N156" s="215" t="e">
        <f>SUM(N100,N102,N104,N108,#REF!,N112,N116,N122,N124,#REF!,N126,N130,N132,N114,N120,#REF!,N134,N136,N138,N142,N144,N146,N148,N150,N152,#REF!,#REF!)</f>
        <v>#REF!</v>
      </c>
      <c r="O156" s="215">
        <f t="shared" ref="O156:AC156" si="11">SUM(O100,O102,O104,O108,O112,O116,O122,O124,O126,O128,O130,O132,O114,O120,O134,O136,O138,O140,O142,O144,O146,O148,O150,O152,O154)</f>
        <v>0</v>
      </c>
      <c r="P156" s="215">
        <f t="shared" si="11"/>
        <v>-660.77019949808448</v>
      </c>
      <c r="Q156" s="215">
        <f t="shared" si="11"/>
        <v>-3106.9533817833503</v>
      </c>
      <c r="R156" s="216">
        <f t="shared" si="11"/>
        <v>-3767.7235812814342</v>
      </c>
      <c r="S156" s="215">
        <f t="shared" si="11"/>
        <v>705.6044538148135</v>
      </c>
      <c r="T156" s="215">
        <f t="shared" si="11"/>
        <v>-1593.2696888066457</v>
      </c>
      <c r="U156" s="215">
        <f t="shared" si="11"/>
        <v>-494.34154762438078</v>
      </c>
      <c r="V156" s="215">
        <f t="shared" si="11"/>
        <v>-194.61629723548751</v>
      </c>
      <c r="W156" s="215">
        <f t="shared" si="11"/>
        <v>-90.2988019089657</v>
      </c>
      <c r="X156" s="215">
        <f t="shared" si="11"/>
        <v>-385.58206024330855</v>
      </c>
      <c r="Y156" s="215">
        <f t="shared" si="11"/>
        <v>-1061.8792883924534</v>
      </c>
      <c r="Z156" s="216">
        <f t="shared" si="11"/>
        <v>-3114.3832303964291</v>
      </c>
      <c r="AA156" s="215">
        <f t="shared" si="11"/>
        <v>-3270.6302018483384</v>
      </c>
      <c r="AB156" s="216">
        <f t="shared" si="11"/>
        <v>17.241851442892546</v>
      </c>
      <c r="AC156" s="216">
        <f t="shared" si="11"/>
        <v>-10135.495162083309</v>
      </c>
      <c r="AF156" s="217" t="s">
        <v>258</v>
      </c>
      <c r="AG156" s="218">
        <f>SUM(AG97:AG154)</f>
        <v>-7714.00395217</v>
      </c>
      <c r="AH156" s="219">
        <f>SUM(AH97:AH148)</f>
        <v>-17.86407170795276</v>
      </c>
      <c r="AI156" s="218">
        <f>SUM(AI97:AI148)</f>
        <v>-2403.627138205356</v>
      </c>
      <c r="AJ156" s="218">
        <f>SUM(AJ97:AJ154)</f>
        <v>-10324.310908023308</v>
      </c>
      <c r="AK156" s="5"/>
      <c r="AL156" s="5"/>
    </row>
    <row r="157" spans="1:38" ht="18.75" customHeight="1" x14ac:dyDescent="0.4">
      <c r="D157" s="220"/>
      <c r="E157" s="178"/>
      <c r="F157" s="178"/>
      <c r="G157" s="5"/>
      <c r="H157" s="221"/>
      <c r="I157" s="221"/>
      <c r="J157" s="221"/>
      <c r="K157" s="221"/>
      <c r="L157" s="221"/>
      <c r="M157" s="221"/>
      <c r="N157" s="221"/>
      <c r="O157" s="221"/>
      <c r="P157" s="221"/>
      <c r="Q157" s="221"/>
      <c r="R157" s="221"/>
      <c r="S157" s="221"/>
      <c r="T157" s="221"/>
      <c r="U157" s="221"/>
      <c r="V157" s="221"/>
      <c r="W157" s="221"/>
      <c r="X157" s="221"/>
      <c r="Y157" s="221"/>
      <c r="Z157" s="221"/>
      <c r="AA157" s="221"/>
      <c r="AB157" s="221"/>
      <c r="AC157" s="222"/>
      <c r="AD157" s="223"/>
      <c r="AE157" s="222"/>
      <c r="AG157" s="224"/>
      <c r="AJ157" s="225">
        <f>AC144+AC150</f>
        <v>188.81574594</v>
      </c>
      <c r="AK157" s="226" t="s">
        <v>259</v>
      </c>
    </row>
    <row r="158" spans="1:38" x14ac:dyDescent="0.3">
      <c r="D158" s="220"/>
      <c r="E158" s="178"/>
      <c r="F158" s="17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X158" s="5"/>
      <c r="AA158" s="5"/>
      <c r="AB158" s="5"/>
      <c r="AC158" s="5"/>
      <c r="AG158" s="224"/>
      <c r="AJ158" s="225">
        <f>AC132</f>
        <v>0</v>
      </c>
      <c r="AK158" s="226" t="s">
        <v>260</v>
      </c>
      <c r="AL158" s="3"/>
    </row>
    <row r="159" spans="1:38" x14ac:dyDescent="0.3">
      <c r="D159" s="220"/>
      <c r="AG159" s="224"/>
      <c r="AJ159" s="227">
        <f>AJ156+AJ157+AJ158</f>
        <v>-10135.495162083307</v>
      </c>
      <c r="AK159" s="225" t="s">
        <v>261</v>
      </c>
    </row>
    <row r="160" spans="1:38" x14ac:dyDescent="0.3">
      <c r="D160" s="220"/>
      <c r="AG160" s="224"/>
      <c r="AJ160" s="228">
        <f>AC156-AJ159</f>
        <v>0</v>
      </c>
      <c r="AK160" s="226" t="s">
        <v>262</v>
      </c>
    </row>
    <row r="161" spans="4:36" x14ac:dyDescent="0.3">
      <c r="D161" s="220"/>
      <c r="AG161" s="224"/>
    </row>
    <row r="162" spans="4:36" x14ac:dyDescent="0.3">
      <c r="D162" s="220"/>
      <c r="AG162" s="224"/>
    </row>
    <row r="163" spans="4:36" x14ac:dyDescent="0.3">
      <c r="AG163" s="224"/>
      <c r="AJ163" s="165"/>
    </row>
    <row r="164" spans="4:36" x14ac:dyDescent="0.3">
      <c r="AG164" s="224"/>
    </row>
    <row r="165" spans="4:36" x14ac:dyDescent="0.3">
      <c r="AG165" s="224"/>
    </row>
    <row r="166" spans="4:36" x14ac:dyDescent="0.3">
      <c r="AG166" s="224"/>
    </row>
    <row r="167" spans="4:36" x14ac:dyDescent="0.3">
      <c r="AG167" s="229"/>
    </row>
    <row r="168" spans="4:36" x14ac:dyDescent="0.3">
      <c r="AG168" s="229"/>
    </row>
    <row r="169" spans="4:36" x14ac:dyDescent="0.3">
      <c r="AG169" s="224"/>
    </row>
    <row r="170" spans="4:36" x14ac:dyDescent="0.3">
      <c r="AG170" s="224"/>
    </row>
    <row r="171" spans="4:36" x14ac:dyDescent="0.3">
      <c r="AG171"/>
    </row>
    <row r="172" spans="4:36" x14ac:dyDescent="0.3">
      <c r="AG172"/>
    </row>
    <row r="173" spans="4:36" x14ac:dyDescent="0.3">
      <c r="AG173"/>
    </row>
    <row r="174" spans="4:36" x14ac:dyDescent="0.3">
      <c r="AG174"/>
    </row>
    <row r="175" spans="4:36" x14ac:dyDescent="0.3">
      <c r="AG175"/>
    </row>
    <row r="176" spans="4:36" x14ac:dyDescent="0.3">
      <c r="AG176"/>
    </row>
    <row r="177" spans="33:33" x14ac:dyDescent="0.3">
      <c r="AG177"/>
    </row>
  </sheetData>
  <dataConsolidate/>
  <mergeCells count="1">
    <mergeCell ref="AF94:AJ94"/>
  </mergeCells>
  <phoneticPr fontId="0" type="noConversion"/>
  <printOptions horizontalCentered="1" verticalCentered="1"/>
  <pageMargins left="0" right="0" top="0.25" bottom="0" header="0.19" footer="0"/>
  <pageSetup scale="28" orientation="landscape" r:id="rId1"/>
  <headerFooter alignWithMargins="0">
    <oddHeader>&amp;C&amp;20East Power Positions - Peak</oddHeader>
  </headerFooter>
  <colBreaks count="1" manualBreakCount="1">
    <brk id="2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5]!PublishEVaRAndPeakPosByTrader">
                <anchor moveWithCells="1" sizeWithCells="1">
                  <from>
                    <xdr:col>30</xdr:col>
                    <xdr:colOff>99060</xdr:colOff>
                    <xdr:row>1</xdr:row>
                    <xdr:rowOff>53340</xdr:rowOff>
                  </from>
                  <to>
                    <xdr:col>35</xdr:col>
                    <xdr:colOff>472440</xdr:colOff>
                    <xdr:row>3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J90"/>
  <sheetViews>
    <sheetView zoomScale="65" zoomScaleNormal="50" workbookViewId="0">
      <pane xSplit="3" ySplit="5" topLeftCell="V61" activePane="bottomRight" state="frozen"/>
      <selection activeCell="AE160" sqref="AE160"/>
      <selection pane="topRight" activeCell="AE160" sqref="AE160"/>
      <selection pane="bottomLeft" activeCell="AE160" sqref="AE160"/>
      <selection pane="bottomRight" activeCell="AE160" sqref="AE160"/>
    </sheetView>
  </sheetViews>
  <sheetFormatPr defaultColWidth="5.6640625" defaultRowHeight="13.2" x14ac:dyDescent="0.25"/>
  <cols>
    <col min="1" max="1" width="26" style="234" customWidth="1"/>
    <col min="2" max="2" width="17.109375" style="234" hidden="1" customWidth="1"/>
    <col min="3" max="3" width="24.5546875" style="375" bestFit="1" customWidth="1"/>
    <col min="4" max="4" width="15.6640625" style="234" bestFit="1" customWidth="1"/>
    <col min="5" max="5" width="13.5546875" style="234" bestFit="1" customWidth="1"/>
    <col min="6" max="6" width="7.6640625" style="376" hidden="1" customWidth="1"/>
    <col min="7" max="7" width="6.33203125" style="376" hidden="1" customWidth="1"/>
    <col min="8" max="8" width="4.88671875" style="376" hidden="1" customWidth="1"/>
    <col min="9" max="9" width="3" style="376" hidden="1" customWidth="1"/>
    <col min="10" max="11" width="4.88671875" style="376" hidden="1" customWidth="1"/>
    <col min="12" max="12" width="6.109375" style="376" hidden="1" customWidth="1"/>
    <col min="13" max="13" width="10.33203125" style="376" hidden="1" customWidth="1"/>
    <col min="14" max="14" width="12.33203125" style="376" hidden="1" customWidth="1"/>
    <col min="15" max="15" width="10.6640625" style="376" bestFit="1" customWidth="1"/>
    <col min="16" max="17" width="12.33203125" style="376" bestFit="1" customWidth="1"/>
    <col min="18" max="18" width="14.109375" style="376" bestFit="1" customWidth="1"/>
    <col min="19" max="19" width="14.44140625" style="376" bestFit="1" customWidth="1"/>
    <col min="20" max="20" width="9.44140625" style="376" bestFit="1" customWidth="1"/>
    <col min="21" max="21" width="10.44140625" style="376" bestFit="1" customWidth="1"/>
    <col min="22" max="22" width="15.109375" style="376" bestFit="1" customWidth="1"/>
    <col min="23" max="23" width="9.44140625" style="376" bestFit="1" customWidth="1"/>
    <col min="24" max="24" width="9.88671875" style="377" bestFit="1" customWidth="1"/>
    <col min="25" max="25" width="13.6640625" style="376" bestFit="1" customWidth="1"/>
    <col min="26" max="26" width="13.6640625" style="377" bestFit="1" customWidth="1"/>
    <col min="27" max="27" width="14.109375" style="377" bestFit="1" customWidth="1"/>
    <col min="28" max="28" width="18.88671875" style="376" bestFit="1" customWidth="1"/>
    <col min="29" max="29" width="16.6640625" style="378" customWidth="1"/>
    <col min="30" max="30" width="13.6640625" style="234" bestFit="1" customWidth="1"/>
    <col min="31" max="31" width="15" style="234" bestFit="1" customWidth="1"/>
    <col min="32" max="32" width="17.6640625" style="234" bestFit="1" customWidth="1"/>
    <col min="33" max="33" width="11.88671875" style="234" bestFit="1" customWidth="1"/>
    <col min="34" max="34" width="11" style="234" bestFit="1" customWidth="1"/>
    <col min="35" max="35" width="3.6640625" style="234" bestFit="1" customWidth="1"/>
    <col min="36" max="36" width="6" style="234" bestFit="1" customWidth="1"/>
    <col min="37" max="16384" width="5.6640625" style="234"/>
  </cols>
  <sheetData>
    <row r="1" spans="1:36" ht="12" customHeight="1" x14ac:dyDescent="0.25">
      <c r="A1" s="230"/>
      <c r="B1" s="230"/>
      <c r="C1" s="231"/>
      <c r="D1" s="230"/>
      <c r="E1" s="230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3"/>
      <c r="Y1" s="232"/>
      <c r="Z1" s="233"/>
      <c r="AA1" s="233"/>
      <c r="AB1" s="232"/>
      <c r="AC1" s="232"/>
      <c r="AD1" s="232"/>
      <c r="AE1" s="232"/>
      <c r="AF1" s="232"/>
      <c r="AG1" s="232"/>
      <c r="AH1" s="230"/>
      <c r="AI1" s="230"/>
      <c r="AJ1" s="230"/>
    </row>
    <row r="2" spans="1:36" ht="12" customHeight="1" thickBot="1" x14ac:dyDescent="0.3">
      <c r="A2" s="235">
        <f ca="1">IF(HOUR(NOW())&gt;15,NOW(),NOW()-IF(WEEKDAY(NOW())=2,2,0)-1)</f>
        <v>37214.686810995372</v>
      </c>
      <c r="B2" s="230"/>
      <c r="C2" s="236">
        <f ca="1">IF(HOUR(NOW())&gt;15,NOW(),NOW()-IF(WEEKDAY(NOW())=2,2,0)-1)</f>
        <v>37214.686810995372</v>
      </c>
      <c r="D2" s="230"/>
      <c r="E2" s="230"/>
      <c r="F2" s="232"/>
      <c r="G2" s="232"/>
      <c r="H2" s="232"/>
      <c r="I2" s="237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3"/>
      <c r="Y2" s="232"/>
      <c r="Z2" s="233"/>
      <c r="AA2" s="233"/>
      <c r="AB2" s="232"/>
      <c r="AC2" s="232"/>
      <c r="AD2" s="232"/>
      <c r="AE2" s="232"/>
      <c r="AF2" s="232"/>
      <c r="AG2" s="232"/>
      <c r="AH2" s="230"/>
      <c r="AI2" s="230"/>
      <c r="AJ2" s="230"/>
    </row>
    <row r="3" spans="1:36" ht="12" customHeight="1" x14ac:dyDescent="0.25">
      <c r="A3" s="238" t="s">
        <v>0</v>
      </c>
      <c r="B3" s="239"/>
      <c r="C3" s="240" t="s">
        <v>1</v>
      </c>
      <c r="D3" s="240"/>
      <c r="E3" s="241" t="s">
        <v>2</v>
      </c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3"/>
      <c r="R3" s="243"/>
      <c r="S3" s="242"/>
      <c r="T3" s="242"/>
      <c r="U3" s="242"/>
      <c r="V3" s="242"/>
      <c r="W3" s="242"/>
      <c r="X3" s="242"/>
      <c r="Y3" s="244"/>
      <c r="Z3" s="245"/>
      <c r="AA3" s="246"/>
      <c r="AB3" s="246"/>
      <c r="AC3" s="232"/>
      <c r="AD3" s="232"/>
      <c r="AE3" s="232"/>
      <c r="AF3" s="232"/>
      <c r="AG3" s="232"/>
      <c r="AH3" s="230"/>
      <c r="AI3" s="230"/>
      <c r="AJ3" s="230"/>
    </row>
    <row r="4" spans="1:36" ht="12" customHeight="1" thickBot="1" x14ac:dyDescent="0.3">
      <c r="A4" s="247" t="s">
        <v>3</v>
      </c>
      <c r="B4" s="248"/>
      <c r="C4" s="249" t="s">
        <v>3</v>
      </c>
      <c r="D4" s="249" t="s">
        <v>4</v>
      </c>
      <c r="E4" s="250" t="s">
        <v>4</v>
      </c>
      <c r="F4" s="251" t="s">
        <v>5</v>
      </c>
      <c r="G4" s="251" t="s">
        <v>6</v>
      </c>
      <c r="H4" s="251" t="s">
        <v>7</v>
      </c>
      <c r="I4" s="251" t="s">
        <v>8</v>
      </c>
      <c r="J4" s="251" t="s">
        <v>9</v>
      </c>
      <c r="K4" s="251" t="s">
        <v>10</v>
      </c>
      <c r="L4" s="251" t="s">
        <v>11</v>
      </c>
      <c r="M4" s="251" t="s">
        <v>12</v>
      </c>
      <c r="N4" s="251" t="s">
        <v>13</v>
      </c>
      <c r="O4" s="251" t="s">
        <v>14</v>
      </c>
      <c r="P4" s="251" t="s">
        <v>15</v>
      </c>
      <c r="Q4" s="252" t="s">
        <v>16</v>
      </c>
      <c r="R4" s="252" t="s">
        <v>17</v>
      </c>
      <c r="S4" s="251" t="s">
        <v>18</v>
      </c>
      <c r="T4" s="251" t="s">
        <v>19</v>
      </c>
      <c r="U4" s="251" t="s">
        <v>20</v>
      </c>
      <c r="V4" s="251" t="s">
        <v>21</v>
      </c>
      <c r="W4" s="251" t="s">
        <v>22</v>
      </c>
      <c r="X4" s="251" t="s">
        <v>23</v>
      </c>
      <c r="Y4" s="253">
        <v>2002</v>
      </c>
      <c r="Z4" s="254">
        <v>20003</v>
      </c>
      <c r="AA4" s="255" t="s">
        <v>24</v>
      </c>
      <c r="AB4" s="255" t="s">
        <v>263</v>
      </c>
      <c r="AC4" s="256"/>
      <c r="AD4" s="232"/>
      <c r="AE4" s="232"/>
      <c r="AF4" s="232"/>
      <c r="AG4" s="232"/>
      <c r="AH4" s="230"/>
      <c r="AI4" s="230"/>
      <c r="AJ4" s="230"/>
    </row>
    <row r="5" spans="1:36" ht="12" customHeight="1" thickBot="1" x14ac:dyDescent="0.3">
      <c r="A5" s="230"/>
      <c r="B5" s="230"/>
      <c r="C5" s="231"/>
      <c r="D5" s="230"/>
      <c r="E5" s="230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3"/>
      <c r="Y5" s="232"/>
      <c r="Z5" s="233"/>
      <c r="AA5" s="233"/>
      <c r="AB5" s="233"/>
      <c r="AC5" s="232"/>
      <c r="AD5" s="232"/>
      <c r="AE5" s="232"/>
      <c r="AF5" s="232"/>
      <c r="AG5" s="232"/>
      <c r="AH5" s="230"/>
      <c r="AI5" s="230"/>
      <c r="AJ5" s="230"/>
    </row>
    <row r="6" spans="1:36" s="270" customFormat="1" ht="12" customHeight="1" thickBot="1" x14ac:dyDescent="0.3">
      <c r="A6" s="257"/>
      <c r="B6" s="258"/>
      <c r="C6" s="259" t="s">
        <v>26</v>
      </c>
      <c r="D6" s="260">
        <v>25000000</v>
      </c>
      <c r="E6" s="261"/>
      <c r="F6" s="262"/>
      <c r="G6" s="262"/>
      <c r="H6" s="262"/>
      <c r="I6" s="263" t="s">
        <v>27</v>
      </c>
      <c r="J6" s="264"/>
      <c r="K6" s="264"/>
      <c r="L6" s="264"/>
      <c r="M6" s="264"/>
      <c r="N6" s="264"/>
      <c r="O6" s="264"/>
      <c r="P6" s="264"/>
      <c r="Q6" s="265"/>
      <c r="R6" s="266"/>
      <c r="S6" s="264"/>
      <c r="T6" s="264"/>
      <c r="U6" s="264"/>
      <c r="V6" s="264"/>
      <c r="W6" s="264"/>
      <c r="X6" s="264"/>
      <c r="Y6" s="265"/>
      <c r="Z6" s="267"/>
      <c r="AA6" s="267"/>
      <c r="AB6" s="267"/>
      <c r="AC6" s="268"/>
      <c r="AD6" s="269"/>
      <c r="AE6" s="269"/>
      <c r="AF6" s="269"/>
      <c r="AG6" s="269"/>
      <c r="AH6" s="269"/>
      <c r="AI6" s="269"/>
      <c r="AJ6" s="269"/>
    </row>
    <row r="7" spans="1:36" s="270" customFormat="1" ht="9" customHeight="1" thickBot="1" x14ac:dyDescent="0.3">
      <c r="A7" s="271"/>
      <c r="B7" s="272"/>
      <c r="C7" s="273"/>
      <c r="D7" s="274"/>
      <c r="E7" s="275"/>
      <c r="F7" s="272"/>
      <c r="G7" s="272"/>
      <c r="H7" s="272"/>
      <c r="I7" s="276"/>
      <c r="J7" s="276"/>
      <c r="K7" s="276"/>
      <c r="L7" s="276"/>
      <c r="M7" s="276"/>
      <c r="N7" s="276"/>
      <c r="O7" s="276"/>
      <c r="P7" s="276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8"/>
      <c r="AC7" s="268"/>
      <c r="AD7" s="269"/>
      <c r="AE7" s="269"/>
      <c r="AF7" s="269"/>
      <c r="AG7" s="269"/>
      <c r="AH7" s="269"/>
      <c r="AI7" s="269"/>
      <c r="AJ7" s="269"/>
    </row>
    <row r="8" spans="1:36" s="270" customFormat="1" ht="12.9" customHeight="1" thickBot="1" x14ac:dyDescent="0.3">
      <c r="A8" s="279" t="s">
        <v>264</v>
      </c>
      <c r="B8" s="280"/>
      <c r="C8" s="281" t="s">
        <v>265</v>
      </c>
      <c r="D8" s="282">
        <f ca="1">'E. VaR &amp; Peak Pos By Trader'!E8</f>
        <v>19833595.52352</v>
      </c>
      <c r="E8" s="283">
        <f ca="1">'E. VaR &amp; Peak Pos By Trader'!F8</f>
        <v>-199169.80814279988</v>
      </c>
      <c r="F8" s="284">
        <v>0</v>
      </c>
      <c r="G8" s="284" t="e">
        <f t="shared" ref="G8:M8" si="0">SUM(G10,G36,G59,G71,G87,G14,G16,G18)</f>
        <v>#REF!</v>
      </c>
      <c r="H8" s="284" t="e">
        <f t="shared" si="0"/>
        <v>#REF!</v>
      </c>
      <c r="I8" s="284" t="e">
        <f t="shared" si="0"/>
        <v>#REF!</v>
      </c>
      <c r="J8" s="284" t="e">
        <f t="shared" si="0"/>
        <v>#REF!</v>
      </c>
      <c r="K8" s="284" t="e">
        <f t="shared" si="0"/>
        <v>#REF!</v>
      </c>
      <c r="L8" s="284" t="e">
        <f t="shared" si="0"/>
        <v>#REF!</v>
      </c>
      <c r="M8" s="284" t="e">
        <f t="shared" si="0"/>
        <v>#REF!</v>
      </c>
      <c r="N8" s="284">
        <f t="shared" ref="N8:AB8" si="1">SUM(N10,N24,N36,N59,N71,N87)</f>
        <v>0</v>
      </c>
      <c r="O8" s="284">
        <f t="shared" si="1"/>
        <v>213476.93252141547</v>
      </c>
      <c r="P8" s="284">
        <f t="shared" si="1"/>
        <v>-125144.20293066138</v>
      </c>
      <c r="Q8" s="282">
        <f t="shared" si="1"/>
        <v>88332.729590754054</v>
      </c>
      <c r="R8" s="285">
        <f t="shared" si="1"/>
        <v>-516477.57719228824</v>
      </c>
      <c r="S8" s="286">
        <f t="shared" si="1"/>
        <v>-1174961.5056543623</v>
      </c>
      <c r="T8" s="286">
        <f t="shared" si="1"/>
        <v>-520555.59132533066</v>
      </c>
      <c r="U8" s="286">
        <f t="shared" si="1"/>
        <v>-358655.9604599087</v>
      </c>
      <c r="V8" s="286">
        <f t="shared" si="1"/>
        <v>-410991.69027505419</v>
      </c>
      <c r="W8" s="286">
        <f t="shared" si="1"/>
        <v>-390205.34847493883</v>
      </c>
      <c r="X8" s="286">
        <f t="shared" si="1"/>
        <v>-1172698.5177282584</v>
      </c>
      <c r="Y8" s="282">
        <f t="shared" si="1"/>
        <v>-4544546.1911101416</v>
      </c>
      <c r="Z8" s="283">
        <f t="shared" si="1"/>
        <v>-6355142.2702677967</v>
      </c>
      <c r="AA8" s="282">
        <f t="shared" si="1"/>
        <v>-4334296.240258947</v>
      </c>
      <c r="AB8" s="283">
        <f t="shared" si="1"/>
        <v>-15145651.972046133</v>
      </c>
      <c r="AC8" s="268"/>
      <c r="AD8" s="269"/>
      <c r="AE8" s="269"/>
      <c r="AF8" s="269"/>
      <c r="AG8" s="269"/>
      <c r="AH8" s="269"/>
      <c r="AI8" s="269"/>
      <c r="AJ8" s="269"/>
    </row>
    <row r="9" spans="1:36" s="270" customFormat="1" ht="12" customHeight="1" thickBot="1" x14ac:dyDescent="0.3">
      <c r="A9" s="274"/>
      <c r="B9" s="274"/>
      <c r="C9" s="287"/>
      <c r="D9" s="277"/>
      <c r="E9" s="28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88"/>
      <c r="R9" s="289"/>
      <c r="S9" s="287"/>
      <c r="T9" s="287"/>
      <c r="U9" s="287"/>
      <c r="V9" s="287"/>
      <c r="W9" s="287"/>
      <c r="X9" s="287"/>
      <c r="Y9" s="287"/>
      <c r="Z9" s="287"/>
      <c r="AA9" s="287"/>
      <c r="AB9" s="290"/>
      <c r="AC9" s="268"/>
      <c r="AD9" s="269"/>
      <c r="AE9" s="269"/>
      <c r="AF9" s="269"/>
      <c r="AG9" s="269"/>
      <c r="AH9" s="269"/>
      <c r="AI9" s="269"/>
      <c r="AJ9" s="269"/>
    </row>
    <row r="10" spans="1:36" s="270" customFormat="1" ht="12" customHeight="1" thickBot="1" x14ac:dyDescent="0.3">
      <c r="A10" s="291" t="s">
        <v>33</v>
      </c>
      <c r="B10" s="292" t="s">
        <v>34</v>
      </c>
      <c r="C10" s="293" t="s">
        <v>36</v>
      </c>
      <c r="D10" s="293">
        <f ca="1">'E. VaR &amp; Peak Pos By Trader'!E10</f>
        <v>5922472.1383790998</v>
      </c>
      <c r="E10" s="294">
        <f ca="1">'E. VaR &amp; Peak Pos By Trader'!F10</f>
        <v>226085.40582122933</v>
      </c>
      <c r="F10" s="295">
        <f>VLOOKUP($B10,'[4]Delta Monthly'!$A$1:$AW$55,5,1)</f>
        <v>0</v>
      </c>
      <c r="G10" s="295">
        <f>VLOOKUP($B10,'[4]Delta Monthly'!$A$1:$AW$55,7,1)</f>
        <v>0</v>
      </c>
      <c r="H10" s="295">
        <f>VLOOKUP($B10,'[4]Delta Monthly'!$A$1:$AW$55,9,1)</f>
        <v>0</v>
      </c>
      <c r="I10" s="295">
        <f>VLOOKUP($B10,'[4]Delta Monthly'!$A$1:$AW$55,11,0)</f>
        <v>0</v>
      </c>
      <c r="J10" s="295">
        <f>VLOOKUP($B10,'[4]Delta Monthly'!$A$1:$AW$55,13,0)</f>
        <v>0</v>
      </c>
      <c r="K10" s="295">
        <f>VLOOKUP($B10,'[4]Delta Monthly'!$A$1:$AW$55,15,0)</f>
        <v>0</v>
      </c>
      <c r="L10" s="295">
        <f>+VLOOKUP($B10,'[4]Delta Monthly'!$A$1:$AW$55,17,0)</f>
        <v>0</v>
      </c>
      <c r="M10" s="295">
        <f>VLOOKUP($B10,'[4]Delta Monthly'!$A$1:$AW$55,19,0)</f>
        <v>0</v>
      </c>
      <c r="N10" s="295">
        <f>VLOOKUP($B10,'[4]Delta Monthly'!$A$1:$AW$55,21,0)</f>
        <v>0</v>
      </c>
      <c r="O10" s="295">
        <f>VLOOKUP($B10,'[4]Delta Monthly'!$A$1:$AW$55,23,0)</f>
        <v>-49617.450982789778</v>
      </c>
      <c r="P10" s="295">
        <f>VLOOKUP($B10,'[4]Delta Monthly'!$A$1:$AW$55,25,0)</f>
        <v>-227115.24781325879</v>
      </c>
      <c r="Q10" s="293">
        <f>SUM(F10:P10)</f>
        <v>-276732.69879604859</v>
      </c>
      <c r="R10" s="296">
        <f>VLOOKUP($B10,'[4]Delta Monthly'!$A$1:$AW$55,27,0)+VLOOKUP($B10,'[4]Delta Monthly'!$A$1:$AW$55,29,0)</f>
        <v>5109.8168339793201</v>
      </c>
      <c r="S10" s="295">
        <f>VLOOKUP($B10,'[4]Delta Monthly'!$A$1:$AW$55,31,0)+VLOOKUP($B10,'[4]Delta Monthly'!$A$1:$AW$55,33,0)</f>
        <v>-370605.02104992012</v>
      </c>
      <c r="T10" s="295">
        <f>VLOOKUP($B10,'[4]Delta Monthly'!$A$1:$AW$55,35,0)</f>
        <v>-167794.39805989843</v>
      </c>
      <c r="U10" s="295">
        <f>VLOOKUP($B10,'[4]Delta Monthly'!$A$1:$AW$55,37,0)</f>
        <v>-96403.443569846044</v>
      </c>
      <c r="V10" s="295">
        <f>VLOOKUP($B10,'[4]Delta Monthly'!$A$1:$AW$55,39,0)+VLOOKUP($B10,'[4]Delta Monthly'!$A$1:$AW$55,41,0)</f>
        <v>42753.238527878944</v>
      </c>
      <c r="W10" s="295">
        <f>VLOOKUP($B10,'[4]Delta Monthly'!$A$1:$AW$55,43,0)</f>
        <v>-94638.848818982573</v>
      </c>
      <c r="X10" s="295">
        <f>VLOOKUP($B10,'[4]Delta Monthly'!$A$1:$AW$55,45,0)+VLOOKUP($B10,'[4]Delta Monthly'!$A$1:$AW$55,47,0)+VLOOKUP($B10,'[4]Delta Monthly'!$A$1:$AW$55,49,0)</f>
        <v>-268692.32808742684</v>
      </c>
      <c r="Y10" s="293">
        <f>SUM(R10:X10)</f>
        <v>-950270.98422421585</v>
      </c>
      <c r="Z10" s="294">
        <f>VLOOKUP($B10,'[3]Delta Yearly'!$A$1:$AC$55,5,0)</f>
        <v>-665912.22537452541</v>
      </c>
      <c r="AA10" s="294">
        <f>VLOOKUP($B10,'[3]Delta Yearly'!$A$1:$AC$55,7,FALSE)+VLOOKUP($B10,'[3]Delta Yearly'!$A$1:$AC$55,9,FALSE)+VLOOKUP($B10,'[3]Delta Yearly'!$A$1:$AC$55,11,FALSE)+VLOOKUP($B10,'[3]Delta Yearly'!$A$1:$AC$55,13,FALSE)+VLOOKUP($B10,'[3]Delta Yearly'!$A$1:$AC$55,15,FALSE)+VLOOKUP($B10,'[3]Delta Yearly'!$A$1:$AC$55,17,FALSE)+VLOOKUP($B10,'[3]Delta Yearly'!$A$1:$AC$55,19,FALSE)+VLOOKUP($B10,'[3]Delta Yearly'!$A$1:$AC$55,21,FALSE)+VLOOKUP($B10,'[3]Delta Yearly'!$A$1:$AC$55,23,FALSE)+VLOOKUP($B10,'[3]Delta Yearly'!$A$1:$AC$55,25,FALSE)+VLOOKUP($B10,'[3]Delta Yearly'!$A$1:$AC$55,27,FALSE)+VLOOKUP($B10,'[3]Delta Yearly'!$A$1:$AC$55,29,FALSE)</f>
        <v>-310993.66919696814</v>
      </c>
      <c r="AB10" s="294">
        <f>SUM(AA10,Z10,Y10,Q10)</f>
        <v>-2203909.5775917582</v>
      </c>
      <c r="AC10" s="287"/>
      <c r="AD10" s="269"/>
      <c r="AE10" s="269"/>
      <c r="AF10" s="269"/>
      <c r="AG10" s="269"/>
      <c r="AH10" s="269"/>
      <c r="AI10" s="269"/>
      <c r="AJ10" s="269"/>
    </row>
    <row r="11" spans="1:36" s="270" customFormat="1" ht="12" customHeight="1" thickBot="1" x14ac:dyDescent="0.3">
      <c r="A11" s="297"/>
      <c r="B11" s="274"/>
      <c r="C11" s="287"/>
      <c r="D11" s="277"/>
      <c r="E11" s="277"/>
      <c r="F11" s="295"/>
      <c r="G11" s="295"/>
      <c r="H11" s="295"/>
      <c r="I11" s="295"/>
      <c r="J11" s="295"/>
      <c r="K11" s="295"/>
      <c r="L11" s="295"/>
      <c r="M11" s="295"/>
      <c r="N11" s="295"/>
      <c r="O11" s="295"/>
      <c r="P11" s="295"/>
      <c r="Q11" s="287"/>
      <c r="R11" s="277"/>
      <c r="S11" s="277"/>
      <c r="T11" s="277"/>
      <c r="U11" s="277"/>
      <c r="V11" s="277"/>
      <c r="W11" s="277"/>
      <c r="X11" s="277"/>
      <c r="Y11" s="287"/>
      <c r="Z11" s="287"/>
      <c r="AA11" s="287"/>
      <c r="AB11" s="290"/>
      <c r="AC11" s="287"/>
      <c r="AD11" s="269"/>
      <c r="AE11" s="269"/>
      <c r="AF11" s="269"/>
      <c r="AG11" s="269"/>
      <c r="AH11" s="269"/>
      <c r="AI11" s="269"/>
      <c r="AJ11" s="269"/>
    </row>
    <row r="12" spans="1:36" s="270" customFormat="1" ht="12" customHeight="1" thickBot="1" x14ac:dyDescent="0.3">
      <c r="A12" s="298"/>
      <c r="B12" s="299"/>
      <c r="C12" s="300" t="s">
        <v>26</v>
      </c>
      <c r="D12" s="282">
        <f ca="1">'E. VaR &amp; Peak Pos By Trader'!E12</f>
        <v>2000000</v>
      </c>
      <c r="E12" s="283"/>
      <c r="F12" s="286"/>
      <c r="G12" s="286"/>
      <c r="H12" s="286"/>
      <c r="I12" s="286"/>
      <c r="J12" s="286"/>
      <c r="K12" s="286"/>
      <c r="L12" s="286"/>
      <c r="M12" s="286"/>
      <c r="N12" s="286"/>
      <c r="O12" s="286"/>
      <c r="P12" s="286"/>
      <c r="Q12" s="282"/>
      <c r="R12" s="301"/>
      <c r="S12" s="284"/>
      <c r="T12" s="284"/>
      <c r="U12" s="284"/>
      <c r="V12" s="284"/>
      <c r="W12" s="284"/>
      <c r="X12" s="284"/>
      <c r="Y12" s="282"/>
      <c r="Z12" s="282"/>
      <c r="AA12" s="284"/>
      <c r="AB12" s="282"/>
      <c r="AC12" s="268"/>
      <c r="AD12" s="269"/>
      <c r="AE12" s="269"/>
      <c r="AF12" s="269"/>
      <c r="AG12" s="269"/>
      <c r="AH12" s="269"/>
      <c r="AI12" s="269"/>
      <c r="AJ12" s="269"/>
    </row>
    <row r="13" spans="1:36" s="270" customFormat="1" ht="12" customHeight="1" x14ac:dyDescent="0.25">
      <c r="A13" s="302"/>
      <c r="B13" s="272"/>
      <c r="C13" s="303"/>
      <c r="D13" s="304"/>
      <c r="E13" s="304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303"/>
      <c r="R13" s="276"/>
      <c r="S13" s="276"/>
      <c r="T13" s="276"/>
      <c r="U13" s="276"/>
      <c r="V13" s="276"/>
      <c r="W13" s="276"/>
      <c r="X13" s="276"/>
      <c r="Y13" s="303"/>
      <c r="Z13" s="303"/>
      <c r="AA13" s="273"/>
      <c r="AB13" s="303"/>
      <c r="AC13" s="287"/>
      <c r="AD13" s="269"/>
      <c r="AE13" s="269"/>
      <c r="AF13" s="269"/>
      <c r="AG13" s="269"/>
      <c r="AH13" s="269"/>
      <c r="AI13" s="269"/>
      <c r="AJ13" s="269"/>
    </row>
    <row r="14" spans="1:36" s="270" customFormat="1" ht="12" customHeight="1" x14ac:dyDescent="0.25">
      <c r="A14" s="297" t="s">
        <v>38</v>
      </c>
      <c r="B14" s="274" t="s">
        <v>39</v>
      </c>
      <c r="C14" s="305" t="s">
        <v>41</v>
      </c>
      <c r="D14" s="290">
        <f ca="1">'E. VaR &amp; Peak Pos By Trader'!E14</f>
        <v>296426.60975456203</v>
      </c>
      <c r="E14" s="290">
        <f ca="1">'E. VaR &amp; Peak Pos By Trader'!F14</f>
        <v>4840.2401757720509</v>
      </c>
      <c r="F14" s="277">
        <f>VLOOKUP($B14,'[4]Delta Monthly'!$A$1:$AW$55,5,1)</f>
        <v>0</v>
      </c>
      <c r="G14" s="277">
        <f>VLOOKUP($B14,'[4]Delta Monthly'!$A$1:$AW$55,7,FALSE)</f>
        <v>0</v>
      </c>
      <c r="H14" s="277">
        <f>VLOOKUP($B14,'[4]Delta Monthly'!$A$1:$AW$55,9,FALSE)</f>
        <v>0</v>
      </c>
      <c r="I14" s="277">
        <f>VLOOKUP($B14,'[4]Delta Monthly'!$A$1:$AW$55,11,FALSE)</f>
        <v>0</v>
      </c>
      <c r="J14" s="277">
        <f>VLOOKUP($B14,'[4]Delta Monthly'!$A$1:$AW$55,13,FALSE)</f>
        <v>0</v>
      </c>
      <c r="K14" s="277">
        <f>VLOOKUP($B14,'[4]Delta Monthly'!$A$1:$AW$55,15,FALSE)</f>
        <v>0</v>
      </c>
      <c r="L14" s="277">
        <f>+VLOOKUP($B14,'[4]Delta Monthly'!$A$1:$AW$55,17,FALSE)</f>
        <v>0</v>
      </c>
      <c r="M14" s="277">
        <f>VLOOKUP($B14,'[4]Delta Monthly'!$A$1:$AW$55,19,FALSE)</f>
        <v>0</v>
      </c>
      <c r="N14" s="277">
        <f>VLOOKUP($B14,'[4]Delta Monthly'!$A$1:$AW$55,21,FALSE)</f>
        <v>0</v>
      </c>
      <c r="O14" s="277">
        <f>VLOOKUP($B14,'[4]Delta Monthly'!$A$1:$AW$55,23,FALSE)</f>
        <v>-8.1025186164500624</v>
      </c>
      <c r="P14" s="277">
        <f>VLOOKUP($B14,'[4]Delta Monthly'!$A$1:$AW$55,25,FALSE)</f>
        <v>-915.90807552048352</v>
      </c>
      <c r="Q14" s="305">
        <f>SUM(F14:P14)</f>
        <v>-924.01059413693361</v>
      </c>
      <c r="R14" s="277">
        <f>VLOOKUP($B14,'[4]Delta Monthly'!$A$1:$AW$55,27,0)+VLOOKUP($B14,'[4]Delta Monthly'!$A$1:$AW$55,29,0)</f>
        <v>0</v>
      </c>
      <c r="S14" s="277">
        <f>VLOOKUP($B14,'[4]Delta Monthly'!$A$1:$AW$55,31,0)+VLOOKUP($B14,'[4]Delta Monthly'!$A$1:$AW$55,33,0)</f>
        <v>0</v>
      </c>
      <c r="T14" s="277">
        <f>VLOOKUP($B14,'[4]Delta Monthly'!$A$1:$AW$55,35,0)</f>
        <v>0</v>
      </c>
      <c r="U14" s="277">
        <f>VLOOKUP($B14,'[4]Delta Monthly'!$A$1:$AW$55,37,0)</f>
        <v>0</v>
      </c>
      <c r="V14" s="277">
        <f>VLOOKUP($B14,'[4]Delta Monthly'!$A$1:$AW$55,39,0)+VLOOKUP($B14,'[4]Delta Monthly'!$A$1:$AW$55,41,0)</f>
        <v>0</v>
      </c>
      <c r="W14" s="277">
        <f>VLOOKUP($B14,'[4]Delta Monthly'!$A$1:$AW$55,43,0)</f>
        <v>0</v>
      </c>
      <c r="X14" s="277">
        <f>VLOOKUP($B14,'[4]Delta Monthly'!$A$1:$AW$55,45,0)+VLOOKUP($B14,'[4]Delta Monthly'!$A$1:$AW$55,47,0)+VLOOKUP($B14,'[4]Delta Monthly'!$A$1:$AW$55,49,0)</f>
        <v>0</v>
      </c>
      <c r="Y14" s="305">
        <f>SUM(R14:X14)</f>
        <v>0</v>
      </c>
      <c r="Z14" s="305">
        <f>VLOOKUP($B14,'[3]Delta Yearly'!$A$1:$AC$55,5,0)</f>
        <v>0</v>
      </c>
      <c r="AA14" s="287">
        <f>VLOOKUP($B14,'[3]Delta Yearly'!$A$1:$AC$55,7,FALSE)+VLOOKUP($B14,'[3]Delta Yearly'!$A$1:$AC$55,9,FALSE)+VLOOKUP($B14,'[3]Delta Yearly'!$A$1:$AC$55,11,FALSE)+VLOOKUP($B14,'[3]Delta Yearly'!$A$1:$AC$55,13,FALSE)+VLOOKUP($B14,'[3]Delta Yearly'!$A$1:$AC$55,15,FALSE)+VLOOKUP($B14,'[3]Delta Yearly'!$A$1:$AC$55,17,FALSE)+VLOOKUP($B14,'[3]Delta Yearly'!$A$1:$AC$55,19,FALSE)+VLOOKUP($B14,'[3]Delta Yearly'!$A$1:$AC$55,21,FALSE)+VLOOKUP($B14,'[3]Delta Yearly'!$A$1:$AC$55,23,FALSE)+VLOOKUP($B14,'[3]Delta Yearly'!$A$1:$AC$55,25,FALSE)+VLOOKUP($B14,'[3]Delta Yearly'!$A$1:$AC$55,27,FALSE)+VLOOKUP($B14,'[3]Delta Yearly'!$A$1:$AC$55,29,FALSE)</f>
        <v>0</v>
      </c>
      <c r="AB14" s="305">
        <f>SUM(AA14,Z14,Y14,Q14)</f>
        <v>-924.01059413693361</v>
      </c>
      <c r="AC14" s="287"/>
      <c r="AD14" s="269"/>
      <c r="AE14" s="269"/>
      <c r="AF14" s="269"/>
      <c r="AG14" s="269"/>
      <c r="AH14" s="269"/>
      <c r="AI14" s="269"/>
      <c r="AJ14" s="269"/>
    </row>
    <row r="15" spans="1:36" s="270" customFormat="1" ht="12" customHeight="1" x14ac:dyDescent="0.25">
      <c r="A15" s="297"/>
      <c r="B15" s="274"/>
      <c r="C15" s="305"/>
      <c r="D15" s="290"/>
      <c r="E15" s="290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305"/>
      <c r="R15" s="277"/>
      <c r="S15" s="277"/>
      <c r="T15" s="277"/>
      <c r="U15" s="277"/>
      <c r="V15" s="277"/>
      <c r="W15" s="277"/>
      <c r="X15" s="277"/>
      <c r="Y15" s="305"/>
      <c r="Z15" s="305"/>
      <c r="AA15" s="287"/>
      <c r="AB15" s="305"/>
      <c r="AC15" s="287"/>
      <c r="AD15" s="269"/>
      <c r="AE15" s="269"/>
      <c r="AF15" s="269"/>
      <c r="AG15" s="269"/>
      <c r="AH15" s="269"/>
      <c r="AI15" s="269"/>
      <c r="AJ15" s="269"/>
    </row>
    <row r="16" spans="1:36" s="270" customFormat="1" ht="12" customHeight="1" x14ac:dyDescent="0.25">
      <c r="A16" s="297" t="s">
        <v>42</v>
      </c>
      <c r="B16" s="274" t="s">
        <v>43</v>
      </c>
      <c r="C16" s="305" t="s">
        <v>45</v>
      </c>
      <c r="D16" s="290">
        <f ca="1">'E. VaR &amp; Peak Pos By Trader'!E16</f>
        <v>168733.13972166699</v>
      </c>
      <c r="E16" s="290">
        <f ca="1">'E. VaR &amp; Peak Pos By Trader'!F16</f>
        <v>-11608.278613155999</v>
      </c>
      <c r="F16" s="277">
        <f>VLOOKUP($B16,'[4]Delta Monthly'!$A$1:$AW$55,5,1)</f>
        <v>0</v>
      </c>
      <c r="G16" s="277">
        <f>VLOOKUP($B16,'[4]Delta Monthly'!$A$1:$AW$55,7,FALSE)</f>
        <v>0</v>
      </c>
      <c r="H16" s="277">
        <f>VLOOKUP($B16,'[4]Delta Monthly'!$A$1:$AW$55,9,FALSE)</f>
        <v>0</v>
      </c>
      <c r="I16" s="277">
        <f>VLOOKUP($B16,'[4]Delta Monthly'!$A$1:$AW$55,11,FALSE)</f>
        <v>0</v>
      </c>
      <c r="J16" s="277">
        <f>VLOOKUP($B16,'[4]Delta Monthly'!$A$1:$AW$55,13,FALSE)</f>
        <v>0</v>
      </c>
      <c r="K16" s="277">
        <f>VLOOKUP($B16,'[4]Delta Monthly'!$A$1:$AW$55,15,FALSE)</f>
        <v>0</v>
      </c>
      <c r="L16" s="277">
        <f>+VLOOKUP($B16,'[4]Delta Monthly'!$A$1:$AW$55,17,FALSE)</f>
        <v>0</v>
      </c>
      <c r="M16" s="277">
        <f>VLOOKUP($B16,'[4]Delta Monthly'!$A$1:$AW$55,19,FALSE)</f>
        <v>0</v>
      </c>
      <c r="N16" s="277">
        <f>VLOOKUP($B16,'[4]Delta Monthly'!$A$1:$AW$55,21,FALSE)</f>
        <v>0</v>
      </c>
      <c r="O16" s="277">
        <f>VLOOKUP($B16,'[4]Delta Monthly'!$A$1:$AW$55,23,FALSE)</f>
        <v>0</v>
      </c>
      <c r="P16" s="277">
        <f>VLOOKUP($B16,'[4]Delta Monthly'!$A$1:$AW$55,25,FALSE)</f>
        <v>0</v>
      </c>
      <c r="Q16" s="305">
        <f>SUM(F16:P16)</f>
        <v>0</v>
      </c>
      <c r="R16" s="277">
        <f>VLOOKUP($B16,'[4]Delta Monthly'!$A$1:$AW$55,27,0)+VLOOKUP($B16,'[4]Delta Monthly'!$A$1:$AW$55,29,0)</f>
        <v>0</v>
      </c>
      <c r="S16" s="277">
        <f>VLOOKUP($B16,'[4]Delta Monthly'!$A$1:$AW$55,31,0)+VLOOKUP($B16,'[4]Delta Monthly'!$A$1:$AW$55,33,0)</f>
        <v>0</v>
      </c>
      <c r="T16" s="277">
        <f>VLOOKUP($B16,'[4]Delta Monthly'!$A$1:$AW$55,35,0)</f>
        <v>0</v>
      </c>
      <c r="U16" s="277">
        <f>VLOOKUP($B16,'[4]Delta Monthly'!$A$1:$AW$55,37,0)</f>
        <v>0</v>
      </c>
      <c r="V16" s="277">
        <f>VLOOKUP($B16,'[4]Delta Monthly'!$A$1:$AW$55,39,0)+VLOOKUP($B16,'[4]Delta Monthly'!$A$1:$AW$55,41,0)</f>
        <v>0</v>
      </c>
      <c r="W16" s="277">
        <f>VLOOKUP($B16,'[4]Delta Monthly'!$A$1:$AW$55,43,0)</f>
        <v>0</v>
      </c>
      <c r="X16" s="277">
        <f>VLOOKUP($B16,'[4]Delta Monthly'!$A$1:$AW$55,45,0)+VLOOKUP($B16,'[4]Delta Monthly'!$A$1:$AW$55,47,0)+VLOOKUP($B16,'[4]Delta Monthly'!$A$1:$AW$55,49,0)</f>
        <v>0</v>
      </c>
      <c r="Y16" s="305">
        <f>SUM(R16:X16)</f>
        <v>0</v>
      </c>
      <c r="Z16" s="305">
        <f>VLOOKUP($B16,'[3]Delta Yearly'!$A$1:$AC$55,5,0)</f>
        <v>0</v>
      </c>
      <c r="AA16" s="287">
        <f>VLOOKUP($B16,'[3]Delta Yearly'!$A$1:$AC$55,7,FALSE)+VLOOKUP($B16,'[3]Delta Yearly'!$A$1:$AC$55,9,FALSE)+VLOOKUP($B16,'[3]Delta Yearly'!$A$1:$AC$55,11,FALSE)+VLOOKUP($B16,'[3]Delta Yearly'!$A$1:$AC$55,13,FALSE)+VLOOKUP($B16,'[3]Delta Yearly'!$A$1:$AC$55,15,FALSE)+VLOOKUP($B16,'[3]Delta Yearly'!$A$1:$AC$55,17,FALSE)+VLOOKUP($B16,'[3]Delta Yearly'!$A$1:$AC$55,19,FALSE)+VLOOKUP($B16,'[3]Delta Yearly'!$A$1:$AC$55,21,FALSE)+VLOOKUP($B16,'[3]Delta Yearly'!$A$1:$AC$55,23,FALSE)+VLOOKUP($B16,'[3]Delta Yearly'!$A$1:$AC$55,25,FALSE)+VLOOKUP($B16,'[3]Delta Yearly'!$A$1:$AC$55,27,FALSE)+VLOOKUP($B16,'[3]Delta Yearly'!$A$1:$AC$55,29,FALSE)</f>
        <v>0</v>
      </c>
      <c r="AB16" s="305">
        <f>SUM(AA16,Z16,Y16,Q16)</f>
        <v>0</v>
      </c>
      <c r="AC16" s="287"/>
      <c r="AD16" s="269"/>
      <c r="AE16" s="269"/>
      <c r="AF16" s="269"/>
      <c r="AG16" s="269"/>
      <c r="AH16" s="269"/>
      <c r="AI16" s="269"/>
      <c r="AJ16" s="269"/>
    </row>
    <row r="17" spans="1:36" s="270" customFormat="1" ht="12" customHeight="1" x14ac:dyDescent="0.25">
      <c r="A17" s="297"/>
      <c r="B17" s="274"/>
      <c r="C17" s="305"/>
      <c r="D17" s="290"/>
      <c r="E17" s="290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305"/>
      <c r="R17" s="277"/>
      <c r="S17" s="277"/>
      <c r="T17" s="277"/>
      <c r="U17" s="277"/>
      <c r="V17" s="277"/>
      <c r="W17" s="277"/>
      <c r="X17" s="277"/>
      <c r="Y17" s="305"/>
      <c r="Z17" s="305"/>
      <c r="AA17" s="287"/>
      <c r="AB17" s="305"/>
      <c r="AC17" s="287"/>
      <c r="AD17" s="269"/>
      <c r="AE17" s="269"/>
      <c r="AF17" s="269"/>
      <c r="AG17" s="269"/>
      <c r="AH17" s="269"/>
      <c r="AI17" s="269"/>
      <c r="AJ17" s="269"/>
    </row>
    <row r="18" spans="1:36" s="307" customFormat="1" ht="12" customHeight="1" x14ac:dyDescent="0.25">
      <c r="A18" s="297" t="s">
        <v>47</v>
      </c>
      <c r="B18" s="274" t="s">
        <v>48</v>
      </c>
      <c r="C18" s="305" t="s">
        <v>50</v>
      </c>
      <c r="D18" s="290">
        <f ca="1">'E. VaR &amp; Peak Pos By Trader'!E18</f>
        <v>118001.120606203</v>
      </c>
      <c r="E18" s="290">
        <f ca="1">'E. VaR &amp; Peak Pos By Trader'!F18</f>
        <v>-1554.3458880540129</v>
      </c>
      <c r="F18" s="277">
        <f>VLOOKUP($B18,'[4]Delta Monthly'!$A$1:$AW$55,5,1)</f>
        <v>0</v>
      </c>
      <c r="G18" s="277">
        <f>VLOOKUP($B18,'[4]Delta Monthly'!$A$1:$AW$55,7,FALSE)</f>
        <v>0</v>
      </c>
      <c r="H18" s="277">
        <f>VLOOKUP($B18,'[4]Delta Monthly'!$A$1:$AW$55,9,FALSE)</f>
        <v>0</v>
      </c>
      <c r="I18" s="277">
        <f>VLOOKUP($B18,'[4]Delta Monthly'!$A$1:$AW$55,11,FALSE)</f>
        <v>0</v>
      </c>
      <c r="J18" s="277">
        <f>VLOOKUP($B18,'[4]Delta Monthly'!$A$1:$AW$55,13,FALSE)</f>
        <v>0</v>
      </c>
      <c r="K18" s="277">
        <f>VLOOKUP($B18,'[4]Delta Monthly'!$A$1:$AW$55,15,FALSE)</f>
        <v>0</v>
      </c>
      <c r="L18" s="277">
        <f>+VLOOKUP($B18,'[4]Delta Monthly'!$A$1:$AW$55,17,FALSE)</f>
        <v>0</v>
      </c>
      <c r="M18" s="277">
        <f>VLOOKUP($B18,'[4]Delta Monthly'!$A$1:$AW$55,19,FALSE)</f>
        <v>0</v>
      </c>
      <c r="N18" s="277">
        <f>VLOOKUP($B18,'[4]Delta Monthly'!$A$1:$AW$55,21,FALSE)</f>
        <v>0</v>
      </c>
      <c r="O18" s="277">
        <f>VLOOKUP($B18,'[4]Delta Monthly'!$A$1:$AW$55,23,FALSE)</f>
        <v>0</v>
      </c>
      <c r="P18" s="277">
        <f>VLOOKUP($B18,'[4]Delta Monthly'!$A$1:$AW$55,25,FALSE)</f>
        <v>0</v>
      </c>
      <c r="Q18" s="305">
        <f>SUM(F18:P18)</f>
        <v>0</v>
      </c>
      <c r="R18" s="277">
        <f>VLOOKUP($B18,'[4]Delta Monthly'!$A$1:$AW$55,27,0)+VLOOKUP($B18,'[4]Delta Monthly'!$A$1:$AW$55,29,0)</f>
        <v>0</v>
      </c>
      <c r="S18" s="277">
        <f>VLOOKUP($B18,'[4]Delta Monthly'!$A$1:$AW$55,31,0)+VLOOKUP($B18,'[4]Delta Monthly'!$A$1:$AW$55,33,0)</f>
        <v>0</v>
      </c>
      <c r="T18" s="277">
        <f>VLOOKUP($B18,'[4]Delta Monthly'!$A$1:$AW$55,35,0)</f>
        <v>0</v>
      </c>
      <c r="U18" s="277">
        <f>VLOOKUP($B18,'[4]Delta Monthly'!$A$1:$AW$55,37,0)</f>
        <v>0</v>
      </c>
      <c r="V18" s="277">
        <f>VLOOKUP($B18,'[4]Delta Monthly'!$A$1:$AW$55,39,0)+VLOOKUP($B18,'[4]Delta Monthly'!$A$1:$AW$55,41,0)</f>
        <v>0</v>
      </c>
      <c r="W18" s="277">
        <f>VLOOKUP($B18,'[4]Delta Monthly'!$A$1:$AW$55,43,0)</f>
        <v>0</v>
      </c>
      <c r="X18" s="277">
        <f>VLOOKUP($B18,'[4]Delta Monthly'!$A$1:$AW$55,45,0)+VLOOKUP($B18,'[4]Delta Monthly'!$A$1:$AW$55,47,0)+VLOOKUP($B18,'[4]Delta Monthly'!$A$1:$AW$55,49,0)</f>
        <v>0</v>
      </c>
      <c r="Y18" s="305">
        <f>SUM(R18:X18)</f>
        <v>0</v>
      </c>
      <c r="Z18" s="305">
        <f>VLOOKUP($B18,'[3]Delta Yearly'!$A$1:$AC$55,5,0)</f>
        <v>0</v>
      </c>
      <c r="AA18" s="287">
        <f>VLOOKUP($B18,'[3]Delta Yearly'!$A$1:$AC$55,7,FALSE)+VLOOKUP($B18,'[3]Delta Yearly'!$A$1:$AC$55,9,FALSE)+VLOOKUP($B18,'[3]Delta Yearly'!$A$1:$AC$55,11,FALSE)+VLOOKUP($B18,'[3]Delta Yearly'!$A$1:$AC$55,13,FALSE)+VLOOKUP($B18,'[3]Delta Yearly'!$A$1:$AC$55,15,FALSE)+VLOOKUP($B18,'[3]Delta Yearly'!$A$1:$AC$55,17,FALSE)+VLOOKUP($B18,'[3]Delta Yearly'!$A$1:$AC$55,19,FALSE)+VLOOKUP($B18,'[3]Delta Yearly'!$A$1:$AC$55,21,FALSE)+VLOOKUP($B18,'[3]Delta Yearly'!$A$1:$AC$55,23,FALSE)+VLOOKUP($B18,'[3]Delta Yearly'!$A$1:$AC$55,25,FALSE)+VLOOKUP($B18,'[3]Delta Yearly'!$A$1:$AC$55,27,FALSE)+VLOOKUP($B18,'[3]Delta Yearly'!$A$1:$AC$55,29,FALSE)</f>
        <v>0</v>
      </c>
      <c r="AB18" s="305">
        <f>SUM(AA18,Z18,Y18,Q18)</f>
        <v>0</v>
      </c>
      <c r="AC18" s="287"/>
      <c r="AD18" s="306"/>
      <c r="AE18" s="306"/>
      <c r="AF18" s="306"/>
      <c r="AG18" s="306"/>
      <c r="AH18" s="306"/>
      <c r="AI18" s="306"/>
      <c r="AJ18" s="306"/>
    </row>
    <row r="19" spans="1:36" s="307" customFormat="1" ht="12" customHeight="1" x14ac:dyDescent="0.25">
      <c r="A19" s="297"/>
      <c r="B19" s="274"/>
      <c r="C19" s="305"/>
      <c r="D19" s="290"/>
      <c r="E19" s="290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305"/>
      <c r="R19" s="277"/>
      <c r="S19" s="277"/>
      <c r="T19" s="277"/>
      <c r="U19" s="277"/>
      <c r="V19" s="277"/>
      <c r="W19" s="277"/>
      <c r="X19" s="277"/>
      <c r="Y19" s="305"/>
      <c r="Z19" s="305"/>
      <c r="AA19" s="287"/>
      <c r="AB19" s="305"/>
      <c r="AC19" s="287"/>
      <c r="AD19" s="306"/>
      <c r="AE19" s="306"/>
      <c r="AF19" s="306"/>
      <c r="AG19" s="306"/>
      <c r="AH19" s="306"/>
      <c r="AI19" s="306"/>
      <c r="AJ19" s="306"/>
    </row>
    <row r="20" spans="1:36" s="307" customFormat="1" ht="12" customHeight="1" x14ac:dyDescent="0.25">
      <c r="A20" s="297" t="s">
        <v>51</v>
      </c>
      <c r="B20" s="274" t="s">
        <v>52</v>
      </c>
      <c r="C20" s="305" t="s">
        <v>54</v>
      </c>
      <c r="D20" s="290">
        <f ca="1">'E. VaR &amp; Peak Pos By Trader'!E20</f>
        <v>73751.665429890098</v>
      </c>
      <c r="E20" s="290">
        <f ca="1">'E. VaR &amp; Peak Pos By Trader'!F20</f>
        <v>32028.4165348108</v>
      </c>
      <c r="F20" s="277">
        <f>VLOOKUP($B20,'[4]Delta Monthly'!$A$1:$AW$55,5,1)</f>
        <v>0</v>
      </c>
      <c r="G20" s="277">
        <f>VLOOKUP($B20,'[4]Delta Monthly'!$A$1:$AW$55,7,FALSE)</f>
        <v>0</v>
      </c>
      <c r="H20" s="277">
        <f>VLOOKUP($B20,'[4]Delta Monthly'!$A$1:$AW$55,9,FALSE)</f>
        <v>0</v>
      </c>
      <c r="I20" s="277">
        <f>VLOOKUP($B20,'[4]Delta Monthly'!$A$1:$AW$55,11,FALSE)</f>
        <v>0</v>
      </c>
      <c r="J20" s="277">
        <f>VLOOKUP($B20,'[4]Delta Monthly'!$A$1:$AW$55,13,FALSE)</f>
        <v>0</v>
      </c>
      <c r="K20" s="277">
        <f>VLOOKUP($B20,'[4]Delta Monthly'!$A$1:$AW$55,15,FALSE)</f>
        <v>0</v>
      </c>
      <c r="L20" s="277">
        <f>+VLOOKUP($B20,'[4]Delta Monthly'!$A$1:$AW$55,17,FALSE)</f>
        <v>0</v>
      </c>
      <c r="M20" s="277">
        <f>VLOOKUP($B20,'[4]Delta Monthly'!$A$1:$AW$55,19,FALSE)</f>
        <v>0</v>
      </c>
      <c r="N20" s="277">
        <f>VLOOKUP($B20,'[4]Delta Monthly'!$A$1:$AW$55,21,FALSE)</f>
        <v>0</v>
      </c>
      <c r="O20" s="277">
        <f>VLOOKUP($B20,'[4]Delta Monthly'!$A$1:$AW$55,23,FALSE)</f>
        <v>0</v>
      </c>
      <c r="P20" s="277">
        <f>VLOOKUP($B20,'[4]Delta Monthly'!$A$1:$AW$55,25,FALSE)</f>
        <v>-193.11356704200867</v>
      </c>
      <c r="Q20" s="305">
        <f>SUM(F20:P20)</f>
        <v>-193.11356704200867</v>
      </c>
      <c r="R20" s="277">
        <f>VLOOKUP($B20,'[4]Delta Monthly'!$A$1:$AW$55,27,0)+VLOOKUP($B20,'[4]Delta Monthly'!$A$1:$AW$55,29,0)</f>
        <v>0</v>
      </c>
      <c r="S20" s="277">
        <f>VLOOKUP($B20,'[4]Delta Monthly'!$A$1:$AW$55,31,0)+VLOOKUP($B20,'[4]Delta Monthly'!$A$1:$AW$55,33,0)</f>
        <v>0</v>
      </c>
      <c r="T20" s="277">
        <f>VLOOKUP($B20,'[4]Delta Monthly'!$A$1:$AW$55,35,0)</f>
        <v>0</v>
      </c>
      <c r="U20" s="277">
        <f>VLOOKUP($B20,'[4]Delta Monthly'!$A$1:$AW$55,37,0)</f>
        <v>0</v>
      </c>
      <c r="V20" s="277">
        <f>VLOOKUP($B20,'[4]Delta Monthly'!$A$1:$AW$55,39,0)+VLOOKUP($B20,'[4]Delta Monthly'!$A$1:$AW$55,41,0)</f>
        <v>0</v>
      </c>
      <c r="W20" s="277">
        <f>VLOOKUP($B20,'[4]Delta Monthly'!$A$1:$AW$55,43,0)</f>
        <v>0</v>
      </c>
      <c r="X20" s="277">
        <f>VLOOKUP($B20,'[4]Delta Monthly'!$A$1:$AW$55,45,0)+VLOOKUP($B20,'[4]Delta Monthly'!$A$1:$AW$55,47,0)+VLOOKUP($B20,'[4]Delta Monthly'!$A$1:$AW$55,49,0)</f>
        <v>0</v>
      </c>
      <c r="Y20" s="305">
        <f>SUM(R20:X20)</f>
        <v>0</v>
      </c>
      <c r="Z20" s="305">
        <f>VLOOKUP($B20,'[3]Delta Yearly'!$A$1:$AC$55,5,0)</f>
        <v>0</v>
      </c>
      <c r="AA20" s="287">
        <f>VLOOKUP($B20,'[3]Delta Yearly'!$A$1:$AC$55,7,FALSE)+VLOOKUP($B20,'[3]Delta Yearly'!$A$1:$AC$55,9,FALSE)+VLOOKUP($B20,'[3]Delta Yearly'!$A$1:$AC$55,11,FALSE)+VLOOKUP($B20,'[3]Delta Yearly'!$A$1:$AC$55,13,FALSE)+VLOOKUP($B20,'[3]Delta Yearly'!$A$1:$AC$55,15,FALSE)+VLOOKUP($B20,'[3]Delta Yearly'!$A$1:$AC$55,17,FALSE)+VLOOKUP($B20,'[3]Delta Yearly'!$A$1:$AC$55,19,FALSE)+VLOOKUP($B20,'[3]Delta Yearly'!$A$1:$AC$55,21,FALSE)+VLOOKUP($B20,'[3]Delta Yearly'!$A$1:$AC$55,23,FALSE)+VLOOKUP($B20,'[3]Delta Yearly'!$A$1:$AC$55,25,FALSE)+VLOOKUP($B20,'[3]Delta Yearly'!$A$1:$AC$55,27,FALSE)+VLOOKUP($B20,'[3]Delta Yearly'!$A$1:$AC$55,29,FALSE)</f>
        <v>0</v>
      </c>
      <c r="AB20" s="305">
        <f>SUM(AA20,Z20,Y20,Q20)</f>
        <v>-193.11356704200867</v>
      </c>
      <c r="AC20" s="287"/>
      <c r="AD20" s="306"/>
      <c r="AE20" s="306"/>
      <c r="AF20" s="306"/>
      <c r="AG20" s="306"/>
      <c r="AH20" s="306"/>
      <c r="AI20" s="306"/>
      <c r="AJ20" s="306"/>
    </row>
    <row r="21" spans="1:36" s="307" customFormat="1" ht="12" customHeight="1" x14ac:dyDescent="0.25">
      <c r="A21" s="297"/>
      <c r="B21" s="274"/>
      <c r="C21" s="305"/>
      <c r="D21" s="290"/>
      <c r="E21" s="290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305"/>
      <c r="R21" s="277"/>
      <c r="S21" s="277"/>
      <c r="T21" s="277"/>
      <c r="U21" s="277"/>
      <c r="V21" s="277"/>
      <c r="W21" s="277"/>
      <c r="X21" s="277"/>
      <c r="Y21" s="305"/>
      <c r="Z21" s="305"/>
      <c r="AA21" s="287"/>
      <c r="AB21" s="305"/>
      <c r="AC21" s="287"/>
      <c r="AD21" s="306"/>
      <c r="AE21" s="306"/>
      <c r="AF21" s="306"/>
      <c r="AG21" s="306"/>
      <c r="AH21" s="306"/>
      <c r="AI21" s="306"/>
      <c r="AJ21" s="306"/>
    </row>
    <row r="22" spans="1:36" s="270" customFormat="1" ht="12" customHeight="1" x14ac:dyDescent="0.25">
      <c r="A22" s="297" t="s">
        <v>55</v>
      </c>
      <c r="B22" s="274" t="s">
        <v>56</v>
      </c>
      <c r="C22" s="305" t="s">
        <v>58</v>
      </c>
      <c r="D22" s="290">
        <f ca="1">'E. VaR &amp; Peak Pos By Trader'!E22</f>
        <v>38448.659915895405</v>
      </c>
      <c r="E22" s="290">
        <f ca="1">'E. VaR &amp; Peak Pos By Trader'!F22</f>
        <v>7470.8762404635054</v>
      </c>
      <c r="F22" s="308">
        <v>0</v>
      </c>
      <c r="G22" s="277">
        <v>0</v>
      </c>
      <c r="H22" s="277">
        <v>0</v>
      </c>
      <c r="I22" s="277">
        <v>0</v>
      </c>
      <c r="J22" s="277">
        <f>VLOOKUP($B22,'[4]Delta Monthly'!$A$1:$AW$55,13,FALSE)</f>
        <v>0</v>
      </c>
      <c r="K22" s="277">
        <f>VLOOKUP($B22,'[4]Delta Monthly'!$A$1:$AW$55,15,FALSE)</f>
        <v>0</v>
      </c>
      <c r="L22" s="277">
        <f>+VLOOKUP($B22,'[4]Delta Monthly'!$A$1:$AW$55,17,FALSE)</f>
        <v>0</v>
      </c>
      <c r="M22" s="277">
        <f>VLOOKUP($B22,'[4]Delta Monthly'!$A$1:$AW$55,19,FALSE)</f>
        <v>0</v>
      </c>
      <c r="N22" s="277">
        <f>VLOOKUP($B22,'[4]Delta Monthly'!$A$1:$AW$55,21,FALSE)</f>
        <v>0</v>
      </c>
      <c r="O22" s="277">
        <f>VLOOKUP($B22,'[4]Delta Monthly'!$A$1:$AW$55,23,FALSE)</f>
        <v>0</v>
      </c>
      <c r="P22" s="277">
        <f>VLOOKUP($B22,'[4]Delta Monthly'!$A$1:$AW$55,25,FALSE)</f>
        <v>0</v>
      </c>
      <c r="Q22" s="305">
        <f>SUM(F22:P22)</f>
        <v>0</v>
      </c>
      <c r="R22" s="277">
        <f>VLOOKUP($B22,'[4]Delta Monthly'!$A$1:$AW$55,27,0)+VLOOKUP($B22,'[4]Delta Monthly'!$A$1:$AW$55,29,0)</f>
        <v>0</v>
      </c>
      <c r="S22" s="277">
        <f>VLOOKUP($B22,'[4]Delta Monthly'!$A$1:$AW$55,31,0)+VLOOKUP($B22,'[4]Delta Monthly'!$A$1:$AW$55,33,0)</f>
        <v>0</v>
      </c>
      <c r="T22" s="277">
        <f>VLOOKUP($B22,'[4]Delta Monthly'!$A$1:$AW$55,35,0)</f>
        <v>0</v>
      </c>
      <c r="U22" s="277">
        <f>VLOOKUP($B22,'[4]Delta Monthly'!$A$1:$AW$55,37,0)</f>
        <v>0</v>
      </c>
      <c r="V22" s="277">
        <f>VLOOKUP($B22,'[4]Delta Monthly'!$A$1:$AW$55,39,0)+VLOOKUP($B22,'[4]Delta Monthly'!$A$1:$AW$55,41,0)</f>
        <v>0</v>
      </c>
      <c r="W22" s="277">
        <f>VLOOKUP($B22,'[4]Delta Monthly'!$A$1:$AW$55,43,0)</f>
        <v>0</v>
      </c>
      <c r="X22" s="277">
        <f>VLOOKUP($B22,'[4]Delta Monthly'!$A$1:$AW$55,45,0)+VLOOKUP($B22,'[4]Delta Monthly'!$A$1:$AW$55,47,0)+VLOOKUP($B22,'[4]Delta Monthly'!$A$1:$AW$55,49,0)</f>
        <v>0</v>
      </c>
      <c r="Y22" s="305">
        <f>SUM(R22:X22)</f>
        <v>0</v>
      </c>
      <c r="Z22" s="305">
        <f>VLOOKUP($B22,'[3]Delta Yearly'!$A$1:$AC$55,5,0)</f>
        <v>0</v>
      </c>
      <c r="AA22" s="287">
        <f>VLOOKUP($B22,'[3]Delta Yearly'!$A$1:$AC$55,7,FALSE)+VLOOKUP($B22,'[3]Delta Yearly'!$A$1:$AC$55,9,FALSE)+VLOOKUP($B22,'[3]Delta Yearly'!$A$1:$AC$55,11,FALSE)+VLOOKUP($B22,'[3]Delta Yearly'!$A$1:$AC$55,13,FALSE)+VLOOKUP($B22,'[3]Delta Yearly'!$A$1:$AC$55,15,FALSE)+VLOOKUP($B22,'[3]Delta Yearly'!$A$1:$AC$55,17,FALSE)+VLOOKUP($B22,'[3]Delta Yearly'!$A$1:$AC$55,19,FALSE)+VLOOKUP($B22,'[3]Delta Yearly'!$A$1:$AC$55,21,FALSE)+VLOOKUP($B22,'[3]Delta Yearly'!$A$1:$AC$55,23,FALSE)+VLOOKUP($B22,'[3]Delta Yearly'!$A$1:$AC$55,25,FALSE)+VLOOKUP($B22,'[3]Delta Yearly'!$A$1:$AC$55,27,FALSE)+VLOOKUP($B22,'[3]Delta Yearly'!$A$1:$AC$55,29,FALSE)</f>
        <v>0</v>
      </c>
      <c r="AB22" s="305">
        <f>SUM(AA22,Z22,Y22,Q22)</f>
        <v>0</v>
      </c>
      <c r="AC22" s="287"/>
      <c r="AD22" s="269"/>
      <c r="AE22" s="269"/>
      <c r="AF22" s="269"/>
      <c r="AG22" s="269"/>
      <c r="AH22" s="269"/>
      <c r="AI22" s="269"/>
      <c r="AJ22" s="269"/>
    </row>
    <row r="23" spans="1:36" s="270" customFormat="1" ht="12" customHeight="1" thickBot="1" x14ac:dyDescent="0.3">
      <c r="A23" s="309"/>
      <c r="B23" s="310"/>
      <c r="C23" s="311"/>
      <c r="D23" s="312"/>
      <c r="E23" s="312"/>
      <c r="F23" s="313"/>
      <c r="G23" s="313"/>
      <c r="H23" s="313"/>
      <c r="I23" s="313"/>
      <c r="J23" s="277"/>
      <c r="K23" s="277"/>
      <c r="L23" s="277"/>
      <c r="M23" s="277"/>
      <c r="N23" s="277"/>
      <c r="O23" s="277"/>
      <c r="P23" s="277"/>
      <c r="Q23" s="311"/>
      <c r="R23" s="313"/>
      <c r="S23" s="313"/>
      <c r="T23" s="313"/>
      <c r="U23" s="313"/>
      <c r="V23" s="313"/>
      <c r="W23" s="313"/>
      <c r="X23" s="313"/>
      <c r="Y23" s="311"/>
      <c r="Z23" s="311"/>
      <c r="AA23" s="314"/>
      <c r="AB23" s="311"/>
      <c r="AC23" s="287"/>
      <c r="AD23" s="269"/>
      <c r="AE23" s="269"/>
      <c r="AF23" s="269"/>
      <c r="AG23" s="269"/>
      <c r="AH23" s="269"/>
      <c r="AI23" s="269"/>
      <c r="AJ23" s="269"/>
    </row>
    <row r="24" spans="1:36" s="270" customFormat="1" ht="12" customHeight="1" thickBot="1" x14ac:dyDescent="0.3">
      <c r="A24" s="291" t="s">
        <v>266</v>
      </c>
      <c r="B24" s="292"/>
      <c r="C24" s="293"/>
      <c r="D24" s="293">
        <f ca="1">'E. VaR &amp; Peak Pos By Trader'!E24</f>
        <v>524861.56701439805</v>
      </c>
      <c r="E24" s="294">
        <f ca="1">'E. VaR &amp; Peak Pos By Trader'!F24</f>
        <v>28821.061459530087</v>
      </c>
      <c r="F24" s="295">
        <f t="shared" ref="F24:AB24" si="2">SUM(F14:F22)</f>
        <v>0</v>
      </c>
      <c r="G24" s="295">
        <f t="shared" si="2"/>
        <v>0</v>
      </c>
      <c r="H24" s="295">
        <f t="shared" si="2"/>
        <v>0</v>
      </c>
      <c r="I24" s="295">
        <f t="shared" si="2"/>
        <v>0</v>
      </c>
      <c r="J24" s="295">
        <f t="shared" si="2"/>
        <v>0</v>
      </c>
      <c r="K24" s="295">
        <f t="shared" si="2"/>
        <v>0</v>
      </c>
      <c r="L24" s="295">
        <f t="shared" si="2"/>
        <v>0</v>
      </c>
      <c r="M24" s="295">
        <f t="shared" si="2"/>
        <v>0</v>
      </c>
      <c r="N24" s="295">
        <f t="shared" si="2"/>
        <v>0</v>
      </c>
      <c r="O24" s="295">
        <f t="shared" si="2"/>
        <v>-8.1025186164500624</v>
      </c>
      <c r="P24" s="295">
        <f t="shared" si="2"/>
        <v>-1109.0216425624922</v>
      </c>
      <c r="Q24" s="315">
        <f t="shared" si="2"/>
        <v>-1117.1241611789424</v>
      </c>
      <c r="R24" s="316">
        <f t="shared" si="2"/>
        <v>0</v>
      </c>
      <c r="S24" s="313">
        <f t="shared" si="2"/>
        <v>0</v>
      </c>
      <c r="T24" s="313">
        <f t="shared" si="2"/>
        <v>0</v>
      </c>
      <c r="U24" s="313">
        <f t="shared" si="2"/>
        <v>0</v>
      </c>
      <c r="V24" s="313">
        <f t="shared" si="2"/>
        <v>0</v>
      </c>
      <c r="W24" s="313">
        <f t="shared" si="2"/>
        <v>0</v>
      </c>
      <c r="X24" s="313">
        <f t="shared" si="2"/>
        <v>0</v>
      </c>
      <c r="Y24" s="311">
        <f t="shared" si="2"/>
        <v>0</v>
      </c>
      <c r="Z24" s="294">
        <f t="shared" si="2"/>
        <v>0</v>
      </c>
      <c r="AA24" s="294">
        <f t="shared" si="2"/>
        <v>0</v>
      </c>
      <c r="AB24" s="294">
        <f t="shared" si="2"/>
        <v>-1117.1241611789424</v>
      </c>
      <c r="AC24" s="287"/>
      <c r="AD24" s="269"/>
      <c r="AE24" s="269"/>
      <c r="AF24" s="269"/>
      <c r="AG24" s="269"/>
      <c r="AH24" s="269"/>
      <c r="AI24" s="269"/>
      <c r="AJ24" s="269"/>
    </row>
    <row r="25" spans="1:36" s="270" customFormat="1" ht="12" customHeight="1" thickBot="1" x14ac:dyDescent="0.3">
      <c r="A25" s="275"/>
      <c r="B25" s="274"/>
      <c r="C25" s="28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  <c r="AB25" s="287"/>
      <c r="AC25" s="287"/>
      <c r="AD25" s="269"/>
      <c r="AE25" s="269"/>
      <c r="AF25" s="269"/>
      <c r="AG25" s="269"/>
      <c r="AH25" s="269"/>
      <c r="AI25" s="269"/>
      <c r="AJ25" s="269"/>
    </row>
    <row r="26" spans="1:36" s="270" customFormat="1" ht="12" customHeight="1" thickBot="1" x14ac:dyDescent="0.3">
      <c r="A26" s="279"/>
      <c r="B26" s="280"/>
      <c r="C26" s="282" t="s">
        <v>26</v>
      </c>
      <c r="D26" s="282">
        <f ca="1">'E. VaR &amp; Peak Pos By Trader'!E26</f>
        <v>12000000</v>
      </c>
      <c r="E26" s="283"/>
      <c r="F26" s="284"/>
      <c r="G26" s="284"/>
      <c r="H26" s="284"/>
      <c r="I26" s="284" t="s">
        <v>61</v>
      </c>
      <c r="J26" s="284"/>
      <c r="K26" s="284"/>
      <c r="L26" s="284"/>
      <c r="M26" s="284"/>
      <c r="N26" s="284"/>
      <c r="O26" s="284"/>
      <c r="P26" s="284"/>
      <c r="Q26" s="301"/>
      <c r="R26" s="301"/>
      <c r="S26" s="284"/>
      <c r="T26" s="284"/>
      <c r="U26" s="284"/>
      <c r="V26" s="284"/>
      <c r="W26" s="284"/>
      <c r="X26" s="284"/>
      <c r="Y26" s="282"/>
      <c r="Z26" s="284"/>
      <c r="AA26" s="282"/>
      <c r="AB26" s="283"/>
      <c r="AC26" s="268"/>
      <c r="AD26" s="269"/>
      <c r="AE26" s="269"/>
      <c r="AF26" s="269"/>
      <c r="AG26" s="269"/>
      <c r="AH26" s="269"/>
      <c r="AI26" s="269"/>
      <c r="AJ26" s="269"/>
    </row>
    <row r="27" spans="1:36" s="270" customFormat="1" ht="12" customHeight="1" x14ac:dyDescent="0.25">
      <c r="A27" s="317"/>
      <c r="B27" s="274"/>
      <c r="C27" s="305"/>
      <c r="D27" s="318"/>
      <c r="E27" s="304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89"/>
      <c r="R27" s="289"/>
      <c r="S27" s="287"/>
      <c r="T27" s="287"/>
      <c r="U27" s="287"/>
      <c r="V27" s="287"/>
      <c r="W27" s="287"/>
      <c r="X27" s="287"/>
      <c r="Y27" s="305"/>
      <c r="Z27" s="304"/>
      <c r="AA27" s="304"/>
      <c r="AB27" s="290"/>
      <c r="AC27" s="268"/>
      <c r="AD27" s="269"/>
      <c r="AE27" s="269"/>
      <c r="AF27" s="269"/>
      <c r="AG27" s="269"/>
      <c r="AH27" s="269"/>
      <c r="AI27" s="269"/>
      <c r="AJ27" s="269"/>
    </row>
    <row r="28" spans="1:36" s="270" customFormat="1" ht="12" customHeight="1" x14ac:dyDescent="0.25">
      <c r="A28" s="297" t="s">
        <v>62</v>
      </c>
      <c r="B28" s="274" t="s">
        <v>63</v>
      </c>
      <c r="C28" s="305" t="s">
        <v>65</v>
      </c>
      <c r="D28" s="318">
        <f ca="1">'E. VaR &amp; Peak Pos By Trader'!E28</f>
        <v>9873431.0933582392</v>
      </c>
      <c r="E28" s="319">
        <f ca="1">'E. VaR &amp; Peak Pos By Trader'!F28</f>
        <v>489081.91067668982</v>
      </c>
      <c r="F28" s="277">
        <f>VLOOKUP($B28,'[4]Delta Monthly'!$A$1:$AW$55,5,1)</f>
        <v>0</v>
      </c>
      <c r="G28" s="277">
        <f>VLOOKUP($B28,'[4]Delta Monthly'!$A$1:$AW$55,7,1)</f>
        <v>0</v>
      </c>
      <c r="H28" s="277">
        <f>VLOOKUP($B28,'[4]Delta Monthly'!$A$1:$AW$55,9,1)</f>
        <v>0</v>
      </c>
      <c r="I28" s="277">
        <f>VLOOKUP($B28,'[4]Delta Monthly'!$A$1:$AW$55,11,1)</f>
        <v>0</v>
      </c>
      <c r="J28" s="277">
        <f>VLOOKUP($B28,'[4]Delta Monthly'!$A$1:$AW$55,13,0)</f>
        <v>0</v>
      </c>
      <c r="K28" s="277">
        <f>VLOOKUP($B28,'[4]Delta Monthly'!$A$1:$AW$55,15,0)</f>
        <v>0</v>
      </c>
      <c r="L28" s="277">
        <f>+VLOOKUP($B28,'[4]Delta Monthly'!$A$1:$AW$55,17,0)</f>
        <v>0</v>
      </c>
      <c r="M28" s="277">
        <f>VLOOKUP($B28,'[4]Delta Monthly'!$A$1:$AW$55,19,0)</f>
        <v>0</v>
      </c>
      <c r="N28" s="277">
        <f>VLOOKUP($B28,'[4]Delta Monthly'!$A$1:$AW$55,21,FALSE)</f>
        <v>0</v>
      </c>
      <c r="O28" s="277">
        <f>VLOOKUP($B28,'[4]Delta Monthly'!$A$1:$AW$55,23,FALSE)</f>
        <v>10785.638482998747</v>
      </c>
      <c r="P28" s="277">
        <f>VLOOKUP($B28,'[4]Delta Monthly'!$A$1:$AW$55,25,FALSE)</f>
        <v>54584.293796262864</v>
      </c>
      <c r="Q28" s="289">
        <f>SUM(F28:P28)</f>
        <v>65369.932279261615</v>
      </c>
      <c r="R28" s="308">
        <f>VLOOKUP($B28,'[4]Delta Monthly'!$A$1:$AW$55,27,0)+VLOOKUP($B28,'[4]Delta Monthly'!$A$1:$AW$55,29,0)</f>
        <v>-312408.2152065814</v>
      </c>
      <c r="S28" s="277">
        <f>VLOOKUP($B28,'[4]Delta Monthly'!$A$1:$AW$55,31,0)+VLOOKUP($B28,'[4]Delta Monthly'!$A$1:$AW$55,33,0)</f>
        <v>-439322.35543535009</v>
      </c>
      <c r="T28" s="277">
        <f>VLOOKUP($B28,'[4]Delta Monthly'!$A$1:$AW$55,35,0)</f>
        <v>-47455.419135877288</v>
      </c>
      <c r="U28" s="277">
        <f>VLOOKUP($B28,'[4]Delta Monthly'!$A$1:$AW$55,37,0)</f>
        <v>-48832.853988251467</v>
      </c>
      <c r="V28" s="277">
        <f>VLOOKUP($B28,'[4]Delta Monthly'!$A$1:$AW$55,39,0)+VLOOKUP($B28,'[4]Delta Monthly'!$A$1:$AW$55,41,0)</f>
        <v>-16930.44795294663</v>
      </c>
      <c r="W28" s="277">
        <f>VLOOKUP($B28,'[4]Delta Monthly'!$A$1:$AW$55,43,0)</f>
        <v>-87606.510782232916</v>
      </c>
      <c r="X28" s="277">
        <f>VLOOKUP($B28,'[4]Delta Monthly'!$A$1:$AW$55,45,0)+VLOOKUP($B28,'[4]Delta Monthly'!$A$1:$AW$55,47,0)+VLOOKUP($B28,'[4]Delta Monthly'!$A$1:$AW$55,49,0)</f>
        <v>-253452.8318114563</v>
      </c>
      <c r="Y28" s="305">
        <f>SUM(R28:X28)</f>
        <v>-1206008.6343126961</v>
      </c>
      <c r="Z28" s="290">
        <f>VLOOKUP($B28,'[3]Delta Yearly'!$A$1:$AC$55,5,0)</f>
        <v>-1990987.5546057001</v>
      </c>
      <c r="AA28" s="290">
        <f>VLOOKUP($B28,'[3]Delta Yearly'!$A$1:$AC$55,7,FALSE)+VLOOKUP($B28,'[3]Delta Yearly'!$A$1:$AC$55,9,FALSE)+VLOOKUP($B28,'[3]Delta Yearly'!$A$1:$AC$55,11,FALSE)+VLOOKUP($B28,'[3]Delta Yearly'!$A$1:$AC$55,13,FALSE)+VLOOKUP($B28,'[3]Delta Yearly'!$A$1:$AC$55,15,FALSE)+VLOOKUP($B28,'[3]Delta Yearly'!$A$1:$AC$55,17,FALSE)+VLOOKUP($B28,'[3]Delta Yearly'!$A$1:$AC$55,19,FALSE)+VLOOKUP($B28,'[3]Delta Yearly'!$A$1:$AC$55,21,FALSE)+VLOOKUP($B28,'[3]Delta Yearly'!$A$1:$AC$55,23,FALSE)+VLOOKUP($B28,'[3]Delta Yearly'!$A$1:$AC$55,25,FALSE)+VLOOKUP($B28,'[3]Delta Yearly'!$A$1:$AC$55,27,FALSE)+VLOOKUP($B28,'[3]Delta Yearly'!$A$1:$AC$55,29,FALSE)</f>
        <v>-119774.7764333463</v>
      </c>
      <c r="AB28" s="290">
        <f>SUM(AA28,Z28,Y28,Q28)</f>
        <v>-3251401.0330724809</v>
      </c>
      <c r="AC28" s="289"/>
      <c r="AD28" s="306"/>
      <c r="AE28" s="269"/>
      <c r="AF28" s="269"/>
      <c r="AG28" s="269"/>
      <c r="AH28" s="269"/>
      <c r="AI28" s="269"/>
      <c r="AJ28" s="269"/>
    </row>
    <row r="29" spans="1:36" s="270" customFormat="1" ht="12" customHeight="1" x14ac:dyDescent="0.25">
      <c r="A29" s="297"/>
      <c r="B29" s="274"/>
      <c r="C29" s="305"/>
      <c r="D29" s="318"/>
      <c r="E29" s="319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89"/>
      <c r="R29" s="308"/>
      <c r="S29" s="277"/>
      <c r="T29" s="277"/>
      <c r="U29" s="277"/>
      <c r="V29" s="277"/>
      <c r="W29" s="277"/>
      <c r="X29" s="277"/>
      <c r="Y29" s="305"/>
      <c r="Z29" s="290"/>
      <c r="AA29" s="290"/>
      <c r="AB29" s="290"/>
      <c r="AC29" s="287"/>
      <c r="AD29" s="306"/>
      <c r="AE29" s="269"/>
      <c r="AF29" s="269"/>
      <c r="AG29" s="269"/>
      <c r="AH29" s="269"/>
      <c r="AI29" s="269"/>
      <c r="AJ29" s="269"/>
    </row>
    <row r="30" spans="1:36" s="270" customFormat="1" ht="12" customHeight="1" x14ac:dyDescent="0.25">
      <c r="A30" s="297" t="s">
        <v>66</v>
      </c>
      <c r="B30" s="274" t="s">
        <v>67</v>
      </c>
      <c r="C30" s="305" t="s">
        <v>69</v>
      </c>
      <c r="D30" s="318">
        <f ca="1">'E. VaR &amp; Peak Pos By Trader'!E30</f>
        <v>3540540.7972720396</v>
      </c>
      <c r="E30" s="319">
        <f ca="1">'E. VaR &amp; Peak Pos By Trader'!F30</f>
        <v>45621.864081879612</v>
      </c>
      <c r="F30" s="277">
        <f>VLOOKUP($B30,'[4]Delta Monthly'!$A$1:$AW$55,5,1)</f>
        <v>0</v>
      </c>
      <c r="G30" s="277">
        <f>VLOOKUP($B30,'[4]Delta Monthly'!$A$1:$AW$55,7,1)</f>
        <v>0</v>
      </c>
      <c r="H30" s="277">
        <f>VLOOKUP($B30,'[4]Delta Monthly'!$A$1:$AW$55,9,1)</f>
        <v>0</v>
      </c>
      <c r="I30" s="277">
        <f>VLOOKUP($B30,'[4]Delta Monthly'!$A$1:$AW$55,11,1)</f>
        <v>0</v>
      </c>
      <c r="J30" s="277">
        <f>VLOOKUP($B30,'[4]Delta Monthly'!$A$1:$AW$55,13,0)</f>
        <v>0</v>
      </c>
      <c r="K30" s="277">
        <f>VLOOKUP($B30,'[4]Delta Monthly'!$A$1:$AW$55,15,0)</f>
        <v>0</v>
      </c>
      <c r="L30" s="277">
        <f>+VLOOKUP($B30,'[4]Delta Monthly'!$A$1:$AW$55,17,0)</f>
        <v>0</v>
      </c>
      <c r="M30" s="277">
        <f>VLOOKUP($B30,'[4]Delta Monthly'!$A$1:$AW$55,19,0)</f>
        <v>0</v>
      </c>
      <c r="N30" s="277">
        <f>VLOOKUP($B30,'[4]Delta Monthly'!$A$1:$AW$55,21,FALSE)</f>
        <v>0</v>
      </c>
      <c r="O30" s="277">
        <f>VLOOKUP($B30,'[4]Delta Monthly'!$A$1:$AW$55,23,FALSE)</f>
        <v>0</v>
      </c>
      <c r="P30" s="277">
        <f>VLOOKUP($B30,'[4]Delta Monthly'!$A$1:$AW$55,25,FALSE)</f>
        <v>0</v>
      </c>
      <c r="Q30" s="289">
        <f>SUM(F30:P30)</f>
        <v>0</v>
      </c>
      <c r="R30" s="308">
        <f>VLOOKUP($B30,'[4]Delta Monthly'!$A$1:$AW$55,27,0)+VLOOKUP($B30,'[4]Delta Monthly'!$A$1:$AW$55,29,0)</f>
        <v>0</v>
      </c>
      <c r="S30" s="277">
        <f>VLOOKUP($B30,'[4]Delta Monthly'!$A$1:$AW$55,31,0)+VLOOKUP($B30,'[4]Delta Monthly'!$A$1:$AW$55,33,0)</f>
        <v>0</v>
      </c>
      <c r="T30" s="277">
        <f>VLOOKUP($B30,'[4]Delta Monthly'!$A$1:$AW$55,35,0)</f>
        <v>0</v>
      </c>
      <c r="U30" s="277">
        <f>VLOOKUP($B30,'[4]Delta Monthly'!$A$1:$AW$55,37,0)</f>
        <v>0</v>
      </c>
      <c r="V30" s="277">
        <f>VLOOKUP($B30,'[4]Delta Monthly'!$A$1:$AW$55,39,0)+VLOOKUP($B30,'[4]Delta Monthly'!$A$1:$AW$55,41,0)</f>
        <v>0</v>
      </c>
      <c r="W30" s="277">
        <f>VLOOKUP($B30,'[4]Delta Monthly'!$A$1:$AW$55,43,0)</f>
        <v>0</v>
      </c>
      <c r="X30" s="277">
        <f>VLOOKUP($B30,'[4]Delta Monthly'!$A$1:$AW$55,45,0)+VLOOKUP($B30,'[4]Delta Monthly'!$A$1:$AW$55,47,0)+VLOOKUP($B30,'[4]Delta Monthly'!$A$1:$AW$55,49,0)</f>
        <v>0</v>
      </c>
      <c r="Y30" s="305">
        <f>SUM(R30:X30)</f>
        <v>0</v>
      </c>
      <c r="Z30" s="290">
        <f>VLOOKUP($B30,'[3]Delta Yearly'!$A$1:$AC$55,5,0)</f>
        <v>0</v>
      </c>
      <c r="AA30" s="290">
        <f>VLOOKUP($B30,'[3]Delta Yearly'!$A$1:$AC$55,7,FALSE)+VLOOKUP($B30,'[3]Delta Yearly'!$A$1:$AC$55,9,FALSE)+VLOOKUP($B30,'[3]Delta Yearly'!$A$1:$AC$55,11,FALSE)+VLOOKUP($B30,'[3]Delta Yearly'!$A$1:$AC$55,13,FALSE)+VLOOKUP($B30,'[3]Delta Yearly'!$A$1:$AC$55,15,FALSE)+VLOOKUP($B30,'[3]Delta Yearly'!$A$1:$AC$55,17,FALSE)+VLOOKUP($B30,'[3]Delta Yearly'!$A$1:$AC$55,19,FALSE)+VLOOKUP($B30,'[3]Delta Yearly'!$A$1:$AC$55,21,FALSE)+VLOOKUP($B30,'[3]Delta Yearly'!$A$1:$AC$55,23,FALSE)+VLOOKUP($B30,'[3]Delta Yearly'!$A$1:$AC$55,25,FALSE)+VLOOKUP($B30,'[3]Delta Yearly'!$A$1:$AC$55,27,FALSE)+VLOOKUP($B30,'[3]Delta Yearly'!$A$1:$AC$55,29,FALSE)</f>
        <v>0</v>
      </c>
      <c r="AB30" s="290">
        <f>SUM(AA30,Z30,Y30,Q30)</f>
        <v>0</v>
      </c>
      <c r="AC30" s="289"/>
      <c r="AD30" s="306"/>
      <c r="AE30" s="269"/>
      <c r="AF30" s="269"/>
      <c r="AG30" s="269"/>
      <c r="AH30" s="269"/>
      <c r="AI30" s="269"/>
      <c r="AJ30" s="269"/>
    </row>
    <row r="31" spans="1:36" s="270" customFormat="1" ht="12" customHeight="1" x14ac:dyDescent="0.25">
      <c r="A31" s="297"/>
      <c r="B31" s="274"/>
      <c r="C31" s="305"/>
      <c r="D31" s="318"/>
      <c r="E31" s="319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89"/>
      <c r="R31" s="289"/>
      <c r="S31" s="287"/>
      <c r="T31" s="287"/>
      <c r="U31" s="287"/>
      <c r="V31" s="287"/>
      <c r="W31" s="287"/>
      <c r="X31" s="287"/>
      <c r="Y31" s="305"/>
      <c r="Z31" s="290"/>
      <c r="AA31" s="290"/>
      <c r="AB31" s="290"/>
      <c r="AC31" s="268"/>
      <c r="AD31" s="306"/>
      <c r="AE31" s="269"/>
      <c r="AF31" s="269"/>
      <c r="AG31" s="269"/>
      <c r="AH31" s="269"/>
      <c r="AI31" s="269"/>
      <c r="AJ31" s="269"/>
    </row>
    <row r="32" spans="1:36" s="270" customFormat="1" ht="12" customHeight="1" x14ac:dyDescent="0.25">
      <c r="A32" s="297" t="s">
        <v>70</v>
      </c>
      <c r="B32" s="274" t="s">
        <v>71</v>
      </c>
      <c r="C32" s="305" t="s">
        <v>73</v>
      </c>
      <c r="D32" s="318">
        <f ca="1">'E. VaR &amp; Peak Pos By Trader'!E32</f>
        <v>157062.62786074801</v>
      </c>
      <c r="E32" s="319">
        <f ca="1">'E. VaR &amp; Peak Pos By Trader'!F32</f>
        <v>-62214.897017943003</v>
      </c>
      <c r="F32" s="277">
        <f>VLOOKUP($B32,'[4]Delta Monthly'!$A$1:$AW$55,5,1)</f>
        <v>0</v>
      </c>
      <c r="G32" s="277">
        <f>VLOOKUP($B32,'[4]Delta Monthly'!$A$1:$AW$55,7,1)</f>
        <v>0</v>
      </c>
      <c r="H32" s="277">
        <f>VLOOKUP($B32,'[4]Delta Monthly'!$A$1:$AW$55,9,1)</f>
        <v>0</v>
      </c>
      <c r="I32" s="277">
        <f>VLOOKUP($B32,'[4]Delta Monthly'!$A$1:$AW$55,11,0)</f>
        <v>0</v>
      </c>
      <c r="J32" s="277">
        <f>VLOOKUP($B32,'[4]Delta Monthly'!$A$1:$AW$55,13,0)</f>
        <v>0</v>
      </c>
      <c r="K32" s="277">
        <f>VLOOKUP($B32,'[4]Delta Monthly'!$A$1:$AW$55,15,0)</f>
        <v>0</v>
      </c>
      <c r="L32" s="277">
        <f>+VLOOKUP($B32,'[4]Delta Monthly'!$A$1:$AW$55,17,0)</f>
        <v>0</v>
      </c>
      <c r="M32" s="277">
        <f>VLOOKUP($B32,'[4]Delta Monthly'!$A$1:$AW$55,19,0)</f>
        <v>0</v>
      </c>
      <c r="N32" s="277">
        <f>VLOOKUP($B32,'[4]Delta Monthly'!$A$1:$AW$55,21,FALSE)</f>
        <v>0</v>
      </c>
      <c r="O32" s="277">
        <f>VLOOKUP($B32,'[4]Delta Monthly'!$A$1:$AW$55,23,FALSE)</f>
        <v>0</v>
      </c>
      <c r="P32" s="277">
        <f>VLOOKUP($B32,'[4]Delta Monthly'!$A$1:$AW$55,25,FALSE)</f>
        <v>0</v>
      </c>
      <c r="Q32" s="289">
        <f>SUM(F32:P32)</f>
        <v>0</v>
      </c>
      <c r="R32" s="308">
        <f>VLOOKUP($B32,'[4]Delta Monthly'!$A$1:$AW$55,27,0)+VLOOKUP($B32,'[4]Delta Monthly'!$A$1:$AW$55,29,0)</f>
        <v>0</v>
      </c>
      <c r="S32" s="277">
        <f>VLOOKUP($B32,'[4]Delta Monthly'!$A$1:$AW$55,31,0)+VLOOKUP($B32,'[4]Delta Monthly'!$A$1:$AW$55,33,0)</f>
        <v>0</v>
      </c>
      <c r="T32" s="277">
        <f>VLOOKUP($B32,'[4]Delta Monthly'!$A$1:$AW$55,35,0)</f>
        <v>0</v>
      </c>
      <c r="U32" s="277">
        <f>VLOOKUP($B32,'[4]Delta Monthly'!$A$1:$AW$55,37,0)</f>
        <v>0</v>
      </c>
      <c r="V32" s="277">
        <f>VLOOKUP($B32,'[4]Delta Monthly'!$A$1:$AW$55,39,0)+VLOOKUP($B32,'[4]Delta Monthly'!$A$1:$AW$55,41,0)</f>
        <v>0</v>
      </c>
      <c r="W32" s="277">
        <f>VLOOKUP($B32,'[4]Delta Monthly'!$A$1:$AW$55,43,0)</f>
        <v>0</v>
      </c>
      <c r="X32" s="277">
        <f>VLOOKUP($B32,'[4]Delta Monthly'!$A$1:$AW$55,45,0)+VLOOKUP($B32,'[4]Delta Monthly'!$A$1:$AW$55,47,0)+VLOOKUP($B32,'[4]Delta Monthly'!$A$1:$AW$55,49,0)</f>
        <v>0</v>
      </c>
      <c r="Y32" s="305">
        <f>SUM(R32:X32)</f>
        <v>0</v>
      </c>
      <c r="Z32" s="290">
        <f>VLOOKUP($B32,'[3]Delta Yearly'!$A$1:$AC$55,5,0)</f>
        <v>0</v>
      </c>
      <c r="AA32" s="290">
        <f>VLOOKUP($B32,'[3]Delta Yearly'!$A$1:$AC$55,7,FALSE)+VLOOKUP($B32,'[3]Delta Yearly'!$A$1:$AC$55,9,FALSE)+VLOOKUP($B32,'[3]Delta Yearly'!$A$1:$AC$55,11,FALSE)+VLOOKUP($B32,'[3]Delta Yearly'!$A$1:$AC$55,13,FALSE)+VLOOKUP($B32,'[3]Delta Yearly'!$A$1:$AC$55,15,FALSE)+VLOOKUP($B32,'[3]Delta Yearly'!$A$1:$AC$55,17,FALSE)+VLOOKUP($B32,'[3]Delta Yearly'!$A$1:$AC$55,19,FALSE)+VLOOKUP($B32,'[3]Delta Yearly'!$A$1:$AC$55,21,FALSE)+VLOOKUP($B32,'[3]Delta Yearly'!$A$1:$AC$55,23,FALSE)+VLOOKUP($B32,'[3]Delta Yearly'!$A$1:$AC$55,25,FALSE)+VLOOKUP($B32,'[3]Delta Yearly'!$A$1:$AC$55,27,FALSE)+VLOOKUP($B32,'[3]Delta Yearly'!$A$1:$AC$55,29,FALSE)</f>
        <v>0</v>
      </c>
      <c r="AB32" s="290">
        <f>SUM(AA32,Z32,Y32,Q32)</f>
        <v>0</v>
      </c>
      <c r="AC32" s="268"/>
      <c r="AD32" s="306"/>
      <c r="AE32" s="269"/>
      <c r="AF32" s="269"/>
      <c r="AG32" s="269"/>
      <c r="AH32" s="269"/>
      <c r="AI32" s="269"/>
      <c r="AJ32" s="269"/>
    </row>
    <row r="33" spans="1:36" s="270" customFormat="1" ht="12" customHeight="1" x14ac:dyDescent="0.25">
      <c r="A33" s="297"/>
      <c r="B33" s="275"/>
      <c r="C33" s="305"/>
      <c r="D33" s="318"/>
      <c r="E33" s="319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89"/>
      <c r="R33" s="289"/>
      <c r="S33" s="287"/>
      <c r="T33" s="287"/>
      <c r="U33" s="287"/>
      <c r="V33" s="287"/>
      <c r="W33" s="287"/>
      <c r="X33" s="287"/>
      <c r="Y33" s="305"/>
      <c r="Z33" s="290"/>
      <c r="AA33" s="290"/>
      <c r="AB33" s="290"/>
      <c r="AC33" s="268"/>
      <c r="AD33" s="306"/>
      <c r="AE33" s="269"/>
      <c r="AF33" s="269"/>
      <c r="AG33" s="269"/>
      <c r="AH33" s="269"/>
      <c r="AI33" s="269"/>
      <c r="AJ33" s="269"/>
    </row>
    <row r="34" spans="1:36" s="270" customFormat="1" ht="12" customHeight="1" x14ac:dyDescent="0.25">
      <c r="A34" s="297" t="s">
        <v>74</v>
      </c>
      <c r="B34" s="274" t="s">
        <v>75</v>
      </c>
      <c r="C34" s="305" t="s">
        <v>77</v>
      </c>
      <c r="D34" s="318">
        <f ca="1">'E. VaR &amp; Peak Pos By Trader'!E34</f>
        <v>36695.205811190106</v>
      </c>
      <c r="E34" s="319">
        <f ca="1">'E. VaR &amp; Peak Pos By Trader'!F34</f>
        <v>2341.2613055896072</v>
      </c>
      <c r="F34" s="277">
        <f>VLOOKUP($B34,'[4]Delta Monthly'!$A$1:$AW$55,5,1)</f>
        <v>0</v>
      </c>
      <c r="G34" s="277">
        <f>VLOOKUP($B34,'[4]Delta Monthly'!$A$1:$AW$55,7,1)</f>
        <v>0</v>
      </c>
      <c r="H34" s="277">
        <f>VLOOKUP($B34,'[4]Delta Monthly'!$A$1:$AW$55,9,1)</f>
        <v>0</v>
      </c>
      <c r="I34" s="277">
        <f>VLOOKUP($B34,'[4]Delta Monthly'!$A$1:$AW$55,11,0)</f>
        <v>0</v>
      </c>
      <c r="J34" s="277">
        <f>VLOOKUP($B34,'[4]Delta Monthly'!$A$1:$AW$55,13,0)</f>
        <v>0</v>
      </c>
      <c r="K34" s="277">
        <f>VLOOKUP($B34,'[4]Delta Monthly'!$A$1:$AW$55,15,0)</f>
        <v>0</v>
      </c>
      <c r="L34" s="277">
        <f>+VLOOKUP($B34,'[4]Delta Monthly'!$A$1:$AW$55,17,0)</f>
        <v>0</v>
      </c>
      <c r="M34" s="277">
        <f>VLOOKUP($B34,'[4]Delta Monthly'!$A$1:$AW$55,19,0)</f>
        <v>0</v>
      </c>
      <c r="N34" s="277">
        <f>VLOOKUP($B34,'[4]Delta Monthly'!$A$1:$AW$55,21,FALSE)</f>
        <v>0</v>
      </c>
      <c r="O34" s="277">
        <f>VLOOKUP($B34,'[4]Delta Monthly'!$A$1:$AW$55,23,FALSE)</f>
        <v>17167.336335325323</v>
      </c>
      <c r="P34" s="277">
        <f>VLOOKUP($B34,'[4]Delta Monthly'!$A$1:$AW$55,25,FALSE)</f>
        <v>21122.459582826465</v>
      </c>
      <c r="Q34" s="289">
        <f>SUM(F34:P34)</f>
        <v>38289.795918151787</v>
      </c>
      <c r="R34" s="308">
        <f>VLOOKUP($B34,'[4]Delta Monthly'!$A$1:$AW$55,27,0)+VLOOKUP($B34,'[4]Delta Monthly'!$A$1:$AW$55,29,0)</f>
        <v>0</v>
      </c>
      <c r="S34" s="277">
        <f>VLOOKUP($B34,'[4]Delta Monthly'!$A$1:$AW$55,31,0)+VLOOKUP($B34,'[4]Delta Monthly'!$A$1:$AW$55,33,0)</f>
        <v>0</v>
      </c>
      <c r="T34" s="277">
        <f>VLOOKUP($B34,'[4]Delta Monthly'!$A$1:$AW$55,35,0)</f>
        <v>0</v>
      </c>
      <c r="U34" s="277">
        <f>VLOOKUP($B34,'[4]Delta Monthly'!$A$1:$AW$55,37,0)</f>
        <v>0</v>
      </c>
      <c r="V34" s="277">
        <f>VLOOKUP($B34,'[4]Delta Monthly'!$A$1:$AW$55,39,0)+VLOOKUP($B34,'[4]Delta Monthly'!$A$1:$AW$55,41,0)</f>
        <v>0</v>
      </c>
      <c r="W34" s="277">
        <f>VLOOKUP($B34,'[4]Delta Monthly'!$A$1:$AW$55,43,0)</f>
        <v>0</v>
      </c>
      <c r="X34" s="277">
        <f>VLOOKUP($B34,'[4]Delta Monthly'!$A$1:$AW$55,45,0)+VLOOKUP($B34,'[4]Delta Monthly'!$A$1:$AW$55,47,0)+VLOOKUP($B34,'[4]Delta Monthly'!$A$1:$AW$55,49,0)</f>
        <v>0</v>
      </c>
      <c r="Y34" s="305">
        <f>SUM(R34:X34)</f>
        <v>0</v>
      </c>
      <c r="Z34" s="290">
        <f>VLOOKUP($B34,'[3]Delta Yearly'!$A$1:$AC$55,5,0)</f>
        <v>0</v>
      </c>
      <c r="AA34" s="290">
        <f>VLOOKUP($B34,'[3]Delta Yearly'!$A$1:$AC$55,7,FALSE)+VLOOKUP($B34,'[3]Delta Yearly'!$A$1:$AC$55,9,FALSE)+VLOOKUP($B34,'[3]Delta Yearly'!$A$1:$AC$55,11,FALSE)+VLOOKUP($B34,'[3]Delta Yearly'!$A$1:$AC$55,13,FALSE)+VLOOKUP($B34,'[3]Delta Yearly'!$A$1:$AC$55,15,FALSE)+VLOOKUP($B34,'[3]Delta Yearly'!$A$1:$AC$55,17,FALSE)+VLOOKUP($B34,'[3]Delta Yearly'!$A$1:$AC$55,19,FALSE)+VLOOKUP($B34,'[3]Delta Yearly'!$A$1:$AC$55,21,FALSE)+VLOOKUP($B34,'[3]Delta Yearly'!$A$1:$AC$55,23,FALSE)+VLOOKUP($B34,'[3]Delta Yearly'!$A$1:$AC$55,25,FALSE)+VLOOKUP($B34,'[3]Delta Yearly'!$A$1:$AC$55,27,FALSE)+VLOOKUP($B34,'[3]Delta Yearly'!$A$1:$AC$55,29,FALSE)</f>
        <v>0</v>
      </c>
      <c r="AB34" s="290">
        <f>SUM(AA34,Z34,Y34,Q34)</f>
        <v>38289.795918151787</v>
      </c>
      <c r="AC34" s="268"/>
      <c r="AD34" s="306"/>
      <c r="AE34" s="269"/>
      <c r="AF34" s="269"/>
      <c r="AG34" s="269"/>
      <c r="AH34" s="269"/>
      <c r="AI34" s="269"/>
      <c r="AJ34" s="269"/>
    </row>
    <row r="35" spans="1:36" s="270" customFormat="1" ht="11.1" customHeight="1" thickBot="1" x14ac:dyDescent="0.3">
      <c r="A35" s="297"/>
      <c r="B35" s="275"/>
      <c r="C35" s="305"/>
      <c r="D35" s="318"/>
      <c r="E35" s="320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89"/>
      <c r="R35" s="289"/>
      <c r="S35" s="287"/>
      <c r="T35" s="287"/>
      <c r="U35" s="287"/>
      <c r="V35" s="287"/>
      <c r="W35" s="287"/>
      <c r="X35" s="287"/>
      <c r="Y35" s="311"/>
      <c r="Z35" s="312"/>
      <c r="AA35" s="312"/>
      <c r="AB35" s="290"/>
      <c r="AC35" s="268"/>
      <c r="AD35" s="306"/>
      <c r="AE35" s="269"/>
      <c r="AF35" s="269"/>
      <c r="AG35" s="269"/>
      <c r="AH35" s="269"/>
      <c r="AI35" s="269"/>
      <c r="AJ35" s="269"/>
    </row>
    <row r="36" spans="1:36" s="270" customFormat="1" ht="12" customHeight="1" thickBot="1" x14ac:dyDescent="0.3">
      <c r="A36" s="321" t="s">
        <v>78</v>
      </c>
      <c r="B36" s="322" t="s">
        <v>78</v>
      </c>
      <c r="C36" s="323"/>
      <c r="D36" s="323">
        <f ca="1">'E. VaR &amp; Peak Pos By Trader'!E36</f>
        <v>10783563.586213</v>
      </c>
      <c r="E36" s="324">
        <f ca="1">'E. VaR &amp; Peak Pos By Trader'!F36</f>
        <v>597867.82138079964</v>
      </c>
      <c r="F36" s="325" t="e">
        <f>SUM(F28,F30,#REF!,F32,F34)</f>
        <v>#REF!</v>
      </c>
      <c r="G36" s="325" t="e">
        <f>SUM(G28,G30,#REF!,G32,G34)</f>
        <v>#REF!</v>
      </c>
      <c r="H36" s="325" t="e">
        <f>SUM(H28,H30,#REF!,H32,H34)</f>
        <v>#REF!</v>
      </c>
      <c r="I36" s="325" t="e">
        <f>SUM(I28,I30,#REF!,I32,I34)</f>
        <v>#REF!</v>
      </c>
      <c r="J36" s="325" t="e">
        <f>SUM(J28,J30,#REF!,J32,J34)</f>
        <v>#REF!</v>
      </c>
      <c r="K36" s="325" t="e">
        <f>SUM(K28,K30,#REF!,K32,K34)</f>
        <v>#REF!</v>
      </c>
      <c r="L36" s="325" t="e">
        <f>SUM(L28,L30,#REF!,L32,L34)</f>
        <v>#REF!</v>
      </c>
      <c r="M36" s="325" t="e">
        <f>SUM(M28,M30,#REF!,M32,M34)</f>
        <v>#REF!</v>
      </c>
      <c r="N36" s="325">
        <f t="shared" ref="N36:AB36" si="3">SUM(N28,N30,N32,N34)</f>
        <v>0</v>
      </c>
      <c r="O36" s="325">
        <f t="shared" si="3"/>
        <v>27952.97481832407</v>
      </c>
      <c r="P36" s="325">
        <f t="shared" si="3"/>
        <v>75706.753379089321</v>
      </c>
      <c r="Q36" s="323">
        <f t="shared" si="3"/>
        <v>103659.72819741341</v>
      </c>
      <c r="R36" s="325">
        <f t="shared" si="3"/>
        <v>-312408.2152065814</v>
      </c>
      <c r="S36" s="325">
        <f t="shared" si="3"/>
        <v>-439322.35543535009</v>
      </c>
      <c r="T36" s="325">
        <f t="shared" si="3"/>
        <v>-47455.419135877288</v>
      </c>
      <c r="U36" s="325">
        <f t="shared" si="3"/>
        <v>-48832.853988251467</v>
      </c>
      <c r="V36" s="325">
        <f t="shared" si="3"/>
        <v>-16930.44795294663</v>
      </c>
      <c r="W36" s="325">
        <f t="shared" si="3"/>
        <v>-87606.510782232916</v>
      </c>
      <c r="X36" s="325">
        <f t="shared" si="3"/>
        <v>-253452.8318114563</v>
      </c>
      <c r="Y36" s="323">
        <f t="shared" si="3"/>
        <v>-1206008.6343126961</v>
      </c>
      <c r="Z36" s="323">
        <f t="shared" si="3"/>
        <v>-1990987.5546057001</v>
      </c>
      <c r="AA36" s="326">
        <f t="shared" si="3"/>
        <v>-119774.7764333463</v>
      </c>
      <c r="AB36" s="323">
        <f t="shared" si="3"/>
        <v>-3213111.2371543292</v>
      </c>
      <c r="AC36" s="268"/>
      <c r="AD36" s="306"/>
      <c r="AE36" s="269"/>
      <c r="AF36" s="269"/>
      <c r="AG36" s="269"/>
      <c r="AH36" s="269"/>
      <c r="AI36" s="269"/>
      <c r="AJ36" s="269"/>
    </row>
    <row r="37" spans="1:36" s="270" customFormat="1" ht="12" customHeight="1" thickBot="1" x14ac:dyDescent="0.3">
      <c r="A37" s="327"/>
      <c r="B37" s="327"/>
      <c r="C37" s="328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30"/>
      <c r="Q37" s="328"/>
      <c r="R37" s="328"/>
      <c r="S37" s="287"/>
      <c r="T37" s="328"/>
      <c r="U37" s="328"/>
      <c r="V37" s="328"/>
      <c r="W37" s="328"/>
      <c r="X37" s="287"/>
      <c r="Y37" s="328"/>
      <c r="Z37" s="287"/>
      <c r="AA37" s="287"/>
      <c r="AB37" s="287"/>
      <c r="AC37" s="268"/>
      <c r="AD37" s="306"/>
      <c r="AE37" s="269"/>
      <c r="AF37" s="269"/>
      <c r="AG37" s="269"/>
      <c r="AH37" s="269"/>
      <c r="AI37" s="269"/>
      <c r="AJ37" s="269"/>
    </row>
    <row r="38" spans="1:36" s="270" customFormat="1" ht="12" customHeight="1" thickBot="1" x14ac:dyDescent="0.3">
      <c r="A38" s="298"/>
      <c r="B38" s="299"/>
      <c r="C38" s="282" t="s">
        <v>26</v>
      </c>
      <c r="D38" s="301">
        <f ca="1">'E. VaR &amp; Peak Pos By Trader'!E38</f>
        <v>12500000</v>
      </c>
      <c r="E38" s="331"/>
      <c r="F38" s="286"/>
      <c r="G38" s="286"/>
      <c r="H38" s="286"/>
      <c r="I38" s="284" t="s">
        <v>80</v>
      </c>
      <c r="J38" s="286"/>
      <c r="K38" s="286"/>
      <c r="L38" s="286"/>
      <c r="M38" s="286"/>
      <c r="N38" s="286"/>
      <c r="O38" s="286"/>
      <c r="P38" s="286"/>
      <c r="Q38" s="301"/>
      <c r="R38" s="301"/>
      <c r="S38" s="284"/>
      <c r="T38" s="284"/>
      <c r="U38" s="284"/>
      <c r="V38" s="284"/>
      <c r="W38" s="284"/>
      <c r="X38" s="284"/>
      <c r="Y38" s="282"/>
      <c r="Z38" s="284"/>
      <c r="AA38" s="282"/>
      <c r="AB38" s="283"/>
      <c r="AC38" s="332"/>
      <c r="AD38" s="306"/>
      <c r="AE38" s="269"/>
      <c r="AF38" s="269"/>
      <c r="AG38" s="269"/>
      <c r="AH38" s="269"/>
      <c r="AI38" s="269"/>
      <c r="AJ38" s="269"/>
    </row>
    <row r="39" spans="1:36" s="346" customFormat="1" ht="12" customHeight="1" x14ac:dyDescent="0.25">
      <c r="A39" s="333"/>
      <c r="B39" s="334"/>
      <c r="C39" s="335"/>
      <c r="D39" s="336"/>
      <c r="E39" s="337"/>
      <c r="F39" s="338"/>
      <c r="G39" s="338"/>
      <c r="H39" s="338"/>
      <c r="I39" s="339"/>
      <c r="J39" s="338"/>
      <c r="K39" s="338"/>
      <c r="L39" s="338"/>
      <c r="M39" s="338"/>
      <c r="N39" s="338"/>
      <c r="O39" s="338"/>
      <c r="P39" s="338"/>
      <c r="Q39" s="336"/>
      <c r="R39" s="336"/>
      <c r="S39" s="339"/>
      <c r="T39" s="339"/>
      <c r="U39" s="339"/>
      <c r="V39" s="339"/>
      <c r="W39" s="339"/>
      <c r="X39" s="339"/>
      <c r="Y39" s="335"/>
      <c r="Z39" s="340"/>
      <c r="AA39" s="341"/>
      <c r="AB39" s="342"/>
      <c r="AC39" s="343"/>
      <c r="AD39" s="344"/>
      <c r="AE39" s="345"/>
      <c r="AF39" s="345"/>
      <c r="AG39" s="345"/>
      <c r="AH39" s="345"/>
      <c r="AI39" s="345"/>
      <c r="AJ39" s="345"/>
    </row>
    <row r="40" spans="1:36" s="270" customFormat="1" hidden="1" x14ac:dyDescent="0.25">
      <c r="A40" s="347"/>
      <c r="B40" s="348"/>
      <c r="C40" s="349"/>
      <c r="D40" s="350"/>
      <c r="E40" s="351"/>
      <c r="F40" s="352"/>
      <c r="G40" s="352"/>
      <c r="H40" s="352"/>
      <c r="I40" s="353"/>
      <c r="J40" s="352"/>
      <c r="K40" s="352"/>
      <c r="L40" s="352"/>
      <c r="M40" s="352"/>
      <c r="N40" s="352"/>
      <c r="O40" s="352"/>
      <c r="P40" s="352"/>
      <c r="Q40" s="349"/>
      <c r="R40" s="354"/>
      <c r="S40" s="353"/>
      <c r="T40" s="353"/>
      <c r="U40" s="353"/>
      <c r="V40" s="353"/>
      <c r="W40" s="353"/>
      <c r="X40" s="353"/>
      <c r="Y40" s="349"/>
      <c r="Z40" s="353"/>
      <c r="AA40" s="349">
        <f>VLOOKUP($B41,'[3]Delta Yearly'!$A$1:$AC$55,7,0)+VLOOKUP($B41,'[3]Delta Yearly'!$A$1:$AC$55,9,0)+VLOOKUP($B41,'[3]Delta Yearly'!$A$1:$AC$55,11,0)+VLOOKUP($B41,'[3]Delta Yearly'!$A$1:$AC$55,13,0)+VLOOKUP($B41,'[3]Delta Yearly'!$A$1:$AC$55,15,0)+VLOOKUP($B41,'[3]Delta Yearly'!$A$1:$AC$55,17,0)+VLOOKUP($B41,'[3]Delta Yearly'!$A$1:$AC$55,19,0)+VLOOKUP($B41,'[3]Delta Yearly'!$A$1:$AC$55,21,0)+VLOOKUP($B41,'[3]Delta Yearly'!$A$1:$AC$55,23,0)+VLOOKUP($B41,'[3]Delta Yearly'!$A$1:$AC$55,25,0)+VLOOKUP($B41,'[3]Delta Yearly'!$A$1:$AC$55,27,0)+VLOOKUP($B41,'[3]Delta Yearly'!$A$1:$AC$55,29,0)</f>
        <v>-211158.14994032239</v>
      </c>
      <c r="AB40" s="355"/>
      <c r="AC40" s="268"/>
      <c r="AD40" s="306"/>
      <c r="AE40" s="269"/>
      <c r="AF40" s="269"/>
      <c r="AG40" s="269"/>
      <c r="AH40" s="269"/>
      <c r="AI40" s="269"/>
      <c r="AJ40" s="269"/>
    </row>
    <row r="41" spans="1:36" s="270" customFormat="1" ht="16.5" hidden="1" customHeight="1" x14ac:dyDescent="0.25">
      <c r="A41" s="347"/>
      <c r="B41" s="356" t="s">
        <v>81</v>
      </c>
      <c r="C41" s="349"/>
      <c r="D41" s="354"/>
      <c r="E41" s="349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2"/>
      <c r="Q41" s="349"/>
      <c r="R41" s="354"/>
      <c r="S41" s="353"/>
      <c r="T41" s="353"/>
      <c r="U41" s="353"/>
      <c r="V41" s="353"/>
      <c r="W41" s="353"/>
      <c r="X41" s="353"/>
      <c r="Y41" s="349"/>
      <c r="Z41" s="353"/>
      <c r="AA41" s="349">
        <f>VLOOKUP($B42,'[3]Delta Yearly'!$A$1:$AC$55,7,0)+VLOOKUP($B42,'[3]Delta Yearly'!$A$1:$AC$55,9,0)+VLOOKUP($B42,'[3]Delta Yearly'!$A$1:$AC$55,11,0)+VLOOKUP($B42,'[3]Delta Yearly'!$A$1:$AC$55,13,0)+VLOOKUP($B42,'[3]Delta Yearly'!$A$1:$AC$55,15,0)+VLOOKUP($B42,'[3]Delta Yearly'!$A$1:$AC$55,17,0)+VLOOKUP($B42,'[3]Delta Yearly'!$A$1:$AC$55,19,0)+VLOOKUP($B42,'[3]Delta Yearly'!$A$1:$AC$55,21,0)+VLOOKUP($B42,'[3]Delta Yearly'!$A$1:$AC$55,23,0)+VLOOKUP($B42,'[3]Delta Yearly'!$A$1:$AC$55,25,0)+VLOOKUP($B42,'[3]Delta Yearly'!$A$1:$AC$55,27,0)+VLOOKUP($B42,'[3]Delta Yearly'!$A$1:$AC$55,29,0)</f>
        <v>-1089629.4337839268</v>
      </c>
      <c r="AB41" s="355"/>
      <c r="AC41" s="289"/>
      <c r="AD41" s="306"/>
      <c r="AE41" s="269"/>
      <c r="AF41" s="269"/>
      <c r="AG41" s="269"/>
      <c r="AH41" s="269"/>
      <c r="AI41" s="269"/>
      <c r="AJ41" s="269"/>
    </row>
    <row r="42" spans="1:36" s="270" customFormat="1" ht="16.5" hidden="1" customHeight="1" x14ac:dyDescent="0.25">
      <c r="A42" s="347"/>
      <c r="B42" s="356" t="s">
        <v>82</v>
      </c>
      <c r="C42" s="349"/>
      <c r="D42" s="354"/>
      <c r="E42" s="349"/>
      <c r="F42" s="352"/>
      <c r="G42" s="352"/>
      <c r="H42" s="352"/>
      <c r="I42" s="352"/>
      <c r="J42" s="352"/>
      <c r="K42" s="352"/>
      <c r="L42" s="352"/>
      <c r="M42" s="352"/>
      <c r="N42" s="352"/>
      <c r="O42" s="352"/>
      <c r="P42" s="352"/>
      <c r="Q42" s="349"/>
      <c r="R42" s="353"/>
      <c r="S42" s="353"/>
      <c r="T42" s="353"/>
      <c r="U42" s="353"/>
      <c r="V42" s="353"/>
      <c r="W42" s="353"/>
      <c r="X42" s="353"/>
      <c r="Y42" s="349"/>
      <c r="Z42" s="353"/>
      <c r="AA42" s="349">
        <f>VLOOKUP($B43,'[3]Delta Yearly'!$A$1:$AC$55,7,0)+VLOOKUP($B43,'[3]Delta Yearly'!$A$1:$AC$55,9,0)+VLOOKUP($B43,'[3]Delta Yearly'!$A$1:$AC$55,11,0)+VLOOKUP($B43,'[3]Delta Yearly'!$A$1:$AC$55,13,0)+VLOOKUP($B43,'[3]Delta Yearly'!$A$1:$AC$55,15,0)+VLOOKUP($B43,'[3]Delta Yearly'!$A$1:$AC$55,17,0)+VLOOKUP($B43,'[3]Delta Yearly'!$A$1:$AC$55,19,0)+VLOOKUP($B43,'[3]Delta Yearly'!$A$1:$AC$55,21,0)+VLOOKUP($B43,'[3]Delta Yearly'!$A$1:$AC$55,23,0)+VLOOKUP($B43,'[3]Delta Yearly'!$A$1:$AC$55,25,0)+VLOOKUP($B43,'[3]Delta Yearly'!$A$1:$AC$55,27,0)+VLOOKUP($B43,'[3]Delta Yearly'!$A$1:$AC$55,29,0)</f>
        <v>26710.521955601544</v>
      </c>
      <c r="AB42" s="355"/>
      <c r="AC42" s="287"/>
      <c r="AD42" s="306"/>
      <c r="AE42" s="269"/>
      <c r="AF42" s="269"/>
      <c r="AG42" s="269"/>
      <c r="AH42" s="269"/>
      <c r="AI42" s="269"/>
      <c r="AJ42" s="269"/>
    </row>
    <row r="43" spans="1:36" s="270" customFormat="1" ht="12" customHeight="1" x14ac:dyDescent="0.25">
      <c r="A43" s="297" t="s">
        <v>83</v>
      </c>
      <c r="B43" s="274" t="s">
        <v>84</v>
      </c>
      <c r="C43" s="305" t="s">
        <v>86</v>
      </c>
      <c r="D43" s="308">
        <f ca="1">'E. VaR &amp; Peak Pos By Trader'!E43</f>
        <v>1696506.32644123</v>
      </c>
      <c r="E43" s="318">
        <f ca="1">'E. VaR &amp; Peak Pos By Trader'!F43</f>
        <v>-289530.5794402</v>
      </c>
      <c r="F43" s="277">
        <f>VLOOKUP($B43,'[4]Delta Monthly'!$A$1:$AW$55,5,1)+VLOOKUP($B42,'[4]Delta Monthly'!$A$1:$AW$55,5,1)++VLOOKUP($B41,'[4]Delta Monthly'!$A$1:$AW$55,5,1)</f>
        <v>0</v>
      </c>
      <c r="G43" s="277">
        <f>VLOOKUP($B43,'[4]Delta Monthly'!$A$1:$AW$55,5,1)+VLOOKUP($B42,'[4]Delta Monthly'!$A$1:$AW$55,5,1)++VLOOKUP($B41,'[4]Delta Monthly'!$A$1:$AW$55,5,1)</f>
        <v>0</v>
      </c>
      <c r="H43" s="277">
        <f>VLOOKUP($B43,'[4]Delta Monthly'!$A$1:$AW$55,5,1)+VLOOKUP($B42,'[4]Delta Monthly'!$A$1:$AW$55,5,1)++VLOOKUP($B41,'[4]Delta Monthly'!$A$1:$AW$55,5,1)</f>
        <v>0</v>
      </c>
      <c r="I43" s="277">
        <f>VLOOKUP($B43,'[4]Delta Monthly'!$A$1:$AW$55,5,1)+VLOOKUP($B42,'[4]Delta Monthly'!$A$1:$AW$55,5,1)++VLOOKUP($B41,'[4]Delta Monthly'!$A$1:$AW$55,5,1)</f>
        <v>0</v>
      </c>
      <c r="J43" s="277">
        <f>VLOOKUP($B43,'[4]Delta Monthly'!$A$1:$AW$55,13,0)+VLOOKUP($B42,'[4]Delta Monthly'!$A$1:$AW$55,13,0)+VLOOKUP($B41,'[4]Delta Monthly'!$A$1:$AW$55,13,0)</f>
        <v>0</v>
      </c>
      <c r="K43" s="277">
        <f>VLOOKUP($B43,'[4]Delta Monthly'!$A$1:$AW$55,15,0)+VLOOKUP($B42,'[4]Delta Monthly'!$A$1:$AW$55,15,0)+VLOOKUP($B41,'[4]Delta Monthly'!$A$1:$AW$55,15,0)</f>
        <v>0</v>
      </c>
      <c r="L43" s="277">
        <f>+VLOOKUP($B43,'[4]Delta Monthly'!$A$1:$AW$55,17,0)+VLOOKUP($B42,'[4]Delta Monthly'!$A$1:$AW$55,17,0)+VLOOKUP($B41,'[4]Delta Monthly'!$A$1:$AW$55,17,0)</f>
        <v>0</v>
      </c>
      <c r="M43" s="277">
        <f>VLOOKUP($B43,'[4]Delta Monthly'!$A$1:$AW$55,19,0)+VLOOKUP($B42,'[4]Delta Monthly'!$A$1:$AW$55,19,0)+VLOOKUP($B41,'[4]Delta Monthly'!$A$1:$AW$55,19,0)</f>
        <v>0</v>
      </c>
      <c r="N43" s="277">
        <f>VLOOKUP($B41,'[4]Delta Monthly'!$A$1:$AW$55,21,0)+VLOOKUP($B42,'[4]Delta Monthly'!$A$1:$AW$55,21,0)+VLOOKUP($B43,'[4]Delta Monthly'!$A$1:$AW$55,21,0)</f>
        <v>0</v>
      </c>
      <c r="O43" s="277">
        <f>VLOOKUP($B41,'[4]Delta Monthly'!$A$1:$AW$55,23,0)+VLOOKUP($B42,'[4]Delta Monthly'!$A$1:$AW$55,23,0)+VLOOKUP($B43,'[4]Delta Monthly'!$A$1:$AW$55,23,0)</f>
        <v>31791.52162924585</v>
      </c>
      <c r="P43" s="277">
        <f>VLOOKUP($B41,'[4]Delta Monthly'!$A$1:$AW$55,25,0)+VLOOKUP($B42,'[4]Delta Monthly'!$A$1:$AW$55,25,0)+VLOOKUP($B43,'[4]Delta Monthly'!$A$1:$AW$55,25,0)</f>
        <v>-83497.137969221862</v>
      </c>
      <c r="Q43" s="305">
        <f>SUM(F43:P43)</f>
        <v>-51705.616339976012</v>
      </c>
      <c r="R43" s="277">
        <f>VLOOKUP($B43,'[4]Delta Monthly'!$A$1:$AW$55,27,1)+VLOOKUP($B41,'[4]Delta Monthly'!$A$1:$AW$55,27,1)+VLOOKUP($B43,'[4]Delta Monthly'!$A$1:$AW$55,29,1)+VLOOKUP($B41,'[4]Delta Monthly'!$A$1:$AW$55,29,1)+VLOOKUP($B42,'[4]Delta Monthly'!$A$1:$AW$55,29,FALSE)+VLOOKUP($B42,'[4]Delta Monthly'!$A$1:$AW$55,27,FALSE)</f>
        <v>113215.82453391547</v>
      </c>
      <c r="S43" s="277">
        <f>VLOOKUP($B43,'[4]Delta Monthly'!$A$1:$AW$55,31,1)+VLOOKUP($B41,'[4]Delta Monthly'!$A$1:$AW$55,31,1)+VLOOKUP($B43,'[4]Delta Monthly'!$A$1:$AW$55,33,1)+VLOOKUP($B41,'[4]Delta Monthly'!$A$1:$AW$55,33,1)+VLOOKUP($B42,'[4]Delta Monthly'!$A$1:$AW$55,31,FALSE)+VLOOKUP($B42,'[4]Delta Monthly'!$A$1:$AW$55,33,FALSE)</f>
        <v>-140012.92590970951</v>
      </c>
      <c r="T43" s="277">
        <f>VLOOKUP($B41,'[4]Delta Monthly'!$A$1:$AW$55,35,1)+VLOOKUP($B42,'[4]Delta Monthly'!$A$1:$AW$55,35,1)+VLOOKUP($B43,'[4]Delta Monthly'!$A$1:$AW$55,35,FALSE)</f>
        <v>-97666.331753650069</v>
      </c>
      <c r="U43" s="277">
        <f>VLOOKUP($B41,'[4]Delta Monthly'!$A$1:$AW$55,37,1)+VLOOKUP($B42,'[4]Delta Monthly'!$A$1:$AW$55,37,1)+VLOOKUP($B43,'[4]Delta Monthly'!$A$1:$AW$55,37,FALSE)</f>
        <v>-110448.85012387906</v>
      </c>
      <c r="V43" s="277">
        <f>VLOOKUP($B43,'[4]Delta Monthly'!$A$1:$AW$55,39,1)+VLOOKUP($B41,'[4]Delta Monthly'!$A$1:$AW$55,39,1)+VLOOKUP($B43,'[4]Delta Monthly'!$A$1:$AW$55,41,1)+VLOOKUP($B41,'[4]Delta Monthly'!$A$1:$AW$55,41,1)+VLOOKUP($B42,'[4]Delta Monthly'!$A$1:$AW$55,39,FALSE)+VLOOKUP($B42,'[4]Delta Monthly'!$A$1:$AW$55,41,FALSE)</f>
        <v>13263.237981109491</v>
      </c>
      <c r="W43" s="277">
        <f>VLOOKUP($B41,'[4]Delta Monthly'!$A$1:$AW$55,43,1)+VLOOKUP($B42,'[4]Delta Monthly'!$A$1:$AW$55,43,1)+VLOOKUP($B43,'[4]Delta Monthly'!$A$1:$AW$55,43,FALSE)</f>
        <v>-80730.575749861673</v>
      </c>
      <c r="X43" s="277">
        <f>VLOOKUP($B43,'[4]Delta Monthly'!$A$1:$AW$55,45,1)+VLOOKUP($B41,'[4]Delta Monthly'!$A$1:$AW$55,45,1)+VLOOKUP($B43,'[4]Delta Monthly'!$A$1:$AW$55,47,1)+VLOOKUP($B41,'[4]Delta Monthly'!$A$1:$AW$55,47,1)+VLOOKUP($B42,'[4]Delta Monthly'!$A$1:$AW$55,45,FALSE)+VLOOKUP($B41,'[4]Delta Monthly'!$A$1:$AW$55,49,FALSE)+VLOOKUP($B42,'[4]Delta Monthly'!$A$1:$AW$55,49,FALSE)+VLOOKUP($B43,'[4]Delta Monthly'!$A$1:$AW$55,49,FALSE)+VLOOKUP($B42,'[4]Delta Monthly'!$A$1:$AW$55,47,FALSE)</f>
        <v>-384760.59764493065</v>
      </c>
      <c r="Y43" s="305">
        <f>SUM(R43:X43)</f>
        <v>-687140.218667006</v>
      </c>
      <c r="Z43" s="287">
        <f>VLOOKUP($B41,'[3]Delta Yearly'!$A$1:$AC$55,5,FALSE)+VLOOKUP(B42,'[3]Delta Yearly'!$A$1:$AC$55,5,FALSE)+VLOOKUP(B43,'[3]Delta Yearly'!$A$1:$AC$55,5,0)</f>
        <v>-203323.81549769302</v>
      </c>
      <c r="AA43" s="305">
        <f>SUM(AA40,AA41,AA42)</f>
        <v>-1274077.0617686475</v>
      </c>
      <c r="AB43" s="305">
        <f>SUM(AA43,Z43,Y43,Q43)</f>
        <v>-2216246.7122733225</v>
      </c>
      <c r="AC43" s="268"/>
      <c r="AD43" s="306"/>
      <c r="AE43" s="269"/>
      <c r="AF43" s="269"/>
      <c r="AG43" s="269"/>
      <c r="AH43" s="269"/>
      <c r="AI43" s="269"/>
      <c r="AJ43" s="269"/>
    </row>
    <row r="44" spans="1:36" s="270" customFormat="1" ht="12" customHeight="1" x14ac:dyDescent="0.25">
      <c r="A44" s="317"/>
      <c r="B44" s="232"/>
      <c r="C44" s="305"/>
      <c r="D44" s="308"/>
      <c r="E44" s="318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305"/>
      <c r="R44" s="287"/>
      <c r="S44" s="287"/>
      <c r="T44" s="287"/>
      <c r="U44" s="287"/>
      <c r="V44" s="287"/>
      <c r="W44" s="287"/>
      <c r="X44" s="287"/>
      <c r="Y44" s="305"/>
      <c r="Z44" s="290"/>
      <c r="AA44" s="357"/>
      <c r="AB44" s="305"/>
      <c r="AC44" s="287"/>
      <c r="AD44" s="287"/>
      <c r="AE44" s="269"/>
      <c r="AF44" s="269"/>
      <c r="AG44" s="269"/>
      <c r="AH44" s="269"/>
      <c r="AI44" s="269"/>
      <c r="AJ44" s="269"/>
    </row>
    <row r="45" spans="1:36" s="270" customFormat="1" ht="12" customHeight="1" x14ac:dyDescent="0.25">
      <c r="A45" s="297" t="s">
        <v>87</v>
      </c>
      <c r="B45" s="274" t="s">
        <v>88</v>
      </c>
      <c r="C45" s="305" t="s">
        <v>90</v>
      </c>
      <c r="D45" s="308">
        <f ca="1">'E. VaR &amp; Peak Pos By Trader'!E45</f>
        <v>2426441.7041338696</v>
      </c>
      <c r="E45" s="318">
        <f ca="1">'E. VaR &amp; Peak Pos By Trader'!F45</f>
        <v>395875.22284676949</v>
      </c>
      <c r="F45" s="277">
        <f>VLOOKUP($B45,'[4]Delta Monthly'!$A$1:$AW$55,5,1)</f>
        <v>0</v>
      </c>
      <c r="G45" s="277">
        <f>VLOOKUP($B45,'[4]Delta Monthly'!$A$1:$AW$55,7,1)</f>
        <v>0</v>
      </c>
      <c r="H45" s="277">
        <f>VLOOKUP($B45,'[4]Delta Monthly'!$A$1:$AW$55,9,1)</f>
        <v>0</v>
      </c>
      <c r="I45" s="277">
        <f>VLOOKUP($B45,'[4]Delta Monthly'!$A$1:$AW$55,11,0)</f>
        <v>0</v>
      </c>
      <c r="J45" s="277">
        <f>VLOOKUP($B45,'[4]Delta Monthly'!$A$1:$AW$55,13,0)</f>
        <v>0</v>
      </c>
      <c r="K45" s="277">
        <f>VLOOKUP($B45,'[4]Delta Monthly'!$A$1:$AW$55,15,0)</f>
        <v>0</v>
      </c>
      <c r="L45" s="277">
        <f>+VLOOKUP($B45,'[4]Delta Monthly'!$A$1:$AW$55,17,0)</f>
        <v>0</v>
      </c>
      <c r="M45" s="277">
        <f>VLOOKUP($B45,'[4]Delta Monthly'!$A$1:$AW$55,19,0)</f>
        <v>0</v>
      </c>
      <c r="N45" s="277">
        <f>VLOOKUP($B45,'[4]Delta Monthly'!$A$1:$AW$55,21,FALSE)</f>
        <v>0</v>
      </c>
      <c r="O45" s="277">
        <f>VLOOKUP($B45,'[4]Delta Monthly'!$A$1:$AW$55,23,FALSE)</f>
        <v>36086.549818559375</v>
      </c>
      <c r="P45" s="277">
        <f>VLOOKUP($B45,'[4]Delta Monthly'!$A$1:$AW$55,25,FALSE)</f>
        <v>131809.07498666577</v>
      </c>
      <c r="Q45" s="305">
        <f>SUM(F45:P45)</f>
        <v>167895.62480522515</v>
      </c>
      <c r="R45" s="277">
        <f>VLOOKUP($B45,'[4]Delta Monthly'!$A$1:$AW$55,27,0)+VLOOKUP($B45,'[4]Delta Monthly'!$A$1:$AW$55,29,0)</f>
        <v>70126.863812170894</v>
      </c>
      <c r="S45" s="277">
        <f>VLOOKUP($B45,'[4]Delta Monthly'!$A$1:$AW$55,31,0)+VLOOKUP($B45,'[4]Delta Monthly'!$A$1:$AW$55,33,0)</f>
        <v>177087.42147975462</v>
      </c>
      <c r="T45" s="277">
        <f>VLOOKUP($B45,'[4]Delta Monthly'!$A$1:$AW$55,35,0)</f>
        <v>38734.361465357098</v>
      </c>
      <c r="U45" s="277">
        <f>VLOOKUP($B45,'[4]Delta Monthly'!$A$1:$AW$55,37,0)</f>
        <v>39442.380787538903</v>
      </c>
      <c r="V45" s="277">
        <f>VLOOKUP($B45,'[4]Delta Monthly'!$A$1:$AW$55,39,0)+VLOOKUP($B45,'[4]Delta Monthly'!$A$1:$AW$55,41,0)</f>
        <v>38521.992318456301</v>
      </c>
      <c r="W45" s="277">
        <f>VLOOKUP($B45,'[4]Delta Monthly'!$A$1:$AW$55,43,0)</f>
        <v>19585.832527999399</v>
      </c>
      <c r="X45" s="277">
        <f>VLOOKUP($B45,'[4]Delta Monthly'!$A$1:$AW$55,45,0)+VLOOKUP($B45,'[4]Delta Monthly'!$A$1:$AW$55,47,0)+VLOOKUP($B45,'[4]Delta Monthly'!$A$1:$AW$55,49,0)</f>
        <v>288543.79268325499</v>
      </c>
      <c r="Y45" s="305">
        <f>SUM(R45:X45)</f>
        <v>672042.64507453213</v>
      </c>
      <c r="Z45" s="290">
        <f>VLOOKUP($B45,'[3]Delta Yearly'!$A$1:$AC$55,5,0)</f>
        <v>-95349.592098113513</v>
      </c>
      <c r="AA45" s="305">
        <f>VLOOKUP($B45,'[3]Delta Yearly'!$A$1:$AC$55,7,FALSE)+VLOOKUP($B45,'[3]Delta Yearly'!$A$1:$AC$55,9,FALSE)+VLOOKUP($B45,'[3]Delta Yearly'!$A$1:$AC$55,11,FALSE)+VLOOKUP($B45,'[3]Delta Yearly'!$A$1:$AC$55,13,FALSE)+VLOOKUP($B45,'[3]Delta Yearly'!$A$1:$AC$55,15,FALSE)+VLOOKUP($B45,'[3]Delta Yearly'!$A$1:$AC$55,17,FALSE)+VLOOKUP($B45,'[3]Delta Yearly'!$A$1:$AC$55,19,FALSE)+VLOOKUP($B45,'[3]Delta Yearly'!$A$1:$AC$55,21,FALSE)+VLOOKUP($B45,'[3]Delta Yearly'!$A$1:$AC$55,23,FALSE)+VLOOKUP($B45,'[3]Delta Yearly'!$A$1:$AC$55,25,FALSE)+VLOOKUP($B45,'[3]Delta Yearly'!$A$1:$AC$55,27,FALSE)+VLOOKUP($B45,'[3]Delta Yearly'!$A$1:$AC$55,29,FALSE)</f>
        <v>-4090339.3549602488</v>
      </c>
      <c r="AB45" s="305">
        <f>SUM(AA45,Z45,Y45,Q45)</f>
        <v>-3345750.6771786055</v>
      </c>
      <c r="AC45" s="287"/>
      <c r="AD45" s="306"/>
      <c r="AE45" s="269"/>
      <c r="AF45" s="269"/>
      <c r="AG45" s="269"/>
      <c r="AH45" s="269"/>
      <c r="AI45" s="269"/>
      <c r="AJ45" s="269"/>
    </row>
    <row r="46" spans="1:36" s="270" customFormat="1" x14ac:dyDescent="0.25">
      <c r="A46" s="317"/>
      <c r="B46" s="274"/>
      <c r="C46" s="305"/>
      <c r="D46" s="308"/>
      <c r="E46" s="318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305"/>
      <c r="R46" s="287"/>
      <c r="S46" s="287"/>
      <c r="T46" s="287"/>
      <c r="U46" s="287"/>
      <c r="V46" s="287"/>
      <c r="W46" s="287"/>
      <c r="X46" s="287"/>
      <c r="Y46" s="305"/>
      <c r="Z46" s="290"/>
      <c r="AA46" s="305"/>
      <c r="AB46" s="305"/>
      <c r="AC46" s="268"/>
      <c r="AD46" s="306"/>
      <c r="AE46" s="269"/>
      <c r="AF46" s="269"/>
      <c r="AG46" s="269"/>
      <c r="AH46" s="269"/>
      <c r="AI46" s="269"/>
      <c r="AJ46" s="269"/>
    </row>
    <row r="47" spans="1:36" s="270" customFormat="1" ht="12" customHeight="1" x14ac:dyDescent="0.25">
      <c r="A47" s="297" t="s">
        <v>91</v>
      </c>
      <c r="B47" s="274" t="s">
        <v>92</v>
      </c>
      <c r="C47" s="305" t="s">
        <v>94</v>
      </c>
      <c r="D47" s="308">
        <f ca="1">'E. VaR &amp; Peak Pos By Trader'!E47</f>
        <v>1000598.35857411</v>
      </c>
      <c r="E47" s="318">
        <f ca="1">'E. VaR &amp; Peak Pos By Trader'!F47</f>
        <v>-64948.789779499988</v>
      </c>
      <c r="F47" s="277">
        <f>VLOOKUP($B47,'[4]Delta Monthly'!$A$1:$AW$55,5,1)</f>
        <v>0</v>
      </c>
      <c r="G47" s="277">
        <f>VLOOKUP($B47,'[4]Delta Monthly'!$A$1:$AW$55,7,1)</f>
        <v>0</v>
      </c>
      <c r="H47" s="277">
        <f>VLOOKUP($B47,'[4]Delta Monthly'!$A$1:$AW$55,9,1)</f>
        <v>0</v>
      </c>
      <c r="I47" s="277">
        <f>VLOOKUP($B47,'[4]Delta Monthly'!$A$1:$AW$55,11,0)</f>
        <v>0</v>
      </c>
      <c r="J47" s="277">
        <f>VLOOKUP($B47,'[4]Delta Monthly'!$A$1:$AW$55,13,0)</f>
        <v>0</v>
      </c>
      <c r="K47" s="277">
        <f>VLOOKUP($B47,'[4]Delta Monthly'!$A$1:$AW$55,15,0)</f>
        <v>0</v>
      </c>
      <c r="L47" s="277">
        <f>+VLOOKUP($B47,'[4]Delta Monthly'!$A$1:$AW$55,17,0)</f>
        <v>0</v>
      </c>
      <c r="M47" s="277">
        <f>VLOOKUP($B47,'[4]Delta Monthly'!$A$1:$AW$55,19,0)</f>
        <v>0</v>
      </c>
      <c r="N47" s="277">
        <f>VLOOKUP($B47,'[4]Delta Monthly'!$A$1:$AW$55,21,FALSE)</f>
        <v>0</v>
      </c>
      <c r="O47" s="277">
        <f>VLOOKUP($B47,'[4]Delta Monthly'!$A$1:$AW$55,23,FALSE)</f>
        <v>63533.404306096258</v>
      </c>
      <c r="P47" s="277">
        <f>VLOOKUP($B47,'[4]Delta Monthly'!$A$1:$AW$55,25,FALSE)</f>
        <v>105688.63873205992</v>
      </c>
      <c r="Q47" s="305">
        <f>SUM(F47:P47)</f>
        <v>169222.04303815617</v>
      </c>
      <c r="R47" s="277">
        <f>VLOOKUP($B47,'[4]Delta Monthly'!$A$1:$AW$55,27,0)+VLOOKUP($B47,'[4]Delta Monthly'!$A$1:$AW$55,29,0)</f>
        <v>-110986.86346578761</v>
      </c>
      <c r="S47" s="277">
        <f>VLOOKUP($B47,'[4]Delta Monthly'!$A$1:$AW$55,31,0)+VLOOKUP($B47,'[4]Delta Monthly'!$A$1:$AW$55,33,0)</f>
        <v>-38405.311801930104</v>
      </c>
      <c r="T47" s="277">
        <f>VLOOKUP($B47,'[4]Delta Monthly'!$A$1:$AW$55,35,0)</f>
        <v>-19367.180732678498</v>
      </c>
      <c r="U47" s="277">
        <f>VLOOKUP($B47,'[4]Delta Monthly'!$A$1:$AW$55,37,0)</f>
        <v>-19721.190393769401</v>
      </c>
      <c r="V47" s="277">
        <f>VLOOKUP($B47,'[4]Delta Monthly'!$A$1:$AW$55,39,0)+VLOOKUP($B47,'[4]Delta Monthly'!$A$1:$AW$55,41,0)</f>
        <v>-38521.992318456396</v>
      </c>
      <c r="W47" s="277">
        <f>VLOOKUP($B47,'[4]Delta Monthly'!$A$1:$AW$55,43,0)</f>
        <v>-19585.832527999501</v>
      </c>
      <c r="X47" s="277">
        <f>VLOOKUP($B47,'[4]Delta Monthly'!$A$1:$AW$55,45,0)+VLOOKUP($B47,'[4]Delta Monthly'!$A$1:$AW$55,47,0)+VLOOKUP($B47,'[4]Delta Monthly'!$A$1:$AW$55,49,0)</f>
        <v>-57708.758536651003</v>
      </c>
      <c r="Y47" s="305">
        <f>SUM(R47:X47)</f>
        <v>-304297.12977727252</v>
      </c>
      <c r="Z47" s="290">
        <f>VLOOKUP($B47,'[3]Delta Yearly'!$A$1:$AC$55,5,0)</f>
        <v>0</v>
      </c>
      <c r="AA47" s="305">
        <f>VLOOKUP($B47,'[3]Delta Yearly'!$A$1:$AC$55,7,FALSE)+VLOOKUP($B47,'[3]Delta Yearly'!$A$1:$AC$55,9,FALSE)+VLOOKUP($B47,'[3]Delta Yearly'!$A$1:$AC$55,11,FALSE)+VLOOKUP($B47,'[3]Delta Yearly'!$A$1:$AC$55,13,FALSE)+VLOOKUP($B47,'[3]Delta Yearly'!$A$1:$AC$55,15,FALSE)+VLOOKUP($B47,'[3]Delta Yearly'!$A$1:$AC$55,17,FALSE)+VLOOKUP($B47,'[3]Delta Yearly'!$A$1:$AC$55,19,FALSE)+VLOOKUP($B47,'[3]Delta Yearly'!$A$1:$AC$55,21,FALSE)+VLOOKUP($B47,'[3]Delta Yearly'!$A$1:$AC$55,23,FALSE)+VLOOKUP($B47,'[3]Delta Yearly'!$A$1:$AC$55,25,FALSE)+VLOOKUP($B47,'[3]Delta Yearly'!$A$1:$AC$55,27,FALSE)+VLOOKUP($B47,'[3]Delta Yearly'!$A$1:$AC$55,29,FALSE)</f>
        <v>0</v>
      </c>
      <c r="AB47" s="305">
        <f>SUM(AA47,Z47,Y47,Q47)</f>
        <v>-135075.08673911635</v>
      </c>
      <c r="AC47" s="268"/>
      <c r="AD47" s="306"/>
      <c r="AE47" s="269"/>
      <c r="AF47" s="269"/>
      <c r="AG47" s="269"/>
      <c r="AH47" s="269"/>
      <c r="AI47" s="269"/>
      <c r="AJ47" s="269"/>
    </row>
    <row r="48" spans="1:36" s="270" customFormat="1" ht="11.25" customHeight="1" x14ac:dyDescent="0.25">
      <c r="A48" s="297"/>
      <c r="B48" s="274"/>
      <c r="C48" s="305"/>
      <c r="D48" s="308"/>
      <c r="E48" s="318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305"/>
      <c r="R48" s="277"/>
      <c r="S48" s="277"/>
      <c r="T48" s="277"/>
      <c r="U48" s="277"/>
      <c r="V48" s="277"/>
      <c r="W48" s="277"/>
      <c r="X48" s="277"/>
      <c r="Y48" s="305"/>
      <c r="Z48" s="290"/>
      <c r="AA48" s="305"/>
      <c r="AB48" s="305"/>
      <c r="AC48" s="268"/>
      <c r="AD48" s="306"/>
      <c r="AE48" s="269"/>
      <c r="AF48" s="269"/>
      <c r="AG48" s="269"/>
      <c r="AH48" s="269"/>
      <c r="AI48" s="269"/>
      <c r="AJ48" s="269"/>
    </row>
    <row r="49" spans="1:36" s="270" customFormat="1" ht="11.25" customHeight="1" x14ac:dyDescent="0.25">
      <c r="A49" s="297" t="s">
        <v>267</v>
      </c>
      <c r="B49" s="274" t="s">
        <v>96</v>
      </c>
      <c r="C49" s="305" t="s">
        <v>98</v>
      </c>
      <c r="D49" s="308">
        <f ca="1">'E. VaR &amp; Peak Pos By Trader'!E49</f>
        <v>57686.570024563</v>
      </c>
      <c r="E49" s="318">
        <f ca="1">'E. VaR &amp; Peak Pos By Trader'!F49</f>
        <v>-1168.4478932605998</v>
      </c>
      <c r="F49" s="277"/>
      <c r="G49" s="277"/>
      <c r="H49" s="277"/>
      <c r="I49" s="277"/>
      <c r="J49" s="277"/>
      <c r="K49" s="277"/>
      <c r="L49" s="277">
        <f>+VLOOKUP($B49,'[4]Delta Monthly'!$A$1:$AW$55,17,0)</f>
        <v>0</v>
      </c>
      <c r="M49" s="277">
        <f>VLOOKUP($B49,'[4]Delta Monthly'!$A$1:$AW$55,19,0)</f>
        <v>0</v>
      </c>
      <c r="N49" s="277">
        <f>VLOOKUP($B49,'[4]Delta Monthly'!$A$1:$AW$55,21,FALSE)</f>
        <v>0</v>
      </c>
      <c r="O49" s="277">
        <f>VLOOKUP($B49,'[4]Delta Monthly'!$A$1:$AW$55,23,FALSE)</f>
        <v>6787.6899214364103</v>
      </c>
      <c r="P49" s="277">
        <f>VLOOKUP($B49,'[4]Delta Monthly'!$A$1:$AW$55,25,FALSE)</f>
        <v>21122.45958282645</v>
      </c>
      <c r="Q49" s="305">
        <f>SUM(F49:P49)</f>
        <v>27910.149504262859</v>
      </c>
      <c r="R49" s="277">
        <f>VLOOKUP($B49,'[4]Delta Monthly'!$A$1:$AW$55,27,0)+VLOOKUP($B49,'[4]Delta Monthly'!$A$1:$AW$55,29,0)</f>
        <v>27.477669143699998</v>
      </c>
      <c r="S49" s="277">
        <f>VLOOKUP($B49,'[4]Delta Monthly'!$A$1:$AW$55,31,0)+VLOOKUP($B49,'[4]Delta Monthly'!$A$1:$AW$55,33,0)</f>
        <v>0</v>
      </c>
      <c r="T49" s="277">
        <f>VLOOKUP($B49,'[4]Delta Monthly'!$A$1:$AW$55,35,0)</f>
        <v>0</v>
      </c>
      <c r="U49" s="277">
        <f>VLOOKUP($B49,'[4]Delta Monthly'!$A$1:$AW$55,37,0)</f>
        <v>0</v>
      </c>
      <c r="V49" s="277">
        <f>VLOOKUP($B49,'[4]Delta Monthly'!$A$1:$AW$55,39,0)+VLOOKUP($B49,'[4]Delta Monthly'!$A$1:$AW$55,41,0)</f>
        <v>0</v>
      </c>
      <c r="W49" s="277">
        <f>VLOOKUP($B49,'[4]Delta Monthly'!$A$1:$AW$55,43,0)</f>
        <v>0</v>
      </c>
      <c r="X49" s="277">
        <f>VLOOKUP($B49,'[4]Delta Monthly'!$A$1:$AW$55,45,0)+VLOOKUP($B49,'[4]Delta Monthly'!$A$1:$AW$55,47,0)+VLOOKUP($B49,'[4]Delta Monthly'!$A$1:$AW$55,49,0)</f>
        <v>0</v>
      </c>
      <c r="Y49" s="305">
        <f>SUM(R49:X49)</f>
        <v>27.477669143699998</v>
      </c>
      <c r="Z49" s="290">
        <f>VLOOKUP($B49,'[3]Delta Yearly'!$A$1:$AC$55,5,0)</f>
        <v>-349.85371674909999</v>
      </c>
      <c r="AA49" s="305">
        <f>VLOOKUP($B49,'[3]Delta Yearly'!$A$1:$AC$55,7,FALSE)+VLOOKUP($B49,'[3]Delta Yearly'!$A$1:$AC$55,9,FALSE)+VLOOKUP($B49,'[3]Delta Yearly'!$A$1:$AC$55,11,FALSE)+VLOOKUP($B49,'[3]Delta Yearly'!$A$1:$AC$55,13,FALSE)+VLOOKUP($B49,'[3]Delta Yearly'!$A$1:$AC$55,15,FALSE)+VLOOKUP($B49,'[3]Delta Yearly'!$A$1:$AC$55,17,FALSE)+VLOOKUP($B49,'[3]Delta Yearly'!$A$1:$AC$55,19,FALSE)+VLOOKUP($B49,'[3]Delta Yearly'!$A$1:$AC$55,21,FALSE)+VLOOKUP($B49,'[3]Delta Yearly'!$A$1:$AC$55,23,FALSE)+VLOOKUP($B49,'[3]Delta Yearly'!$A$1:$AC$55,25,FALSE)+VLOOKUP($B49,'[3]Delta Yearly'!$A$1:$AC$55,27,FALSE)+VLOOKUP($B49,'[3]Delta Yearly'!$A$1:$AC$55,29,FALSE)</f>
        <v>0</v>
      </c>
      <c r="AB49" s="305">
        <f>SUM(AA49,Z49,Y49,Q49)</f>
        <v>27587.773456657458</v>
      </c>
      <c r="AC49" s="268"/>
      <c r="AD49" s="306"/>
      <c r="AE49" s="269"/>
      <c r="AF49" s="269"/>
      <c r="AG49" s="269"/>
      <c r="AH49" s="269"/>
      <c r="AI49" s="269"/>
      <c r="AJ49" s="269"/>
    </row>
    <row r="50" spans="1:36" s="270" customFormat="1" ht="12" customHeight="1" x14ac:dyDescent="0.25">
      <c r="A50" s="317"/>
      <c r="B50" s="274"/>
      <c r="C50" s="305"/>
      <c r="D50" s="308"/>
      <c r="E50" s="318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305"/>
      <c r="R50" s="287"/>
      <c r="S50" s="287"/>
      <c r="T50" s="287"/>
      <c r="U50" s="287"/>
      <c r="V50" s="287"/>
      <c r="W50" s="287"/>
      <c r="X50" s="287"/>
      <c r="Y50" s="305"/>
      <c r="Z50" s="290"/>
      <c r="AA50" s="305"/>
      <c r="AB50" s="305"/>
      <c r="AC50" s="268"/>
      <c r="AD50" s="306"/>
      <c r="AE50" s="269"/>
      <c r="AF50" s="269"/>
      <c r="AG50" s="269"/>
      <c r="AH50" s="269"/>
      <c r="AI50" s="269"/>
      <c r="AJ50" s="269"/>
    </row>
    <row r="51" spans="1:36" s="270" customFormat="1" ht="12" customHeight="1" x14ac:dyDescent="0.25">
      <c r="A51" s="297" t="s">
        <v>99</v>
      </c>
      <c r="B51" s="274" t="s">
        <v>100</v>
      </c>
      <c r="C51" s="305" t="s">
        <v>102</v>
      </c>
      <c r="D51" s="308">
        <f ca="1">'E. VaR &amp; Peak Pos By Trader'!E51</f>
        <v>1297970.27766544</v>
      </c>
      <c r="E51" s="318">
        <f ca="1">'E. VaR &amp; Peak Pos By Trader'!F51</f>
        <v>-504185.22839392</v>
      </c>
      <c r="F51" s="277">
        <f>VLOOKUP($B51,'[4]Delta Monthly'!$A$1:$AW$55,5,1)</f>
        <v>0</v>
      </c>
      <c r="G51" s="277">
        <f>VLOOKUP($B51,'[4]Delta Monthly'!$A$1:$AW$55,7,1)</f>
        <v>0</v>
      </c>
      <c r="H51" s="277">
        <f>VLOOKUP($B51,'[4]Delta Monthly'!$A$1:$AW$55,9,1)</f>
        <v>0</v>
      </c>
      <c r="I51" s="277">
        <f>VLOOKUP($B51,'[4]Delta Monthly'!$A$1:$AW$55,11,0)</f>
        <v>0</v>
      </c>
      <c r="J51" s="277">
        <f>VLOOKUP($B51,'[4]Delta Monthly'!$A$1:$AW$55,13,0)</f>
        <v>0</v>
      </c>
      <c r="K51" s="277">
        <f>VLOOKUP($B51,'[4]Delta Monthly'!$A$1:$AW$55,15,0)</f>
        <v>0</v>
      </c>
      <c r="L51" s="277">
        <f>+VLOOKUP($B51,'[4]Delta Monthly'!$A$1:$AW$55,17,0)</f>
        <v>0</v>
      </c>
      <c r="M51" s="277">
        <f>VLOOKUP($B51,'[4]Delta Monthly'!$A$1:$AW$55,19,0)</f>
        <v>0</v>
      </c>
      <c r="N51" s="277">
        <f>VLOOKUP($B51,'[4]Delta Monthly'!$A$1:$AW$55,21,FALSE)</f>
        <v>0</v>
      </c>
      <c r="O51" s="277">
        <f>VLOOKUP($B51,'[4]Delta Monthly'!$A$1:$AW$55,23,FALSE)</f>
        <v>8594.2003768695158</v>
      </c>
      <c r="P51" s="277">
        <f>VLOOKUP($B51,'[4]Delta Monthly'!$A$1:$AW$55,25,FALSE)</f>
        <v>-84459.30200413485</v>
      </c>
      <c r="Q51" s="305">
        <f>SUM(F51:P51)</f>
        <v>-75865.101627265336</v>
      </c>
      <c r="R51" s="277">
        <f>VLOOKUP($B51,'[4]Delta Monthly'!$A$1:$AW$55,27,0)+VLOOKUP($B51,'[4]Delta Monthly'!$A$1:$AW$55,29,0)</f>
        <v>-36968.143486119545</v>
      </c>
      <c r="S51" s="277">
        <f>VLOOKUP($B51,'[4]Delta Monthly'!$A$1:$AW$55,31,0)+VLOOKUP($B51,'[4]Delta Monthly'!$A$1:$AW$55,33,0)</f>
        <v>-38371.792509264604</v>
      </c>
      <c r="T51" s="277">
        <f>VLOOKUP($B51,'[4]Delta Monthly'!$A$1:$AW$55,35,0)</f>
        <v>-18263.607413211808</v>
      </c>
      <c r="U51" s="277">
        <f>VLOOKUP($B51,'[4]Delta Monthly'!$A$1:$AW$55,37,0)</f>
        <v>59112.880430216683</v>
      </c>
      <c r="V51" s="277">
        <f>VLOOKUP($B51,'[4]Delta Monthly'!$A$1:$AW$55,39,0)+VLOOKUP($B51,'[4]Delta Monthly'!$A$1:$AW$55,41,0)</f>
        <v>115460.46345462048</v>
      </c>
      <c r="W51" s="277">
        <f>VLOOKUP($B51,'[4]Delta Monthly'!$A$1:$AW$55,43,0)</f>
        <v>58693.599925107483</v>
      </c>
      <c r="X51" s="277">
        <f>VLOOKUP($B51,'[4]Delta Monthly'!$A$1:$AW$55,45,0)+VLOOKUP($B51,'[4]Delta Monthly'!$A$1:$AW$55,47,0)+VLOOKUP($B51,'[4]Delta Monthly'!$A$1:$AW$55,49,0)</f>
        <v>172918.87736265481</v>
      </c>
      <c r="Y51" s="305">
        <f>SUM(R51:X51)</f>
        <v>312582.27776400349</v>
      </c>
      <c r="Z51" s="290">
        <f>VLOOKUP($B51,'[3]Delta Yearly'!$A$1:$AC$55,5,0)</f>
        <v>-1331636.1313919753</v>
      </c>
      <c r="AA51" s="305">
        <f>VLOOKUP($B51,'[3]Delta Yearly'!$A$1:$AC$55,7,FALSE)+VLOOKUP($B51,'[3]Delta Yearly'!$A$1:$AC$55,9,FALSE)+VLOOKUP($B51,'[3]Delta Yearly'!$A$1:$AC$55,11,FALSE)+VLOOKUP($B51,'[3]Delta Yearly'!$A$1:$AC$55,13,FALSE)+VLOOKUP($B51,'[3]Delta Yearly'!$A$1:$AC$55,15,FALSE)+VLOOKUP($B51,'[3]Delta Yearly'!$A$1:$AC$55,17,FALSE)+VLOOKUP($B51,'[3]Delta Yearly'!$A$1:$AC$55,19,FALSE)+VLOOKUP($B51,'[3]Delta Yearly'!$A$1:$AC$55,21,FALSE)+VLOOKUP($B51,'[3]Delta Yearly'!$A$1:$AC$55,23,FALSE)+VLOOKUP($B51,'[3]Delta Yearly'!$A$1:$AC$55,25,FALSE)+VLOOKUP($B51,'[3]Delta Yearly'!$A$1:$AC$55,27,FALSE)+VLOOKUP($B51,'[3]Delta Yearly'!$A$1:$AC$55,29,FALSE)</f>
        <v>0</v>
      </c>
      <c r="AB51" s="305">
        <f>SUM(AA51,Z51,Y51,Q51)</f>
        <v>-1094918.9552552372</v>
      </c>
      <c r="AC51" s="268"/>
      <c r="AD51" s="306"/>
      <c r="AE51" s="269"/>
      <c r="AF51" s="269"/>
      <c r="AG51" s="269"/>
      <c r="AH51" s="269"/>
      <c r="AI51" s="269"/>
      <c r="AJ51" s="269"/>
    </row>
    <row r="52" spans="1:36" s="270" customFormat="1" ht="12" customHeight="1" x14ac:dyDescent="0.25">
      <c r="A52" s="297"/>
      <c r="B52" s="275"/>
      <c r="C52" s="305"/>
      <c r="D52" s="308"/>
      <c r="E52" s="318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305"/>
      <c r="R52" s="287"/>
      <c r="S52" s="287"/>
      <c r="T52" s="287"/>
      <c r="U52" s="287"/>
      <c r="V52" s="287"/>
      <c r="W52" s="287"/>
      <c r="X52" s="287"/>
      <c r="Y52" s="305"/>
      <c r="Z52" s="290"/>
      <c r="AA52" s="305"/>
      <c r="AB52" s="305"/>
      <c r="AC52" s="268"/>
      <c r="AD52" s="306"/>
      <c r="AE52" s="269"/>
      <c r="AF52" s="269"/>
      <c r="AG52" s="269"/>
      <c r="AH52" s="269"/>
      <c r="AI52" s="269"/>
      <c r="AJ52" s="269"/>
    </row>
    <row r="53" spans="1:36" s="270" customFormat="1" ht="12" customHeight="1" x14ac:dyDescent="0.25">
      <c r="A53" s="297" t="s">
        <v>103</v>
      </c>
      <c r="B53" s="274" t="s">
        <v>104</v>
      </c>
      <c r="C53" s="305" t="s">
        <v>106</v>
      </c>
      <c r="D53" s="308">
        <f ca="1">'E. VaR &amp; Peak Pos By Trader'!E53</f>
        <v>78533.409789870711</v>
      </c>
      <c r="E53" s="318">
        <f ca="1">'E. VaR &amp; Peak Pos By Trader'!F53</f>
        <v>-5018.6281809595821</v>
      </c>
      <c r="F53" s="277">
        <f>VLOOKUP($B53,'[4]Delta Monthly'!$A$1:$AW$55,5,1)</f>
        <v>0</v>
      </c>
      <c r="G53" s="277">
        <f>VLOOKUP($B53,'[4]Delta Monthly'!$A$1:$AW$55,7,1)</f>
        <v>0</v>
      </c>
      <c r="H53" s="277">
        <f>VLOOKUP($B53,'[4]Delta Monthly'!$A$1:$AW$55,9,1)</f>
        <v>0</v>
      </c>
      <c r="I53" s="277">
        <f>VLOOKUP($B53,'[4]Delta Monthly'!$A$1:$AW$55,11,0)</f>
        <v>0</v>
      </c>
      <c r="J53" s="277">
        <f>VLOOKUP($B53,'[4]Delta Monthly'!$A$1:$AW$55,13,0)</f>
        <v>0</v>
      </c>
      <c r="K53" s="277">
        <f>VLOOKUP($B53,'[4]Delta Monthly'!$A$1:$AW$55,15,0)</f>
        <v>0</v>
      </c>
      <c r="L53" s="277">
        <f>+VLOOKUP($B53,'[4]Delta Monthly'!$A$1:$AW$55,17,0)</f>
        <v>0</v>
      </c>
      <c r="M53" s="277">
        <f>VLOOKUP($B53,'[4]Delta Monthly'!$A$1:$AW$55,19,0)</f>
        <v>0</v>
      </c>
      <c r="N53" s="277">
        <f>VLOOKUP($B53,'[4]Delta Monthly'!$A$1:$AW$55,21,FALSE)</f>
        <v>0</v>
      </c>
      <c r="O53" s="277">
        <f>VLOOKUP($B53,'[4]Delta Monthly'!$A$1:$AW$55,23,FALSE)</f>
        <v>33964.398528416168</v>
      </c>
      <c r="P53" s="277">
        <f>VLOOKUP($B53,'[4]Delta Monthly'!$A$1:$AW$55,25,FALSE)</f>
        <v>0</v>
      </c>
      <c r="Q53" s="305">
        <f>SUM(F53:P53)</f>
        <v>33964.398528416168</v>
      </c>
      <c r="R53" s="277">
        <f>VLOOKUP($B53,'[4]Delta Monthly'!$A$1:$AW$55,27,0)+VLOOKUP($B53,'[4]Delta Monthly'!$A$1:$AW$55,29,0)</f>
        <v>0</v>
      </c>
      <c r="S53" s="277">
        <f>VLOOKUP($B53,'[4]Delta Monthly'!$A$1:$AW$55,31,0)+VLOOKUP($B53,'[4]Delta Monthly'!$A$1:$AW$55,33,0)</f>
        <v>0</v>
      </c>
      <c r="T53" s="277">
        <f>VLOOKUP($B53,'[4]Delta Monthly'!$A$1:$AW$55,35,0)</f>
        <v>0</v>
      </c>
      <c r="U53" s="277">
        <f>VLOOKUP($B53,'[4]Delta Monthly'!$A$1:$AW$55,37,0)</f>
        <v>0</v>
      </c>
      <c r="V53" s="277">
        <f>VLOOKUP($B53,'[4]Delta Monthly'!$A$1:$AW$55,39,0)+VLOOKUP($B53,'[4]Delta Monthly'!$A$1:$AW$55,41,0)</f>
        <v>0</v>
      </c>
      <c r="W53" s="277">
        <f>VLOOKUP($B53,'[4]Delta Monthly'!$A$1:$AW$55,43,0)</f>
        <v>0</v>
      </c>
      <c r="X53" s="277">
        <f>VLOOKUP($B53,'[4]Delta Monthly'!$A$1:$AW$55,45,0)+VLOOKUP($B53,'[4]Delta Monthly'!$A$1:$AW$55,47,0)+VLOOKUP($B53,'[4]Delta Monthly'!$A$1:$AW$55,49,0)</f>
        <v>0</v>
      </c>
      <c r="Y53" s="305">
        <f>SUM(R53:X53)</f>
        <v>0</v>
      </c>
      <c r="Z53" s="290">
        <f>VLOOKUP($B53,'[3]Delta Yearly'!$A$1:$AC$55,5,0)</f>
        <v>0</v>
      </c>
      <c r="AA53" s="305">
        <f>VLOOKUP($B53,'[3]Delta Yearly'!$A$1:$AC$55,7,FALSE)+VLOOKUP($B53,'[3]Delta Yearly'!$A$1:$AC$55,9,FALSE)+VLOOKUP($B53,'[3]Delta Yearly'!$A$1:$AC$55,11,FALSE)+VLOOKUP($B53,'[3]Delta Yearly'!$A$1:$AC$55,13,FALSE)+VLOOKUP($B53,'[3]Delta Yearly'!$A$1:$AC$55,15,FALSE)+VLOOKUP($B53,'[3]Delta Yearly'!$A$1:$AC$55,17,FALSE)+VLOOKUP($B53,'[3]Delta Yearly'!$A$1:$AC$55,19,FALSE)+VLOOKUP($B53,'[3]Delta Yearly'!$A$1:$AC$55,21,FALSE)+VLOOKUP($B53,'[3]Delta Yearly'!$A$1:$AC$55,23,FALSE)+VLOOKUP($B53,'[3]Delta Yearly'!$A$1:$AC$55,25,FALSE)+VLOOKUP($B53,'[3]Delta Yearly'!$A$1:$AC$55,27,FALSE)+VLOOKUP($B53,'[3]Delta Yearly'!$A$1:$AC$55,29,FALSE)</f>
        <v>0</v>
      </c>
      <c r="AB53" s="305">
        <f>SUM(AA53,Z53,Y53,Q53)</f>
        <v>33964.398528416168</v>
      </c>
      <c r="AC53" s="268"/>
      <c r="AD53" s="306"/>
      <c r="AE53" s="269"/>
      <c r="AF53" s="269"/>
      <c r="AG53" s="269"/>
      <c r="AH53" s="269"/>
      <c r="AI53" s="269"/>
      <c r="AJ53" s="269"/>
    </row>
    <row r="54" spans="1:36" s="270" customFormat="1" ht="12" customHeight="1" x14ac:dyDescent="0.25">
      <c r="A54" s="317"/>
      <c r="B54" s="274"/>
      <c r="C54" s="305"/>
      <c r="D54" s="308"/>
      <c r="E54" s="318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305"/>
      <c r="R54" s="287"/>
      <c r="S54" s="287"/>
      <c r="T54" s="287"/>
      <c r="U54" s="287"/>
      <c r="V54" s="287"/>
      <c r="W54" s="287"/>
      <c r="X54" s="287"/>
      <c r="Y54" s="305"/>
      <c r="Z54" s="290"/>
      <c r="AA54" s="305"/>
      <c r="AB54" s="305"/>
      <c r="AC54" s="268"/>
      <c r="AD54" s="306"/>
      <c r="AE54" s="269"/>
      <c r="AF54" s="269"/>
      <c r="AG54" s="269"/>
      <c r="AH54" s="269"/>
      <c r="AI54" s="269"/>
      <c r="AJ54" s="269"/>
    </row>
    <row r="55" spans="1:36" s="270" customFormat="1" ht="12" customHeight="1" x14ac:dyDescent="0.25">
      <c r="A55" s="297" t="s">
        <v>107</v>
      </c>
      <c r="B55" s="274" t="s">
        <v>108</v>
      </c>
      <c r="C55" s="305" t="s">
        <v>110</v>
      </c>
      <c r="D55" s="308">
        <f ca="1">'E. VaR &amp; Peak Pos By Trader'!E55</f>
        <v>4230.3696412713498</v>
      </c>
      <c r="E55" s="318">
        <f ca="1">'E. VaR &amp; Peak Pos By Trader'!F55</f>
        <v>-1632.9243159549405</v>
      </c>
      <c r="F55" s="277">
        <f>VLOOKUP($B55,'[4]Delta Monthly'!$A$1:$AW$55,5,1)</f>
        <v>0</v>
      </c>
      <c r="G55" s="277">
        <f>VLOOKUP($B55,'[4]Delta Monthly'!$A$1:$AW$55,7,1)</f>
        <v>0</v>
      </c>
      <c r="H55" s="277">
        <f>VLOOKUP($B55,'[4]Delta Monthly'!$A$1:$AW$55,9,1)</f>
        <v>0</v>
      </c>
      <c r="I55" s="277">
        <f>VLOOKUP($B55,'[4]Delta Monthly'!$A$1:$AW$55,11,0)</f>
        <v>0</v>
      </c>
      <c r="J55" s="277">
        <f>VLOOKUP($B55,'[4]Delta Monthly'!$A$1:$AW$55,13,0)</f>
        <v>0</v>
      </c>
      <c r="K55" s="277">
        <f>VLOOKUP($B55,'[4]Delta Monthly'!$A$1:$AW$55,15,0)</f>
        <v>0</v>
      </c>
      <c r="L55" s="277">
        <f>+VLOOKUP($B55,'[4]Delta Monthly'!$A$1:$AW$55,17,0)</f>
        <v>0</v>
      </c>
      <c r="M55" s="277">
        <f>VLOOKUP($B55,'[4]Delta Monthly'!$A$1:$AW$55,19,0)</f>
        <v>0</v>
      </c>
      <c r="N55" s="277">
        <f>VLOOKUP($B55,'[4]Delta Monthly'!$A$1:$AW$55,21,FALSE)</f>
        <v>0</v>
      </c>
      <c r="O55" s="277">
        <f>VLOOKUP($B55,'[4]Delta Monthly'!$A$1:$AW$55,23,FALSE)</f>
        <v>7991.6231831567402</v>
      </c>
      <c r="P55" s="277">
        <f>VLOOKUP($B55,'[4]Delta Monthly'!$A$1:$AW$55,25,FALSE)</f>
        <v>0</v>
      </c>
      <c r="Q55" s="305">
        <f>SUM(F55:P55)</f>
        <v>7991.6231831567402</v>
      </c>
      <c r="R55" s="277">
        <f>VLOOKUP($B55,'[4]Delta Monthly'!$A$1:$AW$55,27,0)+VLOOKUP($B55,'[4]Delta Monthly'!$A$1:$AW$55,29,0)</f>
        <v>0</v>
      </c>
      <c r="S55" s="277">
        <f>VLOOKUP($B55,'[4]Delta Monthly'!$A$1:$AW$55,31,0)+VLOOKUP($B55,'[4]Delta Monthly'!$A$1:$AW$55,33,0)</f>
        <v>0</v>
      </c>
      <c r="T55" s="277">
        <f>VLOOKUP($B55,'[4]Delta Monthly'!$A$1:$AW$55,35,0)</f>
        <v>0</v>
      </c>
      <c r="U55" s="277">
        <f>VLOOKUP($B55,'[4]Delta Monthly'!$A$1:$AW$55,37,0)</f>
        <v>0</v>
      </c>
      <c r="V55" s="277">
        <f>VLOOKUP($B55,'[4]Delta Monthly'!$A$1:$AW$55,39,0)+VLOOKUP($B55,'[4]Delta Monthly'!$A$1:$AW$55,41,0)</f>
        <v>0</v>
      </c>
      <c r="W55" s="277">
        <f>VLOOKUP($B55,'[4]Delta Monthly'!$A$1:$AW$55,43,0)</f>
        <v>0</v>
      </c>
      <c r="X55" s="277">
        <f>VLOOKUP($B55,'[4]Delta Monthly'!$A$1:$AW$55,45,0)+VLOOKUP($B55,'[4]Delta Monthly'!$A$1:$AW$55,47,0)+VLOOKUP($B55,'[4]Delta Monthly'!$A$1:$AW$55,49,0)</f>
        <v>0</v>
      </c>
      <c r="Y55" s="305">
        <f>SUM(R55:X55)</f>
        <v>0</v>
      </c>
      <c r="Z55" s="290">
        <f>VLOOKUP($B55,'[3]Delta Yearly'!$A$1:$AC$55,5,0)</f>
        <v>0</v>
      </c>
      <c r="AA55" s="305">
        <f>VLOOKUP($B55,'[3]Delta Yearly'!$A$1:$AC$55,7,FALSE)+VLOOKUP($B55,'[3]Delta Yearly'!$A$1:$AC$55,9,FALSE)+VLOOKUP($B55,'[3]Delta Yearly'!$A$1:$AC$55,11,FALSE)+VLOOKUP($B55,'[3]Delta Yearly'!$A$1:$AC$55,13,FALSE)+VLOOKUP($B55,'[3]Delta Yearly'!$A$1:$AC$55,15,FALSE)+VLOOKUP($B55,'[3]Delta Yearly'!$A$1:$AC$55,17,FALSE)+VLOOKUP($B55,'[3]Delta Yearly'!$A$1:$AC$55,19,FALSE)+VLOOKUP($B55,'[3]Delta Yearly'!$A$1:$AC$55,21,FALSE)+VLOOKUP($B55,'[3]Delta Yearly'!$A$1:$AC$55,23,FALSE)+VLOOKUP($B55,'[3]Delta Yearly'!$A$1:$AC$55,25,FALSE)+VLOOKUP($B55,'[3]Delta Yearly'!$A$1:$AC$55,27,FALSE)+VLOOKUP($B55,'[3]Delta Yearly'!$A$1:$AC$55,29,FALSE)</f>
        <v>0</v>
      </c>
      <c r="AB55" s="305">
        <f>SUM(AA55,Z55,Y55,Q55)</f>
        <v>7991.6231831567402</v>
      </c>
      <c r="AC55" s="268"/>
      <c r="AD55" s="306"/>
      <c r="AE55" s="269"/>
      <c r="AF55" s="269"/>
      <c r="AG55" s="269"/>
      <c r="AH55" s="269"/>
      <c r="AI55" s="269"/>
      <c r="AJ55" s="269"/>
    </row>
    <row r="56" spans="1:36" s="270" customFormat="1" ht="12" customHeight="1" x14ac:dyDescent="0.25">
      <c r="A56" s="297"/>
      <c r="B56" s="274"/>
      <c r="C56" s="305"/>
      <c r="D56" s="308"/>
      <c r="E56" s="318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305"/>
      <c r="R56" s="277"/>
      <c r="S56" s="277"/>
      <c r="T56" s="277"/>
      <c r="U56" s="277"/>
      <c r="V56" s="277"/>
      <c r="W56" s="277"/>
      <c r="X56" s="277"/>
      <c r="Y56" s="305"/>
      <c r="Z56" s="290"/>
      <c r="AA56" s="305"/>
      <c r="AB56" s="305"/>
      <c r="AC56" s="268"/>
      <c r="AD56" s="306"/>
      <c r="AE56" s="269"/>
      <c r="AF56" s="269"/>
      <c r="AG56" s="269"/>
      <c r="AH56" s="269"/>
      <c r="AI56" s="269"/>
      <c r="AJ56" s="269"/>
    </row>
    <row r="57" spans="1:36" s="270" customFormat="1" ht="12" customHeight="1" x14ac:dyDescent="0.25">
      <c r="A57" s="297" t="s">
        <v>111</v>
      </c>
      <c r="B57" s="274" t="s">
        <v>112</v>
      </c>
      <c r="C57" s="305" t="s">
        <v>114</v>
      </c>
      <c r="D57" s="308">
        <f ca="1">'E. VaR &amp; Peak Pos By Trader'!E57</f>
        <v>0</v>
      </c>
      <c r="E57" s="318">
        <f ca="1">'E. VaR &amp; Peak Pos By Trader'!F57</f>
        <v>0</v>
      </c>
      <c r="F57" s="277">
        <f>VLOOKUP($B57,'[4]Delta Monthly'!$A$1:$AW$55,5,1)</f>
        <v>0</v>
      </c>
      <c r="G57" s="277">
        <f>VLOOKUP($B57,'[4]Delta Monthly'!$A$1:$AW$55,7,1)</f>
        <v>0</v>
      </c>
      <c r="H57" s="277">
        <f>VLOOKUP($B57,'[4]Delta Monthly'!$A$1:$AW$55,9,1)</f>
        <v>0</v>
      </c>
      <c r="I57" s="277">
        <f>VLOOKUP($B57,'[4]Delta Monthly'!$A$1:$AW$55,11,0)</f>
        <v>0</v>
      </c>
      <c r="J57" s="277">
        <f>VLOOKUP($B57,'[4]Delta Monthly'!$A$1:$AW$55,13,0)</f>
        <v>0</v>
      </c>
      <c r="K57" s="277">
        <f>VLOOKUP($B57,'[4]Delta Monthly'!$A$1:$AW$55,15,0)</f>
        <v>0</v>
      </c>
      <c r="L57" s="277">
        <f>+VLOOKUP($B57,'[4]Delta Monthly'!$A$1:$AW$55,17,0)</f>
        <v>0</v>
      </c>
      <c r="M57" s="277">
        <f>VLOOKUP($B57,'[4]Delta Monthly'!$A$1:$AW$55,19,0)</f>
        <v>0</v>
      </c>
      <c r="N57" s="277">
        <f>VLOOKUP($B57,'[4]Delta Monthly'!$A$1:$AW$55,21,FALSE)</f>
        <v>0</v>
      </c>
      <c r="O57" s="277">
        <f>VLOOKUP($B57,'[4]Delta Monthly'!$A$1:$AW$55,23,FALSE)</f>
        <v>0</v>
      </c>
      <c r="P57" s="277">
        <f>VLOOKUP($B57,'[4]Delta Monthly'!$A$1:$AW$55,25,FALSE)</f>
        <v>0</v>
      </c>
      <c r="Q57" s="305">
        <f>SUM(F57:P57)</f>
        <v>0</v>
      </c>
      <c r="R57" s="277">
        <f>VLOOKUP($B57,'[4]Delta Monthly'!$A$1:$AW$55,27,0)+VLOOKUP($B57,'[4]Delta Monthly'!$A$1:$AW$55,29,0)</f>
        <v>0</v>
      </c>
      <c r="S57" s="277">
        <f>VLOOKUP($B57,'[4]Delta Monthly'!$A$1:$AW$55,31,0)+VLOOKUP($B57,'[4]Delta Monthly'!$A$1:$AW$55,33,0)</f>
        <v>0</v>
      </c>
      <c r="T57" s="277">
        <f>VLOOKUP($B57,'[4]Delta Monthly'!$A$1:$AW$55,35,0)</f>
        <v>0</v>
      </c>
      <c r="U57" s="277">
        <f>VLOOKUP($B57,'[4]Delta Monthly'!$A$1:$AW$55,37,0)</f>
        <v>0</v>
      </c>
      <c r="V57" s="277">
        <f>VLOOKUP($B57,'[4]Delta Monthly'!$A$1:$AW$55,39,0)+VLOOKUP($B57,'[4]Delta Monthly'!$A$1:$AW$55,41,0)</f>
        <v>0</v>
      </c>
      <c r="W57" s="277">
        <f>VLOOKUP($B57,'[4]Delta Monthly'!$A$1:$AW$55,43,0)</f>
        <v>0</v>
      </c>
      <c r="X57" s="277">
        <f>VLOOKUP($B57,'[4]Delta Monthly'!$A$1:$AW$55,45,0)+VLOOKUP($B57,'[4]Delta Monthly'!$A$1:$AW$55,47,0)+VLOOKUP($B57,'[4]Delta Monthly'!$A$1:$AW$55,49,0)</f>
        <v>0</v>
      </c>
      <c r="Y57" s="305">
        <f>SUM(R57:X57)</f>
        <v>0</v>
      </c>
      <c r="Z57" s="290">
        <f>VLOOKUP($B57,'[3]Delta Yearly'!$A$1:$AC$55,5,0)</f>
        <v>0</v>
      </c>
      <c r="AA57" s="305">
        <f>VLOOKUP($B57,'[3]Delta Yearly'!$A$1:$AC$55,7,FALSE)+VLOOKUP($B57,'[3]Delta Yearly'!$A$1:$AC$55,9,FALSE)+VLOOKUP($B57,'[3]Delta Yearly'!$A$1:$AC$55,11,FALSE)+VLOOKUP($B57,'[3]Delta Yearly'!$A$1:$AC$55,13,FALSE)+VLOOKUP($B57,'[3]Delta Yearly'!$A$1:$AC$55,15,FALSE)+VLOOKUP($B57,'[3]Delta Yearly'!$A$1:$AC$55,17,FALSE)+VLOOKUP($B57,'[3]Delta Yearly'!$A$1:$AC$55,19,FALSE)+VLOOKUP($B57,'[3]Delta Yearly'!$A$1:$AC$55,21,FALSE)+VLOOKUP($B57,'[3]Delta Yearly'!$A$1:$AC$55,23,FALSE)+VLOOKUP($B57,'[3]Delta Yearly'!$A$1:$AC$55,25,FALSE)+VLOOKUP($B57,'[3]Delta Yearly'!$A$1:$AC$55,27,FALSE)+VLOOKUP($B57,'[3]Delta Yearly'!$A$1:$AC$55,29,FALSE)</f>
        <v>0</v>
      </c>
      <c r="AB57" s="305">
        <f>SUM(AA57,Z57,Y57,Q57)</f>
        <v>0</v>
      </c>
      <c r="AC57" s="268"/>
      <c r="AD57" s="306"/>
      <c r="AE57" s="269"/>
      <c r="AF57" s="269"/>
      <c r="AG57" s="269"/>
      <c r="AH57" s="269"/>
      <c r="AI57" s="269"/>
      <c r="AJ57" s="269"/>
    </row>
    <row r="58" spans="1:36" s="270" customFormat="1" ht="12" customHeight="1" thickBot="1" x14ac:dyDescent="0.3">
      <c r="A58" s="317"/>
      <c r="B58" s="274"/>
      <c r="C58" s="305"/>
      <c r="D58" s="308"/>
      <c r="E58" s="358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311"/>
      <c r="R58" s="287"/>
      <c r="S58" s="287"/>
      <c r="T58" s="287"/>
      <c r="U58" s="287"/>
      <c r="V58" s="287"/>
      <c r="W58" s="287"/>
      <c r="X58" s="287"/>
      <c r="Y58" s="305"/>
      <c r="Z58" s="312"/>
      <c r="AA58" s="311"/>
      <c r="AB58" s="311"/>
      <c r="AC58" s="268"/>
      <c r="AD58" s="306"/>
      <c r="AE58" s="269"/>
      <c r="AF58" s="269"/>
      <c r="AG58" s="269"/>
      <c r="AH58" s="269"/>
      <c r="AI58" s="269"/>
      <c r="AJ58" s="269"/>
    </row>
    <row r="59" spans="1:36" s="270" customFormat="1" ht="12" customHeight="1" thickBot="1" x14ac:dyDescent="0.3">
      <c r="A59" s="321" t="s">
        <v>115</v>
      </c>
      <c r="B59" s="322" t="s">
        <v>115</v>
      </c>
      <c r="C59" s="323"/>
      <c r="D59" s="359">
        <f ca="1">'E. VaR &amp; Peak Pos By Trader'!E59</f>
        <v>4052299.0789658399</v>
      </c>
      <c r="E59" s="323">
        <f ca="1">'E. VaR &amp; Peak Pos By Trader'!F59</f>
        <v>-836668.98213697039</v>
      </c>
      <c r="F59" s="325">
        <f t="shared" ref="F59:M59" si="4">SUM(F43,F45,F47,F49,F51,F53,F55)</f>
        <v>0</v>
      </c>
      <c r="G59" s="325">
        <f t="shared" si="4"/>
        <v>0</v>
      </c>
      <c r="H59" s="325">
        <f t="shared" si="4"/>
        <v>0</v>
      </c>
      <c r="I59" s="325">
        <f t="shared" si="4"/>
        <v>0</v>
      </c>
      <c r="J59" s="325">
        <f t="shared" si="4"/>
        <v>0</v>
      </c>
      <c r="K59" s="325">
        <f t="shared" si="4"/>
        <v>0</v>
      </c>
      <c r="L59" s="325">
        <f t="shared" si="4"/>
        <v>0</v>
      </c>
      <c r="M59" s="325">
        <f t="shared" si="4"/>
        <v>0</v>
      </c>
      <c r="N59" s="325">
        <f t="shared" ref="N59:AB59" si="5">SUM(N43,N45,N47,N49,N51,N53,N55,N57)</f>
        <v>0</v>
      </c>
      <c r="O59" s="325">
        <f t="shared" si="5"/>
        <v>188749.38776378034</v>
      </c>
      <c r="P59" s="325">
        <f t="shared" si="5"/>
        <v>90663.73332819542</v>
      </c>
      <c r="Q59" s="323">
        <f t="shared" si="5"/>
        <v>279413.12109197571</v>
      </c>
      <c r="R59" s="325">
        <f t="shared" si="5"/>
        <v>35415.159063322906</v>
      </c>
      <c r="S59" s="325">
        <f t="shared" si="5"/>
        <v>-39702.608741149597</v>
      </c>
      <c r="T59" s="325">
        <f t="shared" si="5"/>
        <v>-96562.758434183284</v>
      </c>
      <c r="U59" s="325">
        <f t="shared" si="5"/>
        <v>-31614.779299892878</v>
      </c>
      <c r="V59" s="325">
        <f t="shared" si="5"/>
        <v>128723.70143572988</v>
      </c>
      <c r="W59" s="325">
        <f t="shared" si="5"/>
        <v>-22036.975824754292</v>
      </c>
      <c r="X59" s="325">
        <f t="shared" si="5"/>
        <v>18993.313864328142</v>
      </c>
      <c r="Y59" s="323">
        <f t="shared" si="5"/>
        <v>-6784.9479365992011</v>
      </c>
      <c r="Z59" s="323">
        <f t="shared" si="5"/>
        <v>-1630659.3927045311</v>
      </c>
      <c r="AA59" s="326">
        <f t="shared" si="5"/>
        <v>-5364416.4167288961</v>
      </c>
      <c r="AB59" s="323">
        <f t="shared" si="5"/>
        <v>-6722447.6362780528</v>
      </c>
      <c r="AC59" s="268"/>
      <c r="AD59" s="306"/>
      <c r="AE59" s="269"/>
      <c r="AF59" s="269"/>
      <c r="AG59" s="269"/>
      <c r="AH59" s="269"/>
      <c r="AI59" s="269"/>
      <c r="AJ59" s="269"/>
    </row>
    <row r="60" spans="1:36" s="270" customFormat="1" ht="12" customHeight="1" thickBot="1" x14ac:dyDescent="0.3">
      <c r="A60" s="327"/>
      <c r="B60" s="327"/>
      <c r="C60" s="328"/>
      <c r="D60" s="328"/>
      <c r="E60" s="328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8"/>
      <c r="R60" s="328"/>
      <c r="S60" s="287"/>
      <c r="T60" s="287"/>
      <c r="U60" s="287"/>
      <c r="V60" s="287"/>
      <c r="W60" s="287"/>
      <c r="X60" s="287"/>
      <c r="Y60" s="287"/>
      <c r="Z60" s="360"/>
      <c r="AA60" s="294"/>
      <c r="AB60" s="287"/>
      <c r="AC60" s="268"/>
      <c r="AD60" s="306"/>
      <c r="AE60" s="269"/>
      <c r="AF60" s="269"/>
      <c r="AG60" s="269"/>
      <c r="AH60" s="269"/>
      <c r="AI60" s="269"/>
      <c r="AJ60" s="269"/>
    </row>
    <row r="61" spans="1:36" s="270" customFormat="1" ht="12" customHeight="1" thickBot="1" x14ac:dyDescent="0.3">
      <c r="A61" s="279"/>
      <c r="B61" s="280"/>
      <c r="C61" s="282" t="s">
        <v>26</v>
      </c>
      <c r="D61" s="301">
        <f ca="1">'E. VaR &amp; Peak Pos By Trader'!E61</f>
        <v>3000000</v>
      </c>
      <c r="E61" s="282"/>
      <c r="F61" s="284"/>
      <c r="G61" s="284"/>
      <c r="H61" s="284"/>
      <c r="I61" s="284" t="s">
        <v>117</v>
      </c>
      <c r="J61" s="284"/>
      <c r="K61" s="284"/>
      <c r="L61" s="284"/>
      <c r="M61" s="284"/>
      <c r="N61" s="284"/>
      <c r="O61" s="284"/>
      <c r="P61" s="284"/>
      <c r="Q61" s="301"/>
      <c r="R61" s="301"/>
      <c r="S61" s="284"/>
      <c r="T61" s="284"/>
      <c r="U61" s="284"/>
      <c r="V61" s="284"/>
      <c r="W61" s="284"/>
      <c r="X61" s="284"/>
      <c r="Y61" s="282"/>
      <c r="Z61" s="282"/>
      <c r="AA61" s="283"/>
      <c r="AB61" s="282"/>
      <c r="AC61" s="268"/>
      <c r="AD61" s="306"/>
      <c r="AE61" s="269"/>
      <c r="AF61" s="269"/>
      <c r="AG61" s="269"/>
      <c r="AH61" s="269"/>
      <c r="AI61" s="269"/>
      <c r="AJ61" s="269"/>
    </row>
    <row r="62" spans="1:36" s="270" customFormat="1" ht="12" customHeight="1" x14ac:dyDescent="0.25">
      <c r="A62" s="297"/>
      <c r="B62" s="275"/>
      <c r="C62" s="305"/>
      <c r="D62" s="308"/>
      <c r="E62" s="318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361"/>
      <c r="R62" s="362"/>
      <c r="S62" s="363"/>
      <c r="T62" s="363"/>
      <c r="U62" s="363"/>
      <c r="V62" s="363"/>
      <c r="W62" s="363"/>
      <c r="X62" s="364"/>
      <c r="Y62" s="361"/>
      <c r="Z62" s="361"/>
      <c r="AA62" s="287"/>
      <c r="AB62" s="305"/>
      <c r="AC62" s="268"/>
      <c r="AD62" s="306"/>
      <c r="AE62" s="269"/>
      <c r="AF62" s="269"/>
      <c r="AG62" s="269"/>
      <c r="AH62" s="269"/>
      <c r="AI62" s="269"/>
      <c r="AJ62" s="269"/>
    </row>
    <row r="63" spans="1:36" s="270" customFormat="1" ht="12" customHeight="1" x14ac:dyDescent="0.25">
      <c r="A63" s="297" t="s">
        <v>118</v>
      </c>
      <c r="B63" s="274" t="s">
        <v>119</v>
      </c>
      <c r="C63" s="305" t="s">
        <v>121</v>
      </c>
      <c r="D63" s="308">
        <f ca="1">'E. VaR &amp; Peak Pos By Trader'!E63</f>
        <v>993392.69712313311</v>
      </c>
      <c r="E63" s="318">
        <f ca="1">'E. VaR &amp; Peak Pos By Trader'!F63</f>
        <v>-45681.212409936939</v>
      </c>
      <c r="F63" s="277">
        <f>VLOOKUP($B63,'[4]Delta Monthly'!$A$1:$AW$55,5,1)</f>
        <v>0</v>
      </c>
      <c r="G63" s="277">
        <f>VLOOKUP($B63,'[4]Delta Monthly'!$A$1:$AW$55,7,1)</f>
        <v>0</v>
      </c>
      <c r="H63" s="277">
        <f>VLOOKUP($B63,'[4]Delta Monthly'!$A$1:$AW$55,9,1)</f>
        <v>0</v>
      </c>
      <c r="I63" s="277">
        <f>VLOOKUP($B63,'[4]Delta Monthly'!$A$1:$AW$55,11,0)</f>
        <v>0</v>
      </c>
      <c r="J63" s="277">
        <f>VLOOKUP($B63,'[4]Delta Monthly'!$A$1:$AW$55,13,0)</f>
        <v>0</v>
      </c>
      <c r="K63" s="277">
        <f>VLOOKUP($B63,'[4]Delta Monthly'!$A$1:$AW$55,15,0)</f>
        <v>0</v>
      </c>
      <c r="L63" s="277">
        <f>+VLOOKUP($B63,'[4]Delta Monthly'!$A$1:$AW$55,17,0)</f>
        <v>0</v>
      </c>
      <c r="M63" s="277">
        <f>VLOOKUP($B63,'[4]Delta Monthly'!$A$1:$AW$55,19,0)</f>
        <v>0</v>
      </c>
      <c r="N63" s="277">
        <f>VLOOKUP($B63,'[4]Delta Monthly'!$A$1:$AW$55,21,FALSE)</f>
        <v>0</v>
      </c>
      <c r="O63" s="277">
        <f>VLOOKUP($B63,'[4]Delta Monthly'!$A$1:$AW$55,23,FALSE)</f>
        <v>0</v>
      </c>
      <c r="P63" s="277">
        <f>VLOOKUP($B63,'[4]Delta Monthly'!$A$1:$AW$55,25,FALSE)</f>
        <v>-21122.459582826465</v>
      </c>
      <c r="Q63" s="305">
        <f>SUM(F63:P63)</f>
        <v>-21122.459582826465</v>
      </c>
      <c r="R63" s="308">
        <f>VLOOKUP($B63,'[4]Delta Monthly'!$A$1:$AW$55,27,0)+VLOOKUP($B63,'[4]Delta Monthly'!$A$1:$AW$55,29,0)</f>
        <v>-110904.4304583567</v>
      </c>
      <c r="S63" s="277">
        <f>VLOOKUP($B63,'[4]Delta Monthly'!$A$1:$AW$55,31,0)+VLOOKUP($B63,'[4]Delta Monthly'!$A$1:$AW$55,33,0)</f>
        <v>-115115.37752779381</v>
      </c>
      <c r="T63" s="277">
        <f>VLOOKUP($B63,'[4]Delta Monthly'!$A$1:$AW$55,35,0)</f>
        <v>-58051.623077280303</v>
      </c>
      <c r="U63" s="277">
        <f>VLOOKUP($B63,'[4]Delta Monthly'!$A$1:$AW$55,37,0)</f>
        <v>-59112.880430216697</v>
      </c>
      <c r="V63" s="277">
        <f>VLOOKUP($B63,'[4]Delta Monthly'!$A$1:$AW$55,39,0)+VLOOKUP($B63,'[4]Delta Monthly'!$A$1:$AW$55,41,0)</f>
        <v>-115460.4634546203</v>
      </c>
      <c r="W63" s="277">
        <f>VLOOKUP($B63,'[4]Delta Monthly'!$A$1:$AW$55,43,0)</f>
        <v>-58693.599925107301</v>
      </c>
      <c r="X63" s="277">
        <f>VLOOKUP($B63,'[4]Delta Monthly'!$A$1:$AW$55,45,0)+VLOOKUP($B63,'[4]Delta Monthly'!$A$1:$AW$55,47,0)+VLOOKUP($B63,'[4]Delta Monthly'!$A$1:$AW$55,49,0)</f>
        <v>-172918.87736265481</v>
      </c>
      <c r="Y63" s="305">
        <f>SUM(R63:X63)</f>
        <v>-690257.25223602995</v>
      </c>
      <c r="Z63" s="305">
        <f>VLOOKUP($B63,'[3]Delta Yearly'!$A$1:$AC$55,5,0)</f>
        <v>-443878.71046399162</v>
      </c>
      <c r="AA63" s="287">
        <f>VLOOKUP($B63,'[3]Delta Yearly'!$A$1:$AC$55,7,FALSE)+VLOOKUP($B63,'[3]Delta Yearly'!$A$1:$AC$55,9,FALSE)+VLOOKUP($B63,'[3]Delta Yearly'!$A$1:$AC$55,11,FALSE)+VLOOKUP($B63,'[3]Delta Yearly'!$A$1:$AC$55,13,FALSE)+VLOOKUP($B63,'[3]Delta Yearly'!$A$1:$AC$55,15,FALSE)+VLOOKUP($B63,'[3]Delta Yearly'!$A$1:$AC$55,17,FALSE)+VLOOKUP($B63,'[3]Delta Yearly'!$A$1:$AC$55,19,FALSE)+VLOOKUP($B63,'[3]Delta Yearly'!$A$1:$AC$55,21,FALSE)+VLOOKUP($B63,'[3]Delta Yearly'!$A$1:$AC$55,23,FALSE)+VLOOKUP($B63,'[3]Delta Yearly'!$A$1:$AC$55,25,FALSE)+VLOOKUP($B63,'[3]Delta Yearly'!$A$1:$AC$55,27,FALSE)+VLOOKUP($B63,'[3]Delta Yearly'!$A$1:$AC$55,29,FALSE)</f>
        <v>1042297.0965884981</v>
      </c>
      <c r="AB63" s="305">
        <f>SUM(AA63,Z63,Y63,Q63)</f>
        <v>-112961.32569434994</v>
      </c>
      <c r="AC63" s="268"/>
      <c r="AD63" s="306"/>
      <c r="AE63" s="269"/>
      <c r="AF63" s="269"/>
      <c r="AG63" s="269"/>
      <c r="AH63" s="269"/>
      <c r="AI63" s="269"/>
      <c r="AJ63" s="269"/>
    </row>
    <row r="64" spans="1:36" s="270" customFormat="1" ht="12" customHeight="1" x14ac:dyDescent="0.25">
      <c r="A64" s="297"/>
      <c r="B64" s="275"/>
      <c r="C64" s="305"/>
      <c r="D64" s="308"/>
      <c r="E64" s="318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361"/>
      <c r="R64" s="362"/>
      <c r="S64" s="363"/>
      <c r="T64" s="363"/>
      <c r="U64" s="363"/>
      <c r="V64" s="363"/>
      <c r="W64" s="363"/>
      <c r="X64" s="363"/>
      <c r="Y64" s="361"/>
      <c r="Z64" s="361"/>
      <c r="AA64" s="287"/>
      <c r="AB64" s="305"/>
      <c r="AC64" s="268"/>
      <c r="AD64" s="306"/>
      <c r="AE64" s="269"/>
      <c r="AF64" s="269"/>
      <c r="AG64" s="269"/>
      <c r="AH64" s="269"/>
      <c r="AI64" s="269"/>
      <c r="AJ64" s="269"/>
    </row>
    <row r="65" spans="1:36" s="270" customFormat="1" ht="12" customHeight="1" x14ac:dyDescent="0.25">
      <c r="A65" s="297" t="s">
        <v>122</v>
      </c>
      <c r="B65" s="274" t="s">
        <v>123</v>
      </c>
      <c r="C65" s="305" t="s">
        <v>125</v>
      </c>
      <c r="D65" s="318">
        <f ca="1">'E. VaR &amp; Peak Pos By Trader'!E65</f>
        <v>1716885.3298042901</v>
      </c>
      <c r="E65" s="318">
        <f ca="1">'E. VaR &amp; Peak Pos By Trader'!F65</f>
        <v>130927.65311918012</v>
      </c>
      <c r="F65" s="277">
        <v>0</v>
      </c>
      <c r="G65" s="277">
        <v>0</v>
      </c>
      <c r="H65" s="277">
        <v>0</v>
      </c>
      <c r="I65" s="277">
        <f>VLOOKUP($B65,'[4]Delta Monthly'!$A$1:$AW$55,11,0)</f>
        <v>0</v>
      </c>
      <c r="J65" s="277">
        <f>VLOOKUP($B65,'[4]Delta Monthly'!$A$1:$AW$55,13,0)</f>
        <v>0</v>
      </c>
      <c r="K65" s="277">
        <f>VLOOKUP($B65,'[4]Delta Monthly'!$A$1:$AW$55,15,0)</f>
        <v>0</v>
      </c>
      <c r="L65" s="277">
        <f>+VLOOKUP($B65,'[4]Delta Monthly'!$A$1:$AW$55,17,0)</f>
        <v>0</v>
      </c>
      <c r="M65" s="277">
        <f>VLOOKUP($B65,'[4]Delta Monthly'!$A$1:$AW$55,19,0)</f>
        <v>0</v>
      </c>
      <c r="N65" s="277">
        <f>VLOOKUP($B65,'[4]Delta Monthly'!$A$1:$AW$55,21,FALSE)</f>
        <v>0</v>
      </c>
      <c r="O65" s="277">
        <f>VLOOKUP($B65,'[4]Delta Monthly'!$A$1:$AW$55,23,FALSE)</f>
        <v>0</v>
      </c>
      <c r="P65" s="277">
        <f>VLOOKUP($B65,'[4]Delta Monthly'!$A$1:$AW$55,25,FALSE)</f>
        <v>0</v>
      </c>
      <c r="Q65" s="289">
        <f>SUM(F65:P65)</f>
        <v>0</v>
      </c>
      <c r="R65" s="308">
        <f>VLOOKUP($B65,'[4]Delta Monthly'!$A$1:$AW$55,27,0)+VLOOKUP($B65,'[4]Delta Monthly'!$A$1:$AW$55,29,0)</f>
        <v>0</v>
      </c>
      <c r="S65" s="277">
        <f>VLOOKUP($B65,'[4]Delta Monthly'!$A$1:$AW$55,31,0)+VLOOKUP($B65,'[4]Delta Monthly'!$A$1:$AW$55,33,0)</f>
        <v>0</v>
      </c>
      <c r="T65" s="277">
        <f>VLOOKUP($B65,'[4]Delta Monthly'!$A$1:$AW$55,35,0)</f>
        <v>0</v>
      </c>
      <c r="U65" s="277">
        <f>VLOOKUP($B65,'[4]Delta Monthly'!$A$1:$AW$55,37,0)</f>
        <v>0</v>
      </c>
      <c r="V65" s="277">
        <f>VLOOKUP($B65,'[4]Delta Monthly'!$A$1:$AW$55,39,0)+VLOOKUP($B65,'[4]Delta Monthly'!$A$1:$AW$55,41,0)</f>
        <v>0</v>
      </c>
      <c r="W65" s="277">
        <f>VLOOKUP($B65,'[4]Delta Monthly'!$A$1:$AW$55,43,0)</f>
        <v>0</v>
      </c>
      <c r="X65" s="277">
        <f>VLOOKUP($B65,'[4]Delta Monthly'!$A$1:$AW$55,45,0)+VLOOKUP($B65,'[4]Delta Monthly'!$A$1:$AW$55,47,0)+VLOOKUP($B65,'[4]Delta Monthly'!$A$1:$AW$55,49,0)</f>
        <v>0</v>
      </c>
      <c r="Y65" s="305">
        <f>SUM(R65:X65)</f>
        <v>0</v>
      </c>
      <c r="Z65" s="290">
        <f>VLOOKUP($B65,'[3]Delta Yearly'!$A$1:$AC$55,5,0)</f>
        <v>0</v>
      </c>
      <c r="AA65" s="290">
        <f>VLOOKUP($B65,'[3]Delta Yearly'!$A$1:$AC$55,7,FALSE)+VLOOKUP($B65,'[3]Delta Yearly'!$A$1:$AC$55,9,FALSE)+VLOOKUP($B65,'[3]Delta Yearly'!$A$1:$AC$55,11,FALSE)+VLOOKUP($B65,'[3]Delta Yearly'!$A$1:$AC$55,13,FALSE)+VLOOKUP($B65,'[3]Delta Yearly'!$A$1:$AC$55,15,FALSE)+VLOOKUP($B65,'[3]Delta Yearly'!$A$1:$AC$55,17,FALSE)+VLOOKUP($B65,'[3]Delta Yearly'!$A$1:$AC$55,19,FALSE)+VLOOKUP($B65,'[3]Delta Yearly'!$A$1:$AC$55,21,FALSE)+VLOOKUP($B65,'[3]Delta Yearly'!$A$1:$AC$55,23,FALSE)+VLOOKUP($B65,'[3]Delta Yearly'!$A$1:$AC$55,25,FALSE)+VLOOKUP($B65,'[3]Delta Yearly'!$A$1:$AC$55,27,FALSE)+VLOOKUP($B65,'[3]Delta Yearly'!$A$1:$AC$55,29,FALSE)</f>
        <v>0</v>
      </c>
      <c r="AB65" s="290">
        <f>SUM(AA65,Z65,Y65,Q65)</f>
        <v>0</v>
      </c>
      <c r="AC65" s="287"/>
      <c r="AD65" s="306"/>
      <c r="AE65" s="269"/>
      <c r="AF65" s="269"/>
      <c r="AG65" s="269"/>
      <c r="AH65" s="269"/>
      <c r="AI65" s="269"/>
      <c r="AJ65" s="269"/>
    </row>
    <row r="66" spans="1:36" s="270" customFormat="1" ht="12" customHeight="1" x14ac:dyDescent="0.25">
      <c r="A66" s="297"/>
      <c r="B66" s="275"/>
      <c r="C66" s="305"/>
      <c r="D66" s="308"/>
      <c r="E66" s="318"/>
      <c r="F66" s="277"/>
      <c r="G66" s="277"/>
      <c r="H66" s="277"/>
      <c r="I66" s="277"/>
      <c r="J66" s="277"/>
      <c r="K66" s="277"/>
      <c r="L66" s="277"/>
      <c r="M66" s="277"/>
      <c r="N66" s="277"/>
      <c r="O66" s="277"/>
      <c r="P66" s="277"/>
      <c r="Q66" s="361"/>
      <c r="R66" s="362"/>
      <c r="S66" s="363"/>
      <c r="T66" s="363"/>
      <c r="U66" s="363"/>
      <c r="V66" s="363"/>
      <c r="W66" s="363"/>
      <c r="X66" s="363"/>
      <c r="Y66" s="361"/>
      <c r="Z66" s="361"/>
      <c r="AA66" s="287"/>
      <c r="AB66" s="305"/>
      <c r="AC66" s="268"/>
      <c r="AD66" s="306"/>
      <c r="AE66" s="269"/>
      <c r="AF66" s="269"/>
      <c r="AG66" s="269"/>
      <c r="AH66" s="269"/>
      <c r="AI66" s="269"/>
      <c r="AJ66" s="269"/>
    </row>
    <row r="67" spans="1:36" s="270" customFormat="1" ht="12" customHeight="1" x14ac:dyDescent="0.25">
      <c r="A67" s="297" t="s">
        <v>126</v>
      </c>
      <c r="B67" s="274" t="s">
        <v>127</v>
      </c>
      <c r="C67" s="305" t="s">
        <v>129</v>
      </c>
      <c r="D67" s="308">
        <f ca="1">'E. VaR &amp; Peak Pos By Trader'!E67</f>
        <v>7520.5662196726698</v>
      </c>
      <c r="E67" s="318">
        <f ca="1">'E. VaR &amp; Peak Pos By Trader'!F67</f>
        <v>-2200.4747079174194</v>
      </c>
      <c r="F67" s="277">
        <f>VLOOKUP($B67,'[4]Delta Monthly'!$A$1:$AW$55,5,1)</f>
        <v>0</v>
      </c>
      <c r="G67" s="277">
        <f>VLOOKUP($B67,'[4]Delta Monthly'!$A$1:$AW$55,7,1)</f>
        <v>0</v>
      </c>
      <c r="H67" s="277">
        <f>VLOOKUP($B67,'[4]Delta Monthly'!$A$1:$AW$55,9,1)</f>
        <v>0</v>
      </c>
      <c r="I67" s="277">
        <f>VLOOKUP($B67,'[4]Delta Monthly'!$A$1:$AW$55,11,0)</f>
        <v>0</v>
      </c>
      <c r="J67" s="277">
        <f>VLOOKUP($B67,'[4]Delta Monthly'!$A$1:$AW$55,13,0)</f>
        <v>0</v>
      </c>
      <c r="K67" s="277">
        <f>VLOOKUP($B67,'[4]Delta Monthly'!$A$1:$AW$55,15,0)</f>
        <v>0</v>
      </c>
      <c r="L67" s="277">
        <f>+VLOOKUP($B67,'[4]Delta Monthly'!$A$1:$AW$55,17,0)</f>
        <v>0</v>
      </c>
      <c r="M67" s="277">
        <f>VLOOKUP($B67,'[4]Delta Monthly'!$A$1:$AW$55,19,0)</f>
        <v>0</v>
      </c>
      <c r="N67" s="277">
        <f>VLOOKUP($B67,'[4]Delta Monthly'!$A$1:$AW$55,21,FALSE)</f>
        <v>0</v>
      </c>
      <c r="O67" s="277">
        <f>VLOOKUP($B67,'[4]Delta Monthly'!$A$1:$AW$55,23,FALSE)</f>
        <v>399.58115915783799</v>
      </c>
      <c r="P67" s="277">
        <f>VLOOKUP($B67,'[4]Delta Monthly'!$A$1:$AW$55,25,FALSE)</f>
        <v>0</v>
      </c>
      <c r="Q67" s="361">
        <f>SUM(F67:P67)</f>
        <v>399.58115915783799</v>
      </c>
      <c r="R67" s="308">
        <f>VLOOKUP($B67,'[4]Delta Monthly'!$A$1:$AW$55,27,0)+VLOOKUP($B67,'[4]Delta Monthly'!$A$1:$AW$55,29,0)</f>
        <v>0</v>
      </c>
      <c r="S67" s="277">
        <f>VLOOKUP($B67,'[4]Delta Monthly'!$A$1:$AW$55,31,0)+VLOOKUP($B67,'[4]Delta Monthly'!$A$1:$AW$55,33,0)</f>
        <v>0</v>
      </c>
      <c r="T67" s="277">
        <f>VLOOKUP($B67,'[4]Delta Monthly'!$A$1:$AW$55,35,0)</f>
        <v>0</v>
      </c>
      <c r="U67" s="277">
        <f>VLOOKUP($B67,'[4]Delta Monthly'!$A$1:$AW$55,37,0)</f>
        <v>0</v>
      </c>
      <c r="V67" s="277">
        <f>VLOOKUP($B67,'[4]Delta Monthly'!$A$1:$AW$55,39,0)+VLOOKUP($B67,'[4]Delta Monthly'!$A$1:$AW$55,41,0)</f>
        <v>0</v>
      </c>
      <c r="W67" s="277">
        <f>VLOOKUP($B67,'[4]Delta Monthly'!$A$1:$AW$55,43,0)</f>
        <v>0</v>
      </c>
      <c r="X67" s="277">
        <f>VLOOKUP($B67,'[4]Delta Monthly'!$A$1:$AW$55,45,0)+VLOOKUP($B67,'[4]Delta Monthly'!$A$1:$AW$55,47,0)+VLOOKUP($B67,'[4]Delta Monthly'!$A$1:$AW$55,49,0)</f>
        <v>0</v>
      </c>
      <c r="Y67" s="305">
        <f>SUM(R67:X67)</f>
        <v>0</v>
      </c>
      <c r="Z67" s="305">
        <f>VLOOKUP($B67,'[3]Delta Yearly'!$A$1:$AC$55,5,0)</f>
        <v>0</v>
      </c>
      <c r="AA67" s="287">
        <f>VLOOKUP($B67,'[3]Delta Yearly'!$A$1:$AC$55,7,FALSE)+VLOOKUP($B67,'[3]Delta Yearly'!$A$1:$AC$55,9,FALSE)+VLOOKUP($B67,'[3]Delta Yearly'!$A$1:$AC$55,11,FALSE)+VLOOKUP($B67,'[3]Delta Yearly'!$A$1:$AC$55,13,FALSE)+VLOOKUP($B67,'[3]Delta Yearly'!$A$1:$AC$55,15,FALSE)+VLOOKUP($B67,'[3]Delta Yearly'!$A$1:$AC$55,17,FALSE)+VLOOKUP($B67,'[3]Delta Yearly'!$A$1:$AC$55,19,FALSE)+VLOOKUP($B67,'[3]Delta Yearly'!$A$1:$AC$55,21,FALSE)+VLOOKUP($B67,'[3]Delta Yearly'!$A$1:$AC$55,23,FALSE)+VLOOKUP($B67,'[3]Delta Yearly'!$A$1:$AC$55,25,FALSE)+VLOOKUP($B67,'[3]Delta Yearly'!$A$1:$AC$55,27,FALSE)+VLOOKUP($B67,'[3]Delta Yearly'!$A$1:$AC$55,29,FALSE)</f>
        <v>0</v>
      </c>
      <c r="AB67" s="305">
        <f>SUM(AA67,Z67,Y67,Q67)</f>
        <v>399.58115915783799</v>
      </c>
      <c r="AC67" s="268"/>
      <c r="AD67" s="306"/>
      <c r="AE67" s="269"/>
      <c r="AF67" s="269"/>
      <c r="AG67" s="269"/>
      <c r="AH67" s="269"/>
      <c r="AI67" s="269"/>
      <c r="AJ67" s="269"/>
    </row>
    <row r="68" spans="1:36" s="270" customFormat="1" ht="12" customHeight="1" x14ac:dyDescent="0.25">
      <c r="A68" s="297"/>
      <c r="B68" s="275"/>
      <c r="C68" s="305"/>
      <c r="D68" s="308"/>
      <c r="E68" s="318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361"/>
      <c r="R68" s="362"/>
      <c r="S68" s="363"/>
      <c r="T68" s="363"/>
      <c r="U68" s="363"/>
      <c r="V68" s="363"/>
      <c r="W68" s="363"/>
      <c r="X68" s="363"/>
      <c r="Y68" s="361"/>
      <c r="Z68" s="361"/>
      <c r="AA68" s="287"/>
      <c r="AB68" s="305"/>
      <c r="AC68" s="268"/>
      <c r="AD68" s="306"/>
      <c r="AE68" s="269"/>
      <c r="AF68" s="269"/>
      <c r="AG68" s="269"/>
      <c r="AH68" s="269"/>
      <c r="AI68" s="269"/>
      <c r="AJ68" s="269"/>
    </row>
    <row r="69" spans="1:36" s="270" customFormat="1" x14ac:dyDescent="0.25">
      <c r="A69" s="297" t="s">
        <v>130</v>
      </c>
      <c r="B69" s="274" t="s">
        <v>131</v>
      </c>
      <c r="C69" s="305" t="s">
        <v>133</v>
      </c>
      <c r="D69" s="308">
        <f ca="1">'E. VaR &amp; Peak Pos By Trader'!E69</f>
        <v>0</v>
      </c>
      <c r="E69" s="318">
        <f ca="1">'E. VaR &amp; Peak Pos By Trader'!F69</f>
        <v>0</v>
      </c>
      <c r="F69" s="277">
        <f>VLOOKUP($B69,'[4]Delta Monthly'!$A$1:$AW$55,5,1)</f>
        <v>0</v>
      </c>
      <c r="G69" s="277">
        <f>VLOOKUP($B69,'[4]Delta Monthly'!$A$1:$AW$55,7,1)</f>
        <v>0</v>
      </c>
      <c r="H69" s="277">
        <f>VLOOKUP($B69,'[4]Delta Monthly'!$A$1:$AW$55,9,1)</f>
        <v>0</v>
      </c>
      <c r="I69" s="277">
        <v>0</v>
      </c>
      <c r="J69" s="277">
        <v>0</v>
      </c>
      <c r="K69" s="277">
        <v>0</v>
      </c>
      <c r="L69" s="277">
        <f>+VLOOKUP($B69,'[4]Delta Monthly'!$A$1:$AW$55,17,0)</f>
        <v>0</v>
      </c>
      <c r="M69" s="277">
        <f>VLOOKUP($B69,'[4]Delta Monthly'!$A$1:$AW$55,19,0)</f>
        <v>0</v>
      </c>
      <c r="N69" s="277">
        <f>VLOOKUP($B69,'[4]Delta Monthly'!$A$1:$AW$55,21,FALSE)</f>
        <v>0</v>
      </c>
      <c r="O69" s="277">
        <f>VLOOKUP($B69,'[4]Delta Monthly'!$A$1:$AW$55,23,FALSE)</f>
        <v>0</v>
      </c>
      <c r="P69" s="277">
        <f>VLOOKUP($B69,'[4]Delta Monthly'!$A$1:$AW$55,25,FALSE)</f>
        <v>0</v>
      </c>
      <c r="Q69" s="361">
        <f>SUM(F69:P69)</f>
        <v>0</v>
      </c>
      <c r="R69" s="308">
        <f>VLOOKUP($B69,'[4]Delta Monthly'!$A$1:$AW$55,27,0)+VLOOKUP($B69,'[4]Delta Monthly'!$A$1:$AW$55,29,0)</f>
        <v>0</v>
      </c>
      <c r="S69" s="277">
        <f>VLOOKUP($B69,'[4]Delta Monthly'!$A$1:$AW$55,31,0)+VLOOKUP($B69,'[4]Delta Monthly'!$A$1:$AW$55,33,0)</f>
        <v>0</v>
      </c>
      <c r="T69" s="277">
        <f>VLOOKUP($B69,'[4]Delta Monthly'!$A$1:$AW$55,35,0)</f>
        <v>0</v>
      </c>
      <c r="U69" s="277">
        <f>VLOOKUP($B69,'[4]Delta Monthly'!$A$1:$AW$55,37,0)</f>
        <v>0</v>
      </c>
      <c r="V69" s="277">
        <f>VLOOKUP($B69,'[4]Delta Monthly'!$A$1:$AW$55,39,0)+VLOOKUP($B69,'[4]Delta Monthly'!$A$1:$AW$55,41,0)</f>
        <v>0</v>
      </c>
      <c r="W69" s="277">
        <f>VLOOKUP($B69,'[4]Delta Monthly'!$A$1:$AW$55,43,0)</f>
        <v>0</v>
      </c>
      <c r="X69" s="277">
        <f>VLOOKUP($B69,'[4]Delta Monthly'!$A$1:$AW$55,45,0)+VLOOKUP($B69,'[4]Delta Monthly'!$A$1:$AW$55,47,0)+VLOOKUP($B69,'[4]Delta Monthly'!$A$1:$AW$55,49,0)</f>
        <v>0</v>
      </c>
      <c r="Y69" s="305">
        <f>SUM(R69:X69)</f>
        <v>0</v>
      </c>
      <c r="Z69" s="305">
        <f>VLOOKUP($B69,'[3]Delta Yearly'!$A$1:$AC$55,5,0)</f>
        <v>0</v>
      </c>
      <c r="AA69" s="287">
        <f>VLOOKUP($B69,'[3]Delta Yearly'!$A$1:$AC$55,7,FALSE)+VLOOKUP($B69,'[3]Delta Yearly'!$A$1:$AC$55,9,FALSE)+VLOOKUP($B69,'[3]Delta Yearly'!$A$1:$AC$55,11,FALSE)+VLOOKUP($B69,'[3]Delta Yearly'!$A$1:$AC$55,13,FALSE)+VLOOKUP($B69,'[3]Delta Yearly'!$A$1:$AC$55,15,FALSE)+VLOOKUP($B69,'[3]Delta Yearly'!$A$1:$AC$55,17,FALSE)+VLOOKUP($B69,'[3]Delta Yearly'!$A$1:$AC$55,19,FALSE)+VLOOKUP($B69,'[3]Delta Yearly'!$A$1:$AC$55,21,FALSE)+VLOOKUP($B69,'[3]Delta Yearly'!$A$1:$AC$55,23,FALSE)+VLOOKUP($B69,'[3]Delta Yearly'!$A$1:$AC$55,25,FALSE)+VLOOKUP($B69,'[3]Delta Yearly'!$A$1:$AC$55,27,FALSE)+VLOOKUP($B69,'[3]Delta Yearly'!$A$1:$AC$55,29,FALSE)</f>
        <v>0</v>
      </c>
      <c r="AB69" s="305">
        <f>SUM(AA69,Z69,Y69,Q69)</f>
        <v>0</v>
      </c>
      <c r="AC69" s="268"/>
      <c r="AD69" s="306"/>
      <c r="AE69" s="269"/>
      <c r="AF69" s="269"/>
      <c r="AG69" s="269"/>
      <c r="AH69" s="269"/>
      <c r="AI69" s="269"/>
      <c r="AJ69" s="269"/>
    </row>
    <row r="70" spans="1:36" s="270" customFormat="1" ht="13.8" thickBot="1" x14ac:dyDescent="0.3">
      <c r="A70" s="297"/>
      <c r="B70" s="275"/>
      <c r="C70" s="305"/>
      <c r="D70" s="308"/>
      <c r="E70" s="318"/>
      <c r="F70" s="277"/>
      <c r="G70" s="277"/>
      <c r="H70" s="277"/>
      <c r="I70" s="277"/>
      <c r="J70" s="277"/>
      <c r="K70" s="277"/>
      <c r="L70" s="277"/>
      <c r="M70" s="277"/>
      <c r="N70" s="277"/>
      <c r="O70" s="277"/>
      <c r="P70" s="277"/>
      <c r="Q70" s="305"/>
      <c r="R70" s="289"/>
      <c r="S70" s="287"/>
      <c r="T70" s="287"/>
      <c r="U70" s="287"/>
      <c r="V70" s="287"/>
      <c r="W70" s="287"/>
      <c r="X70" s="287"/>
      <c r="Y70" s="305"/>
      <c r="Z70" s="305"/>
      <c r="AA70" s="287"/>
      <c r="AB70" s="305"/>
      <c r="AC70" s="268"/>
      <c r="AD70" s="306"/>
      <c r="AE70" s="269"/>
      <c r="AF70" s="269"/>
      <c r="AG70" s="269"/>
      <c r="AH70" s="269"/>
      <c r="AI70" s="269"/>
      <c r="AJ70" s="269"/>
    </row>
    <row r="71" spans="1:36" s="270" customFormat="1" ht="12" customHeight="1" thickBot="1" x14ac:dyDescent="0.3">
      <c r="A71" s="321" t="s">
        <v>134</v>
      </c>
      <c r="B71" s="322" t="s">
        <v>134</v>
      </c>
      <c r="C71" s="323"/>
      <c r="D71" s="359">
        <f ca="1">'E. VaR &amp; Peak Pos By Trader'!E71</f>
        <v>2393195.74499811</v>
      </c>
      <c r="E71" s="323">
        <f ca="1">'E. VaR &amp; Peak Pos By Trader'!F71</f>
        <v>11052.30271507008</v>
      </c>
      <c r="F71" s="325">
        <f t="shared" ref="F71:M71" si="6">SUM(F63,F67,F69)</f>
        <v>0</v>
      </c>
      <c r="G71" s="325">
        <f t="shared" si="6"/>
        <v>0</v>
      </c>
      <c r="H71" s="325">
        <f t="shared" si="6"/>
        <v>0</v>
      </c>
      <c r="I71" s="325">
        <f t="shared" si="6"/>
        <v>0</v>
      </c>
      <c r="J71" s="325">
        <f t="shared" si="6"/>
        <v>0</v>
      </c>
      <c r="K71" s="325">
        <f t="shared" si="6"/>
        <v>0</v>
      </c>
      <c r="L71" s="325">
        <f t="shared" si="6"/>
        <v>0</v>
      </c>
      <c r="M71" s="325">
        <f t="shared" si="6"/>
        <v>0</v>
      </c>
      <c r="N71" s="325">
        <f t="shared" ref="N71:AB71" si="7">SUM(N63,N65,N67,N69)</f>
        <v>0</v>
      </c>
      <c r="O71" s="325">
        <f t="shared" si="7"/>
        <v>399.58115915783799</v>
      </c>
      <c r="P71" s="325">
        <f t="shared" si="7"/>
        <v>-21122.459582826465</v>
      </c>
      <c r="Q71" s="365">
        <f t="shared" si="7"/>
        <v>-20722.878423668626</v>
      </c>
      <c r="R71" s="325">
        <f t="shared" si="7"/>
        <v>-110904.4304583567</v>
      </c>
      <c r="S71" s="325">
        <f t="shared" si="7"/>
        <v>-115115.37752779381</v>
      </c>
      <c r="T71" s="325">
        <f t="shared" si="7"/>
        <v>-58051.623077280303</v>
      </c>
      <c r="U71" s="325">
        <f t="shared" si="7"/>
        <v>-59112.880430216697</v>
      </c>
      <c r="V71" s="325">
        <f t="shared" si="7"/>
        <v>-115460.4634546203</v>
      </c>
      <c r="W71" s="325">
        <f t="shared" si="7"/>
        <v>-58693.599925107301</v>
      </c>
      <c r="X71" s="325">
        <f t="shared" si="7"/>
        <v>-172918.87736265481</v>
      </c>
      <c r="Y71" s="323">
        <f t="shared" si="7"/>
        <v>-690257.25223602995</v>
      </c>
      <c r="Z71" s="323">
        <f t="shared" si="7"/>
        <v>-443878.71046399162</v>
      </c>
      <c r="AA71" s="323">
        <f t="shared" si="7"/>
        <v>1042297.0965884981</v>
      </c>
      <c r="AB71" s="323">
        <f t="shared" si="7"/>
        <v>-112561.74453519211</v>
      </c>
      <c r="AC71" s="268"/>
      <c r="AD71" s="306"/>
      <c r="AE71" s="269"/>
      <c r="AF71" s="269"/>
      <c r="AG71" s="269"/>
      <c r="AH71" s="269"/>
      <c r="AI71" s="269"/>
      <c r="AJ71" s="269"/>
    </row>
    <row r="72" spans="1:36" s="270" customFormat="1" ht="12" customHeight="1" thickBot="1" x14ac:dyDescent="0.3">
      <c r="A72" s="327"/>
      <c r="B72" s="327"/>
      <c r="C72" s="328"/>
      <c r="D72" s="328"/>
      <c r="E72" s="328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8"/>
      <c r="R72" s="328"/>
      <c r="S72" s="287"/>
      <c r="T72" s="287"/>
      <c r="U72" s="287"/>
      <c r="V72" s="287"/>
      <c r="W72" s="287"/>
      <c r="X72" s="287"/>
      <c r="Y72" s="287"/>
      <c r="Z72" s="314"/>
      <c r="AA72" s="312"/>
      <c r="AB72" s="287"/>
      <c r="AC72" s="268"/>
      <c r="AD72" s="306"/>
      <c r="AE72" s="269"/>
      <c r="AF72" s="269"/>
      <c r="AG72" s="269"/>
      <c r="AH72" s="269"/>
      <c r="AI72" s="269"/>
      <c r="AJ72" s="269"/>
    </row>
    <row r="73" spans="1:36" s="270" customFormat="1" ht="12" customHeight="1" thickBot="1" x14ac:dyDescent="0.3">
      <c r="A73" s="279"/>
      <c r="B73" s="280"/>
      <c r="C73" s="282" t="s">
        <v>26</v>
      </c>
      <c r="D73" s="301">
        <f ca="1">'E. VaR &amp; Peak Pos By Trader'!E73</f>
        <v>5000000</v>
      </c>
      <c r="E73" s="283"/>
      <c r="F73" s="284"/>
      <c r="G73" s="284"/>
      <c r="H73" s="284"/>
      <c r="I73" s="284" t="s">
        <v>136</v>
      </c>
      <c r="J73" s="284"/>
      <c r="K73" s="284"/>
      <c r="L73" s="284"/>
      <c r="M73" s="284"/>
      <c r="N73" s="284"/>
      <c r="O73" s="284"/>
      <c r="P73" s="284"/>
      <c r="Q73" s="301"/>
      <c r="R73" s="301"/>
      <c r="S73" s="284"/>
      <c r="T73" s="284"/>
      <c r="U73" s="284"/>
      <c r="V73" s="284"/>
      <c r="W73" s="284"/>
      <c r="X73" s="284"/>
      <c r="Y73" s="282"/>
      <c r="Z73" s="283"/>
      <c r="AA73" s="283"/>
      <c r="AB73" s="282"/>
      <c r="AC73" s="268"/>
      <c r="AD73" s="306"/>
      <c r="AE73" s="269"/>
      <c r="AF73" s="269"/>
      <c r="AG73" s="269"/>
      <c r="AH73" s="269"/>
      <c r="AI73" s="269"/>
      <c r="AJ73" s="269"/>
    </row>
    <row r="74" spans="1:36" s="270" customFormat="1" ht="12" customHeight="1" x14ac:dyDescent="0.25">
      <c r="A74" s="271"/>
      <c r="B74" s="272"/>
      <c r="C74" s="303"/>
      <c r="D74" s="366"/>
      <c r="E74" s="304"/>
      <c r="F74" s="276"/>
      <c r="G74" s="276"/>
      <c r="H74" s="276"/>
      <c r="I74" s="276"/>
      <c r="J74" s="276"/>
      <c r="K74" s="276"/>
      <c r="L74" s="276"/>
      <c r="M74" s="276"/>
      <c r="N74" s="276"/>
      <c r="O74" s="276"/>
      <c r="P74" s="276"/>
      <c r="Q74" s="367"/>
      <c r="R74" s="289"/>
      <c r="S74" s="287"/>
      <c r="T74" s="287"/>
      <c r="U74" s="287"/>
      <c r="V74" s="287"/>
      <c r="W74" s="287"/>
      <c r="X74" s="287"/>
      <c r="Y74" s="305"/>
      <c r="Z74" s="290"/>
      <c r="AA74" s="287"/>
      <c r="AB74" s="303"/>
      <c r="AC74" s="268"/>
      <c r="AD74" s="306"/>
      <c r="AE74" s="269"/>
      <c r="AF74" s="269"/>
      <c r="AG74" s="269"/>
      <c r="AH74" s="269"/>
      <c r="AI74" s="269"/>
      <c r="AJ74" s="269"/>
    </row>
    <row r="75" spans="1:36" s="270" customFormat="1" ht="12" customHeight="1" x14ac:dyDescent="0.25">
      <c r="A75" s="368" t="s">
        <v>137</v>
      </c>
      <c r="B75" s="274" t="s">
        <v>138</v>
      </c>
      <c r="C75" s="305" t="s">
        <v>140</v>
      </c>
      <c r="D75" s="318">
        <f ca="1">'E. VaR &amp; Peak Pos By Trader'!E75</f>
        <v>3178062.92179312</v>
      </c>
      <c r="E75" s="319">
        <f ca="1">'E. VaR &amp; Peak Pos By Trader'!F75</f>
        <v>-118936.95327595016</v>
      </c>
      <c r="F75" s="277"/>
      <c r="G75" s="277"/>
      <c r="H75" s="277"/>
      <c r="I75" s="277"/>
      <c r="J75" s="277"/>
      <c r="K75" s="277"/>
      <c r="L75" s="277">
        <f>+VLOOKUP($B75,'[4]Delta Monthly'!$A$1:$AW$55,17,0)</f>
        <v>0</v>
      </c>
      <c r="M75" s="277">
        <f>VLOOKUP($B75,'[4]Delta Monthly'!$A$1:$AW$55,19,0)</f>
        <v>0</v>
      </c>
      <c r="N75" s="277">
        <f>VLOOKUP($B75,'[4]Delta Monthly'!$A$1:$AW$55,21,FALSE)</f>
        <v>0</v>
      </c>
      <c r="O75" s="277">
        <f>VLOOKUP($B75,'[4]Delta Monthly'!$A$1:$AW$55,23,FALSE)</f>
        <v>-11098.961048315296</v>
      </c>
      <c r="P75" s="277">
        <f>VLOOKUP($B75,'[4]Delta Monthly'!$A$1:$AW$55,25,FALSE)</f>
        <v>3632.6944015458766</v>
      </c>
      <c r="Q75" s="289">
        <f>SUM(F75:P75)</f>
        <v>-7466.2666467694189</v>
      </c>
      <c r="R75" s="308">
        <f>VLOOKUP($B75,'[4]Delta Monthly'!$A$1:$AW$55,27,0)+VLOOKUP($B75,'[4]Delta Monthly'!$A$1:$AW$55,29,0)</f>
        <v>-25720.033732026164</v>
      </c>
      <c r="S75" s="277">
        <f>VLOOKUP($B75,'[4]Delta Monthly'!$A$1:$AW$55,31,0)+VLOOKUP($B75,'[4]Delta Monthly'!$A$1:$AW$55,33,0)</f>
        <v>20525.34910943401</v>
      </c>
      <c r="T75" s="277">
        <f>VLOOKUP($B75,'[4]Delta Monthly'!$A$1:$AW$55,35,0)</f>
        <v>1027.7932792190561</v>
      </c>
      <c r="U75" s="277">
        <f>VLOOKUP($B75,'[4]Delta Monthly'!$A$1:$AW$55,37,0)</f>
        <v>-6460.8065764307366</v>
      </c>
      <c r="V75" s="277">
        <f>VLOOKUP($B75,'[4]Delta Monthly'!$A$1:$AW$55,39,0)+VLOOKUP($B75,'[4]Delta Monthly'!$A$1:$AW$55,41,0)</f>
        <v>12102.705752467207</v>
      </c>
      <c r="W75" s="277">
        <f>VLOOKUP($B75,'[4]Delta Monthly'!$A$1:$AW$55,43,0)</f>
        <v>-13151.288136015173</v>
      </c>
      <c r="X75" s="277">
        <f>VLOOKUP($B75,'[4]Delta Monthly'!$A$1:$AW$55,45,0)+VLOOKUP($B75,'[4]Delta Monthly'!$A$1:$AW$55,47,0)+VLOOKUP($B75,'[4]Delta Monthly'!$A$1:$AW$55,49,0)</f>
        <v>-45223.702533110933</v>
      </c>
      <c r="Y75" s="305">
        <f>SUM(R75:X75)</f>
        <v>-56899.982836462732</v>
      </c>
      <c r="Z75" s="290">
        <f>VLOOKUP($B75,'[3]Delta Yearly'!$A$1:$AC$55,5,0)</f>
        <v>-1159738.7527895791</v>
      </c>
      <c r="AA75" s="287">
        <f>VLOOKUP($B75,'[3]Delta Yearly'!$A$1:$AC$55,7,FALSE)+VLOOKUP($B75,'[3]Delta Yearly'!$A$1:$AC$55,9,FALSE)+VLOOKUP($B75,'[3]Delta Yearly'!$A$1:$AC$55,11,FALSE)+VLOOKUP($B75,'[3]Delta Yearly'!$A$1:$AC$55,13,FALSE)+VLOOKUP($B75,'[3]Delta Yearly'!$A$1:$AC$55,15,FALSE)+VLOOKUP($B75,'[3]Delta Yearly'!$A$1:$AC$55,17,FALSE)+VLOOKUP($B75,'[3]Delta Yearly'!$A$1:$AC$55,19,FALSE)+VLOOKUP($B75,'[3]Delta Yearly'!$A$1:$AC$55,21,FALSE)+VLOOKUP($B75,'[3]Delta Yearly'!$A$1:$AC$55,23,FALSE)+VLOOKUP($B75,'[3]Delta Yearly'!$A$1:$AC$55,25,FALSE)+VLOOKUP($B75,'[3]Delta Yearly'!$A$1:$AC$55,27,FALSE)+VLOOKUP($B75,'[3]Delta Yearly'!$A$1:$AC$55,29,FALSE)</f>
        <v>418591.52551176539</v>
      </c>
      <c r="AB75" s="305">
        <f>SUM(AA75,Z75,Y75,Q75)</f>
        <v>-805513.47676104587</v>
      </c>
      <c r="AC75" s="268"/>
      <c r="AD75" s="306"/>
      <c r="AE75" s="269"/>
      <c r="AF75" s="269"/>
      <c r="AG75" s="269"/>
      <c r="AH75" s="269"/>
      <c r="AI75" s="269"/>
      <c r="AJ75" s="269"/>
    </row>
    <row r="76" spans="1:36" s="270" customFormat="1" ht="12" customHeight="1" x14ac:dyDescent="0.25">
      <c r="A76" s="317"/>
      <c r="B76" s="274"/>
      <c r="C76" s="305"/>
      <c r="D76" s="318"/>
      <c r="E76" s="290"/>
      <c r="F76" s="277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89"/>
      <c r="R76" s="289"/>
      <c r="S76" s="287"/>
      <c r="T76" s="287"/>
      <c r="U76" s="287"/>
      <c r="V76" s="287"/>
      <c r="W76" s="287"/>
      <c r="X76" s="287"/>
      <c r="Y76" s="305"/>
      <c r="Z76" s="290"/>
      <c r="AA76" s="287"/>
      <c r="AB76" s="305"/>
      <c r="AC76" s="268"/>
      <c r="AD76" s="306"/>
      <c r="AE76" s="269"/>
      <c r="AF76" s="269"/>
      <c r="AG76" s="269"/>
      <c r="AH76" s="269"/>
      <c r="AI76" s="269"/>
      <c r="AJ76" s="269"/>
    </row>
    <row r="77" spans="1:36" s="270" customFormat="1" ht="12" customHeight="1" x14ac:dyDescent="0.25">
      <c r="A77" s="297" t="s">
        <v>141</v>
      </c>
      <c r="B77" s="274" t="s">
        <v>142</v>
      </c>
      <c r="C77" s="305" t="s">
        <v>144</v>
      </c>
      <c r="D77" s="318">
        <f ca="1">'E. VaR &amp; Peak Pos By Trader'!E77</f>
        <v>1811922.8976678101</v>
      </c>
      <c r="E77" s="319">
        <f ca="1">'E. VaR &amp; Peak Pos By Trader'!F77</f>
        <v>509663.3976804202</v>
      </c>
      <c r="F77" s="277">
        <f>VLOOKUP($B77,'[4]Delta Monthly'!$A$1:$AW$55,5,1)</f>
        <v>0</v>
      </c>
      <c r="G77" s="277">
        <f>VLOOKUP($B77,'[4]Delta Monthly'!$A$1:$AW$55,7,1)</f>
        <v>0</v>
      </c>
      <c r="H77" s="277">
        <f>VLOOKUP($B77,'[4]Delta Monthly'!$A$1:$AW$55,9,1)</f>
        <v>0</v>
      </c>
      <c r="I77" s="277">
        <f>VLOOKUP($B77,'[4]Delta Monthly'!$A$1:$AW$55,11,0)</f>
        <v>0</v>
      </c>
      <c r="J77" s="277">
        <f>VLOOKUP($B77,'[4]Delta Monthly'!$A$1:$AW$55,13,0)</f>
        <v>0</v>
      </c>
      <c r="K77" s="277">
        <f>VLOOKUP($B77,'[4]Delta Monthly'!$A$1:$AW$55,15,0)</f>
        <v>0</v>
      </c>
      <c r="L77" s="277">
        <f>+VLOOKUP($B77,'[4]Delta Monthly'!$A$1:$AW$55,17,0)</f>
        <v>0</v>
      </c>
      <c r="M77" s="277">
        <f>VLOOKUP($B77,'[4]Delta Monthly'!$A$1:$AW$55,19,0)</f>
        <v>0</v>
      </c>
      <c r="N77" s="277">
        <f>VLOOKUP($B77,'[4]Delta Monthly'!$A$1:$AW$55,21,FALSE)</f>
        <v>0</v>
      </c>
      <c r="O77" s="277">
        <f>VLOOKUP($B77,'[4]Delta Monthly'!$A$1:$AW$55,23,FALSE)</f>
        <v>0</v>
      </c>
      <c r="P77" s="277">
        <f>VLOOKUP($B77,'[4]Delta Monthly'!$A$1:$AW$55,25,FALSE)</f>
        <v>0</v>
      </c>
      <c r="Q77" s="289">
        <f>SUM(F77:P77)</f>
        <v>0</v>
      </c>
      <c r="R77" s="308">
        <f>VLOOKUP($B77,'[4]Delta Monthly'!$A$1:$AW$55,27,0)+VLOOKUP($B77,'[4]Delta Monthly'!$A$1:$AW$55,29,0)</f>
        <v>0</v>
      </c>
      <c r="S77" s="277">
        <f>VLOOKUP($B77,'[4]Delta Monthly'!$A$1:$AW$55,31,0)+VLOOKUP($B77,'[4]Delta Monthly'!$A$1:$AW$55,33,0)</f>
        <v>0</v>
      </c>
      <c r="T77" s="277">
        <f>VLOOKUP($B77,'[4]Delta Monthly'!$A$1:$AW$55,35,0)</f>
        <v>0</v>
      </c>
      <c r="U77" s="277">
        <f>VLOOKUP($B77,'[4]Delta Monthly'!$A$1:$AW$55,37,0)</f>
        <v>0</v>
      </c>
      <c r="V77" s="277">
        <f>VLOOKUP($B77,'[4]Delta Monthly'!$A$1:$AW$55,39,0)+VLOOKUP($B77,'[4]Delta Monthly'!$A$1:$AW$55,41,0)</f>
        <v>0</v>
      </c>
      <c r="W77" s="277">
        <f>VLOOKUP($B77,'[4]Delta Monthly'!$A$1:$AW$55,43,0)</f>
        <v>0</v>
      </c>
      <c r="X77" s="277">
        <f>VLOOKUP($B77,'[4]Delta Monthly'!$A$1:$AW$55,45,0)+VLOOKUP($B77,'[4]Delta Monthly'!$A$1:$AW$55,47,0)+VLOOKUP($B77,'[4]Delta Monthly'!$A$1:$AW$55,49,0)</f>
        <v>0</v>
      </c>
      <c r="Y77" s="305">
        <f>SUM(R77:X77)</f>
        <v>0</v>
      </c>
      <c r="Z77" s="290">
        <f>VLOOKUP($B77,'[3]Delta Yearly'!$A$1:$AC$55,5,0)</f>
        <v>-443878.71046399069</v>
      </c>
      <c r="AA77" s="287">
        <f>VLOOKUP($B77,'[3]Delta Yearly'!$A$1:$AC$55,7,FALSE)+VLOOKUP($B77,'[3]Delta Yearly'!$A$1:$AC$55,9,FALSE)+VLOOKUP($B77,'[3]Delta Yearly'!$A$1:$AC$55,11,FALSE)+VLOOKUP($B77,'[3]Delta Yearly'!$A$1:$AC$55,13,FALSE)+VLOOKUP($B77,'[3]Delta Yearly'!$A$1:$AC$55,15,FALSE)+VLOOKUP($B77,'[3]Delta Yearly'!$A$1:$AC$55,17,FALSE)+VLOOKUP($B77,'[3]Delta Yearly'!$A$1:$AC$55,19,FALSE)+VLOOKUP($B77,'[3]Delta Yearly'!$A$1:$AC$55,21,FALSE)+VLOOKUP($B77,'[3]Delta Yearly'!$A$1:$AC$55,23,FALSE)+VLOOKUP($B77,'[3]Delta Yearly'!$A$1:$AC$55,25,FALSE)+VLOOKUP($B77,'[3]Delta Yearly'!$A$1:$AC$55,27,FALSE)+VLOOKUP($B77,'[3]Delta Yearly'!$A$1:$AC$55,29,FALSE)</f>
        <v>0</v>
      </c>
      <c r="AB77" s="305">
        <f>SUM(AA77,Z77,Y77,Q77)</f>
        <v>-443878.71046399069</v>
      </c>
      <c r="AC77" s="287"/>
      <c r="AD77" s="306"/>
      <c r="AE77" s="269"/>
      <c r="AF77" s="269"/>
      <c r="AG77" s="269"/>
      <c r="AH77" s="269"/>
      <c r="AI77" s="269"/>
      <c r="AJ77" s="269"/>
    </row>
    <row r="78" spans="1:36" s="270" customFormat="1" ht="12" customHeight="1" x14ac:dyDescent="0.25">
      <c r="A78" s="297"/>
      <c r="B78" s="275"/>
      <c r="C78" s="305"/>
      <c r="D78" s="318"/>
      <c r="E78" s="319"/>
      <c r="F78" s="277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89"/>
      <c r="R78" s="289"/>
      <c r="S78" s="287"/>
      <c r="T78" s="287"/>
      <c r="U78" s="287"/>
      <c r="V78" s="287"/>
      <c r="W78" s="287"/>
      <c r="X78" s="287"/>
      <c r="Y78" s="305"/>
      <c r="Z78" s="290"/>
      <c r="AA78" s="287"/>
      <c r="AB78" s="305"/>
      <c r="AC78" s="268"/>
      <c r="AD78" s="306"/>
      <c r="AE78" s="269"/>
      <c r="AF78" s="269"/>
      <c r="AG78" s="269"/>
      <c r="AH78" s="269"/>
      <c r="AI78" s="269"/>
      <c r="AJ78" s="269"/>
    </row>
    <row r="79" spans="1:36" s="270" customFormat="1" ht="12" customHeight="1" x14ac:dyDescent="0.25">
      <c r="A79" s="297" t="s">
        <v>268</v>
      </c>
      <c r="B79" s="274" t="s">
        <v>146</v>
      </c>
      <c r="C79" s="305" t="s">
        <v>148</v>
      </c>
      <c r="D79" s="318">
        <f ca="1">'E. VaR &amp; Peak Pos By Trader'!E79</f>
        <v>136714.45681740702</v>
      </c>
      <c r="E79" s="319">
        <f ca="1">'E. VaR &amp; Peak Pos By Trader'!F79</f>
        <v>81392.04370033661</v>
      </c>
      <c r="F79" s="277">
        <f>VLOOKUP($B79,'[4]Delta Monthly'!$A$1:$AW$55,5,1)</f>
        <v>0</v>
      </c>
      <c r="G79" s="277">
        <f>VLOOKUP($B79,'[4]Delta Monthly'!$A$1:$AW$55,7,1)</f>
        <v>0</v>
      </c>
      <c r="H79" s="277">
        <f>VLOOKUP($B79,'[4]Delta Monthly'!$A$1:$AW$55,9,1)</f>
        <v>0</v>
      </c>
      <c r="I79" s="277">
        <f>VLOOKUP($B79,'[4]Delta Monthly'!$A$1:$AW$55,11,0)</f>
        <v>0</v>
      </c>
      <c r="J79" s="277">
        <f>VLOOKUP($B79,'[4]Delta Monthly'!$A$1:$AW$55,13,0)</f>
        <v>0</v>
      </c>
      <c r="K79" s="277">
        <f>VLOOKUP($B79,'[4]Delta Monthly'!$A$1:$AW$55,15,0)</f>
        <v>0</v>
      </c>
      <c r="L79" s="277">
        <f>+VLOOKUP($B79,'[4]Delta Monthly'!$A$1:$AW$55,17,0)</f>
        <v>0</v>
      </c>
      <c r="M79" s="277">
        <f>VLOOKUP($B79,'[4]Delta Monthly'!$A$1:$AW$55,19,0)</f>
        <v>0</v>
      </c>
      <c r="N79" s="277">
        <f>VLOOKUP($B79,'[4]Delta Monthly'!$A$1:$AW$55,21,FALSE)</f>
        <v>0</v>
      </c>
      <c r="O79" s="277">
        <f>VLOOKUP($B79,'[4]Delta Monthly'!$A$1:$AW$55,23,FALSE)</f>
        <v>0</v>
      </c>
      <c r="P79" s="277">
        <f>VLOOKUP($B79,'[4]Delta Monthly'!$A$1:$AW$55,25,FALSE)</f>
        <v>0</v>
      </c>
      <c r="Q79" s="289">
        <f>SUM(F79:P79)</f>
        <v>0</v>
      </c>
      <c r="R79" s="308">
        <f>VLOOKUP($B79,'[4]Delta Monthly'!$A$1:$AW$55,27,0)+VLOOKUP($B79,'[4]Delta Monthly'!$A$1:$AW$55,29,0)</f>
        <v>0</v>
      </c>
      <c r="S79" s="277">
        <f>VLOOKUP($B79,'[4]Delta Monthly'!$A$1:$AW$55,31,0)+VLOOKUP($B79,'[4]Delta Monthly'!$A$1:$AW$55,33,0)</f>
        <v>0</v>
      </c>
      <c r="T79" s="277">
        <f>VLOOKUP($B79,'[4]Delta Monthly'!$A$1:$AW$55,35,0)</f>
        <v>0</v>
      </c>
      <c r="U79" s="277">
        <f>VLOOKUP($B79,'[4]Delta Monthly'!$A$1:$AW$55,37,0)</f>
        <v>0</v>
      </c>
      <c r="V79" s="277">
        <f>VLOOKUP($B79,'[4]Delta Monthly'!$A$1:$AW$55,39,0)+VLOOKUP($B79,'[4]Delta Monthly'!$A$1:$AW$55,41,0)</f>
        <v>0</v>
      </c>
      <c r="W79" s="277">
        <f>VLOOKUP($B79,'[4]Delta Monthly'!$A$1:$AW$55,43,0)</f>
        <v>0</v>
      </c>
      <c r="X79" s="277">
        <f>VLOOKUP($B79,'[4]Delta Monthly'!$A$1:$AW$55,45,0)+VLOOKUP($B79,'[4]Delta Monthly'!$A$1:$AW$55,47,0)+VLOOKUP($B79,'[4]Delta Monthly'!$A$1:$AW$55,49,0)</f>
        <v>0</v>
      </c>
      <c r="Y79" s="305">
        <f>SUM(R79:X79)</f>
        <v>0</v>
      </c>
      <c r="Z79" s="290">
        <f>VLOOKUP($B79,'[3]Delta Yearly'!$A$1:$AC$55,5,0)</f>
        <v>0</v>
      </c>
      <c r="AA79" s="287">
        <f>VLOOKUP($B79,'[3]Delta Yearly'!$A$1:$AC$55,7,FALSE)+VLOOKUP($B79,'[3]Delta Yearly'!$A$1:$AC$55,9,FALSE)+VLOOKUP($B79,'[3]Delta Yearly'!$A$1:$AC$55,11,FALSE)+VLOOKUP($B79,'[3]Delta Yearly'!$A$1:$AC$55,13,FALSE)+VLOOKUP($B79,'[3]Delta Yearly'!$A$1:$AC$55,15,FALSE)+VLOOKUP($B79,'[3]Delta Yearly'!$A$1:$AC$55,17,FALSE)+VLOOKUP($B79,'[3]Delta Yearly'!$A$1:$AC$55,19,FALSE)+VLOOKUP($B79,'[3]Delta Yearly'!$A$1:$AC$55,21,FALSE)+VLOOKUP($B79,'[3]Delta Yearly'!$A$1:$AC$55,23,FALSE)+VLOOKUP($B79,'[3]Delta Yearly'!$A$1:$AC$55,25,FALSE)+VLOOKUP($B79,'[3]Delta Yearly'!$A$1:$AC$55,27,FALSE)+VLOOKUP($B79,'[3]Delta Yearly'!$A$1:$AC$55,29,FALSE)</f>
        <v>0</v>
      </c>
      <c r="AB79" s="305">
        <f>SUM(AA79,Z79,Y79,Q79)</f>
        <v>0</v>
      </c>
      <c r="AC79" s="268"/>
      <c r="AD79" s="306"/>
      <c r="AE79" s="269"/>
      <c r="AF79" s="269"/>
      <c r="AG79" s="269"/>
      <c r="AH79" s="269"/>
      <c r="AI79" s="269"/>
      <c r="AJ79" s="269"/>
    </row>
    <row r="80" spans="1:36" s="270" customFormat="1" ht="12" customHeight="1" x14ac:dyDescent="0.25">
      <c r="A80" s="297"/>
      <c r="B80" s="274"/>
      <c r="C80" s="305"/>
      <c r="D80" s="318"/>
      <c r="E80" s="319"/>
      <c r="F80" s="277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362"/>
      <c r="R80" s="362"/>
      <c r="S80" s="363"/>
      <c r="T80" s="363"/>
      <c r="U80" s="363"/>
      <c r="V80" s="363"/>
      <c r="W80" s="363"/>
      <c r="X80" s="363"/>
      <c r="Y80" s="361"/>
      <c r="Z80" s="364"/>
      <c r="AA80" s="287"/>
      <c r="AB80" s="305"/>
      <c r="AC80" s="268"/>
      <c r="AD80" s="306"/>
      <c r="AE80" s="269"/>
      <c r="AF80" s="269"/>
      <c r="AG80" s="269"/>
      <c r="AH80" s="269"/>
      <c r="AI80" s="269"/>
      <c r="AJ80" s="269"/>
    </row>
    <row r="81" spans="1:36" s="270" customFormat="1" ht="12" customHeight="1" x14ac:dyDescent="0.25">
      <c r="A81" s="297" t="s">
        <v>149</v>
      </c>
      <c r="B81" s="274" t="s">
        <v>150</v>
      </c>
      <c r="C81" s="305" t="s">
        <v>152</v>
      </c>
      <c r="D81" s="318">
        <f ca="1">'E. VaR &amp; Peak Pos By Trader'!E81</f>
        <v>438847.86231576803</v>
      </c>
      <c r="E81" s="319">
        <f ca="1">'E. VaR &amp; Peak Pos By Trader'!F81</f>
        <v>-246061.61378267</v>
      </c>
      <c r="F81" s="277">
        <f>VLOOKUP($B81,'[4]Delta Monthly'!$A$1:$AW$55,5,1)</f>
        <v>0</v>
      </c>
      <c r="G81" s="277">
        <f>VLOOKUP($B81,'[4]Delta Monthly'!$A$1:$AW$55,7,1)</f>
        <v>0</v>
      </c>
      <c r="H81" s="277">
        <f>VLOOKUP($B81,'[4]Delta Monthly'!$A$1:$AW$55,9,1)</f>
        <v>0</v>
      </c>
      <c r="I81" s="277">
        <f>VLOOKUP($B81,'[4]Delta Monthly'!$A$1:$AW$55,11,0)</f>
        <v>0</v>
      </c>
      <c r="J81" s="277">
        <f>VLOOKUP($B81,'[4]Delta Monthly'!$A$1:$AW$55,13,0)</f>
        <v>0</v>
      </c>
      <c r="K81" s="277">
        <f>VLOOKUP($B81,'[4]Delta Monthly'!$A$1:$AW$55,15,0)</f>
        <v>0</v>
      </c>
      <c r="L81" s="277">
        <f>+VLOOKUP($B81,'[4]Delta Monthly'!$A$1:$AW$55,17,0)</f>
        <v>0</v>
      </c>
      <c r="M81" s="277">
        <f>VLOOKUP($B81,'[4]Delta Monthly'!$A$1:$AW$55,19,0)</f>
        <v>0</v>
      </c>
      <c r="N81" s="277">
        <f>VLOOKUP($B81,'[4]Delta Monthly'!$A$1:$AW$55,21,FALSE)</f>
        <v>0</v>
      </c>
      <c r="O81" s="277">
        <f>VLOOKUP($B81,'[4]Delta Monthly'!$A$1:$AW$55,23,FALSE)</f>
        <v>58297.33096306942</v>
      </c>
      <c r="P81" s="277">
        <f>VLOOKUP($B81,'[4]Delta Monthly'!$A$1:$AW$55,25,FALSE)</f>
        <v>-42244.919165652929</v>
      </c>
      <c r="Q81" s="289">
        <f>SUM(F81:P81)</f>
        <v>16052.411797416491</v>
      </c>
      <c r="R81" s="308">
        <f>VLOOKUP($B81,'[4]Delta Monthly'!$A$1:$AW$55,27,0)+VLOOKUP($B81,'[4]Delta Monthly'!$A$1:$AW$55,29,0)</f>
        <v>-110904.4304583567</v>
      </c>
      <c r="S81" s="277">
        <f>VLOOKUP($B81,'[4]Delta Monthly'!$A$1:$AW$55,31,0)+VLOOKUP($B81,'[4]Delta Monthly'!$A$1:$AW$55,33,0)</f>
        <v>-230230.75505558762</v>
      </c>
      <c r="T81" s="277">
        <f>VLOOKUP($B81,'[4]Delta Monthly'!$A$1:$AW$55,35,0)</f>
        <v>-154804.3282060808</v>
      </c>
      <c r="U81" s="277">
        <f>VLOOKUP($B81,'[4]Delta Monthly'!$A$1:$AW$55,37,0)</f>
        <v>-118225.76086043339</v>
      </c>
      <c r="V81" s="277">
        <f>VLOOKUP($B81,'[4]Delta Monthly'!$A$1:$AW$55,39,0)+VLOOKUP($B81,'[4]Delta Monthly'!$A$1:$AW$55,41,0)</f>
        <v>-461841.85381848121</v>
      </c>
      <c r="W81" s="277">
        <f>VLOOKUP($B81,'[4]Delta Monthly'!$A$1:$AW$55,43,0)</f>
        <v>-117387.1998502146</v>
      </c>
      <c r="X81" s="277">
        <f>VLOOKUP($B81,'[4]Delta Monthly'!$A$1:$AW$55,45,0)+VLOOKUP($B81,'[4]Delta Monthly'!$A$1:$AW$55,47,0)+VLOOKUP($B81,'[4]Delta Monthly'!$A$1:$AW$55,49,0)</f>
        <v>-461117.00630041276</v>
      </c>
      <c r="Y81" s="305">
        <f>SUM(R81:X81)</f>
        <v>-1654511.334549567</v>
      </c>
      <c r="Z81" s="290">
        <f>VLOOKUP($B81,'[3]Delta Yearly'!$A$1:$AC$55,5,0)</f>
        <v>0</v>
      </c>
      <c r="AA81" s="287">
        <f>VLOOKUP($B81,'[3]Delta Yearly'!$A$1:$AC$55,7,FALSE)+VLOOKUP($B81,'[3]Delta Yearly'!$A$1:$AC$55,9,FALSE)+VLOOKUP($B81,'[3]Delta Yearly'!$A$1:$AC$55,11,FALSE)+VLOOKUP($B81,'[3]Delta Yearly'!$A$1:$AC$55,13,FALSE)+VLOOKUP($B81,'[3]Delta Yearly'!$A$1:$AC$55,15,FALSE)+VLOOKUP($B81,'[3]Delta Yearly'!$A$1:$AC$55,17,FALSE)+VLOOKUP($B81,'[3]Delta Yearly'!$A$1:$AC$55,19,FALSE)+VLOOKUP($B81,'[3]Delta Yearly'!$A$1:$AC$55,21,FALSE)+VLOOKUP($B81,'[3]Delta Yearly'!$A$1:$AC$55,23,FALSE)+VLOOKUP($B81,'[3]Delta Yearly'!$A$1:$AC$55,25,FALSE)+VLOOKUP($B81,'[3]Delta Yearly'!$A$1:$AC$55,27,FALSE)+VLOOKUP($B81,'[3]Delta Yearly'!$A$1:$AC$55,29,FALSE)</f>
        <v>0</v>
      </c>
      <c r="AB81" s="305">
        <f>SUM(AA81,Z81,Y81,Q81)</f>
        <v>-1638458.9227521506</v>
      </c>
      <c r="AC81" s="268"/>
      <c r="AD81" s="306"/>
      <c r="AE81" s="269"/>
      <c r="AF81" s="269"/>
      <c r="AG81" s="269"/>
      <c r="AH81" s="269"/>
      <c r="AI81" s="269"/>
      <c r="AJ81" s="269"/>
    </row>
    <row r="82" spans="1:36" s="270" customFormat="1" ht="12" customHeight="1" x14ac:dyDescent="0.25">
      <c r="A82" s="297"/>
      <c r="B82" s="274"/>
      <c r="C82" s="305"/>
      <c r="D82" s="318"/>
      <c r="E82" s="319"/>
      <c r="F82" s="277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362"/>
      <c r="R82" s="362"/>
      <c r="S82" s="363"/>
      <c r="T82" s="363"/>
      <c r="U82" s="363"/>
      <c r="V82" s="363"/>
      <c r="W82" s="363"/>
      <c r="X82" s="363"/>
      <c r="Y82" s="361"/>
      <c r="Z82" s="364"/>
      <c r="AA82" s="287"/>
      <c r="AB82" s="305"/>
      <c r="AC82" s="268"/>
      <c r="AD82" s="306"/>
      <c r="AE82" s="269"/>
      <c r="AF82" s="269"/>
      <c r="AG82" s="269"/>
      <c r="AH82" s="269"/>
      <c r="AI82" s="269"/>
      <c r="AJ82" s="269"/>
    </row>
    <row r="83" spans="1:36" s="270" customFormat="1" ht="12" customHeight="1" x14ac:dyDescent="0.25">
      <c r="A83" s="297" t="s">
        <v>269</v>
      </c>
      <c r="B83" s="274" t="s">
        <v>154</v>
      </c>
      <c r="C83" s="305" t="s">
        <v>156</v>
      </c>
      <c r="D83" s="318">
        <f ca="1">'E. VaR &amp; Peak Pos By Trader'!E83</f>
        <v>1688.6485006832102</v>
      </c>
      <c r="E83" s="319">
        <f ca="1">'E. VaR &amp; Peak Pos By Trader'!F83</f>
        <v>66.811432682930217</v>
      </c>
      <c r="F83" s="277">
        <v>0</v>
      </c>
      <c r="G83" s="277">
        <f>VLOOKUP($B83,'[4]Delta Monthly'!$A$1:$AW$55,7,1)</f>
        <v>0</v>
      </c>
      <c r="H83" s="277">
        <f>VLOOKUP($B83,'[4]Delta Monthly'!$A$1:$AW$55,9,1)</f>
        <v>0</v>
      </c>
      <c r="I83" s="277">
        <f>VLOOKUP($B83,'[4]Delta Monthly'!$A$1:$AW$55,11,0)</f>
        <v>0</v>
      </c>
      <c r="J83" s="277">
        <f>VLOOKUP($B83,'[4]Delta Monthly'!$A$1:$AW$55,13,0)</f>
        <v>0</v>
      </c>
      <c r="K83" s="277">
        <f>VLOOKUP($B83,'[4]Delta Monthly'!$A$1:$AW$55,15,0)</f>
        <v>0</v>
      </c>
      <c r="L83" s="277">
        <f>+VLOOKUP($B83,'[4]Delta Monthly'!$A$1:$AW$55,17,0)</f>
        <v>0</v>
      </c>
      <c r="M83" s="277">
        <f>VLOOKUP($B83,'[4]Delta Monthly'!$A$1:$AW$55,19,0)</f>
        <v>0</v>
      </c>
      <c r="N83" s="277">
        <f>VLOOKUP($B83,'[4]Delta Monthly'!$A$1:$AW$55,21,FALSE)</f>
        <v>0</v>
      </c>
      <c r="O83" s="277">
        <f>VLOOKUP($B83,'[4]Delta Monthly'!$A$1:$AW$55,23,FALSE)</f>
        <v>-399.27587773155199</v>
      </c>
      <c r="P83" s="277">
        <f>VLOOKUP($B83,'[4]Delta Monthly'!$A$1:$AW$55,25,FALSE)</f>
        <v>0</v>
      </c>
      <c r="Q83" s="289">
        <f>SUM(F83:P83)</f>
        <v>-399.27587773155199</v>
      </c>
      <c r="R83" s="308">
        <f>VLOOKUP($B83,'[4]Delta Monthly'!$A$1:$AW$55,27,0)+VLOOKUP($B83,'[4]Delta Monthly'!$A$1:$AW$55,29,0)</f>
        <v>0</v>
      </c>
      <c r="S83" s="277">
        <f>VLOOKUP($B83,'[4]Delta Monthly'!$A$1:$AW$55,31,0)+VLOOKUP($B83,'[4]Delta Monthly'!$A$1:$AW$55,33,0)</f>
        <v>0</v>
      </c>
      <c r="T83" s="277">
        <f>VLOOKUP($B83,'[4]Delta Monthly'!$A$1:$AW$55,35,0)</f>
        <v>0</v>
      </c>
      <c r="U83" s="277">
        <f>VLOOKUP($B83,'[4]Delta Monthly'!$A$1:$AW$55,37,0)</f>
        <v>0</v>
      </c>
      <c r="V83" s="277">
        <f>VLOOKUP($B83,'[4]Delta Monthly'!$A$1:$AW$55,39,0)+VLOOKUP($B83,'[4]Delta Monthly'!$A$1:$AW$55,41,0)</f>
        <v>0</v>
      </c>
      <c r="W83" s="277">
        <f>VLOOKUP($B83,'[4]Delta Monthly'!$A$1:$AW$55,43,0)</f>
        <v>0</v>
      </c>
      <c r="X83" s="277">
        <f>VLOOKUP($B83,'[4]Delta Monthly'!$A$1:$AW$55,45,0)+VLOOKUP($B83,'[4]Delta Monthly'!$A$1:$AW$55,47,0)+VLOOKUP($B83,'[4]Delta Monthly'!$A$1:$AW$55,49,0)</f>
        <v>0</v>
      </c>
      <c r="Y83" s="305">
        <f>SUM(R83:X83)</f>
        <v>0</v>
      </c>
      <c r="Z83" s="290">
        <f>VLOOKUP($B83,'[3]Delta Yearly'!$A$1:$AC$55,5,0)</f>
        <v>0</v>
      </c>
      <c r="AA83" s="287">
        <f>VLOOKUP($B83,'[3]Delta Yearly'!$A$1:$AC$55,7,FALSE)+VLOOKUP($B83,'[3]Delta Yearly'!$A$1:$AC$55,9,FALSE)+VLOOKUP($B83,'[3]Delta Yearly'!$A$1:$AC$55,11,FALSE)+VLOOKUP($B83,'[3]Delta Yearly'!$A$1:$AC$55,13,FALSE)+VLOOKUP($B83,'[3]Delta Yearly'!$A$1:$AC$55,15,FALSE)+VLOOKUP($B83,'[3]Delta Yearly'!$A$1:$AC$55,17,FALSE)+VLOOKUP($B83,'[3]Delta Yearly'!$A$1:$AC$55,19,FALSE)+VLOOKUP($B83,'[3]Delta Yearly'!$A$1:$AC$55,21,FALSE)+VLOOKUP($B83,'[3]Delta Yearly'!$A$1:$AC$55,23,FALSE)+VLOOKUP($B83,'[3]Delta Yearly'!$A$1:$AC$55,25,FALSE)+VLOOKUP($B83,'[3]Delta Yearly'!$A$1:$AC$55,27,FALSE)+VLOOKUP($B83,'[3]Delta Yearly'!$A$1:$AC$55,29,FALSE)</f>
        <v>0</v>
      </c>
      <c r="AB83" s="305">
        <f>SUM(AA83,Z83,Y83,Q83)</f>
        <v>-399.27587773155199</v>
      </c>
      <c r="AC83" s="268"/>
      <c r="AD83" s="306"/>
      <c r="AE83" s="269"/>
      <c r="AF83" s="269"/>
      <c r="AG83" s="269"/>
      <c r="AH83" s="269"/>
      <c r="AI83" s="269"/>
      <c r="AJ83" s="269"/>
    </row>
    <row r="84" spans="1:36" s="270" customFormat="1" ht="12" customHeight="1" x14ac:dyDescent="0.25">
      <c r="A84" s="297"/>
      <c r="B84" s="274"/>
      <c r="C84" s="305"/>
      <c r="D84" s="318"/>
      <c r="E84" s="319"/>
      <c r="F84" s="277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362"/>
      <c r="R84" s="362"/>
      <c r="S84" s="363"/>
      <c r="T84" s="363"/>
      <c r="U84" s="363"/>
      <c r="V84" s="363"/>
      <c r="W84" s="363"/>
      <c r="X84" s="363"/>
      <c r="Y84" s="361"/>
      <c r="Z84" s="364"/>
      <c r="AA84" s="287"/>
      <c r="AB84" s="305"/>
      <c r="AC84" s="268"/>
      <c r="AD84" s="306"/>
      <c r="AE84" s="269"/>
      <c r="AF84" s="269"/>
      <c r="AG84" s="269"/>
      <c r="AH84" s="269"/>
      <c r="AI84" s="269"/>
      <c r="AJ84" s="269"/>
    </row>
    <row r="85" spans="1:36" s="270" customFormat="1" ht="12" customHeight="1" x14ac:dyDescent="0.25">
      <c r="A85" s="297" t="s">
        <v>270</v>
      </c>
      <c r="B85" s="274" t="s">
        <v>159</v>
      </c>
      <c r="C85" s="305" t="s">
        <v>161</v>
      </c>
      <c r="D85" s="318">
        <f ca="1">'E. VaR &amp; Peak Pos By Trader'!E85</f>
        <v>47051.723644557103</v>
      </c>
      <c r="E85" s="319">
        <f ca="1">'E. VaR &amp; Peak Pos By Trader'!F85</f>
        <v>1117.2940252565022</v>
      </c>
      <c r="F85" s="277">
        <v>0</v>
      </c>
      <c r="G85" s="277">
        <f>VLOOKUP($B85,'[4]Delta Monthly'!$A$1:$AW$55,7,FALSE)</f>
        <v>0</v>
      </c>
      <c r="H85" s="277">
        <f>VLOOKUP($B85,'[4]Delta Monthly'!$A$1:$AW$55,9,FALSE)</f>
        <v>0</v>
      </c>
      <c r="I85" s="277">
        <f>VLOOKUP($B85,'[4]Delta Monthly'!$A$1:$AW$55,11,FALSE)</f>
        <v>0</v>
      </c>
      <c r="J85" s="277">
        <f>VLOOKUP($B85,'[4]Delta Monthly'!$A$1:$AW$55,13,FALSE)</f>
        <v>0</v>
      </c>
      <c r="K85" s="277">
        <f>VLOOKUP($B85,'[4]Delta Monthly'!$A$1:$AW$55,15,FALSE)</f>
        <v>0</v>
      </c>
      <c r="L85" s="277">
        <f>+VLOOKUP($B85,'[4]Delta Monthly'!$A$1:$AW$55,17,FALSE)</f>
        <v>0</v>
      </c>
      <c r="M85" s="277">
        <f>VLOOKUP($B85,'[4]Delta Monthly'!$A$1:$AW$55,19,FALSE)</f>
        <v>0</v>
      </c>
      <c r="N85" s="277">
        <f>VLOOKUP($B85,'[4]Delta Monthly'!$A$1:$AW$55,21,FALSE)</f>
        <v>0</v>
      </c>
      <c r="O85" s="277">
        <f>VLOOKUP($B85,'[4]Delta Monthly'!$A$1:$AW$55,23,FALSE)</f>
        <v>-798.55175546310397</v>
      </c>
      <c r="P85" s="277">
        <f>VLOOKUP($B85,'[4]Delta Monthly'!$A$1:$AW$55,25,FALSE)</f>
        <v>-3555.7358351913354</v>
      </c>
      <c r="Q85" s="289">
        <f>SUM(F85:P85)</f>
        <v>-4354.2875906544396</v>
      </c>
      <c r="R85" s="308">
        <f>VLOOKUP($B85,'[4]Delta Monthly'!$A$1:$AW$55,27,0)+VLOOKUP($B85,'[4]Delta Monthly'!$A$1:$AW$55,29,0)</f>
        <v>2934.5567657304282</v>
      </c>
      <c r="S85" s="277">
        <f>VLOOKUP($B85,'[4]Delta Monthly'!$A$1:$AW$55,31,0)+VLOOKUP($B85,'[4]Delta Monthly'!$A$1:$AW$55,33,0)</f>
        <v>-510.73695399507596</v>
      </c>
      <c r="T85" s="277">
        <f>VLOOKUP($B85,'[4]Delta Monthly'!$A$1:$AW$55,35,0)</f>
        <v>3085.1423087703201</v>
      </c>
      <c r="U85" s="277">
        <f>VLOOKUP($B85,'[4]Delta Monthly'!$A$1:$AW$55,37,0)</f>
        <v>1994.5642651625051</v>
      </c>
      <c r="V85" s="277">
        <f>VLOOKUP($B85,'[4]Delta Monthly'!$A$1:$AW$55,39,0)+VLOOKUP($B85,'[4]Delta Monthly'!$A$1:$AW$55,41,0)</f>
        <v>-338.57076508206001</v>
      </c>
      <c r="W85" s="277">
        <f>VLOOKUP($B85,'[4]Delta Monthly'!$A$1:$AW$55,43,0)</f>
        <v>3309.0748623680688</v>
      </c>
      <c r="X85" s="277">
        <f>VLOOKUP($B85,'[4]Delta Monthly'!$A$1:$AW$55,45,0)+VLOOKUP($B85,'[4]Delta Monthly'!$A$1:$AW$55,47,0)+VLOOKUP($B85,'[4]Delta Monthly'!$A$1:$AW$55,49,0)</f>
        <v>9712.9145024750433</v>
      </c>
      <c r="Y85" s="305">
        <f>SUM(R85:X85)</f>
        <v>20186.944985429229</v>
      </c>
      <c r="Z85" s="290">
        <f>VLOOKUP($B85,'[3]Delta Yearly'!$A$1:$AC$55,5,0)</f>
        <v>-20086.923865478639</v>
      </c>
      <c r="AA85" s="287">
        <f>VLOOKUP($B85,'[3]Delta Yearly'!$A$1:$AC$55,7,FALSE)+VLOOKUP($B85,'[3]Delta Yearly'!$A$1:$AC$55,9,FALSE)+VLOOKUP($B85,'[3]Delta Yearly'!$A$1:$AC$55,11,FALSE)+VLOOKUP($B85,'[3]Delta Yearly'!$A$1:$AC$55,13,FALSE)+VLOOKUP($B85,'[3]Delta Yearly'!$A$1:$AC$55,15,FALSE)+VLOOKUP($B85,'[3]Delta Yearly'!$A$1:$AC$55,17,FALSE)+VLOOKUP($B85,'[3]Delta Yearly'!$A$1:$AC$55,19,FALSE)+VLOOKUP($B85,'[3]Delta Yearly'!$A$1:$AC$55,21,FALSE)+VLOOKUP($B85,'[3]Delta Yearly'!$A$1:$AC$55,23,FALSE)+VLOOKUP($B85,'[3]Delta Yearly'!$A$1:$AC$55,25,FALSE)+VLOOKUP($B85,'[3]Delta Yearly'!$A$1:$AC$55,27,FALSE)+VLOOKUP($B85,'[3]Delta Yearly'!$A$1:$AC$55,29,FALSE)</f>
        <v>0</v>
      </c>
      <c r="AB85" s="305">
        <f>SUM(AA85,Z85,Y85,Q85)</f>
        <v>-4254.2664707038493</v>
      </c>
      <c r="AC85" s="268"/>
      <c r="AD85" s="306"/>
      <c r="AE85" s="269"/>
      <c r="AF85" s="269"/>
      <c r="AG85" s="269"/>
      <c r="AH85" s="269"/>
      <c r="AI85" s="269"/>
      <c r="AJ85" s="269"/>
    </row>
    <row r="86" spans="1:36" s="270" customFormat="1" ht="12" customHeight="1" thickBot="1" x14ac:dyDescent="0.3">
      <c r="A86" s="297"/>
      <c r="B86" s="274"/>
      <c r="C86" s="305"/>
      <c r="D86" s="318"/>
      <c r="E86" s="319"/>
      <c r="F86" s="277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89"/>
      <c r="R86" s="308"/>
      <c r="S86" s="277"/>
      <c r="T86" s="277"/>
      <c r="U86" s="277"/>
      <c r="V86" s="277"/>
      <c r="W86" s="277"/>
      <c r="X86" s="277"/>
      <c r="Y86" s="305"/>
      <c r="Z86" s="290"/>
      <c r="AA86" s="287"/>
      <c r="AB86" s="305"/>
      <c r="AC86" s="268"/>
      <c r="AD86" s="306"/>
      <c r="AE86" s="269"/>
      <c r="AF86" s="269"/>
      <c r="AG86" s="269"/>
      <c r="AH86" s="269"/>
      <c r="AI86" s="269"/>
      <c r="AJ86" s="269"/>
    </row>
    <row r="87" spans="1:36" s="270" customFormat="1" ht="12" customHeight="1" thickBot="1" x14ac:dyDescent="0.3">
      <c r="A87" s="321" t="s">
        <v>162</v>
      </c>
      <c r="B87" s="322" t="s">
        <v>162</v>
      </c>
      <c r="C87" s="323"/>
      <c r="D87" s="323">
        <f ca="1">'E. VaR &amp; Peak Pos By Trader'!E87</f>
        <v>5231246.1395960599</v>
      </c>
      <c r="E87" s="324">
        <f ca="1">'E. VaR &amp; Peak Pos By Trader'!F87</f>
        <v>326927.97218335979</v>
      </c>
      <c r="F87" s="325">
        <f t="shared" ref="F87:AB87" si="8">SUM(F77,F79,F81,F83,F85,F75)</f>
        <v>0</v>
      </c>
      <c r="G87" s="325">
        <f t="shared" si="8"/>
        <v>0</v>
      </c>
      <c r="H87" s="325">
        <f t="shared" si="8"/>
        <v>0</v>
      </c>
      <c r="I87" s="325">
        <f t="shared" si="8"/>
        <v>0</v>
      </c>
      <c r="J87" s="325">
        <f t="shared" si="8"/>
        <v>0</v>
      </c>
      <c r="K87" s="325">
        <f t="shared" si="8"/>
        <v>0</v>
      </c>
      <c r="L87" s="325">
        <f t="shared" si="8"/>
        <v>0</v>
      </c>
      <c r="M87" s="325">
        <f t="shared" si="8"/>
        <v>0</v>
      </c>
      <c r="N87" s="325">
        <f t="shared" si="8"/>
        <v>0</v>
      </c>
      <c r="O87" s="325">
        <f t="shared" si="8"/>
        <v>46000.542281559472</v>
      </c>
      <c r="P87" s="325">
        <f t="shared" si="8"/>
        <v>-42167.960599298385</v>
      </c>
      <c r="Q87" s="323">
        <f t="shared" si="8"/>
        <v>3832.5816822610805</v>
      </c>
      <c r="R87" s="325">
        <f t="shared" si="8"/>
        <v>-133689.90742465243</v>
      </c>
      <c r="S87" s="325">
        <f t="shared" si="8"/>
        <v>-210216.1429001487</v>
      </c>
      <c r="T87" s="325">
        <f t="shared" si="8"/>
        <v>-150691.3926180914</v>
      </c>
      <c r="U87" s="325">
        <f t="shared" si="8"/>
        <v>-122692.00317170162</v>
      </c>
      <c r="V87" s="325">
        <f t="shared" si="8"/>
        <v>-450077.71883109608</v>
      </c>
      <c r="W87" s="325">
        <f t="shared" si="8"/>
        <v>-127229.41312386171</v>
      </c>
      <c r="X87" s="325">
        <f t="shared" si="8"/>
        <v>-496627.79433104862</v>
      </c>
      <c r="Y87" s="359">
        <f t="shared" si="8"/>
        <v>-1691224.3724006005</v>
      </c>
      <c r="Z87" s="323">
        <f t="shared" si="8"/>
        <v>-1623704.3871190485</v>
      </c>
      <c r="AA87" s="326">
        <f t="shared" si="8"/>
        <v>418591.52551176539</v>
      </c>
      <c r="AB87" s="323">
        <f t="shared" si="8"/>
        <v>-2892504.6523256227</v>
      </c>
      <c r="AC87" s="268"/>
      <c r="AD87" s="306"/>
      <c r="AE87" s="269"/>
      <c r="AF87" s="269"/>
      <c r="AG87" s="269"/>
      <c r="AH87" s="269"/>
      <c r="AI87" s="269"/>
      <c r="AJ87" s="269"/>
    </row>
    <row r="88" spans="1:36" s="270" customFormat="1" ht="12" customHeight="1" x14ac:dyDescent="0.25">
      <c r="A88" s="369"/>
      <c r="B88" s="369"/>
      <c r="C88" s="370"/>
      <c r="D88" s="371"/>
      <c r="E88" s="369"/>
      <c r="F88" s="232"/>
      <c r="G88" s="232"/>
      <c r="H88" s="232"/>
      <c r="I88" s="232"/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  <c r="X88" s="233"/>
      <c r="Y88" s="232"/>
      <c r="Z88" s="233"/>
      <c r="AA88" s="233"/>
      <c r="AB88" s="232"/>
      <c r="AC88" s="268"/>
      <c r="AD88" s="306"/>
      <c r="AE88" s="269"/>
      <c r="AF88" s="269"/>
      <c r="AG88" s="269"/>
      <c r="AH88" s="269"/>
      <c r="AI88" s="269"/>
      <c r="AJ88" s="269"/>
    </row>
    <row r="89" spans="1:36" ht="12" customHeight="1" x14ac:dyDescent="0.25">
      <c r="A89" s="369"/>
      <c r="B89" s="369"/>
      <c r="C89" s="370"/>
      <c r="D89" s="372"/>
      <c r="E89" s="369"/>
      <c r="F89" s="232"/>
      <c r="G89" s="232"/>
      <c r="H89" s="232"/>
      <c r="I89" s="232"/>
      <c r="J89" s="232"/>
      <c r="K89" s="232"/>
      <c r="L89" s="232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  <c r="X89" s="233"/>
      <c r="Y89" s="232"/>
      <c r="Z89" s="233"/>
      <c r="AA89" s="233"/>
      <c r="AB89" s="232"/>
      <c r="AC89" s="373"/>
      <c r="AD89" s="374"/>
      <c r="AE89" s="230"/>
      <c r="AF89" s="230"/>
      <c r="AG89" s="230"/>
      <c r="AH89" s="230"/>
      <c r="AI89" s="230"/>
      <c r="AJ89" s="230"/>
    </row>
    <row r="90" spans="1:36" ht="12" customHeight="1" x14ac:dyDescent="0.25">
      <c r="A90" s="369"/>
      <c r="B90" s="369"/>
      <c r="C90" s="370"/>
      <c r="D90" s="369"/>
      <c r="E90" s="369"/>
      <c r="F90" s="232"/>
      <c r="G90" s="232"/>
      <c r="H90" s="232"/>
      <c r="I90" s="232"/>
      <c r="J90" s="232"/>
      <c r="K90" s="232"/>
      <c r="L90" s="232"/>
      <c r="M90" s="232"/>
      <c r="N90" s="232"/>
      <c r="O90" s="232"/>
      <c r="P90" s="232"/>
      <c r="Q90" s="232"/>
      <c r="R90" s="232"/>
      <c r="S90" s="232"/>
      <c r="T90" s="233"/>
      <c r="U90" s="233"/>
      <c r="V90" s="233"/>
      <c r="W90" s="233"/>
      <c r="X90" s="233"/>
      <c r="Y90" s="233"/>
      <c r="Z90" s="233"/>
      <c r="AA90" s="233"/>
      <c r="AB90" s="232"/>
      <c r="AC90" s="373"/>
      <c r="AD90" s="374"/>
      <c r="AE90" s="230"/>
      <c r="AF90" s="230"/>
      <c r="AG90" s="230"/>
      <c r="AH90" s="230"/>
      <c r="AI90" s="230"/>
      <c r="AJ90" s="230"/>
    </row>
  </sheetData>
  <phoneticPr fontId="0" type="noConversion"/>
  <printOptions horizontalCentered="1" verticalCentered="1"/>
  <pageMargins left="0" right="0" top="0.25" bottom="0.25" header="0.19" footer="0"/>
  <pageSetup scale="59" orientation="landscape" r:id="rId1"/>
  <headerFooter alignWithMargins="0">
    <oddHeader>&amp;C&amp;"Arial,Bold"&amp;16East Power Positions- Off Peak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5]!PublishEVaRAndOffPeakPosByTrader">
                <anchor moveWithCells="1" sizeWithCells="1">
                  <from>
                    <xdr:col>29</xdr:col>
                    <xdr:colOff>419100</xdr:colOff>
                    <xdr:row>1</xdr:row>
                    <xdr:rowOff>7620</xdr:rowOff>
                  </from>
                  <to>
                    <xdr:col>35</xdr:col>
                    <xdr:colOff>91440</xdr:colOff>
                    <xdr:row>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E. VaR &amp; Peak Pos By Trader</vt:lpstr>
      <vt:lpstr>E. VaR &amp; Off-Peak Pos By Trader</vt:lpstr>
      <vt:lpstr>erv22sec1</vt:lpstr>
      <vt:lpstr>erv23sec1</vt:lpstr>
      <vt:lpstr>nr_VOPPRT</vt:lpstr>
      <vt:lpstr>nr_VPPRT</vt:lpstr>
      <vt:lpstr>'E. VaR &amp; Off-Peak Pos By Trader'!Print_Area</vt:lpstr>
      <vt:lpstr>'E. VaR &amp; Peak Pos By Trader'!Print_Area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Havlíček Jan</cp:lastModifiedBy>
  <dcterms:created xsi:type="dcterms:W3CDTF">2001-11-19T22:28:49Z</dcterms:created>
  <dcterms:modified xsi:type="dcterms:W3CDTF">2023-09-10T11:52:47Z</dcterms:modified>
</cp:coreProperties>
</file>