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920" windowWidth="15336" windowHeight="4968" tabRatio="623"/>
  </bookViews>
  <sheets>
    <sheet name="MAIN" sheetId="1" r:id="rId1"/>
    <sheet name="CALC" sheetId="2" r:id="rId2"/>
  </sheets>
  <definedNames>
    <definedName name="CalcMode">MAIN!$W$14</definedName>
    <definedName name="CollarValue">MAIN!$C$26</definedName>
    <definedName name="CostlessCollarSpecification">MAIN!$W$9</definedName>
    <definedName name="DateCurve">MAIN!$B$6</definedName>
    <definedName name="DateEnd">MAIN!$G$5</definedName>
    <definedName name="DateEnd2">MAIN!$S$5</definedName>
    <definedName name="DateIR">MAIN!$B$5</definedName>
    <definedName name="DateStart">MAIN!$G$4</definedName>
    <definedName name="DateStart2">MAIN!$S$4</definedName>
    <definedName name="DateToday">MAIN!$B$3</definedName>
    <definedName name="DaysForThetaCalculation">MAIN!$W$13</definedName>
    <definedName name="Escalation">MAIN!$Q$30</definedName>
    <definedName name="EuroExpDateToggle">MAIN!$W$10</definedName>
    <definedName name="ExtendableFirstAdjustment">MAIN!$W$18</definedName>
    <definedName name="ExtendableSwapValue">MAIN!$W$17</definedName>
    <definedName name="FirstPricingMonth">CALC!$I$5</definedName>
    <definedName name="HorizontalPriceOffset">MAIN!$AE$15</definedName>
    <definedName name="HorizontalVolOffset">MAIN!$AE$16</definedName>
    <definedName name="NominalVolume">MAIN!$O$29</definedName>
    <definedName name="OptControl">MAIN!$W$6</definedName>
    <definedName name="ParticipatingFirstAdjustment">MAIN!$W$21</definedName>
    <definedName name="ParticipatingSwapPrice">MAIN!$S$16</definedName>
    <definedName name="ParticipatingSwapValue">MAIN!$W$20</definedName>
    <definedName name="ParticipationRate">MAIN!$P$16</definedName>
    <definedName name="ParticipationType">MAIN!$W$8</definedName>
    <definedName name="PositionGCHOPrice">CALC!$CM$5</definedName>
    <definedName name="PositionGCHUPrice">CALC!$BZ$5</definedName>
    <definedName name="PositionHOPrice">CALC!$CF$5</definedName>
    <definedName name="PositionHOVol">CALC!$DB$5</definedName>
    <definedName name="PositionHUPrice">CALC!$BS$5</definedName>
    <definedName name="PositionHUVol">CALC!$CX$5</definedName>
    <definedName name="PositionIR">CALC!$AE$5</definedName>
    <definedName name="PositionKEROPrice">CALC!$CS$5</definedName>
    <definedName name="PositionResid1GC">CALC!$DL$5</definedName>
    <definedName name="PositionResid1NY">CALC!$DH$5</definedName>
    <definedName name="PositionResid2NY">CALC!$DT$5</definedName>
    <definedName name="PositionResid3GC">CALC!$DP$5</definedName>
    <definedName name="PositionWTIPrice">CALC!$R$5</definedName>
    <definedName name="PositionWTIVol">CALC!$W$5</definedName>
    <definedName name="PriceSpreadAsian">MAIN!$F$15</definedName>
    <definedName name="PriceSpreadEuro">MAIN!$F$16</definedName>
    <definedName name="Product">MAIN!$W$5</definedName>
    <definedName name="ProductGroup">MAIN!$W$4</definedName>
    <definedName name="ProductSpreadTable">CALC!$DY$12:$EF$28</definedName>
    <definedName name="ResidSpreadTable">CALC!$DY$36:$EC$53</definedName>
    <definedName name="SkewFlag">MAIN!$W$11</definedName>
    <definedName name="Strike1">MAIN!$G$19</definedName>
    <definedName name="Strike2">MAIN!$G$20</definedName>
    <definedName name="StrikeSpec1">MAIN!$F$19</definedName>
    <definedName name="StrikeSpec2">MAIN!$F$20</definedName>
    <definedName name="SwaptionPremium">MAIN!$S$12</definedName>
    <definedName name="SwaptionStrike">MAIN!$S$9</definedName>
    <definedName name="SwaptionType">MAIN!$W$7</definedName>
    <definedName name="SwaptionUnderlyingPrice">MAIN!$S$11</definedName>
    <definedName name="UnderlyingPriceAsian">MAIN!$K$26</definedName>
    <definedName name="VolOverrideAsian">MAIN!$D$15</definedName>
    <definedName name="VolOverrideEuro">MAIN!$D$16</definedName>
    <definedName name="VolSkewTable">CALC!$A$5:$G$10</definedName>
    <definedName name="VolSpreadAsian">MAIN!$C$15</definedName>
    <definedName name="VolSpreadEuro">MAIN!$C$16</definedName>
    <definedName name="Volume">MAIN!$N$29</definedName>
    <definedName name="VolumeSwaption">MAIN!$N$30</definedName>
    <definedName name="YearStart">MAIN!$F$4</definedName>
  </definedNames>
  <calcPr calcId="92512" calcMode="manual"/>
</workbook>
</file>

<file path=xl/calcChain.xml><?xml version="1.0" encoding="utf-8"?>
<calcChain xmlns="http://schemas.openxmlformats.org/spreadsheetml/2006/main">
  <c r="AR2" i="2" l="1"/>
  <c r="AW2" i="2"/>
  <c r="BH2" i="2"/>
  <c r="BM2" i="2"/>
  <c r="AM3" i="2"/>
  <c r="AN3" i="2"/>
  <c r="AP3" i="2"/>
  <c r="AQ3" i="2"/>
  <c r="BC3" i="2"/>
  <c r="BD3" i="2"/>
  <c r="BF3" i="2"/>
  <c r="BG3" i="2"/>
  <c r="AH4" i="2"/>
  <c r="AI4" i="2"/>
  <c r="AJ4" i="2"/>
  <c r="AK4" i="2"/>
  <c r="I5" i="2"/>
  <c r="J5" i="2"/>
  <c r="K5" i="2"/>
  <c r="L5" i="2"/>
  <c r="M5" i="2"/>
  <c r="N5" i="2"/>
  <c r="O5" i="2"/>
  <c r="P5" i="2"/>
  <c r="Q5" i="2"/>
  <c r="T5" i="2"/>
  <c r="U5" i="2"/>
  <c r="V5" i="2"/>
  <c r="X5" i="2"/>
  <c r="Y5" i="2"/>
  <c r="Z5" i="2"/>
  <c r="AA5" i="2"/>
  <c r="AB5" i="2"/>
  <c r="AC5" i="2"/>
  <c r="AD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T5" i="2"/>
  <c r="BU5" i="2"/>
  <c r="BW5" i="2"/>
  <c r="BY5" i="2"/>
  <c r="CA5" i="2"/>
  <c r="CB5" i="2"/>
  <c r="CC5" i="2"/>
  <c r="CD5" i="2"/>
  <c r="CE5" i="2"/>
  <c r="CG5" i="2"/>
  <c r="CH5" i="2"/>
  <c r="CJ5" i="2"/>
  <c r="CL5" i="2"/>
  <c r="CN5" i="2"/>
  <c r="CO5" i="2"/>
  <c r="CP5" i="2"/>
  <c r="CQ5" i="2"/>
  <c r="CR5" i="2"/>
  <c r="CT5" i="2"/>
  <c r="CU5" i="2"/>
  <c r="CV5" i="2"/>
  <c r="CW5" i="2"/>
  <c r="DI5" i="2"/>
  <c r="DJ5" i="2"/>
  <c r="DK5" i="2"/>
  <c r="DM5" i="2"/>
  <c r="DN5" i="2"/>
  <c r="DO5" i="2"/>
  <c r="DQ5" i="2"/>
  <c r="DR5" i="2"/>
  <c r="DS5" i="2"/>
  <c r="DU5" i="2"/>
  <c r="DV5" i="2"/>
  <c r="DW5" i="2"/>
  <c r="I6" i="2"/>
  <c r="J6" i="2"/>
  <c r="K6" i="2"/>
  <c r="L6" i="2"/>
  <c r="M6" i="2"/>
  <c r="N6" i="2"/>
  <c r="O6" i="2"/>
  <c r="P6" i="2"/>
  <c r="Q6" i="2"/>
  <c r="T6" i="2"/>
  <c r="U6" i="2"/>
  <c r="V6" i="2"/>
  <c r="X6" i="2"/>
  <c r="Y6" i="2"/>
  <c r="Z6" i="2"/>
  <c r="AA6" i="2"/>
  <c r="AB6" i="2"/>
  <c r="AC6" i="2"/>
  <c r="AD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T6" i="2"/>
  <c r="BU6" i="2"/>
  <c r="BW6" i="2"/>
  <c r="BX6" i="2"/>
  <c r="BY6" i="2"/>
  <c r="CA6" i="2"/>
  <c r="CB6" i="2"/>
  <c r="CC6" i="2"/>
  <c r="CD6" i="2"/>
  <c r="CE6" i="2"/>
  <c r="CG6" i="2"/>
  <c r="CH6" i="2"/>
  <c r="CJ6" i="2"/>
  <c r="CK6" i="2"/>
  <c r="CL6" i="2"/>
  <c r="CN6" i="2"/>
  <c r="CO6" i="2"/>
  <c r="CP6" i="2"/>
  <c r="CQ6" i="2"/>
  <c r="CR6" i="2"/>
  <c r="CT6" i="2"/>
  <c r="CU6" i="2"/>
  <c r="CV6" i="2"/>
  <c r="CW6" i="2"/>
  <c r="CY6" i="2"/>
  <c r="CZ6" i="2"/>
  <c r="DA6" i="2"/>
  <c r="DC6" i="2"/>
  <c r="DD6" i="2"/>
  <c r="DE6" i="2"/>
  <c r="DI6" i="2"/>
  <c r="DJ6" i="2"/>
  <c r="DK6" i="2"/>
  <c r="DM6" i="2"/>
  <c r="DN6" i="2"/>
  <c r="DO6" i="2"/>
  <c r="DQ6" i="2"/>
  <c r="DR6" i="2"/>
  <c r="DS6" i="2"/>
  <c r="DU6" i="2"/>
  <c r="DV6" i="2"/>
  <c r="DW6" i="2"/>
  <c r="I7" i="2"/>
  <c r="J7" i="2"/>
  <c r="K7" i="2"/>
  <c r="L7" i="2"/>
  <c r="M7" i="2"/>
  <c r="N7" i="2"/>
  <c r="O7" i="2"/>
  <c r="P7" i="2"/>
  <c r="Q7" i="2"/>
  <c r="T7" i="2"/>
  <c r="U7" i="2"/>
  <c r="V7" i="2"/>
  <c r="X7" i="2"/>
  <c r="Y7" i="2"/>
  <c r="Z7" i="2"/>
  <c r="AA7" i="2"/>
  <c r="AB7" i="2"/>
  <c r="AC7" i="2"/>
  <c r="AD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T7" i="2"/>
  <c r="BU7" i="2"/>
  <c r="BW7" i="2"/>
  <c r="BX7" i="2"/>
  <c r="BY7" i="2"/>
  <c r="CA7" i="2"/>
  <c r="CB7" i="2"/>
  <c r="CC7" i="2"/>
  <c r="CD7" i="2"/>
  <c r="CE7" i="2"/>
  <c r="CG7" i="2"/>
  <c r="CH7" i="2"/>
  <c r="CJ7" i="2"/>
  <c r="CK7" i="2"/>
  <c r="CL7" i="2"/>
  <c r="CN7" i="2"/>
  <c r="CO7" i="2"/>
  <c r="CP7" i="2"/>
  <c r="CQ7" i="2"/>
  <c r="CR7" i="2"/>
  <c r="CT7" i="2"/>
  <c r="CU7" i="2"/>
  <c r="CV7" i="2"/>
  <c r="CW7" i="2"/>
  <c r="CY7" i="2"/>
  <c r="CZ7" i="2"/>
  <c r="DA7" i="2"/>
  <c r="DC7" i="2"/>
  <c r="DD7" i="2"/>
  <c r="DE7" i="2"/>
  <c r="DI7" i="2"/>
  <c r="DJ7" i="2"/>
  <c r="DK7" i="2"/>
  <c r="DM7" i="2"/>
  <c r="DN7" i="2"/>
  <c r="DO7" i="2"/>
  <c r="DQ7" i="2"/>
  <c r="DR7" i="2"/>
  <c r="DS7" i="2"/>
  <c r="DU7" i="2"/>
  <c r="DV7" i="2"/>
  <c r="DW7" i="2"/>
  <c r="I8" i="2"/>
  <c r="J8" i="2"/>
  <c r="K8" i="2"/>
  <c r="L8" i="2"/>
  <c r="M8" i="2"/>
  <c r="N8" i="2"/>
  <c r="O8" i="2"/>
  <c r="P8" i="2"/>
  <c r="Q8" i="2"/>
  <c r="T8" i="2"/>
  <c r="U8" i="2"/>
  <c r="V8" i="2"/>
  <c r="X8" i="2"/>
  <c r="Y8" i="2"/>
  <c r="Z8" i="2"/>
  <c r="AA8" i="2"/>
  <c r="AB8" i="2"/>
  <c r="AC8" i="2"/>
  <c r="AD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T8" i="2"/>
  <c r="BU8" i="2"/>
  <c r="BW8" i="2"/>
  <c r="BX8" i="2"/>
  <c r="BY8" i="2"/>
  <c r="CA8" i="2"/>
  <c r="CB8" i="2"/>
  <c r="CC8" i="2"/>
  <c r="CD8" i="2"/>
  <c r="CE8" i="2"/>
  <c r="CG8" i="2"/>
  <c r="CH8" i="2"/>
  <c r="CJ8" i="2"/>
  <c r="CK8" i="2"/>
  <c r="CL8" i="2"/>
  <c r="CN8" i="2"/>
  <c r="CO8" i="2"/>
  <c r="CP8" i="2"/>
  <c r="CQ8" i="2"/>
  <c r="CR8" i="2"/>
  <c r="CT8" i="2"/>
  <c r="CU8" i="2"/>
  <c r="CV8" i="2"/>
  <c r="CW8" i="2"/>
  <c r="CY8" i="2"/>
  <c r="CZ8" i="2"/>
  <c r="DA8" i="2"/>
  <c r="DC8" i="2"/>
  <c r="DD8" i="2"/>
  <c r="DE8" i="2"/>
  <c r="DI8" i="2"/>
  <c r="DJ8" i="2"/>
  <c r="DK8" i="2"/>
  <c r="DM8" i="2"/>
  <c r="DN8" i="2"/>
  <c r="DO8" i="2"/>
  <c r="DQ8" i="2"/>
  <c r="DR8" i="2"/>
  <c r="DS8" i="2"/>
  <c r="DU8" i="2"/>
  <c r="DV8" i="2"/>
  <c r="DW8" i="2"/>
  <c r="I9" i="2"/>
  <c r="J9" i="2"/>
  <c r="K9" i="2"/>
  <c r="L9" i="2"/>
  <c r="M9" i="2"/>
  <c r="N9" i="2"/>
  <c r="O9" i="2"/>
  <c r="P9" i="2"/>
  <c r="Q9" i="2"/>
  <c r="T9" i="2"/>
  <c r="U9" i="2"/>
  <c r="V9" i="2"/>
  <c r="X9" i="2"/>
  <c r="Y9" i="2"/>
  <c r="Z9" i="2"/>
  <c r="AA9" i="2"/>
  <c r="AB9" i="2"/>
  <c r="AC9" i="2"/>
  <c r="AD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T9" i="2"/>
  <c r="BU9" i="2"/>
  <c r="BW9" i="2"/>
  <c r="BX9" i="2"/>
  <c r="BY9" i="2"/>
  <c r="CA9" i="2"/>
  <c r="CB9" i="2"/>
  <c r="CC9" i="2"/>
  <c r="CD9" i="2"/>
  <c r="CE9" i="2"/>
  <c r="CG9" i="2"/>
  <c r="CH9" i="2"/>
  <c r="CJ9" i="2"/>
  <c r="CK9" i="2"/>
  <c r="CL9" i="2"/>
  <c r="CN9" i="2"/>
  <c r="CO9" i="2"/>
  <c r="CP9" i="2"/>
  <c r="CQ9" i="2"/>
  <c r="CR9" i="2"/>
  <c r="CT9" i="2"/>
  <c r="CU9" i="2"/>
  <c r="CV9" i="2"/>
  <c r="CW9" i="2"/>
  <c r="CY9" i="2"/>
  <c r="CZ9" i="2"/>
  <c r="DA9" i="2"/>
  <c r="DC9" i="2"/>
  <c r="DD9" i="2"/>
  <c r="DE9" i="2"/>
  <c r="DI9" i="2"/>
  <c r="DJ9" i="2"/>
  <c r="DK9" i="2"/>
  <c r="DM9" i="2"/>
  <c r="DN9" i="2"/>
  <c r="DO9" i="2"/>
  <c r="DQ9" i="2"/>
  <c r="DR9" i="2"/>
  <c r="DS9" i="2"/>
  <c r="DU9" i="2"/>
  <c r="DV9" i="2"/>
  <c r="DW9" i="2"/>
  <c r="I10" i="2"/>
  <c r="J10" i="2"/>
  <c r="K10" i="2"/>
  <c r="L10" i="2"/>
  <c r="M10" i="2"/>
  <c r="N10" i="2"/>
  <c r="O10" i="2"/>
  <c r="P10" i="2"/>
  <c r="Q10" i="2"/>
  <c r="T10" i="2"/>
  <c r="U10" i="2"/>
  <c r="V10" i="2"/>
  <c r="X10" i="2"/>
  <c r="Y10" i="2"/>
  <c r="Z10" i="2"/>
  <c r="AA10" i="2"/>
  <c r="AB10" i="2"/>
  <c r="AC10" i="2"/>
  <c r="AD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T10" i="2"/>
  <c r="BU10" i="2"/>
  <c r="BW10" i="2"/>
  <c r="BX10" i="2"/>
  <c r="BY10" i="2"/>
  <c r="CA10" i="2"/>
  <c r="CB10" i="2"/>
  <c r="CC10" i="2"/>
  <c r="CD10" i="2"/>
  <c r="CE10" i="2"/>
  <c r="CG10" i="2"/>
  <c r="CH10" i="2"/>
  <c r="CJ10" i="2"/>
  <c r="CK10" i="2"/>
  <c r="CL10" i="2"/>
  <c r="CN10" i="2"/>
  <c r="CO10" i="2"/>
  <c r="CP10" i="2"/>
  <c r="CQ10" i="2"/>
  <c r="CR10" i="2"/>
  <c r="CT10" i="2"/>
  <c r="CU10" i="2"/>
  <c r="CV10" i="2"/>
  <c r="CW10" i="2"/>
  <c r="CY10" i="2"/>
  <c r="CZ10" i="2"/>
  <c r="DA10" i="2"/>
  <c r="DC10" i="2"/>
  <c r="DD10" i="2"/>
  <c r="DE10" i="2"/>
  <c r="DI10" i="2"/>
  <c r="DJ10" i="2"/>
  <c r="DK10" i="2"/>
  <c r="DM10" i="2"/>
  <c r="DN10" i="2"/>
  <c r="DO10" i="2"/>
  <c r="DQ10" i="2"/>
  <c r="DR10" i="2"/>
  <c r="DS10" i="2"/>
  <c r="DU10" i="2"/>
  <c r="DV10" i="2"/>
  <c r="DW10" i="2"/>
  <c r="I11" i="2"/>
  <c r="J11" i="2"/>
  <c r="K11" i="2"/>
  <c r="L11" i="2"/>
  <c r="M11" i="2"/>
  <c r="N11" i="2"/>
  <c r="O11" i="2"/>
  <c r="P11" i="2"/>
  <c r="Q11" i="2"/>
  <c r="T11" i="2"/>
  <c r="U11" i="2"/>
  <c r="V11" i="2"/>
  <c r="X11" i="2"/>
  <c r="Y11" i="2"/>
  <c r="Z11" i="2"/>
  <c r="AA11" i="2"/>
  <c r="AB11" i="2"/>
  <c r="AC11" i="2"/>
  <c r="AD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T11" i="2"/>
  <c r="BU11" i="2"/>
  <c r="BW11" i="2"/>
  <c r="BX11" i="2"/>
  <c r="BY11" i="2"/>
  <c r="CA11" i="2"/>
  <c r="CB11" i="2"/>
  <c r="CC11" i="2"/>
  <c r="CD11" i="2"/>
  <c r="CE11" i="2"/>
  <c r="CG11" i="2"/>
  <c r="CH11" i="2"/>
  <c r="CJ11" i="2"/>
  <c r="CK11" i="2"/>
  <c r="CL11" i="2"/>
  <c r="CN11" i="2"/>
  <c r="CO11" i="2"/>
  <c r="CP11" i="2"/>
  <c r="CQ11" i="2"/>
  <c r="CR11" i="2"/>
  <c r="CT11" i="2"/>
  <c r="CU11" i="2"/>
  <c r="CV11" i="2"/>
  <c r="CW11" i="2"/>
  <c r="CY11" i="2"/>
  <c r="CZ11" i="2"/>
  <c r="DA11" i="2"/>
  <c r="DC11" i="2"/>
  <c r="DD11" i="2"/>
  <c r="DE11" i="2"/>
  <c r="DI11" i="2"/>
  <c r="DJ11" i="2"/>
  <c r="DK11" i="2"/>
  <c r="DM11" i="2"/>
  <c r="DN11" i="2"/>
  <c r="DO11" i="2"/>
  <c r="DQ11" i="2"/>
  <c r="DR11" i="2"/>
  <c r="DS11" i="2"/>
  <c r="DU11" i="2"/>
  <c r="DV11" i="2"/>
  <c r="DW11" i="2"/>
  <c r="I12" i="2"/>
  <c r="J12" i="2"/>
  <c r="K12" i="2"/>
  <c r="L12" i="2"/>
  <c r="M12" i="2"/>
  <c r="N12" i="2"/>
  <c r="O12" i="2"/>
  <c r="P12" i="2"/>
  <c r="Q12" i="2"/>
  <c r="T12" i="2"/>
  <c r="U12" i="2"/>
  <c r="V12" i="2"/>
  <c r="X12" i="2"/>
  <c r="Y12" i="2"/>
  <c r="Z12" i="2"/>
  <c r="AA12" i="2"/>
  <c r="AB12" i="2"/>
  <c r="AC12" i="2"/>
  <c r="AD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T12" i="2"/>
  <c r="BU12" i="2"/>
  <c r="BW12" i="2"/>
  <c r="BX12" i="2"/>
  <c r="BY12" i="2"/>
  <c r="CA12" i="2"/>
  <c r="CB12" i="2"/>
  <c r="CC12" i="2"/>
  <c r="CD12" i="2"/>
  <c r="CE12" i="2"/>
  <c r="CG12" i="2"/>
  <c r="CH12" i="2"/>
  <c r="CJ12" i="2"/>
  <c r="CK12" i="2"/>
  <c r="CL12" i="2"/>
  <c r="CN12" i="2"/>
  <c r="CO12" i="2"/>
  <c r="CP12" i="2"/>
  <c r="CQ12" i="2"/>
  <c r="CR12" i="2"/>
  <c r="CT12" i="2"/>
  <c r="CU12" i="2"/>
  <c r="CV12" i="2"/>
  <c r="CW12" i="2"/>
  <c r="CY12" i="2"/>
  <c r="CZ12" i="2"/>
  <c r="DA12" i="2"/>
  <c r="DC12" i="2"/>
  <c r="DD12" i="2"/>
  <c r="DE12" i="2"/>
  <c r="DI12" i="2"/>
  <c r="DJ12" i="2"/>
  <c r="DK12" i="2"/>
  <c r="DM12" i="2"/>
  <c r="DN12" i="2"/>
  <c r="DO12" i="2"/>
  <c r="DQ12" i="2"/>
  <c r="DR12" i="2"/>
  <c r="DS12" i="2"/>
  <c r="DU12" i="2"/>
  <c r="DV12" i="2"/>
  <c r="DW12" i="2"/>
  <c r="I13" i="2"/>
  <c r="J13" i="2"/>
  <c r="K13" i="2"/>
  <c r="L13" i="2"/>
  <c r="M13" i="2"/>
  <c r="N13" i="2"/>
  <c r="O13" i="2"/>
  <c r="P13" i="2"/>
  <c r="Q13" i="2"/>
  <c r="T13" i="2"/>
  <c r="U13" i="2"/>
  <c r="V13" i="2"/>
  <c r="X13" i="2"/>
  <c r="Y13" i="2"/>
  <c r="Z13" i="2"/>
  <c r="AA13" i="2"/>
  <c r="AB13" i="2"/>
  <c r="AC13" i="2"/>
  <c r="AD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T13" i="2"/>
  <c r="BU13" i="2"/>
  <c r="BW13" i="2"/>
  <c r="BX13" i="2"/>
  <c r="BY13" i="2"/>
  <c r="CA13" i="2"/>
  <c r="CB13" i="2"/>
  <c r="CC13" i="2"/>
  <c r="CD13" i="2"/>
  <c r="CE13" i="2"/>
  <c r="CG13" i="2"/>
  <c r="CH13" i="2"/>
  <c r="CJ13" i="2"/>
  <c r="CK13" i="2"/>
  <c r="CL13" i="2"/>
  <c r="CN13" i="2"/>
  <c r="CO13" i="2"/>
  <c r="CP13" i="2"/>
  <c r="CQ13" i="2"/>
  <c r="CR13" i="2"/>
  <c r="CT13" i="2"/>
  <c r="CU13" i="2"/>
  <c r="CV13" i="2"/>
  <c r="CW13" i="2"/>
  <c r="CY13" i="2"/>
  <c r="CZ13" i="2"/>
  <c r="DA13" i="2"/>
  <c r="DC13" i="2"/>
  <c r="DD13" i="2"/>
  <c r="DE13" i="2"/>
  <c r="DI13" i="2"/>
  <c r="DJ13" i="2"/>
  <c r="DK13" i="2"/>
  <c r="DM13" i="2"/>
  <c r="DN13" i="2"/>
  <c r="DO13" i="2"/>
  <c r="DQ13" i="2"/>
  <c r="DR13" i="2"/>
  <c r="DS13" i="2"/>
  <c r="DU13" i="2"/>
  <c r="DV13" i="2"/>
  <c r="DW13" i="2"/>
  <c r="I14" i="2"/>
  <c r="J14" i="2"/>
  <c r="K14" i="2"/>
  <c r="L14" i="2"/>
  <c r="M14" i="2"/>
  <c r="N14" i="2"/>
  <c r="O14" i="2"/>
  <c r="P14" i="2"/>
  <c r="Q14" i="2"/>
  <c r="T14" i="2"/>
  <c r="U14" i="2"/>
  <c r="V14" i="2"/>
  <c r="X14" i="2"/>
  <c r="Y14" i="2"/>
  <c r="Z14" i="2"/>
  <c r="AA14" i="2"/>
  <c r="AB14" i="2"/>
  <c r="AC14" i="2"/>
  <c r="AD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T14" i="2"/>
  <c r="BU14" i="2"/>
  <c r="BW14" i="2"/>
  <c r="BX14" i="2"/>
  <c r="BY14" i="2"/>
  <c r="CA14" i="2"/>
  <c r="CB14" i="2"/>
  <c r="CC14" i="2"/>
  <c r="CD14" i="2"/>
  <c r="CE14" i="2"/>
  <c r="CG14" i="2"/>
  <c r="CH14" i="2"/>
  <c r="CJ14" i="2"/>
  <c r="CK14" i="2"/>
  <c r="CL14" i="2"/>
  <c r="CN14" i="2"/>
  <c r="CO14" i="2"/>
  <c r="CP14" i="2"/>
  <c r="CQ14" i="2"/>
  <c r="CR14" i="2"/>
  <c r="CT14" i="2"/>
  <c r="CU14" i="2"/>
  <c r="CV14" i="2"/>
  <c r="CW14" i="2"/>
  <c r="CY14" i="2"/>
  <c r="CZ14" i="2"/>
  <c r="DA14" i="2"/>
  <c r="DC14" i="2"/>
  <c r="DD14" i="2"/>
  <c r="DE14" i="2"/>
  <c r="DI14" i="2"/>
  <c r="DJ14" i="2"/>
  <c r="DK14" i="2"/>
  <c r="DM14" i="2"/>
  <c r="DN14" i="2"/>
  <c r="DO14" i="2"/>
  <c r="DQ14" i="2"/>
  <c r="DR14" i="2"/>
  <c r="DS14" i="2"/>
  <c r="DU14" i="2"/>
  <c r="DV14" i="2"/>
  <c r="DW14" i="2"/>
  <c r="I15" i="2"/>
  <c r="J15" i="2"/>
  <c r="K15" i="2"/>
  <c r="L15" i="2"/>
  <c r="M15" i="2"/>
  <c r="N15" i="2"/>
  <c r="O15" i="2"/>
  <c r="P15" i="2"/>
  <c r="Q15" i="2"/>
  <c r="T15" i="2"/>
  <c r="U15" i="2"/>
  <c r="V15" i="2"/>
  <c r="X15" i="2"/>
  <c r="Y15" i="2"/>
  <c r="Z15" i="2"/>
  <c r="AA15" i="2"/>
  <c r="AB15" i="2"/>
  <c r="AC15" i="2"/>
  <c r="AD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T15" i="2"/>
  <c r="BU15" i="2"/>
  <c r="BW15" i="2"/>
  <c r="BX15" i="2"/>
  <c r="BY15" i="2"/>
  <c r="CA15" i="2"/>
  <c r="CB15" i="2"/>
  <c r="CC15" i="2"/>
  <c r="CD15" i="2"/>
  <c r="CE15" i="2"/>
  <c r="CG15" i="2"/>
  <c r="CH15" i="2"/>
  <c r="CJ15" i="2"/>
  <c r="CK15" i="2"/>
  <c r="CL15" i="2"/>
  <c r="CN15" i="2"/>
  <c r="CO15" i="2"/>
  <c r="CP15" i="2"/>
  <c r="CQ15" i="2"/>
  <c r="CR15" i="2"/>
  <c r="CT15" i="2"/>
  <c r="CU15" i="2"/>
  <c r="CV15" i="2"/>
  <c r="CW15" i="2"/>
  <c r="CY15" i="2"/>
  <c r="CZ15" i="2"/>
  <c r="DA15" i="2"/>
  <c r="DC15" i="2"/>
  <c r="DD15" i="2"/>
  <c r="DE15" i="2"/>
  <c r="DI15" i="2"/>
  <c r="DJ15" i="2"/>
  <c r="DK15" i="2"/>
  <c r="DM15" i="2"/>
  <c r="DN15" i="2"/>
  <c r="DO15" i="2"/>
  <c r="DQ15" i="2"/>
  <c r="DR15" i="2"/>
  <c r="DS15" i="2"/>
  <c r="DU15" i="2"/>
  <c r="DV15" i="2"/>
  <c r="DW15" i="2"/>
  <c r="I16" i="2"/>
  <c r="J16" i="2"/>
  <c r="K16" i="2"/>
  <c r="L16" i="2"/>
  <c r="M16" i="2"/>
  <c r="N16" i="2"/>
  <c r="O16" i="2"/>
  <c r="P16" i="2"/>
  <c r="Q16" i="2"/>
  <c r="T16" i="2"/>
  <c r="U16" i="2"/>
  <c r="V16" i="2"/>
  <c r="X16" i="2"/>
  <c r="Y16" i="2"/>
  <c r="Z16" i="2"/>
  <c r="AA16" i="2"/>
  <c r="AB16" i="2"/>
  <c r="AC16" i="2"/>
  <c r="AD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T16" i="2"/>
  <c r="BU16" i="2"/>
  <c r="BW16" i="2"/>
  <c r="BX16" i="2"/>
  <c r="BY16" i="2"/>
  <c r="CA16" i="2"/>
  <c r="CB16" i="2"/>
  <c r="CC16" i="2"/>
  <c r="CD16" i="2"/>
  <c r="CE16" i="2"/>
  <c r="CG16" i="2"/>
  <c r="CH16" i="2"/>
  <c r="CJ16" i="2"/>
  <c r="CK16" i="2"/>
  <c r="CL16" i="2"/>
  <c r="CN16" i="2"/>
  <c r="CO16" i="2"/>
  <c r="CP16" i="2"/>
  <c r="CQ16" i="2"/>
  <c r="CR16" i="2"/>
  <c r="CT16" i="2"/>
  <c r="CU16" i="2"/>
  <c r="CV16" i="2"/>
  <c r="CW16" i="2"/>
  <c r="CY16" i="2"/>
  <c r="CZ16" i="2"/>
  <c r="DA16" i="2"/>
  <c r="DC16" i="2"/>
  <c r="DD16" i="2"/>
  <c r="DE16" i="2"/>
  <c r="DI16" i="2"/>
  <c r="DJ16" i="2"/>
  <c r="DK16" i="2"/>
  <c r="DM16" i="2"/>
  <c r="DN16" i="2"/>
  <c r="DO16" i="2"/>
  <c r="DQ16" i="2"/>
  <c r="DR16" i="2"/>
  <c r="DS16" i="2"/>
  <c r="DU16" i="2"/>
  <c r="DV16" i="2"/>
  <c r="DW16" i="2"/>
  <c r="I17" i="2"/>
  <c r="J17" i="2"/>
  <c r="K17" i="2"/>
  <c r="L17" i="2"/>
  <c r="M17" i="2"/>
  <c r="N17" i="2"/>
  <c r="O17" i="2"/>
  <c r="P17" i="2"/>
  <c r="Q17" i="2"/>
  <c r="T17" i="2"/>
  <c r="U17" i="2"/>
  <c r="V17" i="2"/>
  <c r="X17" i="2"/>
  <c r="Y17" i="2"/>
  <c r="Z17" i="2"/>
  <c r="AA17" i="2"/>
  <c r="AB17" i="2"/>
  <c r="AC17" i="2"/>
  <c r="AD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T17" i="2"/>
  <c r="BU17" i="2"/>
  <c r="BW17" i="2"/>
  <c r="BX17" i="2"/>
  <c r="BY17" i="2"/>
  <c r="CA17" i="2"/>
  <c r="CB17" i="2"/>
  <c r="CC17" i="2"/>
  <c r="CD17" i="2"/>
  <c r="CE17" i="2"/>
  <c r="CG17" i="2"/>
  <c r="CH17" i="2"/>
  <c r="CJ17" i="2"/>
  <c r="CK17" i="2"/>
  <c r="CL17" i="2"/>
  <c r="CN17" i="2"/>
  <c r="CO17" i="2"/>
  <c r="CP17" i="2"/>
  <c r="CQ17" i="2"/>
  <c r="CR17" i="2"/>
  <c r="CT17" i="2"/>
  <c r="CU17" i="2"/>
  <c r="CV17" i="2"/>
  <c r="CW17" i="2"/>
  <c r="CY17" i="2"/>
  <c r="CZ17" i="2"/>
  <c r="DA17" i="2"/>
  <c r="DC17" i="2"/>
  <c r="DD17" i="2"/>
  <c r="DE17" i="2"/>
  <c r="DI17" i="2"/>
  <c r="DJ17" i="2"/>
  <c r="DK17" i="2"/>
  <c r="DM17" i="2"/>
  <c r="DN17" i="2"/>
  <c r="DO17" i="2"/>
  <c r="DQ17" i="2"/>
  <c r="DR17" i="2"/>
  <c r="DS17" i="2"/>
  <c r="DU17" i="2"/>
  <c r="DV17" i="2"/>
  <c r="DW17" i="2"/>
  <c r="I18" i="2"/>
  <c r="J18" i="2"/>
  <c r="K18" i="2"/>
  <c r="L18" i="2"/>
  <c r="M18" i="2"/>
  <c r="N18" i="2"/>
  <c r="O18" i="2"/>
  <c r="P18" i="2"/>
  <c r="Q18" i="2"/>
  <c r="T18" i="2"/>
  <c r="U18" i="2"/>
  <c r="V18" i="2"/>
  <c r="X18" i="2"/>
  <c r="Y18" i="2"/>
  <c r="Z18" i="2"/>
  <c r="AA18" i="2"/>
  <c r="AB18" i="2"/>
  <c r="AC18" i="2"/>
  <c r="AD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T18" i="2"/>
  <c r="BU18" i="2"/>
  <c r="BW18" i="2"/>
  <c r="BX18" i="2"/>
  <c r="BY18" i="2"/>
  <c r="CA18" i="2"/>
  <c r="CB18" i="2"/>
  <c r="CC18" i="2"/>
  <c r="CD18" i="2"/>
  <c r="CE18" i="2"/>
  <c r="CG18" i="2"/>
  <c r="CH18" i="2"/>
  <c r="CJ18" i="2"/>
  <c r="CK18" i="2"/>
  <c r="CL18" i="2"/>
  <c r="CN18" i="2"/>
  <c r="CO18" i="2"/>
  <c r="CP18" i="2"/>
  <c r="CQ18" i="2"/>
  <c r="CR18" i="2"/>
  <c r="CT18" i="2"/>
  <c r="CU18" i="2"/>
  <c r="CV18" i="2"/>
  <c r="CW18" i="2"/>
  <c r="CY18" i="2"/>
  <c r="CZ18" i="2"/>
  <c r="DA18" i="2"/>
  <c r="DC18" i="2"/>
  <c r="DD18" i="2"/>
  <c r="DE18" i="2"/>
  <c r="DI18" i="2"/>
  <c r="DJ18" i="2"/>
  <c r="DK18" i="2"/>
  <c r="DM18" i="2"/>
  <c r="DN18" i="2"/>
  <c r="DO18" i="2"/>
  <c r="DQ18" i="2"/>
  <c r="DR18" i="2"/>
  <c r="DS18" i="2"/>
  <c r="DU18" i="2"/>
  <c r="DV18" i="2"/>
  <c r="DW18" i="2"/>
  <c r="I19" i="2"/>
  <c r="J19" i="2"/>
  <c r="K19" i="2"/>
  <c r="L19" i="2"/>
  <c r="M19" i="2"/>
  <c r="N19" i="2"/>
  <c r="O19" i="2"/>
  <c r="P19" i="2"/>
  <c r="Q19" i="2"/>
  <c r="T19" i="2"/>
  <c r="U19" i="2"/>
  <c r="V19" i="2"/>
  <c r="X19" i="2"/>
  <c r="Y19" i="2"/>
  <c r="Z19" i="2"/>
  <c r="AA19" i="2"/>
  <c r="AB19" i="2"/>
  <c r="AC19" i="2"/>
  <c r="AD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T19" i="2"/>
  <c r="BU19" i="2"/>
  <c r="BW19" i="2"/>
  <c r="BX19" i="2"/>
  <c r="BY19" i="2"/>
  <c r="CA19" i="2"/>
  <c r="CB19" i="2"/>
  <c r="CC19" i="2"/>
  <c r="CD19" i="2"/>
  <c r="CE19" i="2"/>
  <c r="CG19" i="2"/>
  <c r="CH19" i="2"/>
  <c r="CJ19" i="2"/>
  <c r="CK19" i="2"/>
  <c r="CL19" i="2"/>
  <c r="CN19" i="2"/>
  <c r="CO19" i="2"/>
  <c r="CP19" i="2"/>
  <c r="CQ19" i="2"/>
  <c r="CR19" i="2"/>
  <c r="CT19" i="2"/>
  <c r="CU19" i="2"/>
  <c r="CV19" i="2"/>
  <c r="CW19" i="2"/>
  <c r="CY19" i="2"/>
  <c r="CZ19" i="2"/>
  <c r="DA19" i="2"/>
  <c r="DC19" i="2"/>
  <c r="DD19" i="2"/>
  <c r="DE19" i="2"/>
  <c r="DI19" i="2"/>
  <c r="DJ19" i="2"/>
  <c r="DK19" i="2"/>
  <c r="DM19" i="2"/>
  <c r="DN19" i="2"/>
  <c r="DO19" i="2"/>
  <c r="DQ19" i="2"/>
  <c r="DR19" i="2"/>
  <c r="DS19" i="2"/>
  <c r="DU19" i="2"/>
  <c r="DV19" i="2"/>
  <c r="DW19" i="2"/>
  <c r="I20" i="2"/>
  <c r="J20" i="2"/>
  <c r="K20" i="2"/>
  <c r="L20" i="2"/>
  <c r="M20" i="2"/>
  <c r="N20" i="2"/>
  <c r="O20" i="2"/>
  <c r="P20" i="2"/>
  <c r="Q20" i="2"/>
  <c r="T20" i="2"/>
  <c r="U20" i="2"/>
  <c r="V20" i="2"/>
  <c r="X20" i="2"/>
  <c r="Y20" i="2"/>
  <c r="Z20" i="2"/>
  <c r="AA20" i="2"/>
  <c r="AB20" i="2"/>
  <c r="AC20" i="2"/>
  <c r="AD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T20" i="2"/>
  <c r="BU20" i="2"/>
  <c r="BW20" i="2"/>
  <c r="BX20" i="2"/>
  <c r="BY20" i="2"/>
  <c r="CA20" i="2"/>
  <c r="CB20" i="2"/>
  <c r="CC20" i="2"/>
  <c r="CD20" i="2"/>
  <c r="CE20" i="2"/>
  <c r="CG20" i="2"/>
  <c r="CH20" i="2"/>
  <c r="CJ20" i="2"/>
  <c r="CK20" i="2"/>
  <c r="CL20" i="2"/>
  <c r="CN20" i="2"/>
  <c r="CO20" i="2"/>
  <c r="CP20" i="2"/>
  <c r="CQ20" i="2"/>
  <c r="CR20" i="2"/>
  <c r="CT20" i="2"/>
  <c r="CU20" i="2"/>
  <c r="CV20" i="2"/>
  <c r="CW20" i="2"/>
  <c r="CY20" i="2"/>
  <c r="CZ20" i="2"/>
  <c r="DA20" i="2"/>
  <c r="DC20" i="2"/>
  <c r="DD20" i="2"/>
  <c r="DE20" i="2"/>
  <c r="DI20" i="2"/>
  <c r="DJ20" i="2"/>
  <c r="DK20" i="2"/>
  <c r="DM20" i="2"/>
  <c r="DN20" i="2"/>
  <c r="DO20" i="2"/>
  <c r="DQ20" i="2"/>
  <c r="DR20" i="2"/>
  <c r="DS20" i="2"/>
  <c r="DU20" i="2"/>
  <c r="DV20" i="2"/>
  <c r="DW20" i="2"/>
  <c r="I21" i="2"/>
  <c r="J21" i="2"/>
  <c r="K21" i="2"/>
  <c r="L21" i="2"/>
  <c r="M21" i="2"/>
  <c r="N21" i="2"/>
  <c r="O21" i="2"/>
  <c r="P21" i="2"/>
  <c r="Q21" i="2"/>
  <c r="T21" i="2"/>
  <c r="U21" i="2"/>
  <c r="V21" i="2"/>
  <c r="X21" i="2"/>
  <c r="Y21" i="2"/>
  <c r="Z21" i="2"/>
  <c r="AA21" i="2"/>
  <c r="AB21" i="2"/>
  <c r="AC21" i="2"/>
  <c r="AD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T21" i="2"/>
  <c r="BU21" i="2"/>
  <c r="BW21" i="2"/>
  <c r="BX21" i="2"/>
  <c r="BY21" i="2"/>
  <c r="CA21" i="2"/>
  <c r="CB21" i="2"/>
  <c r="CC21" i="2"/>
  <c r="CD21" i="2"/>
  <c r="CE21" i="2"/>
  <c r="CG21" i="2"/>
  <c r="CH21" i="2"/>
  <c r="CJ21" i="2"/>
  <c r="CK21" i="2"/>
  <c r="CL21" i="2"/>
  <c r="CN21" i="2"/>
  <c r="CO21" i="2"/>
  <c r="CP21" i="2"/>
  <c r="CQ21" i="2"/>
  <c r="CR21" i="2"/>
  <c r="CT21" i="2"/>
  <c r="CU21" i="2"/>
  <c r="CV21" i="2"/>
  <c r="CW21" i="2"/>
  <c r="CY21" i="2"/>
  <c r="CZ21" i="2"/>
  <c r="DA21" i="2"/>
  <c r="DC21" i="2"/>
  <c r="DD21" i="2"/>
  <c r="DE21" i="2"/>
  <c r="DI21" i="2"/>
  <c r="DJ21" i="2"/>
  <c r="DK21" i="2"/>
  <c r="DM21" i="2"/>
  <c r="DN21" i="2"/>
  <c r="DO21" i="2"/>
  <c r="DQ21" i="2"/>
  <c r="DR21" i="2"/>
  <c r="DS21" i="2"/>
  <c r="DU21" i="2"/>
  <c r="DV21" i="2"/>
  <c r="DW21" i="2"/>
  <c r="I22" i="2"/>
  <c r="J22" i="2"/>
  <c r="K22" i="2"/>
  <c r="L22" i="2"/>
  <c r="M22" i="2"/>
  <c r="N22" i="2"/>
  <c r="O22" i="2"/>
  <c r="P22" i="2"/>
  <c r="Q22" i="2"/>
  <c r="T22" i="2"/>
  <c r="U22" i="2"/>
  <c r="V22" i="2"/>
  <c r="X22" i="2"/>
  <c r="Y22" i="2"/>
  <c r="Z22" i="2"/>
  <c r="AA22" i="2"/>
  <c r="AB22" i="2"/>
  <c r="AC22" i="2"/>
  <c r="AD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T22" i="2"/>
  <c r="BU22" i="2"/>
  <c r="BW22" i="2"/>
  <c r="BX22" i="2"/>
  <c r="BY22" i="2"/>
  <c r="CA22" i="2"/>
  <c r="CB22" i="2"/>
  <c r="CC22" i="2"/>
  <c r="CD22" i="2"/>
  <c r="CE22" i="2"/>
  <c r="CG22" i="2"/>
  <c r="CH22" i="2"/>
  <c r="CJ22" i="2"/>
  <c r="CK22" i="2"/>
  <c r="CL22" i="2"/>
  <c r="CN22" i="2"/>
  <c r="CO22" i="2"/>
  <c r="CP22" i="2"/>
  <c r="CQ22" i="2"/>
  <c r="CR22" i="2"/>
  <c r="CT22" i="2"/>
  <c r="CU22" i="2"/>
  <c r="CV22" i="2"/>
  <c r="CW22" i="2"/>
  <c r="CY22" i="2"/>
  <c r="CZ22" i="2"/>
  <c r="DA22" i="2"/>
  <c r="DC22" i="2"/>
  <c r="DD22" i="2"/>
  <c r="DE22" i="2"/>
  <c r="DI22" i="2"/>
  <c r="DJ22" i="2"/>
  <c r="DK22" i="2"/>
  <c r="DM22" i="2"/>
  <c r="DN22" i="2"/>
  <c r="DO22" i="2"/>
  <c r="DQ22" i="2"/>
  <c r="DR22" i="2"/>
  <c r="DS22" i="2"/>
  <c r="DU22" i="2"/>
  <c r="DV22" i="2"/>
  <c r="DW22" i="2"/>
  <c r="I23" i="2"/>
  <c r="J23" i="2"/>
  <c r="K23" i="2"/>
  <c r="L23" i="2"/>
  <c r="M23" i="2"/>
  <c r="N23" i="2"/>
  <c r="O23" i="2"/>
  <c r="P23" i="2"/>
  <c r="Q23" i="2"/>
  <c r="T23" i="2"/>
  <c r="U23" i="2"/>
  <c r="V23" i="2"/>
  <c r="X23" i="2"/>
  <c r="Y23" i="2"/>
  <c r="Z23" i="2"/>
  <c r="AA23" i="2"/>
  <c r="AB23" i="2"/>
  <c r="AC23" i="2"/>
  <c r="AD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T23" i="2"/>
  <c r="BU23" i="2"/>
  <c r="BW23" i="2"/>
  <c r="BX23" i="2"/>
  <c r="BY23" i="2"/>
  <c r="CA23" i="2"/>
  <c r="CB23" i="2"/>
  <c r="CC23" i="2"/>
  <c r="CD23" i="2"/>
  <c r="CE23" i="2"/>
  <c r="CG23" i="2"/>
  <c r="CH23" i="2"/>
  <c r="CJ23" i="2"/>
  <c r="CK23" i="2"/>
  <c r="CL23" i="2"/>
  <c r="CN23" i="2"/>
  <c r="CO23" i="2"/>
  <c r="CP23" i="2"/>
  <c r="CQ23" i="2"/>
  <c r="CR23" i="2"/>
  <c r="CT23" i="2"/>
  <c r="CU23" i="2"/>
  <c r="CV23" i="2"/>
  <c r="CW23" i="2"/>
  <c r="CY23" i="2"/>
  <c r="CZ23" i="2"/>
  <c r="DA23" i="2"/>
  <c r="DC23" i="2"/>
  <c r="DD23" i="2"/>
  <c r="DE23" i="2"/>
  <c r="DI23" i="2"/>
  <c r="DJ23" i="2"/>
  <c r="DK23" i="2"/>
  <c r="DM23" i="2"/>
  <c r="DN23" i="2"/>
  <c r="DO23" i="2"/>
  <c r="DQ23" i="2"/>
  <c r="DR23" i="2"/>
  <c r="DS23" i="2"/>
  <c r="DU23" i="2"/>
  <c r="DV23" i="2"/>
  <c r="DW23" i="2"/>
  <c r="I24" i="2"/>
  <c r="J24" i="2"/>
  <c r="K24" i="2"/>
  <c r="L24" i="2"/>
  <c r="M24" i="2"/>
  <c r="N24" i="2"/>
  <c r="O24" i="2"/>
  <c r="P24" i="2"/>
  <c r="Q24" i="2"/>
  <c r="T24" i="2"/>
  <c r="U24" i="2"/>
  <c r="V24" i="2"/>
  <c r="X24" i="2"/>
  <c r="Y24" i="2"/>
  <c r="Z24" i="2"/>
  <c r="AA24" i="2"/>
  <c r="AB24" i="2"/>
  <c r="AC24" i="2"/>
  <c r="AD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T24" i="2"/>
  <c r="BU24" i="2"/>
  <c r="BW24" i="2"/>
  <c r="BX24" i="2"/>
  <c r="BY24" i="2"/>
  <c r="CA24" i="2"/>
  <c r="CB24" i="2"/>
  <c r="CC24" i="2"/>
  <c r="CD24" i="2"/>
  <c r="CE24" i="2"/>
  <c r="CG24" i="2"/>
  <c r="CH24" i="2"/>
  <c r="CJ24" i="2"/>
  <c r="CK24" i="2"/>
  <c r="CL24" i="2"/>
  <c r="CN24" i="2"/>
  <c r="CO24" i="2"/>
  <c r="CP24" i="2"/>
  <c r="CQ24" i="2"/>
  <c r="CR24" i="2"/>
  <c r="CT24" i="2"/>
  <c r="CU24" i="2"/>
  <c r="CV24" i="2"/>
  <c r="CW24" i="2"/>
  <c r="CY24" i="2"/>
  <c r="CZ24" i="2"/>
  <c r="DA24" i="2"/>
  <c r="DC24" i="2"/>
  <c r="DD24" i="2"/>
  <c r="DE24" i="2"/>
  <c r="DI24" i="2"/>
  <c r="DJ24" i="2"/>
  <c r="DK24" i="2"/>
  <c r="DM24" i="2"/>
  <c r="DN24" i="2"/>
  <c r="DO24" i="2"/>
  <c r="DQ24" i="2"/>
  <c r="DR24" i="2"/>
  <c r="DS24" i="2"/>
  <c r="DU24" i="2"/>
  <c r="DV24" i="2"/>
  <c r="DW24" i="2"/>
  <c r="I25" i="2"/>
  <c r="J25" i="2"/>
  <c r="K25" i="2"/>
  <c r="L25" i="2"/>
  <c r="M25" i="2"/>
  <c r="N25" i="2"/>
  <c r="O25" i="2"/>
  <c r="P25" i="2"/>
  <c r="Q25" i="2"/>
  <c r="T25" i="2"/>
  <c r="U25" i="2"/>
  <c r="V25" i="2"/>
  <c r="X25" i="2"/>
  <c r="Y25" i="2"/>
  <c r="Z25" i="2"/>
  <c r="AA25" i="2"/>
  <c r="AB25" i="2"/>
  <c r="AC25" i="2"/>
  <c r="AD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T25" i="2"/>
  <c r="BU25" i="2"/>
  <c r="BW25" i="2"/>
  <c r="BX25" i="2"/>
  <c r="BY25" i="2"/>
  <c r="CA25" i="2"/>
  <c r="CB25" i="2"/>
  <c r="CC25" i="2"/>
  <c r="CD25" i="2"/>
  <c r="CE25" i="2"/>
  <c r="CG25" i="2"/>
  <c r="CH25" i="2"/>
  <c r="CJ25" i="2"/>
  <c r="CK25" i="2"/>
  <c r="CL25" i="2"/>
  <c r="CN25" i="2"/>
  <c r="CO25" i="2"/>
  <c r="CP25" i="2"/>
  <c r="CQ25" i="2"/>
  <c r="CR25" i="2"/>
  <c r="CT25" i="2"/>
  <c r="CU25" i="2"/>
  <c r="CV25" i="2"/>
  <c r="CW25" i="2"/>
  <c r="CY25" i="2"/>
  <c r="CZ25" i="2"/>
  <c r="DA25" i="2"/>
  <c r="DC25" i="2"/>
  <c r="DD25" i="2"/>
  <c r="DE25" i="2"/>
  <c r="DI25" i="2"/>
  <c r="DJ25" i="2"/>
  <c r="DK25" i="2"/>
  <c r="DM25" i="2"/>
  <c r="DN25" i="2"/>
  <c r="DO25" i="2"/>
  <c r="DQ25" i="2"/>
  <c r="DR25" i="2"/>
  <c r="DS25" i="2"/>
  <c r="DU25" i="2"/>
  <c r="DV25" i="2"/>
  <c r="DW25" i="2"/>
  <c r="I26" i="2"/>
  <c r="J26" i="2"/>
  <c r="K26" i="2"/>
  <c r="L26" i="2"/>
  <c r="M26" i="2"/>
  <c r="N26" i="2"/>
  <c r="O26" i="2"/>
  <c r="P26" i="2"/>
  <c r="Q26" i="2"/>
  <c r="T26" i="2"/>
  <c r="U26" i="2"/>
  <c r="V26" i="2"/>
  <c r="X26" i="2"/>
  <c r="Y26" i="2"/>
  <c r="Z26" i="2"/>
  <c r="AA26" i="2"/>
  <c r="AB26" i="2"/>
  <c r="AC26" i="2"/>
  <c r="AD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T26" i="2"/>
  <c r="BU26" i="2"/>
  <c r="BW26" i="2"/>
  <c r="BX26" i="2"/>
  <c r="BY26" i="2"/>
  <c r="CA26" i="2"/>
  <c r="CB26" i="2"/>
  <c r="CC26" i="2"/>
  <c r="CD26" i="2"/>
  <c r="CE26" i="2"/>
  <c r="CG26" i="2"/>
  <c r="CH26" i="2"/>
  <c r="CJ26" i="2"/>
  <c r="CK26" i="2"/>
  <c r="CL26" i="2"/>
  <c r="CN26" i="2"/>
  <c r="CO26" i="2"/>
  <c r="CP26" i="2"/>
  <c r="CQ26" i="2"/>
  <c r="CR26" i="2"/>
  <c r="CT26" i="2"/>
  <c r="CU26" i="2"/>
  <c r="CV26" i="2"/>
  <c r="CW26" i="2"/>
  <c r="CY26" i="2"/>
  <c r="CZ26" i="2"/>
  <c r="DA26" i="2"/>
  <c r="DC26" i="2"/>
  <c r="DD26" i="2"/>
  <c r="DE26" i="2"/>
  <c r="DI26" i="2"/>
  <c r="DJ26" i="2"/>
  <c r="DK26" i="2"/>
  <c r="DM26" i="2"/>
  <c r="DN26" i="2"/>
  <c r="DO26" i="2"/>
  <c r="DQ26" i="2"/>
  <c r="DR26" i="2"/>
  <c r="DS26" i="2"/>
  <c r="DU26" i="2"/>
  <c r="DV26" i="2"/>
  <c r="DW26" i="2"/>
  <c r="I27" i="2"/>
  <c r="J27" i="2"/>
  <c r="K27" i="2"/>
  <c r="L27" i="2"/>
  <c r="M27" i="2"/>
  <c r="N27" i="2"/>
  <c r="O27" i="2"/>
  <c r="P27" i="2"/>
  <c r="Q27" i="2"/>
  <c r="T27" i="2"/>
  <c r="U27" i="2"/>
  <c r="V27" i="2"/>
  <c r="X27" i="2"/>
  <c r="Y27" i="2"/>
  <c r="Z27" i="2"/>
  <c r="AA27" i="2"/>
  <c r="AB27" i="2"/>
  <c r="AC27" i="2"/>
  <c r="AD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T27" i="2"/>
  <c r="BU27" i="2"/>
  <c r="BW27" i="2"/>
  <c r="BX27" i="2"/>
  <c r="BY27" i="2"/>
  <c r="CA27" i="2"/>
  <c r="CB27" i="2"/>
  <c r="CC27" i="2"/>
  <c r="CD27" i="2"/>
  <c r="CE27" i="2"/>
  <c r="CG27" i="2"/>
  <c r="CH27" i="2"/>
  <c r="CJ27" i="2"/>
  <c r="CK27" i="2"/>
  <c r="CL27" i="2"/>
  <c r="CN27" i="2"/>
  <c r="CO27" i="2"/>
  <c r="CP27" i="2"/>
  <c r="CQ27" i="2"/>
  <c r="CR27" i="2"/>
  <c r="CT27" i="2"/>
  <c r="CU27" i="2"/>
  <c r="CV27" i="2"/>
  <c r="CW27" i="2"/>
  <c r="CY27" i="2"/>
  <c r="CZ27" i="2"/>
  <c r="DA27" i="2"/>
  <c r="DC27" i="2"/>
  <c r="DD27" i="2"/>
  <c r="DE27" i="2"/>
  <c r="DI27" i="2"/>
  <c r="DJ27" i="2"/>
  <c r="DK27" i="2"/>
  <c r="DM27" i="2"/>
  <c r="DN27" i="2"/>
  <c r="DO27" i="2"/>
  <c r="DQ27" i="2"/>
  <c r="DR27" i="2"/>
  <c r="DS27" i="2"/>
  <c r="DU27" i="2"/>
  <c r="DV27" i="2"/>
  <c r="DW27" i="2"/>
  <c r="I28" i="2"/>
  <c r="J28" i="2"/>
  <c r="K28" i="2"/>
  <c r="L28" i="2"/>
  <c r="M28" i="2"/>
  <c r="N28" i="2"/>
  <c r="O28" i="2"/>
  <c r="P28" i="2"/>
  <c r="Q28" i="2"/>
  <c r="T28" i="2"/>
  <c r="U28" i="2"/>
  <c r="V28" i="2"/>
  <c r="X28" i="2"/>
  <c r="Y28" i="2"/>
  <c r="Z28" i="2"/>
  <c r="AA28" i="2"/>
  <c r="AB28" i="2"/>
  <c r="AC28" i="2"/>
  <c r="AD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T28" i="2"/>
  <c r="BU28" i="2"/>
  <c r="BW28" i="2"/>
  <c r="BX28" i="2"/>
  <c r="BY28" i="2"/>
  <c r="CA28" i="2"/>
  <c r="CB28" i="2"/>
  <c r="CC28" i="2"/>
  <c r="CD28" i="2"/>
  <c r="CE28" i="2"/>
  <c r="CG28" i="2"/>
  <c r="CH28" i="2"/>
  <c r="CJ28" i="2"/>
  <c r="CK28" i="2"/>
  <c r="CL28" i="2"/>
  <c r="CN28" i="2"/>
  <c r="CO28" i="2"/>
  <c r="CP28" i="2"/>
  <c r="CQ28" i="2"/>
  <c r="CR28" i="2"/>
  <c r="CT28" i="2"/>
  <c r="CU28" i="2"/>
  <c r="CV28" i="2"/>
  <c r="CW28" i="2"/>
  <c r="CY28" i="2"/>
  <c r="CZ28" i="2"/>
  <c r="DA28" i="2"/>
  <c r="DC28" i="2"/>
  <c r="DD28" i="2"/>
  <c r="DE28" i="2"/>
  <c r="DI28" i="2"/>
  <c r="DJ28" i="2"/>
  <c r="DK28" i="2"/>
  <c r="DM28" i="2"/>
  <c r="DN28" i="2"/>
  <c r="DO28" i="2"/>
  <c r="DQ28" i="2"/>
  <c r="DR28" i="2"/>
  <c r="DS28" i="2"/>
  <c r="DU28" i="2"/>
  <c r="DV28" i="2"/>
  <c r="DW28" i="2"/>
  <c r="I29" i="2"/>
  <c r="J29" i="2"/>
  <c r="K29" i="2"/>
  <c r="L29" i="2"/>
  <c r="M29" i="2"/>
  <c r="N29" i="2"/>
  <c r="O29" i="2"/>
  <c r="P29" i="2"/>
  <c r="Q29" i="2"/>
  <c r="T29" i="2"/>
  <c r="U29" i="2"/>
  <c r="V29" i="2"/>
  <c r="X29" i="2"/>
  <c r="Y29" i="2"/>
  <c r="Z29" i="2"/>
  <c r="AA29" i="2"/>
  <c r="AB29" i="2"/>
  <c r="AC29" i="2"/>
  <c r="AD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T29" i="2"/>
  <c r="BU29" i="2"/>
  <c r="BW29" i="2"/>
  <c r="BX29" i="2"/>
  <c r="BY29" i="2"/>
  <c r="CA29" i="2"/>
  <c r="CB29" i="2"/>
  <c r="CC29" i="2"/>
  <c r="CD29" i="2"/>
  <c r="CE29" i="2"/>
  <c r="CG29" i="2"/>
  <c r="CH29" i="2"/>
  <c r="CJ29" i="2"/>
  <c r="CK29" i="2"/>
  <c r="CL29" i="2"/>
  <c r="CN29" i="2"/>
  <c r="CO29" i="2"/>
  <c r="CP29" i="2"/>
  <c r="CQ29" i="2"/>
  <c r="CR29" i="2"/>
  <c r="CT29" i="2"/>
  <c r="CU29" i="2"/>
  <c r="CV29" i="2"/>
  <c r="CW29" i="2"/>
  <c r="CY29" i="2"/>
  <c r="CZ29" i="2"/>
  <c r="DA29" i="2"/>
  <c r="DC29" i="2"/>
  <c r="DD29" i="2"/>
  <c r="DE29" i="2"/>
  <c r="DI29" i="2"/>
  <c r="DJ29" i="2"/>
  <c r="DK29" i="2"/>
  <c r="DM29" i="2"/>
  <c r="DN29" i="2"/>
  <c r="DO29" i="2"/>
  <c r="DQ29" i="2"/>
  <c r="DR29" i="2"/>
  <c r="DS29" i="2"/>
  <c r="DU29" i="2"/>
  <c r="DV29" i="2"/>
  <c r="DW29" i="2"/>
  <c r="I30" i="2"/>
  <c r="J30" i="2"/>
  <c r="K30" i="2"/>
  <c r="L30" i="2"/>
  <c r="M30" i="2"/>
  <c r="N30" i="2"/>
  <c r="O30" i="2"/>
  <c r="P30" i="2"/>
  <c r="Q30" i="2"/>
  <c r="T30" i="2"/>
  <c r="U30" i="2"/>
  <c r="V30" i="2"/>
  <c r="X30" i="2"/>
  <c r="Y30" i="2"/>
  <c r="Z30" i="2"/>
  <c r="AA30" i="2"/>
  <c r="AB30" i="2"/>
  <c r="AC30" i="2"/>
  <c r="AD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T30" i="2"/>
  <c r="BU30" i="2"/>
  <c r="BW30" i="2"/>
  <c r="BX30" i="2"/>
  <c r="BY30" i="2"/>
  <c r="CA30" i="2"/>
  <c r="CB30" i="2"/>
  <c r="CC30" i="2"/>
  <c r="CD30" i="2"/>
  <c r="CE30" i="2"/>
  <c r="CG30" i="2"/>
  <c r="CH30" i="2"/>
  <c r="CJ30" i="2"/>
  <c r="CK30" i="2"/>
  <c r="CL30" i="2"/>
  <c r="CN30" i="2"/>
  <c r="CO30" i="2"/>
  <c r="CP30" i="2"/>
  <c r="CQ30" i="2"/>
  <c r="CR30" i="2"/>
  <c r="CT30" i="2"/>
  <c r="CU30" i="2"/>
  <c r="CV30" i="2"/>
  <c r="CW30" i="2"/>
  <c r="CY30" i="2"/>
  <c r="CZ30" i="2"/>
  <c r="DA30" i="2"/>
  <c r="DC30" i="2"/>
  <c r="DD30" i="2"/>
  <c r="DE30" i="2"/>
  <c r="DI30" i="2"/>
  <c r="DJ30" i="2"/>
  <c r="DK30" i="2"/>
  <c r="DM30" i="2"/>
  <c r="DN30" i="2"/>
  <c r="DO30" i="2"/>
  <c r="DQ30" i="2"/>
  <c r="DR30" i="2"/>
  <c r="DS30" i="2"/>
  <c r="DU30" i="2"/>
  <c r="DV30" i="2"/>
  <c r="DW30" i="2"/>
  <c r="I31" i="2"/>
  <c r="J31" i="2"/>
  <c r="K31" i="2"/>
  <c r="L31" i="2"/>
  <c r="M31" i="2"/>
  <c r="N31" i="2"/>
  <c r="O31" i="2"/>
  <c r="P31" i="2"/>
  <c r="Q31" i="2"/>
  <c r="T31" i="2"/>
  <c r="U31" i="2"/>
  <c r="V31" i="2"/>
  <c r="X31" i="2"/>
  <c r="Y31" i="2"/>
  <c r="Z31" i="2"/>
  <c r="AA31" i="2"/>
  <c r="AB31" i="2"/>
  <c r="AC31" i="2"/>
  <c r="AD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T31" i="2"/>
  <c r="BU31" i="2"/>
  <c r="BW31" i="2"/>
  <c r="BX31" i="2"/>
  <c r="BY31" i="2"/>
  <c r="CA31" i="2"/>
  <c r="CB31" i="2"/>
  <c r="CC31" i="2"/>
  <c r="CD31" i="2"/>
  <c r="CE31" i="2"/>
  <c r="CG31" i="2"/>
  <c r="CH31" i="2"/>
  <c r="CJ31" i="2"/>
  <c r="CK31" i="2"/>
  <c r="CL31" i="2"/>
  <c r="CN31" i="2"/>
  <c r="CO31" i="2"/>
  <c r="CP31" i="2"/>
  <c r="CQ31" i="2"/>
  <c r="CR31" i="2"/>
  <c r="CT31" i="2"/>
  <c r="CU31" i="2"/>
  <c r="CV31" i="2"/>
  <c r="CW31" i="2"/>
  <c r="CY31" i="2"/>
  <c r="CZ31" i="2"/>
  <c r="DA31" i="2"/>
  <c r="DC31" i="2"/>
  <c r="DD31" i="2"/>
  <c r="DE31" i="2"/>
  <c r="DI31" i="2"/>
  <c r="DJ31" i="2"/>
  <c r="DK31" i="2"/>
  <c r="DM31" i="2"/>
  <c r="DN31" i="2"/>
  <c r="DO31" i="2"/>
  <c r="DQ31" i="2"/>
  <c r="DR31" i="2"/>
  <c r="DS31" i="2"/>
  <c r="DU31" i="2"/>
  <c r="DV31" i="2"/>
  <c r="DW31" i="2"/>
  <c r="I32" i="2"/>
  <c r="J32" i="2"/>
  <c r="K32" i="2"/>
  <c r="L32" i="2"/>
  <c r="M32" i="2"/>
  <c r="N32" i="2"/>
  <c r="O32" i="2"/>
  <c r="P32" i="2"/>
  <c r="Q32" i="2"/>
  <c r="T32" i="2"/>
  <c r="U32" i="2"/>
  <c r="V32" i="2"/>
  <c r="X32" i="2"/>
  <c r="Y32" i="2"/>
  <c r="Z32" i="2"/>
  <c r="AA32" i="2"/>
  <c r="AB32" i="2"/>
  <c r="AC32" i="2"/>
  <c r="AD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T32" i="2"/>
  <c r="BU32" i="2"/>
  <c r="BW32" i="2"/>
  <c r="BX32" i="2"/>
  <c r="BY32" i="2"/>
  <c r="CA32" i="2"/>
  <c r="CB32" i="2"/>
  <c r="CC32" i="2"/>
  <c r="CD32" i="2"/>
  <c r="CE32" i="2"/>
  <c r="CG32" i="2"/>
  <c r="CH32" i="2"/>
  <c r="CJ32" i="2"/>
  <c r="CK32" i="2"/>
  <c r="CL32" i="2"/>
  <c r="CN32" i="2"/>
  <c r="CO32" i="2"/>
  <c r="CP32" i="2"/>
  <c r="CQ32" i="2"/>
  <c r="CR32" i="2"/>
  <c r="CT32" i="2"/>
  <c r="CU32" i="2"/>
  <c r="CV32" i="2"/>
  <c r="CW32" i="2"/>
  <c r="CY32" i="2"/>
  <c r="CZ32" i="2"/>
  <c r="DA32" i="2"/>
  <c r="DC32" i="2"/>
  <c r="DD32" i="2"/>
  <c r="DE32" i="2"/>
  <c r="DI32" i="2"/>
  <c r="DJ32" i="2"/>
  <c r="DK32" i="2"/>
  <c r="DM32" i="2"/>
  <c r="DN32" i="2"/>
  <c r="DO32" i="2"/>
  <c r="DQ32" i="2"/>
  <c r="DR32" i="2"/>
  <c r="DS32" i="2"/>
  <c r="DU32" i="2"/>
  <c r="DV32" i="2"/>
  <c r="DW32" i="2"/>
  <c r="I33" i="2"/>
  <c r="J33" i="2"/>
  <c r="K33" i="2"/>
  <c r="L33" i="2"/>
  <c r="M33" i="2"/>
  <c r="N33" i="2"/>
  <c r="O33" i="2"/>
  <c r="P33" i="2"/>
  <c r="Q33" i="2"/>
  <c r="T33" i="2"/>
  <c r="U33" i="2"/>
  <c r="V33" i="2"/>
  <c r="X33" i="2"/>
  <c r="Y33" i="2"/>
  <c r="Z33" i="2"/>
  <c r="AA33" i="2"/>
  <c r="AB33" i="2"/>
  <c r="AC33" i="2"/>
  <c r="AD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T33" i="2"/>
  <c r="BU33" i="2"/>
  <c r="BW33" i="2"/>
  <c r="BX33" i="2"/>
  <c r="BY33" i="2"/>
  <c r="CA33" i="2"/>
  <c r="CB33" i="2"/>
  <c r="CC33" i="2"/>
  <c r="CD33" i="2"/>
  <c r="CE33" i="2"/>
  <c r="CG33" i="2"/>
  <c r="CH33" i="2"/>
  <c r="CJ33" i="2"/>
  <c r="CK33" i="2"/>
  <c r="CL33" i="2"/>
  <c r="CN33" i="2"/>
  <c r="CO33" i="2"/>
  <c r="CP33" i="2"/>
  <c r="CQ33" i="2"/>
  <c r="CR33" i="2"/>
  <c r="CT33" i="2"/>
  <c r="CU33" i="2"/>
  <c r="CV33" i="2"/>
  <c r="CW33" i="2"/>
  <c r="CY33" i="2"/>
  <c r="CZ33" i="2"/>
  <c r="DA33" i="2"/>
  <c r="DC33" i="2"/>
  <c r="DD33" i="2"/>
  <c r="DE33" i="2"/>
  <c r="DI33" i="2"/>
  <c r="DJ33" i="2"/>
  <c r="DK33" i="2"/>
  <c r="DM33" i="2"/>
  <c r="DN33" i="2"/>
  <c r="DO33" i="2"/>
  <c r="DQ33" i="2"/>
  <c r="DR33" i="2"/>
  <c r="DS33" i="2"/>
  <c r="DU33" i="2"/>
  <c r="DV33" i="2"/>
  <c r="DW33" i="2"/>
  <c r="I34" i="2"/>
  <c r="J34" i="2"/>
  <c r="K34" i="2"/>
  <c r="L34" i="2"/>
  <c r="M34" i="2"/>
  <c r="N34" i="2"/>
  <c r="O34" i="2"/>
  <c r="P34" i="2"/>
  <c r="Q34" i="2"/>
  <c r="T34" i="2"/>
  <c r="U34" i="2"/>
  <c r="V34" i="2"/>
  <c r="X34" i="2"/>
  <c r="Y34" i="2"/>
  <c r="Z34" i="2"/>
  <c r="AA34" i="2"/>
  <c r="AB34" i="2"/>
  <c r="AC34" i="2"/>
  <c r="AD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T34" i="2"/>
  <c r="BU34" i="2"/>
  <c r="BW34" i="2"/>
  <c r="BX34" i="2"/>
  <c r="BY34" i="2"/>
  <c r="CA34" i="2"/>
  <c r="CB34" i="2"/>
  <c r="CC34" i="2"/>
  <c r="CD34" i="2"/>
  <c r="CE34" i="2"/>
  <c r="CG34" i="2"/>
  <c r="CH34" i="2"/>
  <c r="CJ34" i="2"/>
  <c r="CK34" i="2"/>
  <c r="CL34" i="2"/>
  <c r="CN34" i="2"/>
  <c r="CO34" i="2"/>
  <c r="CP34" i="2"/>
  <c r="CQ34" i="2"/>
  <c r="CR34" i="2"/>
  <c r="CT34" i="2"/>
  <c r="CU34" i="2"/>
  <c r="CV34" i="2"/>
  <c r="CW34" i="2"/>
  <c r="CY34" i="2"/>
  <c r="CZ34" i="2"/>
  <c r="DA34" i="2"/>
  <c r="DC34" i="2"/>
  <c r="DD34" i="2"/>
  <c r="DE34" i="2"/>
  <c r="DI34" i="2"/>
  <c r="DJ34" i="2"/>
  <c r="DK34" i="2"/>
  <c r="DM34" i="2"/>
  <c r="DN34" i="2"/>
  <c r="DO34" i="2"/>
  <c r="DQ34" i="2"/>
  <c r="DR34" i="2"/>
  <c r="DS34" i="2"/>
  <c r="DU34" i="2"/>
  <c r="DV34" i="2"/>
  <c r="DW34" i="2"/>
  <c r="I35" i="2"/>
  <c r="J35" i="2"/>
  <c r="K35" i="2"/>
  <c r="L35" i="2"/>
  <c r="M35" i="2"/>
  <c r="N35" i="2"/>
  <c r="O35" i="2"/>
  <c r="P35" i="2"/>
  <c r="Q35" i="2"/>
  <c r="T35" i="2"/>
  <c r="U35" i="2"/>
  <c r="V35" i="2"/>
  <c r="X35" i="2"/>
  <c r="Y35" i="2"/>
  <c r="Z35" i="2"/>
  <c r="AA35" i="2"/>
  <c r="AB35" i="2"/>
  <c r="AC35" i="2"/>
  <c r="AD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T35" i="2"/>
  <c r="BU35" i="2"/>
  <c r="BW35" i="2"/>
  <c r="BX35" i="2"/>
  <c r="BY35" i="2"/>
  <c r="CA35" i="2"/>
  <c r="CB35" i="2"/>
  <c r="CC35" i="2"/>
  <c r="CD35" i="2"/>
  <c r="CE35" i="2"/>
  <c r="CG35" i="2"/>
  <c r="CH35" i="2"/>
  <c r="CJ35" i="2"/>
  <c r="CK35" i="2"/>
  <c r="CL35" i="2"/>
  <c r="CN35" i="2"/>
  <c r="CO35" i="2"/>
  <c r="CP35" i="2"/>
  <c r="CQ35" i="2"/>
  <c r="CR35" i="2"/>
  <c r="CT35" i="2"/>
  <c r="CU35" i="2"/>
  <c r="CV35" i="2"/>
  <c r="CW35" i="2"/>
  <c r="CY35" i="2"/>
  <c r="CZ35" i="2"/>
  <c r="DA35" i="2"/>
  <c r="DC35" i="2"/>
  <c r="DD35" i="2"/>
  <c r="DE35" i="2"/>
  <c r="DI35" i="2"/>
  <c r="DJ35" i="2"/>
  <c r="DK35" i="2"/>
  <c r="DM35" i="2"/>
  <c r="DN35" i="2"/>
  <c r="DO35" i="2"/>
  <c r="DQ35" i="2"/>
  <c r="DR35" i="2"/>
  <c r="DS35" i="2"/>
  <c r="DU35" i="2"/>
  <c r="DV35" i="2"/>
  <c r="DW35" i="2"/>
  <c r="I36" i="2"/>
  <c r="J36" i="2"/>
  <c r="K36" i="2"/>
  <c r="L36" i="2"/>
  <c r="M36" i="2"/>
  <c r="N36" i="2"/>
  <c r="O36" i="2"/>
  <c r="P36" i="2"/>
  <c r="Q36" i="2"/>
  <c r="T36" i="2"/>
  <c r="U36" i="2"/>
  <c r="V36" i="2"/>
  <c r="X36" i="2"/>
  <c r="Y36" i="2"/>
  <c r="Z36" i="2"/>
  <c r="AA36" i="2"/>
  <c r="AB36" i="2"/>
  <c r="AC36" i="2"/>
  <c r="AD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T36" i="2"/>
  <c r="BU36" i="2"/>
  <c r="BW36" i="2"/>
  <c r="BX36" i="2"/>
  <c r="BY36" i="2"/>
  <c r="CA36" i="2"/>
  <c r="CB36" i="2"/>
  <c r="CC36" i="2"/>
  <c r="CD36" i="2"/>
  <c r="CE36" i="2"/>
  <c r="CG36" i="2"/>
  <c r="CH36" i="2"/>
  <c r="CJ36" i="2"/>
  <c r="CK36" i="2"/>
  <c r="CL36" i="2"/>
  <c r="CN36" i="2"/>
  <c r="CO36" i="2"/>
  <c r="CP36" i="2"/>
  <c r="CQ36" i="2"/>
  <c r="CR36" i="2"/>
  <c r="CT36" i="2"/>
  <c r="CU36" i="2"/>
  <c r="CV36" i="2"/>
  <c r="CW36" i="2"/>
  <c r="CY36" i="2"/>
  <c r="CZ36" i="2"/>
  <c r="DA36" i="2"/>
  <c r="DC36" i="2"/>
  <c r="DD36" i="2"/>
  <c r="DE36" i="2"/>
  <c r="DI36" i="2"/>
  <c r="DJ36" i="2"/>
  <c r="DK36" i="2"/>
  <c r="DM36" i="2"/>
  <c r="DN36" i="2"/>
  <c r="DO36" i="2"/>
  <c r="DQ36" i="2"/>
  <c r="DR36" i="2"/>
  <c r="DS36" i="2"/>
  <c r="DU36" i="2"/>
  <c r="DV36" i="2"/>
  <c r="DW36" i="2"/>
  <c r="I37" i="2"/>
  <c r="J37" i="2"/>
  <c r="K37" i="2"/>
  <c r="L37" i="2"/>
  <c r="M37" i="2"/>
  <c r="N37" i="2"/>
  <c r="O37" i="2"/>
  <c r="P37" i="2"/>
  <c r="Q37" i="2"/>
  <c r="T37" i="2"/>
  <c r="U37" i="2"/>
  <c r="V37" i="2"/>
  <c r="X37" i="2"/>
  <c r="Y37" i="2"/>
  <c r="Z37" i="2"/>
  <c r="AA37" i="2"/>
  <c r="AB37" i="2"/>
  <c r="AC37" i="2"/>
  <c r="AD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T37" i="2"/>
  <c r="BU37" i="2"/>
  <c r="BW37" i="2"/>
  <c r="BX37" i="2"/>
  <c r="BY37" i="2"/>
  <c r="CA37" i="2"/>
  <c r="CB37" i="2"/>
  <c r="CC37" i="2"/>
  <c r="CD37" i="2"/>
  <c r="CE37" i="2"/>
  <c r="CG37" i="2"/>
  <c r="CH37" i="2"/>
  <c r="CJ37" i="2"/>
  <c r="CK37" i="2"/>
  <c r="CL37" i="2"/>
  <c r="CN37" i="2"/>
  <c r="CO37" i="2"/>
  <c r="CP37" i="2"/>
  <c r="CQ37" i="2"/>
  <c r="CR37" i="2"/>
  <c r="CT37" i="2"/>
  <c r="CU37" i="2"/>
  <c r="CV37" i="2"/>
  <c r="CW37" i="2"/>
  <c r="CY37" i="2"/>
  <c r="CZ37" i="2"/>
  <c r="DA37" i="2"/>
  <c r="DC37" i="2"/>
  <c r="DD37" i="2"/>
  <c r="DE37" i="2"/>
  <c r="DI37" i="2"/>
  <c r="DJ37" i="2"/>
  <c r="DK37" i="2"/>
  <c r="DM37" i="2"/>
  <c r="DN37" i="2"/>
  <c r="DO37" i="2"/>
  <c r="DQ37" i="2"/>
  <c r="DR37" i="2"/>
  <c r="DS37" i="2"/>
  <c r="DU37" i="2"/>
  <c r="DV37" i="2"/>
  <c r="DW37" i="2"/>
  <c r="I38" i="2"/>
  <c r="J38" i="2"/>
  <c r="K38" i="2"/>
  <c r="L38" i="2"/>
  <c r="M38" i="2"/>
  <c r="N38" i="2"/>
  <c r="O38" i="2"/>
  <c r="P38" i="2"/>
  <c r="Q38" i="2"/>
  <c r="T38" i="2"/>
  <c r="U38" i="2"/>
  <c r="V38" i="2"/>
  <c r="X38" i="2"/>
  <c r="Y38" i="2"/>
  <c r="Z38" i="2"/>
  <c r="AA38" i="2"/>
  <c r="AB38" i="2"/>
  <c r="AC38" i="2"/>
  <c r="AD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T38" i="2"/>
  <c r="BU38" i="2"/>
  <c r="BW38" i="2"/>
  <c r="BX38" i="2"/>
  <c r="BY38" i="2"/>
  <c r="CA38" i="2"/>
  <c r="CB38" i="2"/>
  <c r="CC38" i="2"/>
  <c r="CD38" i="2"/>
  <c r="CE38" i="2"/>
  <c r="CG38" i="2"/>
  <c r="CH38" i="2"/>
  <c r="CJ38" i="2"/>
  <c r="CK38" i="2"/>
  <c r="CL38" i="2"/>
  <c r="CN38" i="2"/>
  <c r="CO38" i="2"/>
  <c r="CP38" i="2"/>
  <c r="CQ38" i="2"/>
  <c r="CR38" i="2"/>
  <c r="CT38" i="2"/>
  <c r="CU38" i="2"/>
  <c r="CV38" i="2"/>
  <c r="CW38" i="2"/>
  <c r="CY38" i="2"/>
  <c r="CZ38" i="2"/>
  <c r="DA38" i="2"/>
  <c r="DC38" i="2"/>
  <c r="DD38" i="2"/>
  <c r="DE38" i="2"/>
  <c r="DI38" i="2"/>
  <c r="DJ38" i="2"/>
  <c r="DK38" i="2"/>
  <c r="DM38" i="2"/>
  <c r="DN38" i="2"/>
  <c r="DO38" i="2"/>
  <c r="DQ38" i="2"/>
  <c r="DR38" i="2"/>
  <c r="DS38" i="2"/>
  <c r="DU38" i="2"/>
  <c r="DV38" i="2"/>
  <c r="DW38" i="2"/>
  <c r="I39" i="2"/>
  <c r="J39" i="2"/>
  <c r="K39" i="2"/>
  <c r="L39" i="2"/>
  <c r="M39" i="2"/>
  <c r="N39" i="2"/>
  <c r="O39" i="2"/>
  <c r="P39" i="2"/>
  <c r="Q39" i="2"/>
  <c r="T39" i="2"/>
  <c r="U39" i="2"/>
  <c r="V39" i="2"/>
  <c r="X39" i="2"/>
  <c r="Y39" i="2"/>
  <c r="Z39" i="2"/>
  <c r="AA39" i="2"/>
  <c r="AB39" i="2"/>
  <c r="AC39" i="2"/>
  <c r="AD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T39" i="2"/>
  <c r="BU39" i="2"/>
  <c r="BW39" i="2"/>
  <c r="BX39" i="2"/>
  <c r="BY39" i="2"/>
  <c r="CA39" i="2"/>
  <c r="CB39" i="2"/>
  <c r="CC39" i="2"/>
  <c r="CD39" i="2"/>
  <c r="CE39" i="2"/>
  <c r="CG39" i="2"/>
  <c r="CH39" i="2"/>
  <c r="CJ39" i="2"/>
  <c r="CK39" i="2"/>
  <c r="CL39" i="2"/>
  <c r="CN39" i="2"/>
  <c r="CO39" i="2"/>
  <c r="CP39" i="2"/>
  <c r="CQ39" i="2"/>
  <c r="CR39" i="2"/>
  <c r="CT39" i="2"/>
  <c r="CU39" i="2"/>
  <c r="CV39" i="2"/>
  <c r="CW39" i="2"/>
  <c r="CY39" i="2"/>
  <c r="CZ39" i="2"/>
  <c r="DA39" i="2"/>
  <c r="DC39" i="2"/>
  <c r="DD39" i="2"/>
  <c r="DE39" i="2"/>
  <c r="DI39" i="2"/>
  <c r="DJ39" i="2"/>
  <c r="DK39" i="2"/>
  <c r="DM39" i="2"/>
  <c r="DN39" i="2"/>
  <c r="DO39" i="2"/>
  <c r="DQ39" i="2"/>
  <c r="DR39" i="2"/>
  <c r="DS39" i="2"/>
  <c r="DU39" i="2"/>
  <c r="DV39" i="2"/>
  <c r="DW39" i="2"/>
  <c r="I40" i="2"/>
  <c r="J40" i="2"/>
  <c r="K40" i="2"/>
  <c r="L40" i="2"/>
  <c r="M40" i="2"/>
  <c r="N40" i="2"/>
  <c r="O40" i="2"/>
  <c r="P40" i="2"/>
  <c r="Q40" i="2"/>
  <c r="T40" i="2"/>
  <c r="U40" i="2"/>
  <c r="V40" i="2"/>
  <c r="X40" i="2"/>
  <c r="Y40" i="2"/>
  <c r="Z40" i="2"/>
  <c r="AA40" i="2"/>
  <c r="AB40" i="2"/>
  <c r="AC40" i="2"/>
  <c r="AD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T40" i="2"/>
  <c r="BU40" i="2"/>
  <c r="BW40" i="2"/>
  <c r="BX40" i="2"/>
  <c r="BY40" i="2"/>
  <c r="CA40" i="2"/>
  <c r="CB40" i="2"/>
  <c r="CC40" i="2"/>
  <c r="CD40" i="2"/>
  <c r="CE40" i="2"/>
  <c r="CG40" i="2"/>
  <c r="CH40" i="2"/>
  <c r="CJ40" i="2"/>
  <c r="CK40" i="2"/>
  <c r="CL40" i="2"/>
  <c r="CN40" i="2"/>
  <c r="CO40" i="2"/>
  <c r="CP40" i="2"/>
  <c r="CQ40" i="2"/>
  <c r="CR40" i="2"/>
  <c r="CT40" i="2"/>
  <c r="CU40" i="2"/>
  <c r="CV40" i="2"/>
  <c r="CW40" i="2"/>
  <c r="CY40" i="2"/>
  <c r="CZ40" i="2"/>
  <c r="DA40" i="2"/>
  <c r="DC40" i="2"/>
  <c r="DD40" i="2"/>
  <c r="DE40" i="2"/>
  <c r="DI40" i="2"/>
  <c r="DJ40" i="2"/>
  <c r="DK40" i="2"/>
  <c r="DM40" i="2"/>
  <c r="DN40" i="2"/>
  <c r="DO40" i="2"/>
  <c r="DQ40" i="2"/>
  <c r="DR40" i="2"/>
  <c r="DS40" i="2"/>
  <c r="DU40" i="2"/>
  <c r="DV40" i="2"/>
  <c r="DW40" i="2"/>
  <c r="I41" i="2"/>
  <c r="J41" i="2"/>
  <c r="K41" i="2"/>
  <c r="L41" i="2"/>
  <c r="M41" i="2"/>
  <c r="N41" i="2"/>
  <c r="O41" i="2"/>
  <c r="P41" i="2"/>
  <c r="Q41" i="2"/>
  <c r="T41" i="2"/>
  <c r="U41" i="2"/>
  <c r="V41" i="2"/>
  <c r="X41" i="2"/>
  <c r="Y41" i="2"/>
  <c r="Z41" i="2"/>
  <c r="AA41" i="2"/>
  <c r="AB41" i="2"/>
  <c r="AC41" i="2"/>
  <c r="AD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T41" i="2"/>
  <c r="BU41" i="2"/>
  <c r="BW41" i="2"/>
  <c r="BX41" i="2"/>
  <c r="BY41" i="2"/>
  <c r="CA41" i="2"/>
  <c r="CB41" i="2"/>
  <c r="CC41" i="2"/>
  <c r="CD41" i="2"/>
  <c r="CE41" i="2"/>
  <c r="CG41" i="2"/>
  <c r="CH41" i="2"/>
  <c r="CJ41" i="2"/>
  <c r="CK41" i="2"/>
  <c r="CL41" i="2"/>
  <c r="CN41" i="2"/>
  <c r="CO41" i="2"/>
  <c r="CP41" i="2"/>
  <c r="CQ41" i="2"/>
  <c r="CR41" i="2"/>
  <c r="CT41" i="2"/>
  <c r="CU41" i="2"/>
  <c r="CV41" i="2"/>
  <c r="CW41" i="2"/>
  <c r="CY41" i="2"/>
  <c r="CZ41" i="2"/>
  <c r="DA41" i="2"/>
  <c r="DC41" i="2"/>
  <c r="DD41" i="2"/>
  <c r="DE41" i="2"/>
  <c r="DI41" i="2"/>
  <c r="DJ41" i="2"/>
  <c r="DK41" i="2"/>
  <c r="DM41" i="2"/>
  <c r="DN41" i="2"/>
  <c r="DO41" i="2"/>
  <c r="DQ41" i="2"/>
  <c r="DR41" i="2"/>
  <c r="DS41" i="2"/>
  <c r="DU41" i="2"/>
  <c r="DV41" i="2"/>
  <c r="DW41" i="2"/>
  <c r="I42" i="2"/>
  <c r="J42" i="2"/>
  <c r="K42" i="2"/>
  <c r="L42" i="2"/>
  <c r="M42" i="2"/>
  <c r="N42" i="2"/>
  <c r="O42" i="2"/>
  <c r="P42" i="2"/>
  <c r="Q42" i="2"/>
  <c r="T42" i="2"/>
  <c r="U42" i="2"/>
  <c r="V42" i="2"/>
  <c r="X42" i="2"/>
  <c r="Y42" i="2"/>
  <c r="Z42" i="2"/>
  <c r="AA42" i="2"/>
  <c r="AB42" i="2"/>
  <c r="AC42" i="2"/>
  <c r="AD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T42" i="2"/>
  <c r="BU42" i="2"/>
  <c r="BW42" i="2"/>
  <c r="BX42" i="2"/>
  <c r="BY42" i="2"/>
  <c r="CA42" i="2"/>
  <c r="CB42" i="2"/>
  <c r="CC42" i="2"/>
  <c r="CD42" i="2"/>
  <c r="CE42" i="2"/>
  <c r="CG42" i="2"/>
  <c r="CH42" i="2"/>
  <c r="CJ42" i="2"/>
  <c r="CK42" i="2"/>
  <c r="CL42" i="2"/>
  <c r="CN42" i="2"/>
  <c r="CO42" i="2"/>
  <c r="CP42" i="2"/>
  <c r="CQ42" i="2"/>
  <c r="CR42" i="2"/>
  <c r="CT42" i="2"/>
  <c r="CU42" i="2"/>
  <c r="CV42" i="2"/>
  <c r="CW42" i="2"/>
  <c r="CY42" i="2"/>
  <c r="CZ42" i="2"/>
  <c r="DA42" i="2"/>
  <c r="DC42" i="2"/>
  <c r="DD42" i="2"/>
  <c r="DE42" i="2"/>
  <c r="DI42" i="2"/>
  <c r="DJ42" i="2"/>
  <c r="DK42" i="2"/>
  <c r="DM42" i="2"/>
  <c r="DN42" i="2"/>
  <c r="DO42" i="2"/>
  <c r="DQ42" i="2"/>
  <c r="DR42" i="2"/>
  <c r="DS42" i="2"/>
  <c r="DU42" i="2"/>
  <c r="DV42" i="2"/>
  <c r="DW42" i="2"/>
  <c r="I43" i="2"/>
  <c r="J43" i="2"/>
  <c r="K43" i="2"/>
  <c r="L43" i="2"/>
  <c r="M43" i="2"/>
  <c r="N43" i="2"/>
  <c r="O43" i="2"/>
  <c r="P43" i="2"/>
  <c r="Q43" i="2"/>
  <c r="T43" i="2"/>
  <c r="U43" i="2"/>
  <c r="V43" i="2"/>
  <c r="X43" i="2"/>
  <c r="Y43" i="2"/>
  <c r="Z43" i="2"/>
  <c r="AA43" i="2"/>
  <c r="AB43" i="2"/>
  <c r="AC43" i="2"/>
  <c r="AD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T43" i="2"/>
  <c r="BU43" i="2"/>
  <c r="BW43" i="2"/>
  <c r="BX43" i="2"/>
  <c r="BY43" i="2"/>
  <c r="CA43" i="2"/>
  <c r="CB43" i="2"/>
  <c r="CC43" i="2"/>
  <c r="CD43" i="2"/>
  <c r="CE43" i="2"/>
  <c r="CG43" i="2"/>
  <c r="CH43" i="2"/>
  <c r="CJ43" i="2"/>
  <c r="CK43" i="2"/>
  <c r="CL43" i="2"/>
  <c r="CN43" i="2"/>
  <c r="CO43" i="2"/>
  <c r="CP43" i="2"/>
  <c r="CQ43" i="2"/>
  <c r="CR43" i="2"/>
  <c r="CT43" i="2"/>
  <c r="CU43" i="2"/>
  <c r="CV43" i="2"/>
  <c r="CW43" i="2"/>
  <c r="CY43" i="2"/>
  <c r="CZ43" i="2"/>
  <c r="DA43" i="2"/>
  <c r="DC43" i="2"/>
  <c r="DD43" i="2"/>
  <c r="DE43" i="2"/>
  <c r="DI43" i="2"/>
  <c r="DJ43" i="2"/>
  <c r="DK43" i="2"/>
  <c r="DM43" i="2"/>
  <c r="DN43" i="2"/>
  <c r="DO43" i="2"/>
  <c r="DQ43" i="2"/>
  <c r="DR43" i="2"/>
  <c r="DS43" i="2"/>
  <c r="DU43" i="2"/>
  <c r="DV43" i="2"/>
  <c r="DW43" i="2"/>
  <c r="I44" i="2"/>
  <c r="J44" i="2"/>
  <c r="K44" i="2"/>
  <c r="L44" i="2"/>
  <c r="M44" i="2"/>
  <c r="N44" i="2"/>
  <c r="O44" i="2"/>
  <c r="P44" i="2"/>
  <c r="Q44" i="2"/>
  <c r="T44" i="2"/>
  <c r="U44" i="2"/>
  <c r="V44" i="2"/>
  <c r="X44" i="2"/>
  <c r="Y44" i="2"/>
  <c r="Z44" i="2"/>
  <c r="AA44" i="2"/>
  <c r="AB44" i="2"/>
  <c r="AC44" i="2"/>
  <c r="AD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T44" i="2"/>
  <c r="BU44" i="2"/>
  <c r="BW44" i="2"/>
  <c r="BX44" i="2"/>
  <c r="BY44" i="2"/>
  <c r="CA44" i="2"/>
  <c r="CB44" i="2"/>
  <c r="CC44" i="2"/>
  <c r="CD44" i="2"/>
  <c r="CE44" i="2"/>
  <c r="CG44" i="2"/>
  <c r="CH44" i="2"/>
  <c r="CJ44" i="2"/>
  <c r="CK44" i="2"/>
  <c r="CL44" i="2"/>
  <c r="CN44" i="2"/>
  <c r="CO44" i="2"/>
  <c r="CP44" i="2"/>
  <c r="CQ44" i="2"/>
  <c r="CR44" i="2"/>
  <c r="CT44" i="2"/>
  <c r="CU44" i="2"/>
  <c r="CV44" i="2"/>
  <c r="CW44" i="2"/>
  <c r="CY44" i="2"/>
  <c r="CZ44" i="2"/>
  <c r="DA44" i="2"/>
  <c r="DC44" i="2"/>
  <c r="DD44" i="2"/>
  <c r="DE44" i="2"/>
  <c r="DI44" i="2"/>
  <c r="DJ44" i="2"/>
  <c r="DK44" i="2"/>
  <c r="DM44" i="2"/>
  <c r="DN44" i="2"/>
  <c r="DO44" i="2"/>
  <c r="DQ44" i="2"/>
  <c r="DR44" i="2"/>
  <c r="DS44" i="2"/>
  <c r="DU44" i="2"/>
  <c r="DV44" i="2"/>
  <c r="DW44" i="2"/>
  <c r="I45" i="2"/>
  <c r="J45" i="2"/>
  <c r="K45" i="2"/>
  <c r="L45" i="2"/>
  <c r="M45" i="2"/>
  <c r="N45" i="2"/>
  <c r="O45" i="2"/>
  <c r="P45" i="2"/>
  <c r="Q45" i="2"/>
  <c r="T45" i="2"/>
  <c r="U45" i="2"/>
  <c r="V45" i="2"/>
  <c r="X45" i="2"/>
  <c r="Y45" i="2"/>
  <c r="Z45" i="2"/>
  <c r="AA45" i="2"/>
  <c r="AB45" i="2"/>
  <c r="AC45" i="2"/>
  <c r="AD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T45" i="2"/>
  <c r="BU45" i="2"/>
  <c r="BW45" i="2"/>
  <c r="BX45" i="2"/>
  <c r="BY45" i="2"/>
  <c r="CA45" i="2"/>
  <c r="CB45" i="2"/>
  <c r="CC45" i="2"/>
  <c r="CD45" i="2"/>
  <c r="CE45" i="2"/>
  <c r="CG45" i="2"/>
  <c r="CH45" i="2"/>
  <c r="CJ45" i="2"/>
  <c r="CK45" i="2"/>
  <c r="CL45" i="2"/>
  <c r="CN45" i="2"/>
  <c r="CO45" i="2"/>
  <c r="CP45" i="2"/>
  <c r="CQ45" i="2"/>
  <c r="CR45" i="2"/>
  <c r="CT45" i="2"/>
  <c r="CU45" i="2"/>
  <c r="CV45" i="2"/>
  <c r="CW45" i="2"/>
  <c r="CY45" i="2"/>
  <c r="CZ45" i="2"/>
  <c r="DA45" i="2"/>
  <c r="DC45" i="2"/>
  <c r="DD45" i="2"/>
  <c r="DE45" i="2"/>
  <c r="DI45" i="2"/>
  <c r="DJ45" i="2"/>
  <c r="DK45" i="2"/>
  <c r="DM45" i="2"/>
  <c r="DN45" i="2"/>
  <c r="DO45" i="2"/>
  <c r="DQ45" i="2"/>
  <c r="DR45" i="2"/>
  <c r="DS45" i="2"/>
  <c r="DU45" i="2"/>
  <c r="DV45" i="2"/>
  <c r="DW45" i="2"/>
  <c r="I46" i="2"/>
  <c r="J46" i="2"/>
  <c r="K46" i="2"/>
  <c r="L46" i="2"/>
  <c r="M46" i="2"/>
  <c r="N46" i="2"/>
  <c r="O46" i="2"/>
  <c r="P46" i="2"/>
  <c r="Q46" i="2"/>
  <c r="T46" i="2"/>
  <c r="U46" i="2"/>
  <c r="V46" i="2"/>
  <c r="X46" i="2"/>
  <c r="Y46" i="2"/>
  <c r="Z46" i="2"/>
  <c r="AA46" i="2"/>
  <c r="AB46" i="2"/>
  <c r="AC46" i="2"/>
  <c r="AD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T46" i="2"/>
  <c r="BU46" i="2"/>
  <c r="BW46" i="2"/>
  <c r="BX46" i="2"/>
  <c r="BY46" i="2"/>
  <c r="CA46" i="2"/>
  <c r="CB46" i="2"/>
  <c r="CC46" i="2"/>
  <c r="CD46" i="2"/>
  <c r="CE46" i="2"/>
  <c r="CG46" i="2"/>
  <c r="CH46" i="2"/>
  <c r="CJ46" i="2"/>
  <c r="CK46" i="2"/>
  <c r="CL46" i="2"/>
  <c r="CN46" i="2"/>
  <c r="CO46" i="2"/>
  <c r="CP46" i="2"/>
  <c r="CQ46" i="2"/>
  <c r="CR46" i="2"/>
  <c r="CT46" i="2"/>
  <c r="CU46" i="2"/>
  <c r="CV46" i="2"/>
  <c r="CW46" i="2"/>
  <c r="CY46" i="2"/>
  <c r="CZ46" i="2"/>
  <c r="DA46" i="2"/>
  <c r="DC46" i="2"/>
  <c r="DD46" i="2"/>
  <c r="DE46" i="2"/>
  <c r="DI46" i="2"/>
  <c r="DJ46" i="2"/>
  <c r="DK46" i="2"/>
  <c r="DM46" i="2"/>
  <c r="DN46" i="2"/>
  <c r="DO46" i="2"/>
  <c r="DQ46" i="2"/>
  <c r="DR46" i="2"/>
  <c r="DS46" i="2"/>
  <c r="DU46" i="2"/>
  <c r="DV46" i="2"/>
  <c r="DW46" i="2"/>
  <c r="I47" i="2"/>
  <c r="J47" i="2"/>
  <c r="K47" i="2"/>
  <c r="L47" i="2"/>
  <c r="M47" i="2"/>
  <c r="N47" i="2"/>
  <c r="O47" i="2"/>
  <c r="P47" i="2"/>
  <c r="Q47" i="2"/>
  <c r="T47" i="2"/>
  <c r="U47" i="2"/>
  <c r="V47" i="2"/>
  <c r="X47" i="2"/>
  <c r="Y47" i="2"/>
  <c r="Z47" i="2"/>
  <c r="AA47" i="2"/>
  <c r="AB47" i="2"/>
  <c r="AC47" i="2"/>
  <c r="AD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T47" i="2"/>
  <c r="BU47" i="2"/>
  <c r="BW47" i="2"/>
  <c r="BX47" i="2"/>
  <c r="BY47" i="2"/>
  <c r="CA47" i="2"/>
  <c r="CB47" i="2"/>
  <c r="CC47" i="2"/>
  <c r="CD47" i="2"/>
  <c r="CE47" i="2"/>
  <c r="CG47" i="2"/>
  <c r="CH47" i="2"/>
  <c r="CJ47" i="2"/>
  <c r="CK47" i="2"/>
  <c r="CL47" i="2"/>
  <c r="CN47" i="2"/>
  <c r="CO47" i="2"/>
  <c r="CP47" i="2"/>
  <c r="CQ47" i="2"/>
  <c r="CR47" i="2"/>
  <c r="CT47" i="2"/>
  <c r="CU47" i="2"/>
  <c r="CV47" i="2"/>
  <c r="CW47" i="2"/>
  <c r="CY47" i="2"/>
  <c r="CZ47" i="2"/>
  <c r="DA47" i="2"/>
  <c r="DC47" i="2"/>
  <c r="DD47" i="2"/>
  <c r="DE47" i="2"/>
  <c r="DI47" i="2"/>
  <c r="DJ47" i="2"/>
  <c r="DK47" i="2"/>
  <c r="DM47" i="2"/>
  <c r="DN47" i="2"/>
  <c r="DO47" i="2"/>
  <c r="DQ47" i="2"/>
  <c r="DR47" i="2"/>
  <c r="DS47" i="2"/>
  <c r="DU47" i="2"/>
  <c r="DV47" i="2"/>
  <c r="DW47" i="2"/>
  <c r="I48" i="2"/>
  <c r="J48" i="2"/>
  <c r="K48" i="2"/>
  <c r="L48" i="2"/>
  <c r="M48" i="2"/>
  <c r="N48" i="2"/>
  <c r="O48" i="2"/>
  <c r="P48" i="2"/>
  <c r="Q48" i="2"/>
  <c r="T48" i="2"/>
  <c r="U48" i="2"/>
  <c r="V48" i="2"/>
  <c r="X48" i="2"/>
  <c r="Y48" i="2"/>
  <c r="Z48" i="2"/>
  <c r="AA48" i="2"/>
  <c r="AB48" i="2"/>
  <c r="AC48" i="2"/>
  <c r="AD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T48" i="2"/>
  <c r="BU48" i="2"/>
  <c r="BW48" i="2"/>
  <c r="BX48" i="2"/>
  <c r="BY48" i="2"/>
  <c r="CA48" i="2"/>
  <c r="CB48" i="2"/>
  <c r="CC48" i="2"/>
  <c r="CD48" i="2"/>
  <c r="CE48" i="2"/>
  <c r="CG48" i="2"/>
  <c r="CH48" i="2"/>
  <c r="CJ48" i="2"/>
  <c r="CK48" i="2"/>
  <c r="CL48" i="2"/>
  <c r="CN48" i="2"/>
  <c r="CO48" i="2"/>
  <c r="CP48" i="2"/>
  <c r="CQ48" i="2"/>
  <c r="CR48" i="2"/>
  <c r="CT48" i="2"/>
  <c r="CU48" i="2"/>
  <c r="CV48" i="2"/>
  <c r="CW48" i="2"/>
  <c r="CY48" i="2"/>
  <c r="CZ48" i="2"/>
  <c r="DA48" i="2"/>
  <c r="DC48" i="2"/>
  <c r="DD48" i="2"/>
  <c r="DE48" i="2"/>
  <c r="DI48" i="2"/>
  <c r="DJ48" i="2"/>
  <c r="DK48" i="2"/>
  <c r="DM48" i="2"/>
  <c r="DN48" i="2"/>
  <c r="DO48" i="2"/>
  <c r="DQ48" i="2"/>
  <c r="DR48" i="2"/>
  <c r="DS48" i="2"/>
  <c r="DU48" i="2"/>
  <c r="DV48" i="2"/>
  <c r="DW48" i="2"/>
  <c r="I49" i="2"/>
  <c r="J49" i="2"/>
  <c r="K49" i="2"/>
  <c r="L49" i="2"/>
  <c r="M49" i="2"/>
  <c r="N49" i="2"/>
  <c r="O49" i="2"/>
  <c r="P49" i="2"/>
  <c r="Q49" i="2"/>
  <c r="T49" i="2"/>
  <c r="U49" i="2"/>
  <c r="V49" i="2"/>
  <c r="X49" i="2"/>
  <c r="Y49" i="2"/>
  <c r="Z49" i="2"/>
  <c r="AA49" i="2"/>
  <c r="AB49" i="2"/>
  <c r="AC49" i="2"/>
  <c r="AD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T49" i="2"/>
  <c r="BU49" i="2"/>
  <c r="BW49" i="2"/>
  <c r="BX49" i="2"/>
  <c r="BY49" i="2"/>
  <c r="CA49" i="2"/>
  <c r="CB49" i="2"/>
  <c r="CC49" i="2"/>
  <c r="CD49" i="2"/>
  <c r="CE49" i="2"/>
  <c r="CG49" i="2"/>
  <c r="CH49" i="2"/>
  <c r="CJ49" i="2"/>
  <c r="CK49" i="2"/>
  <c r="CL49" i="2"/>
  <c r="CN49" i="2"/>
  <c r="CO49" i="2"/>
  <c r="CP49" i="2"/>
  <c r="CQ49" i="2"/>
  <c r="CR49" i="2"/>
  <c r="CT49" i="2"/>
  <c r="CU49" i="2"/>
  <c r="CV49" i="2"/>
  <c r="CW49" i="2"/>
  <c r="CY49" i="2"/>
  <c r="CZ49" i="2"/>
  <c r="DA49" i="2"/>
  <c r="DC49" i="2"/>
  <c r="DD49" i="2"/>
  <c r="DE49" i="2"/>
  <c r="DI49" i="2"/>
  <c r="DJ49" i="2"/>
  <c r="DK49" i="2"/>
  <c r="DM49" i="2"/>
  <c r="DN49" i="2"/>
  <c r="DO49" i="2"/>
  <c r="DQ49" i="2"/>
  <c r="DR49" i="2"/>
  <c r="DS49" i="2"/>
  <c r="DU49" i="2"/>
  <c r="DV49" i="2"/>
  <c r="DW49" i="2"/>
  <c r="I50" i="2"/>
  <c r="J50" i="2"/>
  <c r="K50" i="2"/>
  <c r="L50" i="2"/>
  <c r="M50" i="2"/>
  <c r="N50" i="2"/>
  <c r="O50" i="2"/>
  <c r="P50" i="2"/>
  <c r="Q50" i="2"/>
  <c r="T50" i="2"/>
  <c r="U50" i="2"/>
  <c r="V50" i="2"/>
  <c r="X50" i="2"/>
  <c r="Y50" i="2"/>
  <c r="Z50" i="2"/>
  <c r="AA50" i="2"/>
  <c r="AB50" i="2"/>
  <c r="AC50" i="2"/>
  <c r="AD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T50" i="2"/>
  <c r="BU50" i="2"/>
  <c r="BW50" i="2"/>
  <c r="BX50" i="2"/>
  <c r="BY50" i="2"/>
  <c r="CA50" i="2"/>
  <c r="CB50" i="2"/>
  <c r="CC50" i="2"/>
  <c r="CD50" i="2"/>
  <c r="CE50" i="2"/>
  <c r="CG50" i="2"/>
  <c r="CH50" i="2"/>
  <c r="CJ50" i="2"/>
  <c r="CK50" i="2"/>
  <c r="CL50" i="2"/>
  <c r="CN50" i="2"/>
  <c r="CO50" i="2"/>
  <c r="CP50" i="2"/>
  <c r="CQ50" i="2"/>
  <c r="CR50" i="2"/>
  <c r="CT50" i="2"/>
  <c r="CU50" i="2"/>
  <c r="CV50" i="2"/>
  <c r="CW50" i="2"/>
  <c r="CY50" i="2"/>
  <c r="CZ50" i="2"/>
  <c r="DA50" i="2"/>
  <c r="DC50" i="2"/>
  <c r="DD50" i="2"/>
  <c r="DE50" i="2"/>
  <c r="DI50" i="2"/>
  <c r="DJ50" i="2"/>
  <c r="DK50" i="2"/>
  <c r="DM50" i="2"/>
  <c r="DN50" i="2"/>
  <c r="DO50" i="2"/>
  <c r="DQ50" i="2"/>
  <c r="DR50" i="2"/>
  <c r="DS50" i="2"/>
  <c r="DU50" i="2"/>
  <c r="DV50" i="2"/>
  <c r="DW50" i="2"/>
  <c r="I51" i="2"/>
  <c r="J51" i="2"/>
  <c r="K51" i="2"/>
  <c r="L51" i="2"/>
  <c r="M51" i="2"/>
  <c r="N51" i="2"/>
  <c r="O51" i="2"/>
  <c r="P51" i="2"/>
  <c r="Q51" i="2"/>
  <c r="T51" i="2"/>
  <c r="U51" i="2"/>
  <c r="V51" i="2"/>
  <c r="X51" i="2"/>
  <c r="Y51" i="2"/>
  <c r="Z51" i="2"/>
  <c r="AA51" i="2"/>
  <c r="AB51" i="2"/>
  <c r="AC51" i="2"/>
  <c r="AD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T51" i="2"/>
  <c r="BU51" i="2"/>
  <c r="BW51" i="2"/>
  <c r="BX51" i="2"/>
  <c r="BY51" i="2"/>
  <c r="CA51" i="2"/>
  <c r="CB51" i="2"/>
  <c r="CC51" i="2"/>
  <c r="CD51" i="2"/>
  <c r="CE51" i="2"/>
  <c r="CG51" i="2"/>
  <c r="CH51" i="2"/>
  <c r="CJ51" i="2"/>
  <c r="CK51" i="2"/>
  <c r="CL51" i="2"/>
  <c r="CN51" i="2"/>
  <c r="CO51" i="2"/>
  <c r="CP51" i="2"/>
  <c r="CQ51" i="2"/>
  <c r="CR51" i="2"/>
  <c r="CT51" i="2"/>
  <c r="CU51" i="2"/>
  <c r="CV51" i="2"/>
  <c r="CW51" i="2"/>
  <c r="CY51" i="2"/>
  <c r="CZ51" i="2"/>
  <c r="DA51" i="2"/>
  <c r="DC51" i="2"/>
  <c r="DD51" i="2"/>
  <c r="DE51" i="2"/>
  <c r="DI51" i="2"/>
  <c r="DJ51" i="2"/>
  <c r="DK51" i="2"/>
  <c r="DM51" i="2"/>
  <c r="DN51" i="2"/>
  <c r="DO51" i="2"/>
  <c r="DQ51" i="2"/>
  <c r="DR51" i="2"/>
  <c r="DS51" i="2"/>
  <c r="DU51" i="2"/>
  <c r="DV51" i="2"/>
  <c r="DW51" i="2"/>
  <c r="I52" i="2"/>
  <c r="J52" i="2"/>
  <c r="K52" i="2"/>
  <c r="L52" i="2"/>
  <c r="M52" i="2"/>
  <c r="N52" i="2"/>
  <c r="O52" i="2"/>
  <c r="P52" i="2"/>
  <c r="Q52" i="2"/>
  <c r="T52" i="2"/>
  <c r="U52" i="2"/>
  <c r="V52" i="2"/>
  <c r="X52" i="2"/>
  <c r="Y52" i="2"/>
  <c r="Z52" i="2"/>
  <c r="AA52" i="2"/>
  <c r="AB52" i="2"/>
  <c r="AC52" i="2"/>
  <c r="AD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T52" i="2"/>
  <c r="BU52" i="2"/>
  <c r="BW52" i="2"/>
  <c r="BX52" i="2"/>
  <c r="BY52" i="2"/>
  <c r="CA52" i="2"/>
  <c r="CB52" i="2"/>
  <c r="CC52" i="2"/>
  <c r="CD52" i="2"/>
  <c r="CE52" i="2"/>
  <c r="CG52" i="2"/>
  <c r="CH52" i="2"/>
  <c r="CJ52" i="2"/>
  <c r="CK52" i="2"/>
  <c r="CL52" i="2"/>
  <c r="CN52" i="2"/>
  <c r="CO52" i="2"/>
  <c r="CP52" i="2"/>
  <c r="CQ52" i="2"/>
  <c r="CR52" i="2"/>
  <c r="CT52" i="2"/>
  <c r="CU52" i="2"/>
  <c r="CV52" i="2"/>
  <c r="CW52" i="2"/>
  <c r="CY52" i="2"/>
  <c r="CZ52" i="2"/>
  <c r="DA52" i="2"/>
  <c r="DC52" i="2"/>
  <c r="DD52" i="2"/>
  <c r="DE52" i="2"/>
  <c r="DI52" i="2"/>
  <c r="DJ52" i="2"/>
  <c r="DK52" i="2"/>
  <c r="DM52" i="2"/>
  <c r="DN52" i="2"/>
  <c r="DO52" i="2"/>
  <c r="DQ52" i="2"/>
  <c r="DR52" i="2"/>
  <c r="DS52" i="2"/>
  <c r="DU52" i="2"/>
  <c r="DV52" i="2"/>
  <c r="DW52" i="2"/>
  <c r="I53" i="2"/>
  <c r="J53" i="2"/>
  <c r="K53" i="2"/>
  <c r="L53" i="2"/>
  <c r="M53" i="2"/>
  <c r="N53" i="2"/>
  <c r="O53" i="2"/>
  <c r="P53" i="2"/>
  <c r="Q53" i="2"/>
  <c r="T53" i="2"/>
  <c r="U53" i="2"/>
  <c r="V53" i="2"/>
  <c r="X53" i="2"/>
  <c r="Y53" i="2"/>
  <c r="Z53" i="2"/>
  <c r="AA53" i="2"/>
  <c r="AB53" i="2"/>
  <c r="AC53" i="2"/>
  <c r="AD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T53" i="2"/>
  <c r="BU53" i="2"/>
  <c r="BW53" i="2"/>
  <c r="BX53" i="2"/>
  <c r="BY53" i="2"/>
  <c r="CA53" i="2"/>
  <c r="CB53" i="2"/>
  <c r="CC53" i="2"/>
  <c r="CD53" i="2"/>
  <c r="CE53" i="2"/>
  <c r="CG53" i="2"/>
  <c r="CH53" i="2"/>
  <c r="CJ53" i="2"/>
  <c r="CK53" i="2"/>
  <c r="CL53" i="2"/>
  <c r="CN53" i="2"/>
  <c r="CO53" i="2"/>
  <c r="CP53" i="2"/>
  <c r="CQ53" i="2"/>
  <c r="CR53" i="2"/>
  <c r="CT53" i="2"/>
  <c r="CU53" i="2"/>
  <c r="CV53" i="2"/>
  <c r="CW53" i="2"/>
  <c r="CY53" i="2"/>
  <c r="CZ53" i="2"/>
  <c r="DA53" i="2"/>
  <c r="DC53" i="2"/>
  <c r="DD53" i="2"/>
  <c r="DE53" i="2"/>
  <c r="DI53" i="2"/>
  <c r="DJ53" i="2"/>
  <c r="DK53" i="2"/>
  <c r="DM53" i="2"/>
  <c r="DN53" i="2"/>
  <c r="DO53" i="2"/>
  <c r="DQ53" i="2"/>
  <c r="DR53" i="2"/>
  <c r="DS53" i="2"/>
  <c r="DU53" i="2"/>
  <c r="DV53" i="2"/>
  <c r="DW53" i="2"/>
  <c r="I54" i="2"/>
  <c r="J54" i="2"/>
  <c r="K54" i="2"/>
  <c r="L54" i="2"/>
  <c r="M54" i="2"/>
  <c r="N54" i="2"/>
  <c r="O54" i="2"/>
  <c r="P54" i="2"/>
  <c r="Q54" i="2"/>
  <c r="T54" i="2"/>
  <c r="U54" i="2"/>
  <c r="V54" i="2"/>
  <c r="X54" i="2"/>
  <c r="Y54" i="2"/>
  <c r="Z54" i="2"/>
  <c r="AA54" i="2"/>
  <c r="AB54" i="2"/>
  <c r="AC54" i="2"/>
  <c r="AD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T54" i="2"/>
  <c r="BU54" i="2"/>
  <c r="BW54" i="2"/>
  <c r="BX54" i="2"/>
  <c r="BY54" i="2"/>
  <c r="CA54" i="2"/>
  <c r="CB54" i="2"/>
  <c r="CC54" i="2"/>
  <c r="CD54" i="2"/>
  <c r="CE54" i="2"/>
  <c r="CG54" i="2"/>
  <c r="CH54" i="2"/>
  <c r="CJ54" i="2"/>
  <c r="CK54" i="2"/>
  <c r="CL54" i="2"/>
  <c r="CN54" i="2"/>
  <c r="CO54" i="2"/>
  <c r="CP54" i="2"/>
  <c r="CQ54" i="2"/>
  <c r="CR54" i="2"/>
  <c r="CT54" i="2"/>
  <c r="CU54" i="2"/>
  <c r="CV54" i="2"/>
  <c r="CW54" i="2"/>
  <c r="CY54" i="2"/>
  <c r="CZ54" i="2"/>
  <c r="DA54" i="2"/>
  <c r="DC54" i="2"/>
  <c r="DD54" i="2"/>
  <c r="DE54" i="2"/>
  <c r="DI54" i="2"/>
  <c r="DJ54" i="2"/>
  <c r="DK54" i="2"/>
  <c r="DM54" i="2"/>
  <c r="DN54" i="2"/>
  <c r="DO54" i="2"/>
  <c r="DQ54" i="2"/>
  <c r="DR54" i="2"/>
  <c r="DS54" i="2"/>
  <c r="DU54" i="2"/>
  <c r="DV54" i="2"/>
  <c r="DW54" i="2"/>
  <c r="I55" i="2"/>
  <c r="J55" i="2"/>
  <c r="K55" i="2"/>
  <c r="L55" i="2"/>
  <c r="M55" i="2"/>
  <c r="N55" i="2"/>
  <c r="O55" i="2"/>
  <c r="P55" i="2"/>
  <c r="Q55" i="2"/>
  <c r="T55" i="2"/>
  <c r="U55" i="2"/>
  <c r="V55" i="2"/>
  <c r="X55" i="2"/>
  <c r="Y55" i="2"/>
  <c r="Z55" i="2"/>
  <c r="AA55" i="2"/>
  <c r="AB55" i="2"/>
  <c r="AC55" i="2"/>
  <c r="AD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T55" i="2"/>
  <c r="BU55" i="2"/>
  <c r="BW55" i="2"/>
  <c r="BX55" i="2"/>
  <c r="BY55" i="2"/>
  <c r="CA55" i="2"/>
  <c r="CB55" i="2"/>
  <c r="CC55" i="2"/>
  <c r="CD55" i="2"/>
  <c r="CE55" i="2"/>
  <c r="CG55" i="2"/>
  <c r="CH55" i="2"/>
  <c r="CJ55" i="2"/>
  <c r="CK55" i="2"/>
  <c r="CL55" i="2"/>
  <c r="CN55" i="2"/>
  <c r="CO55" i="2"/>
  <c r="CP55" i="2"/>
  <c r="CQ55" i="2"/>
  <c r="CR55" i="2"/>
  <c r="CT55" i="2"/>
  <c r="CU55" i="2"/>
  <c r="CV55" i="2"/>
  <c r="CW55" i="2"/>
  <c r="CY55" i="2"/>
  <c r="CZ55" i="2"/>
  <c r="DA55" i="2"/>
  <c r="DC55" i="2"/>
  <c r="DD55" i="2"/>
  <c r="DE55" i="2"/>
  <c r="DI55" i="2"/>
  <c r="DJ55" i="2"/>
  <c r="DK55" i="2"/>
  <c r="DM55" i="2"/>
  <c r="DN55" i="2"/>
  <c r="DO55" i="2"/>
  <c r="DQ55" i="2"/>
  <c r="DR55" i="2"/>
  <c r="DS55" i="2"/>
  <c r="DU55" i="2"/>
  <c r="DV55" i="2"/>
  <c r="DW55" i="2"/>
  <c r="I56" i="2"/>
  <c r="J56" i="2"/>
  <c r="K56" i="2"/>
  <c r="L56" i="2"/>
  <c r="M56" i="2"/>
  <c r="N56" i="2"/>
  <c r="O56" i="2"/>
  <c r="P56" i="2"/>
  <c r="Q56" i="2"/>
  <c r="T56" i="2"/>
  <c r="U56" i="2"/>
  <c r="V56" i="2"/>
  <c r="X56" i="2"/>
  <c r="Y56" i="2"/>
  <c r="Z56" i="2"/>
  <c r="AA56" i="2"/>
  <c r="AB56" i="2"/>
  <c r="AC56" i="2"/>
  <c r="AD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T56" i="2"/>
  <c r="BU56" i="2"/>
  <c r="BW56" i="2"/>
  <c r="BX56" i="2"/>
  <c r="BY56" i="2"/>
  <c r="CA56" i="2"/>
  <c r="CB56" i="2"/>
  <c r="CC56" i="2"/>
  <c r="CD56" i="2"/>
  <c r="CE56" i="2"/>
  <c r="CG56" i="2"/>
  <c r="CH56" i="2"/>
  <c r="CJ56" i="2"/>
  <c r="CK56" i="2"/>
  <c r="CL56" i="2"/>
  <c r="CN56" i="2"/>
  <c r="CO56" i="2"/>
  <c r="CP56" i="2"/>
  <c r="CQ56" i="2"/>
  <c r="CR56" i="2"/>
  <c r="CT56" i="2"/>
  <c r="CU56" i="2"/>
  <c r="CV56" i="2"/>
  <c r="CW56" i="2"/>
  <c r="CY56" i="2"/>
  <c r="CZ56" i="2"/>
  <c r="DA56" i="2"/>
  <c r="DC56" i="2"/>
  <c r="DD56" i="2"/>
  <c r="DE56" i="2"/>
  <c r="DI56" i="2"/>
  <c r="DJ56" i="2"/>
  <c r="DK56" i="2"/>
  <c r="DM56" i="2"/>
  <c r="DN56" i="2"/>
  <c r="DO56" i="2"/>
  <c r="DQ56" i="2"/>
  <c r="DR56" i="2"/>
  <c r="DS56" i="2"/>
  <c r="DU56" i="2"/>
  <c r="DV56" i="2"/>
  <c r="DW56" i="2"/>
  <c r="I57" i="2"/>
  <c r="J57" i="2"/>
  <c r="K57" i="2"/>
  <c r="L57" i="2"/>
  <c r="M57" i="2"/>
  <c r="N57" i="2"/>
  <c r="O57" i="2"/>
  <c r="P57" i="2"/>
  <c r="Q57" i="2"/>
  <c r="T57" i="2"/>
  <c r="U57" i="2"/>
  <c r="V57" i="2"/>
  <c r="X57" i="2"/>
  <c r="Y57" i="2"/>
  <c r="Z57" i="2"/>
  <c r="AA57" i="2"/>
  <c r="AB57" i="2"/>
  <c r="AC57" i="2"/>
  <c r="AD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T57" i="2"/>
  <c r="BU57" i="2"/>
  <c r="BW57" i="2"/>
  <c r="BX57" i="2"/>
  <c r="BY57" i="2"/>
  <c r="CA57" i="2"/>
  <c r="CB57" i="2"/>
  <c r="CC57" i="2"/>
  <c r="CD57" i="2"/>
  <c r="CE57" i="2"/>
  <c r="CG57" i="2"/>
  <c r="CH57" i="2"/>
  <c r="CJ57" i="2"/>
  <c r="CK57" i="2"/>
  <c r="CL57" i="2"/>
  <c r="CN57" i="2"/>
  <c r="CO57" i="2"/>
  <c r="CP57" i="2"/>
  <c r="CQ57" i="2"/>
  <c r="CR57" i="2"/>
  <c r="CT57" i="2"/>
  <c r="CU57" i="2"/>
  <c r="CV57" i="2"/>
  <c r="CW57" i="2"/>
  <c r="CY57" i="2"/>
  <c r="CZ57" i="2"/>
  <c r="DA57" i="2"/>
  <c r="DC57" i="2"/>
  <c r="DD57" i="2"/>
  <c r="DE57" i="2"/>
  <c r="DI57" i="2"/>
  <c r="DJ57" i="2"/>
  <c r="DK57" i="2"/>
  <c r="DM57" i="2"/>
  <c r="DN57" i="2"/>
  <c r="DO57" i="2"/>
  <c r="DQ57" i="2"/>
  <c r="DR57" i="2"/>
  <c r="DS57" i="2"/>
  <c r="DU57" i="2"/>
  <c r="DV57" i="2"/>
  <c r="DW57" i="2"/>
  <c r="I58" i="2"/>
  <c r="J58" i="2"/>
  <c r="K58" i="2"/>
  <c r="L58" i="2"/>
  <c r="M58" i="2"/>
  <c r="N58" i="2"/>
  <c r="O58" i="2"/>
  <c r="P58" i="2"/>
  <c r="Q58" i="2"/>
  <c r="T58" i="2"/>
  <c r="U58" i="2"/>
  <c r="V58" i="2"/>
  <c r="X58" i="2"/>
  <c r="Y58" i="2"/>
  <c r="Z58" i="2"/>
  <c r="AA58" i="2"/>
  <c r="AB58" i="2"/>
  <c r="AC58" i="2"/>
  <c r="AD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T58" i="2"/>
  <c r="BU58" i="2"/>
  <c r="BW58" i="2"/>
  <c r="BX58" i="2"/>
  <c r="BY58" i="2"/>
  <c r="CA58" i="2"/>
  <c r="CB58" i="2"/>
  <c r="CC58" i="2"/>
  <c r="CD58" i="2"/>
  <c r="CE58" i="2"/>
  <c r="CG58" i="2"/>
  <c r="CH58" i="2"/>
  <c r="CJ58" i="2"/>
  <c r="CK58" i="2"/>
  <c r="CL58" i="2"/>
  <c r="CN58" i="2"/>
  <c r="CO58" i="2"/>
  <c r="CP58" i="2"/>
  <c r="CQ58" i="2"/>
  <c r="CR58" i="2"/>
  <c r="CT58" i="2"/>
  <c r="CU58" i="2"/>
  <c r="CV58" i="2"/>
  <c r="CW58" i="2"/>
  <c r="CY58" i="2"/>
  <c r="CZ58" i="2"/>
  <c r="DA58" i="2"/>
  <c r="DC58" i="2"/>
  <c r="DD58" i="2"/>
  <c r="DE58" i="2"/>
  <c r="DI58" i="2"/>
  <c r="DJ58" i="2"/>
  <c r="DK58" i="2"/>
  <c r="DM58" i="2"/>
  <c r="DN58" i="2"/>
  <c r="DO58" i="2"/>
  <c r="DQ58" i="2"/>
  <c r="DR58" i="2"/>
  <c r="DS58" i="2"/>
  <c r="DU58" i="2"/>
  <c r="DV58" i="2"/>
  <c r="DW58" i="2"/>
  <c r="I59" i="2"/>
  <c r="J59" i="2"/>
  <c r="K59" i="2"/>
  <c r="L59" i="2"/>
  <c r="M59" i="2"/>
  <c r="N59" i="2"/>
  <c r="O59" i="2"/>
  <c r="P59" i="2"/>
  <c r="Q59" i="2"/>
  <c r="T59" i="2"/>
  <c r="U59" i="2"/>
  <c r="V59" i="2"/>
  <c r="X59" i="2"/>
  <c r="Y59" i="2"/>
  <c r="Z59" i="2"/>
  <c r="AA59" i="2"/>
  <c r="AB59" i="2"/>
  <c r="AC59" i="2"/>
  <c r="AD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T59" i="2"/>
  <c r="BU59" i="2"/>
  <c r="BW59" i="2"/>
  <c r="BX59" i="2"/>
  <c r="BY59" i="2"/>
  <c r="CA59" i="2"/>
  <c r="CB59" i="2"/>
  <c r="CC59" i="2"/>
  <c r="CD59" i="2"/>
  <c r="CE59" i="2"/>
  <c r="CG59" i="2"/>
  <c r="CH59" i="2"/>
  <c r="CJ59" i="2"/>
  <c r="CK59" i="2"/>
  <c r="CL59" i="2"/>
  <c r="CN59" i="2"/>
  <c r="CO59" i="2"/>
  <c r="CP59" i="2"/>
  <c r="CQ59" i="2"/>
  <c r="CR59" i="2"/>
  <c r="CT59" i="2"/>
  <c r="CU59" i="2"/>
  <c r="CV59" i="2"/>
  <c r="CW59" i="2"/>
  <c r="CY59" i="2"/>
  <c r="CZ59" i="2"/>
  <c r="DA59" i="2"/>
  <c r="DC59" i="2"/>
  <c r="DD59" i="2"/>
  <c r="DE59" i="2"/>
  <c r="DI59" i="2"/>
  <c r="DJ59" i="2"/>
  <c r="DK59" i="2"/>
  <c r="DM59" i="2"/>
  <c r="DN59" i="2"/>
  <c r="DO59" i="2"/>
  <c r="DQ59" i="2"/>
  <c r="DR59" i="2"/>
  <c r="DS59" i="2"/>
  <c r="DU59" i="2"/>
  <c r="DV59" i="2"/>
  <c r="DW59" i="2"/>
  <c r="I60" i="2"/>
  <c r="J60" i="2"/>
  <c r="K60" i="2"/>
  <c r="L60" i="2"/>
  <c r="M60" i="2"/>
  <c r="N60" i="2"/>
  <c r="O60" i="2"/>
  <c r="P60" i="2"/>
  <c r="Q60" i="2"/>
  <c r="T60" i="2"/>
  <c r="U60" i="2"/>
  <c r="V60" i="2"/>
  <c r="X60" i="2"/>
  <c r="Y60" i="2"/>
  <c r="Z60" i="2"/>
  <c r="AA60" i="2"/>
  <c r="AB60" i="2"/>
  <c r="AC60" i="2"/>
  <c r="AD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T60" i="2"/>
  <c r="BU60" i="2"/>
  <c r="BW60" i="2"/>
  <c r="BX60" i="2"/>
  <c r="BY60" i="2"/>
  <c r="CA60" i="2"/>
  <c r="CB60" i="2"/>
  <c r="CC60" i="2"/>
  <c r="CD60" i="2"/>
  <c r="CE60" i="2"/>
  <c r="CG60" i="2"/>
  <c r="CH60" i="2"/>
  <c r="CJ60" i="2"/>
  <c r="CK60" i="2"/>
  <c r="CL60" i="2"/>
  <c r="CN60" i="2"/>
  <c r="CO60" i="2"/>
  <c r="CP60" i="2"/>
  <c r="CQ60" i="2"/>
  <c r="CR60" i="2"/>
  <c r="CT60" i="2"/>
  <c r="CU60" i="2"/>
  <c r="CV60" i="2"/>
  <c r="CW60" i="2"/>
  <c r="CY60" i="2"/>
  <c r="CZ60" i="2"/>
  <c r="DA60" i="2"/>
  <c r="DC60" i="2"/>
  <c r="DD60" i="2"/>
  <c r="DE60" i="2"/>
  <c r="DI60" i="2"/>
  <c r="DJ60" i="2"/>
  <c r="DK60" i="2"/>
  <c r="DM60" i="2"/>
  <c r="DN60" i="2"/>
  <c r="DO60" i="2"/>
  <c r="DQ60" i="2"/>
  <c r="DR60" i="2"/>
  <c r="DS60" i="2"/>
  <c r="DU60" i="2"/>
  <c r="DV60" i="2"/>
  <c r="DW60" i="2"/>
  <c r="I61" i="2"/>
  <c r="J61" i="2"/>
  <c r="K61" i="2"/>
  <c r="L61" i="2"/>
  <c r="M61" i="2"/>
  <c r="N61" i="2"/>
  <c r="O61" i="2"/>
  <c r="P61" i="2"/>
  <c r="Q61" i="2"/>
  <c r="T61" i="2"/>
  <c r="U61" i="2"/>
  <c r="V61" i="2"/>
  <c r="X61" i="2"/>
  <c r="Y61" i="2"/>
  <c r="Z61" i="2"/>
  <c r="AA61" i="2"/>
  <c r="AB61" i="2"/>
  <c r="AC61" i="2"/>
  <c r="AD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T61" i="2"/>
  <c r="BU61" i="2"/>
  <c r="BW61" i="2"/>
  <c r="BX61" i="2"/>
  <c r="BY61" i="2"/>
  <c r="CA61" i="2"/>
  <c r="CB61" i="2"/>
  <c r="CC61" i="2"/>
  <c r="CD61" i="2"/>
  <c r="CE61" i="2"/>
  <c r="CG61" i="2"/>
  <c r="CH61" i="2"/>
  <c r="CJ61" i="2"/>
  <c r="CK61" i="2"/>
  <c r="CL61" i="2"/>
  <c r="CN61" i="2"/>
  <c r="CO61" i="2"/>
  <c r="CP61" i="2"/>
  <c r="CQ61" i="2"/>
  <c r="CR61" i="2"/>
  <c r="CT61" i="2"/>
  <c r="CU61" i="2"/>
  <c r="CV61" i="2"/>
  <c r="CW61" i="2"/>
  <c r="CY61" i="2"/>
  <c r="CZ61" i="2"/>
  <c r="DA61" i="2"/>
  <c r="DC61" i="2"/>
  <c r="DD61" i="2"/>
  <c r="DE61" i="2"/>
  <c r="DI61" i="2"/>
  <c r="DJ61" i="2"/>
  <c r="DK61" i="2"/>
  <c r="DM61" i="2"/>
  <c r="DN61" i="2"/>
  <c r="DO61" i="2"/>
  <c r="DQ61" i="2"/>
  <c r="DR61" i="2"/>
  <c r="DS61" i="2"/>
  <c r="DU61" i="2"/>
  <c r="DV61" i="2"/>
  <c r="DW61" i="2"/>
  <c r="I62" i="2"/>
  <c r="J62" i="2"/>
  <c r="K62" i="2"/>
  <c r="L62" i="2"/>
  <c r="M62" i="2"/>
  <c r="N62" i="2"/>
  <c r="O62" i="2"/>
  <c r="P62" i="2"/>
  <c r="Q62" i="2"/>
  <c r="T62" i="2"/>
  <c r="U62" i="2"/>
  <c r="V62" i="2"/>
  <c r="X62" i="2"/>
  <c r="Y62" i="2"/>
  <c r="Z62" i="2"/>
  <c r="AA62" i="2"/>
  <c r="AB62" i="2"/>
  <c r="AC62" i="2"/>
  <c r="AD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T62" i="2"/>
  <c r="BU62" i="2"/>
  <c r="BW62" i="2"/>
  <c r="BX62" i="2"/>
  <c r="BY62" i="2"/>
  <c r="CA62" i="2"/>
  <c r="CB62" i="2"/>
  <c r="CC62" i="2"/>
  <c r="CD62" i="2"/>
  <c r="CE62" i="2"/>
  <c r="CG62" i="2"/>
  <c r="CH62" i="2"/>
  <c r="CJ62" i="2"/>
  <c r="CK62" i="2"/>
  <c r="CL62" i="2"/>
  <c r="CN62" i="2"/>
  <c r="CO62" i="2"/>
  <c r="CP62" i="2"/>
  <c r="CQ62" i="2"/>
  <c r="CR62" i="2"/>
  <c r="CT62" i="2"/>
  <c r="CU62" i="2"/>
  <c r="CV62" i="2"/>
  <c r="CW62" i="2"/>
  <c r="CY62" i="2"/>
  <c r="CZ62" i="2"/>
  <c r="DA62" i="2"/>
  <c r="DC62" i="2"/>
  <c r="DD62" i="2"/>
  <c r="DE62" i="2"/>
  <c r="DI62" i="2"/>
  <c r="DJ62" i="2"/>
  <c r="DK62" i="2"/>
  <c r="DM62" i="2"/>
  <c r="DN62" i="2"/>
  <c r="DO62" i="2"/>
  <c r="DQ62" i="2"/>
  <c r="DR62" i="2"/>
  <c r="DS62" i="2"/>
  <c r="DU62" i="2"/>
  <c r="DV62" i="2"/>
  <c r="DW62" i="2"/>
  <c r="I63" i="2"/>
  <c r="J63" i="2"/>
  <c r="K63" i="2"/>
  <c r="L63" i="2"/>
  <c r="M63" i="2"/>
  <c r="N63" i="2"/>
  <c r="O63" i="2"/>
  <c r="P63" i="2"/>
  <c r="Q63" i="2"/>
  <c r="T63" i="2"/>
  <c r="U63" i="2"/>
  <c r="V63" i="2"/>
  <c r="X63" i="2"/>
  <c r="Y63" i="2"/>
  <c r="Z63" i="2"/>
  <c r="AA63" i="2"/>
  <c r="AB63" i="2"/>
  <c r="AC63" i="2"/>
  <c r="AD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T63" i="2"/>
  <c r="BU63" i="2"/>
  <c r="BW63" i="2"/>
  <c r="BX63" i="2"/>
  <c r="BY63" i="2"/>
  <c r="CA63" i="2"/>
  <c r="CB63" i="2"/>
  <c r="CC63" i="2"/>
  <c r="CD63" i="2"/>
  <c r="CE63" i="2"/>
  <c r="CG63" i="2"/>
  <c r="CH63" i="2"/>
  <c r="CJ63" i="2"/>
  <c r="CK63" i="2"/>
  <c r="CL63" i="2"/>
  <c r="CN63" i="2"/>
  <c r="CO63" i="2"/>
  <c r="CP63" i="2"/>
  <c r="CQ63" i="2"/>
  <c r="CR63" i="2"/>
  <c r="CT63" i="2"/>
  <c r="CU63" i="2"/>
  <c r="CV63" i="2"/>
  <c r="CW63" i="2"/>
  <c r="CY63" i="2"/>
  <c r="CZ63" i="2"/>
  <c r="DA63" i="2"/>
  <c r="DC63" i="2"/>
  <c r="DD63" i="2"/>
  <c r="DE63" i="2"/>
  <c r="DI63" i="2"/>
  <c r="DJ63" i="2"/>
  <c r="DK63" i="2"/>
  <c r="DM63" i="2"/>
  <c r="DN63" i="2"/>
  <c r="DO63" i="2"/>
  <c r="DQ63" i="2"/>
  <c r="DR63" i="2"/>
  <c r="DS63" i="2"/>
  <c r="DU63" i="2"/>
  <c r="DV63" i="2"/>
  <c r="DW63" i="2"/>
  <c r="I64" i="2"/>
  <c r="J64" i="2"/>
  <c r="K64" i="2"/>
  <c r="L64" i="2"/>
  <c r="M64" i="2"/>
  <c r="N64" i="2"/>
  <c r="O64" i="2"/>
  <c r="P64" i="2"/>
  <c r="Q64" i="2"/>
  <c r="T64" i="2"/>
  <c r="U64" i="2"/>
  <c r="V64" i="2"/>
  <c r="X64" i="2"/>
  <c r="Y64" i="2"/>
  <c r="Z64" i="2"/>
  <c r="AA64" i="2"/>
  <c r="AB64" i="2"/>
  <c r="AC64" i="2"/>
  <c r="AD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T64" i="2"/>
  <c r="BU64" i="2"/>
  <c r="BW64" i="2"/>
  <c r="BX64" i="2"/>
  <c r="BY64" i="2"/>
  <c r="CA64" i="2"/>
  <c r="CB64" i="2"/>
  <c r="CC64" i="2"/>
  <c r="CD64" i="2"/>
  <c r="CE64" i="2"/>
  <c r="CG64" i="2"/>
  <c r="CH64" i="2"/>
  <c r="CJ64" i="2"/>
  <c r="CK64" i="2"/>
  <c r="CL64" i="2"/>
  <c r="CN64" i="2"/>
  <c r="CO64" i="2"/>
  <c r="CP64" i="2"/>
  <c r="CQ64" i="2"/>
  <c r="CR64" i="2"/>
  <c r="CT64" i="2"/>
  <c r="CU64" i="2"/>
  <c r="CV64" i="2"/>
  <c r="CW64" i="2"/>
  <c r="CY64" i="2"/>
  <c r="CZ64" i="2"/>
  <c r="DA64" i="2"/>
  <c r="DC64" i="2"/>
  <c r="DD64" i="2"/>
  <c r="DE64" i="2"/>
  <c r="DI64" i="2"/>
  <c r="DJ64" i="2"/>
  <c r="DK64" i="2"/>
  <c r="DM64" i="2"/>
  <c r="DN64" i="2"/>
  <c r="DO64" i="2"/>
  <c r="DQ64" i="2"/>
  <c r="DR64" i="2"/>
  <c r="DS64" i="2"/>
  <c r="DU64" i="2"/>
  <c r="DV64" i="2"/>
  <c r="DW64" i="2"/>
  <c r="I65" i="2"/>
  <c r="J65" i="2"/>
  <c r="K65" i="2"/>
  <c r="L65" i="2"/>
  <c r="M65" i="2"/>
  <c r="N65" i="2"/>
  <c r="O65" i="2"/>
  <c r="P65" i="2"/>
  <c r="Q65" i="2"/>
  <c r="T65" i="2"/>
  <c r="U65" i="2"/>
  <c r="V65" i="2"/>
  <c r="X65" i="2"/>
  <c r="Y65" i="2"/>
  <c r="Z65" i="2"/>
  <c r="AA65" i="2"/>
  <c r="AB65" i="2"/>
  <c r="AC65" i="2"/>
  <c r="AD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T65" i="2"/>
  <c r="BU65" i="2"/>
  <c r="BW65" i="2"/>
  <c r="BX65" i="2"/>
  <c r="BY65" i="2"/>
  <c r="CA65" i="2"/>
  <c r="CB65" i="2"/>
  <c r="CC65" i="2"/>
  <c r="CD65" i="2"/>
  <c r="CE65" i="2"/>
  <c r="CG65" i="2"/>
  <c r="CH65" i="2"/>
  <c r="CJ65" i="2"/>
  <c r="CK65" i="2"/>
  <c r="CL65" i="2"/>
  <c r="CN65" i="2"/>
  <c r="CO65" i="2"/>
  <c r="CP65" i="2"/>
  <c r="CQ65" i="2"/>
  <c r="CR65" i="2"/>
  <c r="CT65" i="2"/>
  <c r="CU65" i="2"/>
  <c r="CV65" i="2"/>
  <c r="CW65" i="2"/>
  <c r="CY65" i="2"/>
  <c r="CZ65" i="2"/>
  <c r="DA65" i="2"/>
  <c r="DC65" i="2"/>
  <c r="DD65" i="2"/>
  <c r="DE65" i="2"/>
  <c r="DI65" i="2"/>
  <c r="DJ65" i="2"/>
  <c r="DK65" i="2"/>
  <c r="DM65" i="2"/>
  <c r="DN65" i="2"/>
  <c r="DO65" i="2"/>
  <c r="DQ65" i="2"/>
  <c r="DR65" i="2"/>
  <c r="DS65" i="2"/>
  <c r="DU65" i="2"/>
  <c r="DV65" i="2"/>
  <c r="DW65" i="2"/>
  <c r="I66" i="2"/>
  <c r="J66" i="2"/>
  <c r="K66" i="2"/>
  <c r="L66" i="2"/>
  <c r="M66" i="2"/>
  <c r="N66" i="2"/>
  <c r="O66" i="2"/>
  <c r="P66" i="2"/>
  <c r="Q66" i="2"/>
  <c r="T66" i="2"/>
  <c r="U66" i="2"/>
  <c r="V66" i="2"/>
  <c r="X66" i="2"/>
  <c r="Y66" i="2"/>
  <c r="Z66" i="2"/>
  <c r="AA66" i="2"/>
  <c r="AB66" i="2"/>
  <c r="AC66" i="2"/>
  <c r="AD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T66" i="2"/>
  <c r="BU66" i="2"/>
  <c r="BW66" i="2"/>
  <c r="BX66" i="2"/>
  <c r="BY66" i="2"/>
  <c r="CA66" i="2"/>
  <c r="CB66" i="2"/>
  <c r="CC66" i="2"/>
  <c r="CD66" i="2"/>
  <c r="CE66" i="2"/>
  <c r="CG66" i="2"/>
  <c r="CH66" i="2"/>
  <c r="CJ66" i="2"/>
  <c r="CK66" i="2"/>
  <c r="CL66" i="2"/>
  <c r="CN66" i="2"/>
  <c r="CO66" i="2"/>
  <c r="CP66" i="2"/>
  <c r="CQ66" i="2"/>
  <c r="CR66" i="2"/>
  <c r="CT66" i="2"/>
  <c r="CU66" i="2"/>
  <c r="CV66" i="2"/>
  <c r="CW66" i="2"/>
  <c r="CY66" i="2"/>
  <c r="CZ66" i="2"/>
  <c r="DA66" i="2"/>
  <c r="DC66" i="2"/>
  <c r="DD66" i="2"/>
  <c r="DE66" i="2"/>
  <c r="DI66" i="2"/>
  <c r="DJ66" i="2"/>
  <c r="DK66" i="2"/>
  <c r="DM66" i="2"/>
  <c r="DN66" i="2"/>
  <c r="DO66" i="2"/>
  <c r="DQ66" i="2"/>
  <c r="DR66" i="2"/>
  <c r="DS66" i="2"/>
  <c r="DU66" i="2"/>
  <c r="DV66" i="2"/>
  <c r="DW66" i="2"/>
  <c r="I67" i="2"/>
  <c r="J67" i="2"/>
  <c r="K67" i="2"/>
  <c r="L67" i="2"/>
  <c r="M67" i="2"/>
  <c r="N67" i="2"/>
  <c r="O67" i="2"/>
  <c r="P67" i="2"/>
  <c r="Q67" i="2"/>
  <c r="T67" i="2"/>
  <c r="U67" i="2"/>
  <c r="V67" i="2"/>
  <c r="X67" i="2"/>
  <c r="Y67" i="2"/>
  <c r="Z67" i="2"/>
  <c r="AA67" i="2"/>
  <c r="AB67" i="2"/>
  <c r="AC67" i="2"/>
  <c r="AD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T67" i="2"/>
  <c r="BU67" i="2"/>
  <c r="BW67" i="2"/>
  <c r="BX67" i="2"/>
  <c r="BY67" i="2"/>
  <c r="CA67" i="2"/>
  <c r="CB67" i="2"/>
  <c r="CC67" i="2"/>
  <c r="CD67" i="2"/>
  <c r="CE67" i="2"/>
  <c r="CG67" i="2"/>
  <c r="CH67" i="2"/>
  <c r="CJ67" i="2"/>
  <c r="CK67" i="2"/>
  <c r="CL67" i="2"/>
  <c r="CN67" i="2"/>
  <c r="CO67" i="2"/>
  <c r="CP67" i="2"/>
  <c r="CQ67" i="2"/>
  <c r="CR67" i="2"/>
  <c r="CT67" i="2"/>
  <c r="CU67" i="2"/>
  <c r="CV67" i="2"/>
  <c r="CW67" i="2"/>
  <c r="CY67" i="2"/>
  <c r="CZ67" i="2"/>
  <c r="DA67" i="2"/>
  <c r="DC67" i="2"/>
  <c r="DD67" i="2"/>
  <c r="DE67" i="2"/>
  <c r="DI67" i="2"/>
  <c r="DJ67" i="2"/>
  <c r="DK67" i="2"/>
  <c r="DM67" i="2"/>
  <c r="DN67" i="2"/>
  <c r="DO67" i="2"/>
  <c r="DQ67" i="2"/>
  <c r="DR67" i="2"/>
  <c r="DS67" i="2"/>
  <c r="DU67" i="2"/>
  <c r="DV67" i="2"/>
  <c r="DW67" i="2"/>
  <c r="I68" i="2"/>
  <c r="J68" i="2"/>
  <c r="K68" i="2"/>
  <c r="L68" i="2"/>
  <c r="M68" i="2"/>
  <c r="N68" i="2"/>
  <c r="O68" i="2"/>
  <c r="P68" i="2"/>
  <c r="Q68" i="2"/>
  <c r="T68" i="2"/>
  <c r="U68" i="2"/>
  <c r="V68" i="2"/>
  <c r="X68" i="2"/>
  <c r="Y68" i="2"/>
  <c r="Z68" i="2"/>
  <c r="AA68" i="2"/>
  <c r="AB68" i="2"/>
  <c r="AC68" i="2"/>
  <c r="AD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T68" i="2"/>
  <c r="BU68" i="2"/>
  <c r="BW68" i="2"/>
  <c r="BX68" i="2"/>
  <c r="BY68" i="2"/>
  <c r="CA68" i="2"/>
  <c r="CB68" i="2"/>
  <c r="CC68" i="2"/>
  <c r="CD68" i="2"/>
  <c r="CE68" i="2"/>
  <c r="CG68" i="2"/>
  <c r="CH68" i="2"/>
  <c r="CJ68" i="2"/>
  <c r="CK68" i="2"/>
  <c r="CL68" i="2"/>
  <c r="CN68" i="2"/>
  <c r="CO68" i="2"/>
  <c r="CP68" i="2"/>
  <c r="CQ68" i="2"/>
  <c r="CR68" i="2"/>
  <c r="CT68" i="2"/>
  <c r="CU68" i="2"/>
  <c r="CV68" i="2"/>
  <c r="CW68" i="2"/>
  <c r="CY68" i="2"/>
  <c r="CZ68" i="2"/>
  <c r="DA68" i="2"/>
  <c r="DC68" i="2"/>
  <c r="DD68" i="2"/>
  <c r="DE68" i="2"/>
  <c r="DI68" i="2"/>
  <c r="DJ68" i="2"/>
  <c r="DK68" i="2"/>
  <c r="DM68" i="2"/>
  <c r="DN68" i="2"/>
  <c r="DO68" i="2"/>
  <c r="DQ68" i="2"/>
  <c r="DR68" i="2"/>
  <c r="DS68" i="2"/>
  <c r="DU68" i="2"/>
  <c r="DV68" i="2"/>
  <c r="DW68" i="2"/>
  <c r="I69" i="2"/>
  <c r="J69" i="2"/>
  <c r="K69" i="2"/>
  <c r="L69" i="2"/>
  <c r="M69" i="2"/>
  <c r="N69" i="2"/>
  <c r="O69" i="2"/>
  <c r="P69" i="2"/>
  <c r="Q69" i="2"/>
  <c r="T69" i="2"/>
  <c r="U69" i="2"/>
  <c r="V69" i="2"/>
  <c r="X69" i="2"/>
  <c r="Y69" i="2"/>
  <c r="Z69" i="2"/>
  <c r="AA69" i="2"/>
  <c r="AB69" i="2"/>
  <c r="AC69" i="2"/>
  <c r="AD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T69" i="2"/>
  <c r="BU69" i="2"/>
  <c r="BW69" i="2"/>
  <c r="BX69" i="2"/>
  <c r="BY69" i="2"/>
  <c r="CA69" i="2"/>
  <c r="CB69" i="2"/>
  <c r="CC69" i="2"/>
  <c r="CD69" i="2"/>
  <c r="CE69" i="2"/>
  <c r="CG69" i="2"/>
  <c r="CH69" i="2"/>
  <c r="CJ69" i="2"/>
  <c r="CK69" i="2"/>
  <c r="CL69" i="2"/>
  <c r="CN69" i="2"/>
  <c r="CO69" i="2"/>
  <c r="CP69" i="2"/>
  <c r="CQ69" i="2"/>
  <c r="CR69" i="2"/>
  <c r="CT69" i="2"/>
  <c r="CU69" i="2"/>
  <c r="CV69" i="2"/>
  <c r="CW69" i="2"/>
  <c r="CY69" i="2"/>
  <c r="CZ69" i="2"/>
  <c r="DA69" i="2"/>
  <c r="DC69" i="2"/>
  <c r="DD69" i="2"/>
  <c r="DE69" i="2"/>
  <c r="DI69" i="2"/>
  <c r="DJ69" i="2"/>
  <c r="DK69" i="2"/>
  <c r="DM69" i="2"/>
  <c r="DN69" i="2"/>
  <c r="DO69" i="2"/>
  <c r="DQ69" i="2"/>
  <c r="DR69" i="2"/>
  <c r="DS69" i="2"/>
  <c r="DU69" i="2"/>
  <c r="DV69" i="2"/>
  <c r="DW69" i="2"/>
  <c r="I70" i="2"/>
  <c r="J70" i="2"/>
  <c r="K70" i="2"/>
  <c r="L70" i="2"/>
  <c r="M70" i="2"/>
  <c r="N70" i="2"/>
  <c r="O70" i="2"/>
  <c r="P70" i="2"/>
  <c r="Q70" i="2"/>
  <c r="T70" i="2"/>
  <c r="U70" i="2"/>
  <c r="V70" i="2"/>
  <c r="X70" i="2"/>
  <c r="Y70" i="2"/>
  <c r="Z70" i="2"/>
  <c r="AA70" i="2"/>
  <c r="AB70" i="2"/>
  <c r="AC70" i="2"/>
  <c r="AD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T70" i="2"/>
  <c r="BU70" i="2"/>
  <c r="BW70" i="2"/>
  <c r="BX70" i="2"/>
  <c r="BY70" i="2"/>
  <c r="CA70" i="2"/>
  <c r="CB70" i="2"/>
  <c r="CC70" i="2"/>
  <c r="CD70" i="2"/>
  <c r="CE70" i="2"/>
  <c r="CG70" i="2"/>
  <c r="CH70" i="2"/>
  <c r="CJ70" i="2"/>
  <c r="CK70" i="2"/>
  <c r="CL70" i="2"/>
  <c r="CN70" i="2"/>
  <c r="CO70" i="2"/>
  <c r="CP70" i="2"/>
  <c r="CQ70" i="2"/>
  <c r="CR70" i="2"/>
  <c r="CT70" i="2"/>
  <c r="CU70" i="2"/>
  <c r="CV70" i="2"/>
  <c r="CW70" i="2"/>
  <c r="CY70" i="2"/>
  <c r="CZ70" i="2"/>
  <c r="DA70" i="2"/>
  <c r="DC70" i="2"/>
  <c r="DD70" i="2"/>
  <c r="DE70" i="2"/>
  <c r="DI70" i="2"/>
  <c r="DJ70" i="2"/>
  <c r="DK70" i="2"/>
  <c r="DM70" i="2"/>
  <c r="DN70" i="2"/>
  <c r="DO70" i="2"/>
  <c r="DQ70" i="2"/>
  <c r="DR70" i="2"/>
  <c r="DS70" i="2"/>
  <c r="DU70" i="2"/>
  <c r="DV70" i="2"/>
  <c r="DW70" i="2"/>
  <c r="I71" i="2"/>
  <c r="J71" i="2"/>
  <c r="K71" i="2"/>
  <c r="L71" i="2"/>
  <c r="M71" i="2"/>
  <c r="N71" i="2"/>
  <c r="O71" i="2"/>
  <c r="P71" i="2"/>
  <c r="Q71" i="2"/>
  <c r="T71" i="2"/>
  <c r="U71" i="2"/>
  <c r="V71" i="2"/>
  <c r="X71" i="2"/>
  <c r="Y71" i="2"/>
  <c r="Z71" i="2"/>
  <c r="AA71" i="2"/>
  <c r="AB71" i="2"/>
  <c r="AC71" i="2"/>
  <c r="AD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T71" i="2"/>
  <c r="BU71" i="2"/>
  <c r="BW71" i="2"/>
  <c r="BX71" i="2"/>
  <c r="BY71" i="2"/>
  <c r="CA71" i="2"/>
  <c r="CB71" i="2"/>
  <c r="CC71" i="2"/>
  <c r="CD71" i="2"/>
  <c r="CE71" i="2"/>
  <c r="CG71" i="2"/>
  <c r="CH71" i="2"/>
  <c r="CJ71" i="2"/>
  <c r="CK71" i="2"/>
  <c r="CL71" i="2"/>
  <c r="CN71" i="2"/>
  <c r="CO71" i="2"/>
  <c r="CP71" i="2"/>
  <c r="CQ71" i="2"/>
  <c r="CR71" i="2"/>
  <c r="CT71" i="2"/>
  <c r="CU71" i="2"/>
  <c r="CV71" i="2"/>
  <c r="CW71" i="2"/>
  <c r="CY71" i="2"/>
  <c r="CZ71" i="2"/>
  <c r="DA71" i="2"/>
  <c r="DC71" i="2"/>
  <c r="DD71" i="2"/>
  <c r="DE71" i="2"/>
  <c r="DI71" i="2"/>
  <c r="DJ71" i="2"/>
  <c r="DK71" i="2"/>
  <c r="DM71" i="2"/>
  <c r="DN71" i="2"/>
  <c r="DO71" i="2"/>
  <c r="DQ71" i="2"/>
  <c r="DR71" i="2"/>
  <c r="DS71" i="2"/>
  <c r="DU71" i="2"/>
  <c r="DV71" i="2"/>
  <c r="DW71" i="2"/>
  <c r="I72" i="2"/>
  <c r="J72" i="2"/>
  <c r="K72" i="2"/>
  <c r="L72" i="2"/>
  <c r="M72" i="2"/>
  <c r="N72" i="2"/>
  <c r="O72" i="2"/>
  <c r="P72" i="2"/>
  <c r="Q72" i="2"/>
  <c r="T72" i="2"/>
  <c r="U72" i="2"/>
  <c r="V72" i="2"/>
  <c r="X72" i="2"/>
  <c r="Y72" i="2"/>
  <c r="Z72" i="2"/>
  <c r="AA72" i="2"/>
  <c r="AB72" i="2"/>
  <c r="AC72" i="2"/>
  <c r="AD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T72" i="2"/>
  <c r="BU72" i="2"/>
  <c r="BW72" i="2"/>
  <c r="BX72" i="2"/>
  <c r="BY72" i="2"/>
  <c r="CA72" i="2"/>
  <c r="CB72" i="2"/>
  <c r="CC72" i="2"/>
  <c r="CD72" i="2"/>
  <c r="CE72" i="2"/>
  <c r="CG72" i="2"/>
  <c r="CH72" i="2"/>
  <c r="CJ72" i="2"/>
  <c r="CK72" i="2"/>
  <c r="CL72" i="2"/>
  <c r="CN72" i="2"/>
  <c r="CO72" i="2"/>
  <c r="CP72" i="2"/>
  <c r="CQ72" i="2"/>
  <c r="CR72" i="2"/>
  <c r="CT72" i="2"/>
  <c r="CU72" i="2"/>
  <c r="CV72" i="2"/>
  <c r="CW72" i="2"/>
  <c r="CY72" i="2"/>
  <c r="CZ72" i="2"/>
  <c r="DA72" i="2"/>
  <c r="DC72" i="2"/>
  <c r="DD72" i="2"/>
  <c r="DE72" i="2"/>
  <c r="DI72" i="2"/>
  <c r="DJ72" i="2"/>
  <c r="DK72" i="2"/>
  <c r="DM72" i="2"/>
  <c r="DN72" i="2"/>
  <c r="DO72" i="2"/>
  <c r="DQ72" i="2"/>
  <c r="DR72" i="2"/>
  <c r="DS72" i="2"/>
  <c r="DU72" i="2"/>
  <c r="DV72" i="2"/>
  <c r="DW72" i="2"/>
  <c r="I73" i="2"/>
  <c r="J73" i="2"/>
  <c r="K73" i="2"/>
  <c r="L73" i="2"/>
  <c r="M73" i="2"/>
  <c r="N73" i="2"/>
  <c r="O73" i="2"/>
  <c r="P73" i="2"/>
  <c r="Q73" i="2"/>
  <c r="T73" i="2"/>
  <c r="U73" i="2"/>
  <c r="V73" i="2"/>
  <c r="X73" i="2"/>
  <c r="Y73" i="2"/>
  <c r="Z73" i="2"/>
  <c r="AA73" i="2"/>
  <c r="AB73" i="2"/>
  <c r="AC73" i="2"/>
  <c r="AD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T73" i="2"/>
  <c r="BU73" i="2"/>
  <c r="BW73" i="2"/>
  <c r="BX73" i="2"/>
  <c r="BY73" i="2"/>
  <c r="CA73" i="2"/>
  <c r="CB73" i="2"/>
  <c r="CC73" i="2"/>
  <c r="CD73" i="2"/>
  <c r="CE73" i="2"/>
  <c r="CG73" i="2"/>
  <c r="CH73" i="2"/>
  <c r="CJ73" i="2"/>
  <c r="CK73" i="2"/>
  <c r="CL73" i="2"/>
  <c r="CN73" i="2"/>
  <c r="CO73" i="2"/>
  <c r="CP73" i="2"/>
  <c r="CQ73" i="2"/>
  <c r="CR73" i="2"/>
  <c r="CT73" i="2"/>
  <c r="CU73" i="2"/>
  <c r="CV73" i="2"/>
  <c r="CW73" i="2"/>
  <c r="CY73" i="2"/>
  <c r="CZ73" i="2"/>
  <c r="DA73" i="2"/>
  <c r="DC73" i="2"/>
  <c r="DD73" i="2"/>
  <c r="DE73" i="2"/>
  <c r="DI73" i="2"/>
  <c r="DJ73" i="2"/>
  <c r="DK73" i="2"/>
  <c r="DM73" i="2"/>
  <c r="DN73" i="2"/>
  <c r="DO73" i="2"/>
  <c r="DQ73" i="2"/>
  <c r="DR73" i="2"/>
  <c r="DS73" i="2"/>
  <c r="DU73" i="2"/>
  <c r="DV73" i="2"/>
  <c r="DW73" i="2"/>
  <c r="I74" i="2"/>
  <c r="J74" i="2"/>
  <c r="K74" i="2"/>
  <c r="L74" i="2"/>
  <c r="M74" i="2"/>
  <c r="N74" i="2"/>
  <c r="O74" i="2"/>
  <c r="P74" i="2"/>
  <c r="Q74" i="2"/>
  <c r="T74" i="2"/>
  <c r="U74" i="2"/>
  <c r="V74" i="2"/>
  <c r="X74" i="2"/>
  <c r="Y74" i="2"/>
  <c r="Z74" i="2"/>
  <c r="AA74" i="2"/>
  <c r="AB74" i="2"/>
  <c r="AC74" i="2"/>
  <c r="AD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T74" i="2"/>
  <c r="BU74" i="2"/>
  <c r="BW74" i="2"/>
  <c r="BX74" i="2"/>
  <c r="BY74" i="2"/>
  <c r="CA74" i="2"/>
  <c r="CB74" i="2"/>
  <c r="CC74" i="2"/>
  <c r="CD74" i="2"/>
  <c r="CE74" i="2"/>
  <c r="CG74" i="2"/>
  <c r="CH74" i="2"/>
  <c r="CJ74" i="2"/>
  <c r="CK74" i="2"/>
  <c r="CL74" i="2"/>
  <c r="CN74" i="2"/>
  <c r="CO74" i="2"/>
  <c r="CP74" i="2"/>
  <c r="CQ74" i="2"/>
  <c r="CR74" i="2"/>
  <c r="CT74" i="2"/>
  <c r="CU74" i="2"/>
  <c r="CV74" i="2"/>
  <c r="CW74" i="2"/>
  <c r="CY74" i="2"/>
  <c r="CZ74" i="2"/>
  <c r="DA74" i="2"/>
  <c r="DC74" i="2"/>
  <c r="DD74" i="2"/>
  <c r="DE74" i="2"/>
  <c r="DI74" i="2"/>
  <c r="DJ74" i="2"/>
  <c r="DK74" i="2"/>
  <c r="DM74" i="2"/>
  <c r="DN74" i="2"/>
  <c r="DO74" i="2"/>
  <c r="DQ74" i="2"/>
  <c r="DR74" i="2"/>
  <c r="DS74" i="2"/>
  <c r="DU74" i="2"/>
  <c r="DV74" i="2"/>
  <c r="DW74" i="2"/>
  <c r="I75" i="2"/>
  <c r="J75" i="2"/>
  <c r="K75" i="2"/>
  <c r="L75" i="2"/>
  <c r="M75" i="2"/>
  <c r="N75" i="2"/>
  <c r="O75" i="2"/>
  <c r="P75" i="2"/>
  <c r="Q75" i="2"/>
  <c r="T75" i="2"/>
  <c r="U75" i="2"/>
  <c r="V75" i="2"/>
  <c r="X75" i="2"/>
  <c r="Y75" i="2"/>
  <c r="Z75" i="2"/>
  <c r="AA75" i="2"/>
  <c r="AB75" i="2"/>
  <c r="AC75" i="2"/>
  <c r="AD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T75" i="2"/>
  <c r="BU75" i="2"/>
  <c r="BW75" i="2"/>
  <c r="BX75" i="2"/>
  <c r="BY75" i="2"/>
  <c r="CA75" i="2"/>
  <c r="CB75" i="2"/>
  <c r="CC75" i="2"/>
  <c r="CD75" i="2"/>
  <c r="CE75" i="2"/>
  <c r="CG75" i="2"/>
  <c r="CH75" i="2"/>
  <c r="CJ75" i="2"/>
  <c r="CK75" i="2"/>
  <c r="CL75" i="2"/>
  <c r="CN75" i="2"/>
  <c r="CO75" i="2"/>
  <c r="CP75" i="2"/>
  <c r="CQ75" i="2"/>
  <c r="CR75" i="2"/>
  <c r="CT75" i="2"/>
  <c r="CU75" i="2"/>
  <c r="CV75" i="2"/>
  <c r="CW75" i="2"/>
  <c r="CY75" i="2"/>
  <c r="CZ75" i="2"/>
  <c r="DA75" i="2"/>
  <c r="DC75" i="2"/>
  <c r="DD75" i="2"/>
  <c r="DE75" i="2"/>
  <c r="DI75" i="2"/>
  <c r="DJ75" i="2"/>
  <c r="DK75" i="2"/>
  <c r="DM75" i="2"/>
  <c r="DN75" i="2"/>
  <c r="DO75" i="2"/>
  <c r="DQ75" i="2"/>
  <c r="DR75" i="2"/>
  <c r="DS75" i="2"/>
  <c r="DU75" i="2"/>
  <c r="DV75" i="2"/>
  <c r="DW75" i="2"/>
  <c r="I76" i="2"/>
  <c r="J76" i="2"/>
  <c r="K76" i="2"/>
  <c r="L76" i="2"/>
  <c r="M76" i="2"/>
  <c r="N76" i="2"/>
  <c r="O76" i="2"/>
  <c r="P76" i="2"/>
  <c r="Q76" i="2"/>
  <c r="T76" i="2"/>
  <c r="U76" i="2"/>
  <c r="V76" i="2"/>
  <c r="X76" i="2"/>
  <c r="Y76" i="2"/>
  <c r="Z76" i="2"/>
  <c r="AA76" i="2"/>
  <c r="AB76" i="2"/>
  <c r="AC76" i="2"/>
  <c r="AD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T76" i="2"/>
  <c r="BU76" i="2"/>
  <c r="BW76" i="2"/>
  <c r="BX76" i="2"/>
  <c r="BY76" i="2"/>
  <c r="CA76" i="2"/>
  <c r="CB76" i="2"/>
  <c r="CC76" i="2"/>
  <c r="CD76" i="2"/>
  <c r="CE76" i="2"/>
  <c r="CG76" i="2"/>
  <c r="CH76" i="2"/>
  <c r="CJ76" i="2"/>
  <c r="CK76" i="2"/>
  <c r="CL76" i="2"/>
  <c r="CN76" i="2"/>
  <c r="CO76" i="2"/>
  <c r="CP76" i="2"/>
  <c r="CQ76" i="2"/>
  <c r="CR76" i="2"/>
  <c r="CT76" i="2"/>
  <c r="CU76" i="2"/>
  <c r="CV76" i="2"/>
  <c r="CW76" i="2"/>
  <c r="CY76" i="2"/>
  <c r="CZ76" i="2"/>
  <c r="DA76" i="2"/>
  <c r="DC76" i="2"/>
  <c r="DD76" i="2"/>
  <c r="DE76" i="2"/>
  <c r="DI76" i="2"/>
  <c r="DJ76" i="2"/>
  <c r="DK76" i="2"/>
  <c r="DM76" i="2"/>
  <c r="DN76" i="2"/>
  <c r="DO76" i="2"/>
  <c r="DQ76" i="2"/>
  <c r="DR76" i="2"/>
  <c r="DS76" i="2"/>
  <c r="DU76" i="2"/>
  <c r="DV76" i="2"/>
  <c r="DW76" i="2"/>
  <c r="I77" i="2"/>
  <c r="J77" i="2"/>
  <c r="K77" i="2"/>
  <c r="L77" i="2"/>
  <c r="M77" i="2"/>
  <c r="N77" i="2"/>
  <c r="O77" i="2"/>
  <c r="P77" i="2"/>
  <c r="Q77" i="2"/>
  <c r="T77" i="2"/>
  <c r="U77" i="2"/>
  <c r="V77" i="2"/>
  <c r="X77" i="2"/>
  <c r="Y77" i="2"/>
  <c r="Z77" i="2"/>
  <c r="AA77" i="2"/>
  <c r="AB77" i="2"/>
  <c r="AC77" i="2"/>
  <c r="AD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T77" i="2"/>
  <c r="BU77" i="2"/>
  <c r="BW77" i="2"/>
  <c r="BX77" i="2"/>
  <c r="BY77" i="2"/>
  <c r="CA77" i="2"/>
  <c r="CB77" i="2"/>
  <c r="CC77" i="2"/>
  <c r="CD77" i="2"/>
  <c r="CE77" i="2"/>
  <c r="CG77" i="2"/>
  <c r="CH77" i="2"/>
  <c r="CJ77" i="2"/>
  <c r="CK77" i="2"/>
  <c r="CL77" i="2"/>
  <c r="CN77" i="2"/>
  <c r="CO77" i="2"/>
  <c r="CP77" i="2"/>
  <c r="CQ77" i="2"/>
  <c r="CR77" i="2"/>
  <c r="CT77" i="2"/>
  <c r="CU77" i="2"/>
  <c r="CV77" i="2"/>
  <c r="CW77" i="2"/>
  <c r="CY77" i="2"/>
  <c r="CZ77" i="2"/>
  <c r="DA77" i="2"/>
  <c r="DC77" i="2"/>
  <c r="DD77" i="2"/>
  <c r="DE77" i="2"/>
  <c r="DI77" i="2"/>
  <c r="DJ77" i="2"/>
  <c r="DK77" i="2"/>
  <c r="DM77" i="2"/>
  <c r="DN77" i="2"/>
  <c r="DO77" i="2"/>
  <c r="DQ77" i="2"/>
  <c r="DR77" i="2"/>
  <c r="DS77" i="2"/>
  <c r="DU77" i="2"/>
  <c r="DV77" i="2"/>
  <c r="DW77" i="2"/>
  <c r="I78" i="2"/>
  <c r="J78" i="2"/>
  <c r="K78" i="2"/>
  <c r="L78" i="2"/>
  <c r="M78" i="2"/>
  <c r="N78" i="2"/>
  <c r="O78" i="2"/>
  <c r="P78" i="2"/>
  <c r="Q78" i="2"/>
  <c r="T78" i="2"/>
  <c r="U78" i="2"/>
  <c r="V78" i="2"/>
  <c r="X78" i="2"/>
  <c r="Y78" i="2"/>
  <c r="Z78" i="2"/>
  <c r="AA78" i="2"/>
  <c r="AB78" i="2"/>
  <c r="AC78" i="2"/>
  <c r="AD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T78" i="2"/>
  <c r="BU78" i="2"/>
  <c r="BW78" i="2"/>
  <c r="BX78" i="2"/>
  <c r="BY78" i="2"/>
  <c r="CA78" i="2"/>
  <c r="CB78" i="2"/>
  <c r="CC78" i="2"/>
  <c r="CD78" i="2"/>
  <c r="CE78" i="2"/>
  <c r="CG78" i="2"/>
  <c r="CH78" i="2"/>
  <c r="CJ78" i="2"/>
  <c r="CK78" i="2"/>
  <c r="CL78" i="2"/>
  <c r="CN78" i="2"/>
  <c r="CO78" i="2"/>
  <c r="CP78" i="2"/>
  <c r="CQ78" i="2"/>
  <c r="CR78" i="2"/>
  <c r="CT78" i="2"/>
  <c r="CU78" i="2"/>
  <c r="CV78" i="2"/>
  <c r="CW78" i="2"/>
  <c r="CY78" i="2"/>
  <c r="CZ78" i="2"/>
  <c r="DA78" i="2"/>
  <c r="DC78" i="2"/>
  <c r="DD78" i="2"/>
  <c r="DE78" i="2"/>
  <c r="DI78" i="2"/>
  <c r="DJ78" i="2"/>
  <c r="DK78" i="2"/>
  <c r="DM78" i="2"/>
  <c r="DN78" i="2"/>
  <c r="DO78" i="2"/>
  <c r="DQ78" i="2"/>
  <c r="DR78" i="2"/>
  <c r="DS78" i="2"/>
  <c r="DU78" i="2"/>
  <c r="DV78" i="2"/>
  <c r="DW78" i="2"/>
  <c r="I79" i="2"/>
  <c r="J79" i="2"/>
  <c r="K79" i="2"/>
  <c r="L79" i="2"/>
  <c r="M79" i="2"/>
  <c r="N79" i="2"/>
  <c r="O79" i="2"/>
  <c r="P79" i="2"/>
  <c r="Q79" i="2"/>
  <c r="T79" i="2"/>
  <c r="U79" i="2"/>
  <c r="V79" i="2"/>
  <c r="X79" i="2"/>
  <c r="Y79" i="2"/>
  <c r="Z79" i="2"/>
  <c r="AA79" i="2"/>
  <c r="AB79" i="2"/>
  <c r="AC79" i="2"/>
  <c r="AD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T79" i="2"/>
  <c r="BU79" i="2"/>
  <c r="BW79" i="2"/>
  <c r="BX79" i="2"/>
  <c r="BY79" i="2"/>
  <c r="CA79" i="2"/>
  <c r="CB79" i="2"/>
  <c r="CC79" i="2"/>
  <c r="CD79" i="2"/>
  <c r="CE79" i="2"/>
  <c r="CG79" i="2"/>
  <c r="CH79" i="2"/>
  <c r="CJ79" i="2"/>
  <c r="CK79" i="2"/>
  <c r="CL79" i="2"/>
  <c r="CN79" i="2"/>
  <c r="CO79" i="2"/>
  <c r="CP79" i="2"/>
  <c r="CQ79" i="2"/>
  <c r="CR79" i="2"/>
  <c r="CT79" i="2"/>
  <c r="CU79" i="2"/>
  <c r="CV79" i="2"/>
  <c r="CW79" i="2"/>
  <c r="CY79" i="2"/>
  <c r="CZ79" i="2"/>
  <c r="DA79" i="2"/>
  <c r="DC79" i="2"/>
  <c r="DD79" i="2"/>
  <c r="DE79" i="2"/>
  <c r="DI79" i="2"/>
  <c r="DJ79" i="2"/>
  <c r="DK79" i="2"/>
  <c r="DM79" i="2"/>
  <c r="DN79" i="2"/>
  <c r="DO79" i="2"/>
  <c r="DQ79" i="2"/>
  <c r="DR79" i="2"/>
  <c r="DS79" i="2"/>
  <c r="DU79" i="2"/>
  <c r="DV79" i="2"/>
  <c r="DW79" i="2"/>
  <c r="I80" i="2"/>
  <c r="J80" i="2"/>
  <c r="K80" i="2"/>
  <c r="L80" i="2"/>
  <c r="M80" i="2"/>
  <c r="N80" i="2"/>
  <c r="O80" i="2"/>
  <c r="P80" i="2"/>
  <c r="Q80" i="2"/>
  <c r="T80" i="2"/>
  <c r="U80" i="2"/>
  <c r="V80" i="2"/>
  <c r="X80" i="2"/>
  <c r="Y80" i="2"/>
  <c r="Z80" i="2"/>
  <c r="AA80" i="2"/>
  <c r="AB80" i="2"/>
  <c r="AC80" i="2"/>
  <c r="AD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T80" i="2"/>
  <c r="BU80" i="2"/>
  <c r="BW80" i="2"/>
  <c r="BX80" i="2"/>
  <c r="BY80" i="2"/>
  <c r="CA80" i="2"/>
  <c r="CB80" i="2"/>
  <c r="CC80" i="2"/>
  <c r="CD80" i="2"/>
  <c r="CE80" i="2"/>
  <c r="CG80" i="2"/>
  <c r="CH80" i="2"/>
  <c r="CJ80" i="2"/>
  <c r="CK80" i="2"/>
  <c r="CL80" i="2"/>
  <c r="CN80" i="2"/>
  <c r="CO80" i="2"/>
  <c r="CP80" i="2"/>
  <c r="CQ80" i="2"/>
  <c r="CR80" i="2"/>
  <c r="CT80" i="2"/>
  <c r="CU80" i="2"/>
  <c r="CV80" i="2"/>
  <c r="CW80" i="2"/>
  <c r="CY80" i="2"/>
  <c r="CZ80" i="2"/>
  <c r="DA80" i="2"/>
  <c r="DC80" i="2"/>
  <c r="DD80" i="2"/>
  <c r="DE80" i="2"/>
  <c r="DI80" i="2"/>
  <c r="DJ80" i="2"/>
  <c r="DK80" i="2"/>
  <c r="DM80" i="2"/>
  <c r="DN80" i="2"/>
  <c r="DO80" i="2"/>
  <c r="DQ80" i="2"/>
  <c r="DR80" i="2"/>
  <c r="DS80" i="2"/>
  <c r="DU80" i="2"/>
  <c r="DV80" i="2"/>
  <c r="DW80" i="2"/>
  <c r="I81" i="2"/>
  <c r="J81" i="2"/>
  <c r="K81" i="2"/>
  <c r="L81" i="2"/>
  <c r="M81" i="2"/>
  <c r="N81" i="2"/>
  <c r="O81" i="2"/>
  <c r="P81" i="2"/>
  <c r="Q81" i="2"/>
  <c r="T81" i="2"/>
  <c r="U81" i="2"/>
  <c r="V81" i="2"/>
  <c r="X81" i="2"/>
  <c r="Y81" i="2"/>
  <c r="Z81" i="2"/>
  <c r="AA81" i="2"/>
  <c r="AB81" i="2"/>
  <c r="AC81" i="2"/>
  <c r="AD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T81" i="2"/>
  <c r="BU81" i="2"/>
  <c r="BW81" i="2"/>
  <c r="BX81" i="2"/>
  <c r="BY81" i="2"/>
  <c r="CA81" i="2"/>
  <c r="CB81" i="2"/>
  <c r="CC81" i="2"/>
  <c r="CD81" i="2"/>
  <c r="CE81" i="2"/>
  <c r="CG81" i="2"/>
  <c r="CH81" i="2"/>
  <c r="CJ81" i="2"/>
  <c r="CK81" i="2"/>
  <c r="CL81" i="2"/>
  <c r="CN81" i="2"/>
  <c r="CO81" i="2"/>
  <c r="CP81" i="2"/>
  <c r="CQ81" i="2"/>
  <c r="CR81" i="2"/>
  <c r="CT81" i="2"/>
  <c r="CU81" i="2"/>
  <c r="CV81" i="2"/>
  <c r="CW81" i="2"/>
  <c r="CY81" i="2"/>
  <c r="CZ81" i="2"/>
  <c r="DA81" i="2"/>
  <c r="DC81" i="2"/>
  <c r="DD81" i="2"/>
  <c r="DE81" i="2"/>
  <c r="DI81" i="2"/>
  <c r="DJ81" i="2"/>
  <c r="DK81" i="2"/>
  <c r="DM81" i="2"/>
  <c r="DN81" i="2"/>
  <c r="DO81" i="2"/>
  <c r="DQ81" i="2"/>
  <c r="DR81" i="2"/>
  <c r="DS81" i="2"/>
  <c r="DU81" i="2"/>
  <c r="DV81" i="2"/>
  <c r="DW81" i="2"/>
  <c r="I82" i="2"/>
  <c r="J82" i="2"/>
  <c r="K82" i="2"/>
  <c r="L82" i="2"/>
  <c r="M82" i="2"/>
  <c r="N82" i="2"/>
  <c r="O82" i="2"/>
  <c r="P82" i="2"/>
  <c r="Q82" i="2"/>
  <c r="T82" i="2"/>
  <c r="U82" i="2"/>
  <c r="V82" i="2"/>
  <c r="X82" i="2"/>
  <c r="Y82" i="2"/>
  <c r="Z82" i="2"/>
  <c r="AA82" i="2"/>
  <c r="AB82" i="2"/>
  <c r="AC82" i="2"/>
  <c r="AD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T82" i="2"/>
  <c r="BU82" i="2"/>
  <c r="BW82" i="2"/>
  <c r="BX82" i="2"/>
  <c r="BY82" i="2"/>
  <c r="CA82" i="2"/>
  <c r="CB82" i="2"/>
  <c r="CC82" i="2"/>
  <c r="CD82" i="2"/>
  <c r="CE82" i="2"/>
  <c r="CG82" i="2"/>
  <c r="CH82" i="2"/>
  <c r="CJ82" i="2"/>
  <c r="CK82" i="2"/>
  <c r="CL82" i="2"/>
  <c r="CN82" i="2"/>
  <c r="CO82" i="2"/>
  <c r="CP82" i="2"/>
  <c r="CQ82" i="2"/>
  <c r="CR82" i="2"/>
  <c r="CT82" i="2"/>
  <c r="CU82" i="2"/>
  <c r="CV82" i="2"/>
  <c r="CW82" i="2"/>
  <c r="CY82" i="2"/>
  <c r="CZ82" i="2"/>
  <c r="DA82" i="2"/>
  <c r="DC82" i="2"/>
  <c r="DD82" i="2"/>
  <c r="DE82" i="2"/>
  <c r="DI82" i="2"/>
  <c r="DJ82" i="2"/>
  <c r="DK82" i="2"/>
  <c r="DM82" i="2"/>
  <c r="DN82" i="2"/>
  <c r="DO82" i="2"/>
  <c r="DQ82" i="2"/>
  <c r="DR82" i="2"/>
  <c r="DS82" i="2"/>
  <c r="DU82" i="2"/>
  <c r="DV82" i="2"/>
  <c r="DW82" i="2"/>
  <c r="I83" i="2"/>
  <c r="J83" i="2"/>
  <c r="K83" i="2"/>
  <c r="L83" i="2"/>
  <c r="M83" i="2"/>
  <c r="N83" i="2"/>
  <c r="O83" i="2"/>
  <c r="P83" i="2"/>
  <c r="Q83" i="2"/>
  <c r="T83" i="2"/>
  <c r="U83" i="2"/>
  <c r="V83" i="2"/>
  <c r="X83" i="2"/>
  <c r="Y83" i="2"/>
  <c r="Z83" i="2"/>
  <c r="AA83" i="2"/>
  <c r="AB83" i="2"/>
  <c r="AC83" i="2"/>
  <c r="AD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T83" i="2"/>
  <c r="BU83" i="2"/>
  <c r="BW83" i="2"/>
  <c r="BX83" i="2"/>
  <c r="BY83" i="2"/>
  <c r="CA83" i="2"/>
  <c r="CB83" i="2"/>
  <c r="CC83" i="2"/>
  <c r="CD83" i="2"/>
  <c r="CE83" i="2"/>
  <c r="CG83" i="2"/>
  <c r="CH83" i="2"/>
  <c r="CJ83" i="2"/>
  <c r="CK83" i="2"/>
  <c r="CL83" i="2"/>
  <c r="CN83" i="2"/>
  <c r="CO83" i="2"/>
  <c r="CP83" i="2"/>
  <c r="CQ83" i="2"/>
  <c r="CR83" i="2"/>
  <c r="CT83" i="2"/>
  <c r="CU83" i="2"/>
  <c r="CV83" i="2"/>
  <c r="CW83" i="2"/>
  <c r="CY83" i="2"/>
  <c r="CZ83" i="2"/>
  <c r="DA83" i="2"/>
  <c r="DC83" i="2"/>
  <c r="DD83" i="2"/>
  <c r="DE83" i="2"/>
  <c r="DI83" i="2"/>
  <c r="DJ83" i="2"/>
  <c r="DK83" i="2"/>
  <c r="DM83" i="2"/>
  <c r="DN83" i="2"/>
  <c r="DO83" i="2"/>
  <c r="DQ83" i="2"/>
  <c r="DR83" i="2"/>
  <c r="DS83" i="2"/>
  <c r="DU83" i="2"/>
  <c r="DV83" i="2"/>
  <c r="DW83" i="2"/>
  <c r="I84" i="2"/>
  <c r="J84" i="2"/>
  <c r="K84" i="2"/>
  <c r="L84" i="2"/>
  <c r="M84" i="2"/>
  <c r="N84" i="2"/>
  <c r="O84" i="2"/>
  <c r="P84" i="2"/>
  <c r="Q84" i="2"/>
  <c r="T84" i="2"/>
  <c r="U84" i="2"/>
  <c r="V84" i="2"/>
  <c r="X84" i="2"/>
  <c r="Y84" i="2"/>
  <c r="Z84" i="2"/>
  <c r="AA84" i="2"/>
  <c r="AB84" i="2"/>
  <c r="AC84" i="2"/>
  <c r="AD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T84" i="2"/>
  <c r="BU84" i="2"/>
  <c r="BW84" i="2"/>
  <c r="BX84" i="2"/>
  <c r="BY84" i="2"/>
  <c r="CA84" i="2"/>
  <c r="CB84" i="2"/>
  <c r="CC84" i="2"/>
  <c r="CD84" i="2"/>
  <c r="CE84" i="2"/>
  <c r="CG84" i="2"/>
  <c r="CH84" i="2"/>
  <c r="CJ84" i="2"/>
  <c r="CK84" i="2"/>
  <c r="CL84" i="2"/>
  <c r="CN84" i="2"/>
  <c r="CO84" i="2"/>
  <c r="CP84" i="2"/>
  <c r="CQ84" i="2"/>
  <c r="CR84" i="2"/>
  <c r="CT84" i="2"/>
  <c r="CU84" i="2"/>
  <c r="CV84" i="2"/>
  <c r="CW84" i="2"/>
  <c r="CY84" i="2"/>
  <c r="CZ84" i="2"/>
  <c r="DA84" i="2"/>
  <c r="DC84" i="2"/>
  <c r="DD84" i="2"/>
  <c r="DE84" i="2"/>
  <c r="DI84" i="2"/>
  <c r="DJ84" i="2"/>
  <c r="DK84" i="2"/>
  <c r="DM84" i="2"/>
  <c r="DN84" i="2"/>
  <c r="DO84" i="2"/>
  <c r="DQ84" i="2"/>
  <c r="DR84" i="2"/>
  <c r="DS84" i="2"/>
  <c r="DU84" i="2"/>
  <c r="DV84" i="2"/>
  <c r="DW84" i="2"/>
  <c r="I85" i="2"/>
  <c r="J85" i="2"/>
  <c r="K85" i="2"/>
  <c r="L85" i="2"/>
  <c r="M85" i="2"/>
  <c r="N85" i="2"/>
  <c r="O85" i="2"/>
  <c r="P85" i="2"/>
  <c r="Q85" i="2"/>
  <c r="T85" i="2"/>
  <c r="U85" i="2"/>
  <c r="V85" i="2"/>
  <c r="X85" i="2"/>
  <c r="Y85" i="2"/>
  <c r="Z85" i="2"/>
  <c r="AA85" i="2"/>
  <c r="AB85" i="2"/>
  <c r="AC85" i="2"/>
  <c r="AD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T85" i="2"/>
  <c r="BU85" i="2"/>
  <c r="BW85" i="2"/>
  <c r="BX85" i="2"/>
  <c r="BY85" i="2"/>
  <c r="CA85" i="2"/>
  <c r="CB85" i="2"/>
  <c r="CC85" i="2"/>
  <c r="CD85" i="2"/>
  <c r="CE85" i="2"/>
  <c r="CG85" i="2"/>
  <c r="CH85" i="2"/>
  <c r="CJ85" i="2"/>
  <c r="CK85" i="2"/>
  <c r="CL85" i="2"/>
  <c r="CN85" i="2"/>
  <c r="CO85" i="2"/>
  <c r="CP85" i="2"/>
  <c r="CQ85" i="2"/>
  <c r="CR85" i="2"/>
  <c r="CT85" i="2"/>
  <c r="CU85" i="2"/>
  <c r="CV85" i="2"/>
  <c r="CW85" i="2"/>
  <c r="CY85" i="2"/>
  <c r="CZ85" i="2"/>
  <c r="DA85" i="2"/>
  <c r="DC85" i="2"/>
  <c r="DD85" i="2"/>
  <c r="DE85" i="2"/>
  <c r="DI85" i="2"/>
  <c r="DJ85" i="2"/>
  <c r="DK85" i="2"/>
  <c r="DM85" i="2"/>
  <c r="DN85" i="2"/>
  <c r="DO85" i="2"/>
  <c r="DQ85" i="2"/>
  <c r="DR85" i="2"/>
  <c r="DS85" i="2"/>
  <c r="DU85" i="2"/>
  <c r="DV85" i="2"/>
  <c r="DW85" i="2"/>
  <c r="I86" i="2"/>
  <c r="J86" i="2"/>
  <c r="K86" i="2"/>
  <c r="L86" i="2"/>
  <c r="M86" i="2"/>
  <c r="N86" i="2"/>
  <c r="O86" i="2"/>
  <c r="P86" i="2"/>
  <c r="Q86" i="2"/>
  <c r="T86" i="2"/>
  <c r="U86" i="2"/>
  <c r="V86" i="2"/>
  <c r="X86" i="2"/>
  <c r="Y86" i="2"/>
  <c r="Z86" i="2"/>
  <c r="AA86" i="2"/>
  <c r="AB86" i="2"/>
  <c r="AC86" i="2"/>
  <c r="AD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T86" i="2"/>
  <c r="BU86" i="2"/>
  <c r="BW86" i="2"/>
  <c r="BX86" i="2"/>
  <c r="BY86" i="2"/>
  <c r="CA86" i="2"/>
  <c r="CB86" i="2"/>
  <c r="CC86" i="2"/>
  <c r="CD86" i="2"/>
  <c r="CE86" i="2"/>
  <c r="CG86" i="2"/>
  <c r="CH86" i="2"/>
  <c r="CJ86" i="2"/>
  <c r="CK86" i="2"/>
  <c r="CL86" i="2"/>
  <c r="CN86" i="2"/>
  <c r="CO86" i="2"/>
  <c r="CP86" i="2"/>
  <c r="CQ86" i="2"/>
  <c r="CR86" i="2"/>
  <c r="CT86" i="2"/>
  <c r="CU86" i="2"/>
  <c r="CV86" i="2"/>
  <c r="CW86" i="2"/>
  <c r="CY86" i="2"/>
  <c r="CZ86" i="2"/>
  <c r="DA86" i="2"/>
  <c r="DC86" i="2"/>
  <c r="DD86" i="2"/>
  <c r="DE86" i="2"/>
  <c r="DI86" i="2"/>
  <c r="DJ86" i="2"/>
  <c r="DK86" i="2"/>
  <c r="DM86" i="2"/>
  <c r="DN86" i="2"/>
  <c r="DO86" i="2"/>
  <c r="DQ86" i="2"/>
  <c r="DR86" i="2"/>
  <c r="DS86" i="2"/>
  <c r="DU86" i="2"/>
  <c r="DV86" i="2"/>
  <c r="DW86" i="2"/>
  <c r="I87" i="2"/>
  <c r="J87" i="2"/>
  <c r="K87" i="2"/>
  <c r="L87" i="2"/>
  <c r="M87" i="2"/>
  <c r="N87" i="2"/>
  <c r="O87" i="2"/>
  <c r="P87" i="2"/>
  <c r="Q87" i="2"/>
  <c r="T87" i="2"/>
  <c r="U87" i="2"/>
  <c r="V87" i="2"/>
  <c r="X87" i="2"/>
  <c r="Y87" i="2"/>
  <c r="Z87" i="2"/>
  <c r="AA87" i="2"/>
  <c r="AB87" i="2"/>
  <c r="AC87" i="2"/>
  <c r="AD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T87" i="2"/>
  <c r="BU87" i="2"/>
  <c r="BW87" i="2"/>
  <c r="BX87" i="2"/>
  <c r="BY87" i="2"/>
  <c r="CA87" i="2"/>
  <c r="CB87" i="2"/>
  <c r="CC87" i="2"/>
  <c r="CD87" i="2"/>
  <c r="CE87" i="2"/>
  <c r="CG87" i="2"/>
  <c r="CH87" i="2"/>
  <c r="CJ87" i="2"/>
  <c r="CK87" i="2"/>
  <c r="CL87" i="2"/>
  <c r="CN87" i="2"/>
  <c r="CO87" i="2"/>
  <c r="CP87" i="2"/>
  <c r="CQ87" i="2"/>
  <c r="CR87" i="2"/>
  <c r="CT87" i="2"/>
  <c r="CU87" i="2"/>
  <c r="CV87" i="2"/>
  <c r="CW87" i="2"/>
  <c r="CY87" i="2"/>
  <c r="CZ87" i="2"/>
  <c r="DA87" i="2"/>
  <c r="DC87" i="2"/>
  <c r="DD87" i="2"/>
  <c r="DE87" i="2"/>
  <c r="DI87" i="2"/>
  <c r="DJ87" i="2"/>
  <c r="DK87" i="2"/>
  <c r="DM87" i="2"/>
  <c r="DN87" i="2"/>
  <c r="DO87" i="2"/>
  <c r="DQ87" i="2"/>
  <c r="DR87" i="2"/>
  <c r="DS87" i="2"/>
  <c r="DU87" i="2"/>
  <c r="DV87" i="2"/>
  <c r="DW87" i="2"/>
  <c r="I88" i="2"/>
  <c r="J88" i="2"/>
  <c r="K88" i="2"/>
  <c r="L88" i="2"/>
  <c r="M88" i="2"/>
  <c r="N88" i="2"/>
  <c r="O88" i="2"/>
  <c r="P88" i="2"/>
  <c r="Q88" i="2"/>
  <c r="T88" i="2"/>
  <c r="U88" i="2"/>
  <c r="V88" i="2"/>
  <c r="X88" i="2"/>
  <c r="Y88" i="2"/>
  <c r="Z88" i="2"/>
  <c r="AA88" i="2"/>
  <c r="AB88" i="2"/>
  <c r="AC88" i="2"/>
  <c r="AD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T88" i="2"/>
  <c r="BU88" i="2"/>
  <c r="BW88" i="2"/>
  <c r="BX88" i="2"/>
  <c r="BY88" i="2"/>
  <c r="CA88" i="2"/>
  <c r="CB88" i="2"/>
  <c r="CC88" i="2"/>
  <c r="CD88" i="2"/>
  <c r="CE88" i="2"/>
  <c r="CG88" i="2"/>
  <c r="CH88" i="2"/>
  <c r="CJ88" i="2"/>
  <c r="CK88" i="2"/>
  <c r="CL88" i="2"/>
  <c r="CN88" i="2"/>
  <c r="CO88" i="2"/>
  <c r="CP88" i="2"/>
  <c r="CQ88" i="2"/>
  <c r="CR88" i="2"/>
  <c r="CT88" i="2"/>
  <c r="CU88" i="2"/>
  <c r="CV88" i="2"/>
  <c r="CW88" i="2"/>
  <c r="CY88" i="2"/>
  <c r="CZ88" i="2"/>
  <c r="DA88" i="2"/>
  <c r="DC88" i="2"/>
  <c r="DD88" i="2"/>
  <c r="DE88" i="2"/>
  <c r="DI88" i="2"/>
  <c r="DJ88" i="2"/>
  <c r="DK88" i="2"/>
  <c r="DM88" i="2"/>
  <c r="DN88" i="2"/>
  <c r="DO88" i="2"/>
  <c r="DQ88" i="2"/>
  <c r="DR88" i="2"/>
  <c r="DS88" i="2"/>
  <c r="DU88" i="2"/>
  <c r="DV88" i="2"/>
  <c r="DW88" i="2"/>
  <c r="I89" i="2"/>
  <c r="J89" i="2"/>
  <c r="K89" i="2"/>
  <c r="L89" i="2"/>
  <c r="M89" i="2"/>
  <c r="N89" i="2"/>
  <c r="O89" i="2"/>
  <c r="P89" i="2"/>
  <c r="Q89" i="2"/>
  <c r="T89" i="2"/>
  <c r="U89" i="2"/>
  <c r="V89" i="2"/>
  <c r="X89" i="2"/>
  <c r="Y89" i="2"/>
  <c r="Z89" i="2"/>
  <c r="AA89" i="2"/>
  <c r="AB89" i="2"/>
  <c r="AC89" i="2"/>
  <c r="AD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T89" i="2"/>
  <c r="BU89" i="2"/>
  <c r="BW89" i="2"/>
  <c r="BX89" i="2"/>
  <c r="BY89" i="2"/>
  <c r="CA89" i="2"/>
  <c r="CB89" i="2"/>
  <c r="CC89" i="2"/>
  <c r="CD89" i="2"/>
  <c r="CE89" i="2"/>
  <c r="CG89" i="2"/>
  <c r="CH89" i="2"/>
  <c r="CJ89" i="2"/>
  <c r="CK89" i="2"/>
  <c r="CL89" i="2"/>
  <c r="CN89" i="2"/>
  <c r="CO89" i="2"/>
  <c r="CP89" i="2"/>
  <c r="CQ89" i="2"/>
  <c r="CR89" i="2"/>
  <c r="CT89" i="2"/>
  <c r="CU89" i="2"/>
  <c r="CV89" i="2"/>
  <c r="CW89" i="2"/>
  <c r="CY89" i="2"/>
  <c r="CZ89" i="2"/>
  <c r="DA89" i="2"/>
  <c r="DC89" i="2"/>
  <c r="DD89" i="2"/>
  <c r="DE89" i="2"/>
  <c r="DI89" i="2"/>
  <c r="DJ89" i="2"/>
  <c r="DK89" i="2"/>
  <c r="DM89" i="2"/>
  <c r="DN89" i="2"/>
  <c r="DO89" i="2"/>
  <c r="DQ89" i="2"/>
  <c r="DR89" i="2"/>
  <c r="DS89" i="2"/>
  <c r="DU89" i="2"/>
  <c r="DV89" i="2"/>
  <c r="DW89" i="2"/>
  <c r="I90" i="2"/>
  <c r="J90" i="2"/>
  <c r="K90" i="2"/>
  <c r="L90" i="2"/>
  <c r="M90" i="2"/>
  <c r="N90" i="2"/>
  <c r="O90" i="2"/>
  <c r="P90" i="2"/>
  <c r="Q90" i="2"/>
  <c r="T90" i="2"/>
  <c r="U90" i="2"/>
  <c r="V90" i="2"/>
  <c r="X90" i="2"/>
  <c r="Y90" i="2"/>
  <c r="Z90" i="2"/>
  <c r="AA90" i="2"/>
  <c r="AB90" i="2"/>
  <c r="AC90" i="2"/>
  <c r="AD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T90" i="2"/>
  <c r="BU90" i="2"/>
  <c r="BW90" i="2"/>
  <c r="BX90" i="2"/>
  <c r="BY90" i="2"/>
  <c r="CA90" i="2"/>
  <c r="CB90" i="2"/>
  <c r="CC90" i="2"/>
  <c r="CD90" i="2"/>
  <c r="CE90" i="2"/>
  <c r="CG90" i="2"/>
  <c r="CH90" i="2"/>
  <c r="CJ90" i="2"/>
  <c r="CK90" i="2"/>
  <c r="CL90" i="2"/>
  <c r="CN90" i="2"/>
  <c r="CO90" i="2"/>
  <c r="CP90" i="2"/>
  <c r="CQ90" i="2"/>
  <c r="CR90" i="2"/>
  <c r="CT90" i="2"/>
  <c r="CU90" i="2"/>
  <c r="CV90" i="2"/>
  <c r="CW90" i="2"/>
  <c r="CY90" i="2"/>
  <c r="CZ90" i="2"/>
  <c r="DA90" i="2"/>
  <c r="DC90" i="2"/>
  <c r="DD90" i="2"/>
  <c r="DE90" i="2"/>
  <c r="DI90" i="2"/>
  <c r="DJ90" i="2"/>
  <c r="DK90" i="2"/>
  <c r="DM90" i="2"/>
  <c r="DN90" i="2"/>
  <c r="DO90" i="2"/>
  <c r="DQ90" i="2"/>
  <c r="DR90" i="2"/>
  <c r="DS90" i="2"/>
  <c r="DU90" i="2"/>
  <c r="DV90" i="2"/>
  <c r="DW90" i="2"/>
  <c r="I91" i="2"/>
  <c r="J91" i="2"/>
  <c r="K91" i="2"/>
  <c r="L91" i="2"/>
  <c r="M91" i="2"/>
  <c r="N91" i="2"/>
  <c r="O91" i="2"/>
  <c r="P91" i="2"/>
  <c r="Q91" i="2"/>
  <c r="T91" i="2"/>
  <c r="U91" i="2"/>
  <c r="V91" i="2"/>
  <c r="X91" i="2"/>
  <c r="Y91" i="2"/>
  <c r="Z91" i="2"/>
  <c r="AA91" i="2"/>
  <c r="AB91" i="2"/>
  <c r="AC91" i="2"/>
  <c r="AD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T91" i="2"/>
  <c r="BU91" i="2"/>
  <c r="BW91" i="2"/>
  <c r="BX91" i="2"/>
  <c r="BY91" i="2"/>
  <c r="CA91" i="2"/>
  <c r="CB91" i="2"/>
  <c r="CC91" i="2"/>
  <c r="CD91" i="2"/>
  <c r="CE91" i="2"/>
  <c r="CG91" i="2"/>
  <c r="CH91" i="2"/>
  <c r="CJ91" i="2"/>
  <c r="CK91" i="2"/>
  <c r="CL91" i="2"/>
  <c r="CN91" i="2"/>
  <c r="CO91" i="2"/>
  <c r="CP91" i="2"/>
  <c r="CQ91" i="2"/>
  <c r="CR91" i="2"/>
  <c r="CT91" i="2"/>
  <c r="CU91" i="2"/>
  <c r="CV91" i="2"/>
  <c r="CW91" i="2"/>
  <c r="CY91" i="2"/>
  <c r="CZ91" i="2"/>
  <c r="DA91" i="2"/>
  <c r="DC91" i="2"/>
  <c r="DD91" i="2"/>
  <c r="DE91" i="2"/>
  <c r="DI91" i="2"/>
  <c r="DJ91" i="2"/>
  <c r="DK91" i="2"/>
  <c r="DM91" i="2"/>
  <c r="DN91" i="2"/>
  <c r="DO91" i="2"/>
  <c r="DQ91" i="2"/>
  <c r="DR91" i="2"/>
  <c r="DS91" i="2"/>
  <c r="DU91" i="2"/>
  <c r="DV91" i="2"/>
  <c r="DW91" i="2"/>
  <c r="I92" i="2"/>
  <c r="J92" i="2"/>
  <c r="K92" i="2"/>
  <c r="L92" i="2"/>
  <c r="M92" i="2"/>
  <c r="N92" i="2"/>
  <c r="O92" i="2"/>
  <c r="P92" i="2"/>
  <c r="Q92" i="2"/>
  <c r="T92" i="2"/>
  <c r="U92" i="2"/>
  <c r="V92" i="2"/>
  <c r="X92" i="2"/>
  <c r="Y92" i="2"/>
  <c r="Z92" i="2"/>
  <c r="AA92" i="2"/>
  <c r="AB92" i="2"/>
  <c r="AC92" i="2"/>
  <c r="AD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T92" i="2"/>
  <c r="BU92" i="2"/>
  <c r="BW92" i="2"/>
  <c r="BX92" i="2"/>
  <c r="BY92" i="2"/>
  <c r="CA92" i="2"/>
  <c r="CB92" i="2"/>
  <c r="CC92" i="2"/>
  <c r="CD92" i="2"/>
  <c r="CE92" i="2"/>
  <c r="CG92" i="2"/>
  <c r="CH92" i="2"/>
  <c r="CJ92" i="2"/>
  <c r="CK92" i="2"/>
  <c r="CL92" i="2"/>
  <c r="CN92" i="2"/>
  <c r="CO92" i="2"/>
  <c r="CP92" i="2"/>
  <c r="CQ92" i="2"/>
  <c r="CR92" i="2"/>
  <c r="CT92" i="2"/>
  <c r="CU92" i="2"/>
  <c r="CV92" i="2"/>
  <c r="CW92" i="2"/>
  <c r="CY92" i="2"/>
  <c r="CZ92" i="2"/>
  <c r="DA92" i="2"/>
  <c r="DC92" i="2"/>
  <c r="DD92" i="2"/>
  <c r="DE92" i="2"/>
  <c r="DI92" i="2"/>
  <c r="DJ92" i="2"/>
  <c r="DK92" i="2"/>
  <c r="DM92" i="2"/>
  <c r="DN92" i="2"/>
  <c r="DO92" i="2"/>
  <c r="DQ92" i="2"/>
  <c r="DR92" i="2"/>
  <c r="DS92" i="2"/>
  <c r="DU92" i="2"/>
  <c r="DV92" i="2"/>
  <c r="DW92" i="2"/>
  <c r="I93" i="2"/>
  <c r="J93" i="2"/>
  <c r="K93" i="2"/>
  <c r="L93" i="2"/>
  <c r="M93" i="2"/>
  <c r="N93" i="2"/>
  <c r="O93" i="2"/>
  <c r="P93" i="2"/>
  <c r="Q93" i="2"/>
  <c r="T93" i="2"/>
  <c r="U93" i="2"/>
  <c r="V93" i="2"/>
  <c r="X93" i="2"/>
  <c r="Y93" i="2"/>
  <c r="Z93" i="2"/>
  <c r="AA93" i="2"/>
  <c r="AB93" i="2"/>
  <c r="AC93" i="2"/>
  <c r="AD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T93" i="2"/>
  <c r="BU93" i="2"/>
  <c r="BW93" i="2"/>
  <c r="BX93" i="2"/>
  <c r="BY93" i="2"/>
  <c r="CA93" i="2"/>
  <c r="CB93" i="2"/>
  <c r="CC93" i="2"/>
  <c r="CD93" i="2"/>
  <c r="CE93" i="2"/>
  <c r="CG93" i="2"/>
  <c r="CH93" i="2"/>
  <c r="CJ93" i="2"/>
  <c r="CK93" i="2"/>
  <c r="CL93" i="2"/>
  <c r="CN93" i="2"/>
  <c r="CO93" i="2"/>
  <c r="CP93" i="2"/>
  <c r="CQ93" i="2"/>
  <c r="CR93" i="2"/>
  <c r="CT93" i="2"/>
  <c r="CU93" i="2"/>
  <c r="CV93" i="2"/>
  <c r="CW93" i="2"/>
  <c r="CY93" i="2"/>
  <c r="CZ93" i="2"/>
  <c r="DA93" i="2"/>
  <c r="DC93" i="2"/>
  <c r="DD93" i="2"/>
  <c r="DE93" i="2"/>
  <c r="DI93" i="2"/>
  <c r="DJ93" i="2"/>
  <c r="DK93" i="2"/>
  <c r="DM93" i="2"/>
  <c r="DN93" i="2"/>
  <c r="DO93" i="2"/>
  <c r="DQ93" i="2"/>
  <c r="DR93" i="2"/>
  <c r="DS93" i="2"/>
  <c r="DU93" i="2"/>
  <c r="DV93" i="2"/>
  <c r="DW93" i="2"/>
  <c r="I94" i="2"/>
  <c r="J94" i="2"/>
  <c r="K94" i="2"/>
  <c r="L94" i="2"/>
  <c r="M94" i="2"/>
  <c r="N94" i="2"/>
  <c r="O94" i="2"/>
  <c r="P94" i="2"/>
  <c r="Q94" i="2"/>
  <c r="T94" i="2"/>
  <c r="U94" i="2"/>
  <c r="V94" i="2"/>
  <c r="X94" i="2"/>
  <c r="Y94" i="2"/>
  <c r="Z94" i="2"/>
  <c r="AA94" i="2"/>
  <c r="AB94" i="2"/>
  <c r="AC94" i="2"/>
  <c r="AD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T94" i="2"/>
  <c r="BU94" i="2"/>
  <c r="BW94" i="2"/>
  <c r="BX94" i="2"/>
  <c r="BY94" i="2"/>
  <c r="CA94" i="2"/>
  <c r="CB94" i="2"/>
  <c r="CC94" i="2"/>
  <c r="CD94" i="2"/>
  <c r="CE94" i="2"/>
  <c r="CG94" i="2"/>
  <c r="CH94" i="2"/>
  <c r="CJ94" i="2"/>
  <c r="CK94" i="2"/>
  <c r="CL94" i="2"/>
  <c r="CN94" i="2"/>
  <c r="CO94" i="2"/>
  <c r="CP94" i="2"/>
  <c r="CQ94" i="2"/>
  <c r="CR94" i="2"/>
  <c r="CT94" i="2"/>
  <c r="CU94" i="2"/>
  <c r="CV94" i="2"/>
  <c r="CW94" i="2"/>
  <c r="CY94" i="2"/>
  <c r="CZ94" i="2"/>
  <c r="DA94" i="2"/>
  <c r="DC94" i="2"/>
  <c r="DD94" i="2"/>
  <c r="DE94" i="2"/>
  <c r="DI94" i="2"/>
  <c r="DJ94" i="2"/>
  <c r="DK94" i="2"/>
  <c r="DM94" i="2"/>
  <c r="DN94" i="2"/>
  <c r="DO94" i="2"/>
  <c r="DQ94" i="2"/>
  <c r="DR94" i="2"/>
  <c r="DS94" i="2"/>
  <c r="DU94" i="2"/>
  <c r="DV94" i="2"/>
  <c r="DW94" i="2"/>
  <c r="I95" i="2"/>
  <c r="J95" i="2"/>
  <c r="K95" i="2"/>
  <c r="L95" i="2"/>
  <c r="M95" i="2"/>
  <c r="N95" i="2"/>
  <c r="O95" i="2"/>
  <c r="P95" i="2"/>
  <c r="Q95" i="2"/>
  <c r="T95" i="2"/>
  <c r="U95" i="2"/>
  <c r="V95" i="2"/>
  <c r="X95" i="2"/>
  <c r="Y95" i="2"/>
  <c r="Z95" i="2"/>
  <c r="AA95" i="2"/>
  <c r="AB95" i="2"/>
  <c r="AC95" i="2"/>
  <c r="AD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T95" i="2"/>
  <c r="BU95" i="2"/>
  <c r="BW95" i="2"/>
  <c r="BX95" i="2"/>
  <c r="BY95" i="2"/>
  <c r="CA95" i="2"/>
  <c r="CB95" i="2"/>
  <c r="CC95" i="2"/>
  <c r="CD95" i="2"/>
  <c r="CE95" i="2"/>
  <c r="CG95" i="2"/>
  <c r="CH95" i="2"/>
  <c r="CJ95" i="2"/>
  <c r="CK95" i="2"/>
  <c r="CL95" i="2"/>
  <c r="CN95" i="2"/>
  <c r="CO95" i="2"/>
  <c r="CP95" i="2"/>
  <c r="CQ95" i="2"/>
  <c r="CR95" i="2"/>
  <c r="CT95" i="2"/>
  <c r="CU95" i="2"/>
  <c r="CV95" i="2"/>
  <c r="CW95" i="2"/>
  <c r="CY95" i="2"/>
  <c r="CZ95" i="2"/>
  <c r="DA95" i="2"/>
  <c r="DC95" i="2"/>
  <c r="DD95" i="2"/>
  <c r="DE95" i="2"/>
  <c r="DI95" i="2"/>
  <c r="DJ95" i="2"/>
  <c r="DK95" i="2"/>
  <c r="DM95" i="2"/>
  <c r="DN95" i="2"/>
  <c r="DO95" i="2"/>
  <c r="DQ95" i="2"/>
  <c r="DR95" i="2"/>
  <c r="DS95" i="2"/>
  <c r="DU95" i="2"/>
  <c r="DV95" i="2"/>
  <c r="DW95" i="2"/>
  <c r="I96" i="2"/>
  <c r="J96" i="2"/>
  <c r="K96" i="2"/>
  <c r="L96" i="2"/>
  <c r="M96" i="2"/>
  <c r="N96" i="2"/>
  <c r="O96" i="2"/>
  <c r="P96" i="2"/>
  <c r="Q96" i="2"/>
  <c r="T96" i="2"/>
  <c r="U96" i="2"/>
  <c r="V96" i="2"/>
  <c r="X96" i="2"/>
  <c r="Y96" i="2"/>
  <c r="Z96" i="2"/>
  <c r="AA96" i="2"/>
  <c r="AB96" i="2"/>
  <c r="AC96" i="2"/>
  <c r="AD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T96" i="2"/>
  <c r="BU96" i="2"/>
  <c r="BW96" i="2"/>
  <c r="BX96" i="2"/>
  <c r="BY96" i="2"/>
  <c r="CA96" i="2"/>
  <c r="CB96" i="2"/>
  <c r="CC96" i="2"/>
  <c r="CD96" i="2"/>
  <c r="CE96" i="2"/>
  <c r="CG96" i="2"/>
  <c r="CH96" i="2"/>
  <c r="CJ96" i="2"/>
  <c r="CK96" i="2"/>
  <c r="CL96" i="2"/>
  <c r="CN96" i="2"/>
  <c r="CO96" i="2"/>
  <c r="CP96" i="2"/>
  <c r="CQ96" i="2"/>
  <c r="CR96" i="2"/>
  <c r="CT96" i="2"/>
  <c r="CU96" i="2"/>
  <c r="CV96" i="2"/>
  <c r="CW96" i="2"/>
  <c r="CY96" i="2"/>
  <c r="CZ96" i="2"/>
  <c r="DA96" i="2"/>
  <c r="DC96" i="2"/>
  <c r="DD96" i="2"/>
  <c r="DE96" i="2"/>
  <c r="DI96" i="2"/>
  <c r="DJ96" i="2"/>
  <c r="DK96" i="2"/>
  <c r="DM96" i="2"/>
  <c r="DN96" i="2"/>
  <c r="DO96" i="2"/>
  <c r="DQ96" i="2"/>
  <c r="DR96" i="2"/>
  <c r="DS96" i="2"/>
  <c r="DU96" i="2"/>
  <c r="DV96" i="2"/>
  <c r="DW96" i="2"/>
  <c r="I97" i="2"/>
  <c r="J97" i="2"/>
  <c r="K97" i="2"/>
  <c r="L97" i="2"/>
  <c r="M97" i="2"/>
  <c r="N97" i="2"/>
  <c r="O97" i="2"/>
  <c r="P97" i="2"/>
  <c r="Q97" i="2"/>
  <c r="T97" i="2"/>
  <c r="U97" i="2"/>
  <c r="V97" i="2"/>
  <c r="X97" i="2"/>
  <c r="Y97" i="2"/>
  <c r="Z97" i="2"/>
  <c r="AA97" i="2"/>
  <c r="AB97" i="2"/>
  <c r="AC97" i="2"/>
  <c r="AD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T97" i="2"/>
  <c r="BU97" i="2"/>
  <c r="BW97" i="2"/>
  <c r="BX97" i="2"/>
  <c r="BY97" i="2"/>
  <c r="CA97" i="2"/>
  <c r="CB97" i="2"/>
  <c r="CC97" i="2"/>
  <c r="CD97" i="2"/>
  <c r="CE97" i="2"/>
  <c r="CG97" i="2"/>
  <c r="CH97" i="2"/>
  <c r="CJ97" i="2"/>
  <c r="CK97" i="2"/>
  <c r="CL97" i="2"/>
  <c r="CN97" i="2"/>
  <c r="CO97" i="2"/>
  <c r="CP97" i="2"/>
  <c r="CQ97" i="2"/>
  <c r="CR97" i="2"/>
  <c r="CT97" i="2"/>
  <c r="CU97" i="2"/>
  <c r="CV97" i="2"/>
  <c r="CW97" i="2"/>
  <c r="CY97" i="2"/>
  <c r="CZ97" i="2"/>
  <c r="DA97" i="2"/>
  <c r="DC97" i="2"/>
  <c r="DD97" i="2"/>
  <c r="DE97" i="2"/>
  <c r="DI97" i="2"/>
  <c r="DJ97" i="2"/>
  <c r="DK97" i="2"/>
  <c r="DM97" i="2"/>
  <c r="DN97" i="2"/>
  <c r="DO97" i="2"/>
  <c r="DQ97" i="2"/>
  <c r="DR97" i="2"/>
  <c r="DS97" i="2"/>
  <c r="DU97" i="2"/>
  <c r="DV97" i="2"/>
  <c r="DW97" i="2"/>
  <c r="I98" i="2"/>
  <c r="J98" i="2"/>
  <c r="K98" i="2"/>
  <c r="L98" i="2"/>
  <c r="M98" i="2"/>
  <c r="N98" i="2"/>
  <c r="O98" i="2"/>
  <c r="P98" i="2"/>
  <c r="Q98" i="2"/>
  <c r="T98" i="2"/>
  <c r="U98" i="2"/>
  <c r="V98" i="2"/>
  <c r="X98" i="2"/>
  <c r="Y98" i="2"/>
  <c r="Z98" i="2"/>
  <c r="AA98" i="2"/>
  <c r="AB98" i="2"/>
  <c r="AC98" i="2"/>
  <c r="AD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T98" i="2"/>
  <c r="BU98" i="2"/>
  <c r="BW98" i="2"/>
  <c r="BX98" i="2"/>
  <c r="BY98" i="2"/>
  <c r="CA98" i="2"/>
  <c r="CB98" i="2"/>
  <c r="CC98" i="2"/>
  <c r="CD98" i="2"/>
  <c r="CE98" i="2"/>
  <c r="CG98" i="2"/>
  <c r="CH98" i="2"/>
  <c r="CJ98" i="2"/>
  <c r="CK98" i="2"/>
  <c r="CL98" i="2"/>
  <c r="CN98" i="2"/>
  <c r="CO98" i="2"/>
  <c r="CP98" i="2"/>
  <c r="CQ98" i="2"/>
  <c r="CR98" i="2"/>
  <c r="CT98" i="2"/>
  <c r="CU98" i="2"/>
  <c r="CV98" i="2"/>
  <c r="CW98" i="2"/>
  <c r="CY98" i="2"/>
  <c r="CZ98" i="2"/>
  <c r="DA98" i="2"/>
  <c r="DC98" i="2"/>
  <c r="DD98" i="2"/>
  <c r="DE98" i="2"/>
  <c r="DI98" i="2"/>
  <c r="DJ98" i="2"/>
  <c r="DK98" i="2"/>
  <c r="DM98" i="2"/>
  <c r="DN98" i="2"/>
  <c r="DO98" i="2"/>
  <c r="DQ98" i="2"/>
  <c r="DR98" i="2"/>
  <c r="DS98" i="2"/>
  <c r="DU98" i="2"/>
  <c r="DV98" i="2"/>
  <c r="DW98" i="2"/>
  <c r="I99" i="2"/>
  <c r="J99" i="2"/>
  <c r="K99" i="2"/>
  <c r="L99" i="2"/>
  <c r="M99" i="2"/>
  <c r="N99" i="2"/>
  <c r="O99" i="2"/>
  <c r="P99" i="2"/>
  <c r="Q99" i="2"/>
  <c r="T99" i="2"/>
  <c r="U99" i="2"/>
  <c r="V99" i="2"/>
  <c r="X99" i="2"/>
  <c r="Y99" i="2"/>
  <c r="Z99" i="2"/>
  <c r="AA99" i="2"/>
  <c r="AB99" i="2"/>
  <c r="AC99" i="2"/>
  <c r="AD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T99" i="2"/>
  <c r="BU99" i="2"/>
  <c r="BW99" i="2"/>
  <c r="BX99" i="2"/>
  <c r="BY99" i="2"/>
  <c r="CA99" i="2"/>
  <c r="CB99" i="2"/>
  <c r="CC99" i="2"/>
  <c r="CD99" i="2"/>
  <c r="CE99" i="2"/>
  <c r="CG99" i="2"/>
  <c r="CH99" i="2"/>
  <c r="CJ99" i="2"/>
  <c r="CK99" i="2"/>
  <c r="CL99" i="2"/>
  <c r="CN99" i="2"/>
  <c r="CO99" i="2"/>
  <c r="CP99" i="2"/>
  <c r="CQ99" i="2"/>
  <c r="CR99" i="2"/>
  <c r="CT99" i="2"/>
  <c r="CU99" i="2"/>
  <c r="CV99" i="2"/>
  <c r="CW99" i="2"/>
  <c r="CY99" i="2"/>
  <c r="CZ99" i="2"/>
  <c r="DA99" i="2"/>
  <c r="DC99" i="2"/>
  <c r="DD99" i="2"/>
  <c r="DE99" i="2"/>
  <c r="DI99" i="2"/>
  <c r="DJ99" i="2"/>
  <c r="DK99" i="2"/>
  <c r="DM99" i="2"/>
  <c r="DN99" i="2"/>
  <c r="DO99" i="2"/>
  <c r="DQ99" i="2"/>
  <c r="DR99" i="2"/>
  <c r="DS99" i="2"/>
  <c r="DU99" i="2"/>
  <c r="DV99" i="2"/>
  <c r="DW99" i="2"/>
  <c r="I100" i="2"/>
  <c r="J100" i="2"/>
  <c r="K100" i="2"/>
  <c r="L100" i="2"/>
  <c r="M100" i="2"/>
  <c r="N100" i="2"/>
  <c r="O100" i="2"/>
  <c r="P100" i="2"/>
  <c r="Q100" i="2"/>
  <c r="T100" i="2"/>
  <c r="U100" i="2"/>
  <c r="V100" i="2"/>
  <c r="X100" i="2"/>
  <c r="Y100" i="2"/>
  <c r="Z100" i="2"/>
  <c r="AA100" i="2"/>
  <c r="AB100" i="2"/>
  <c r="AC100" i="2"/>
  <c r="AD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T100" i="2"/>
  <c r="BU100" i="2"/>
  <c r="BW100" i="2"/>
  <c r="BX100" i="2"/>
  <c r="BY100" i="2"/>
  <c r="CA100" i="2"/>
  <c r="CB100" i="2"/>
  <c r="CC100" i="2"/>
  <c r="CD100" i="2"/>
  <c r="CE100" i="2"/>
  <c r="CG100" i="2"/>
  <c r="CH100" i="2"/>
  <c r="CJ100" i="2"/>
  <c r="CK100" i="2"/>
  <c r="CL100" i="2"/>
  <c r="CN100" i="2"/>
  <c r="CO100" i="2"/>
  <c r="CP100" i="2"/>
  <c r="CQ100" i="2"/>
  <c r="CR100" i="2"/>
  <c r="CT100" i="2"/>
  <c r="CU100" i="2"/>
  <c r="CV100" i="2"/>
  <c r="CW100" i="2"/>
  <c r="CY100" i="2"/>
  <c r="CZ100" i="2"/>
  <c r="DA100" i="2"/>
  <c r="DC100" i="2"/>
  <c r="DD100" i="2"/>
  <c r="DE100" i="2"/>
  <c r="DI100" i="2"/>
  <c r="DJ100" i="2"/>
  <c r="DK100" i="2"/>
  <c r="DM100" i="2"/>
  <c r="DN100" i="2"/>
  <c r="DO100" i="2"/>
  <c r="DQ100" i="2"/>
  <c r="DR100" i="2"/>
  <c r="DS100" i="2"/>
  <c r="DU100" i="2"/>
  <c r="DV100" i="2"/>
  <c r="DW100" i="2"/>
  <c r="I101" i="2"/>
  <c r="J101" i="2"/>
  <c r="K101" i="2"/>
  <c r="L101" i="2"/>
  <c r="M101" i="2"/>
  <c r="N101" i="2"/>
  <c r="O101" i="2"/>
  <c r="P101" i="2"/>
  <c r="Q101" i="2"/>
  <c r="T101" i="2"/>
  <c r="U101" i="2"/>
  <c r="V101" i="2"/>
  <c r="X101" i="2"/>
  <c r="Y101" i="2"/>
  <c r="Z101" i="2"/>
  <c r="AA101" i="2"/>
  <c r="AB101" i="2"/>
  <c r="AC101" i="2"/>
  <c r="AD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T101" i="2"/>
  <c r="BU101" i="2"/>
  <c r="BW101" i="2"/>
  <c r="BX101" i="2"/>
  <c r="BY101" i="2"/>
  <c r="CA101" i="2"/>
  <c r="CB101" i="2"/>
  <c r="CC101" i="2"/>
  <c r="CD101" i="2"/>
  <c r="CE101" i="2"/>
  <c r="CG101" i="2"/>
  <c r="CH101" i="2"/>
  <c r="CJ101" i="2"/>
  <c r="CK101" i="2"/>
  <c r="CL101" i="2"/>
  <c r="CN101" i="2"/>
  <c r="CO101" i="2"/>
  <c r="CP101" i="2"/>
  <c r="CQ101" i="2"/>
  <c r="CR101" i="2"/>
  <c r="CT101" i="2"/>
  <c r="CU101" i="2"/>
  <c r="CV101" i="2"/>
  <c r="CW101" i="2"/>
  <c r="CY101" i="2"/>
  <c r="CZ101" i="2"/>
  <c r="DA101" i="2"/>
  <c r="DC101" i="2"/>
  <c r="DD101" i="2"/>
  <c r="DE101" i="2"/>
  <c r="DI101" i="2"/>
  <c r="DJ101" i="2"/>
  <c r="DK101" i="2"/>
  <c r="DM101" i="2"/>
  <c r="DN101" i="2"/>
  <c r="DO101" i="2"/>
  <c r="DQ101" i="2"/>
  <c r="DR101" i="2"/>
  <c r="DS101" i="2"/>
  <c r="DU101" i="2"/>
  <c r="DV101" i="2"/>
  <c r="DW101" i="2"/>
  <c r="I102" i="2"/>
  <c r="J102" i="2"/>
  <c r="K102" i="2"/>
  <c r="L102" i="2"/>
  <c r="M102" i="2"/>
  <c r="N102" i="2"/>
  <c r="O102" i="2"/>
  <c r="P102" i="2"/>
  <c r="Q102" i="2"/>
  <c r="T102" i="2"/>
  <c r="U102" i="2"/>
  <c r="V102" i="2"/>
  <c r="X102" i="2"/>
  <c r="Y102" i="2"/>
  <c r="Z102" i="2"/>
  <c r="AA102" i="2"/>
  <c r="AB102" i="2"/>
  <c r="AC102" i="2"/>
  <c r="AD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T102" i="2"/>
  <c r="BU102" i="2"/>
  <c r="BW102" i="2"/>
  <c r="BX102" i="2"/>
  <c r="BY102" i="2"/>
  <c r="CA102" i="2"/>
  <c r="CB102" i="2"/>
  <c r="CC102" i="2"/>
  <c r="CD102" i="2"/>
  <c r="CE102" i="2"/>
  <c r="CG102" i="2"/>
  <c r="CH102" i="2"/>
  <c r="CJ102" i="2"/>
  <c r="CK102" i="2"/>
  <c r="CL102" i="2"/>
  <c r="CN102" i="2"/>
  <c r="CO102" i="2"/>
  <c r="CP102" i="2"/>
  <c r="CQ102" i="2"/>
  <c r="CR102" i="2"/>
  <c r="CT102" i="2"/>
  <c r="CU102" i="2"/>
  <c r="CV102" i="2"/>
  <c r="CW102" i="2"/>
  <c r="CY102" i="2"/>
  <c r="CZ102" i="2"/>
  <c r="DA102" i="2"/>
  <c r="DC102" i="2"/>
  <c r="DD102" i="2"/>
  <c r="DE102" i="2"/>
  <c r="DI102" i="2"/>
  <c r="DJ102" i="2"/>
  <c r="DK102" i="2"/>
  <c r="DM102" i="2"/>
  <c r="DN102" i="2"/>
  <c r="DO102" i="2"/>
  <c r="DQ102" i="2"/>
  <c r="DR102" i="2"/>
  <c r="DS102" i="2"/>
  <c r="DU102" i="2"/>
  <c r="DV102" i="2"/>
  <c r="DW102" i="2"/>
  <c r="I103" i="2"/>
  <c r="J103" i="2"/>
  <c r="K103" i="2"/>
  <c r="L103" i="2"/>
  <c r="M103" i="2"/>
  <c r="N103" i="2"/>
  <c r="O103" i="2"/>
  <c r="P103" i="2"/>
  <c r="Q103" i="2"/>
  <c r="T103" i="2"/>
  <c r="U103" i="2"/>
  <c r="V103" i="2"/>
  <c r="X103" i="2"/>
  <c r="Y103" i="2"/>
  <c r="Z103" i="2"/>
  <c r="AA103" i="2"/>
  <c r="AB103" i="2"/>
  <c r="AC103" i="2"/>
  <c r="AD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T103" i="2"/>
  <c r="BU103" i="2"/>
  <c r="BW103" i="2"/>
  <c r="BX103" i="2"/>
  <c r="BY103" i="2"/>
  <c r="CA103" i="2"/>
  <c r="CB103" i="2"/>
  <c r="CC103" i="2"/>
  <c r="CD103" i="2"/>
  <c r="CE103" i="2"/>
  <c r="CG103" i="2"/>
  <c r="CH103" i="2"/>
  <c r="CJ103" i="2"/>
  <c r="CK103" i="2"/>
  <c r="CL103" i="2"/>
  <c r="CN103" i="2"/>
  <c r="CO103" i="2"/>
  <c r="CP103" i="2"/>
  <c r="CQ103" i="2"/>
  <c r="CR103" i="2"/>
  <c r="CT103" i="2"/>
  <c r="CU103" i="2"/>
  <c r="CV103" i="2"/>
  <c r="CW103" i="2"/>
  <c r="CY103" i="2"/>
  <c r="CZ103" i="2"/>
  <c r="DA103" i="2"/>
  <c r="DC103" i="2"/>
  <c r="DD103" i="2"/>
  <c r="DE103" i="2"/>
  <c r="DI103" i="2"/>
  <c r="DJ103" i="2"/>
  <c r="DK103" i="2"/>
  <c r="DM103" i="2"/>
  <c r="DN103" i="2"/>
  <c r="DO103" i="2"/>
  <c r="DQ103" i="2"/>
  <c r="DR103" i="2"/>
  <c r="DS103" i="2"/>
  <c r="DU103" i="2"/>
  <c r="DV103" i="2"/>
  <c r="DW103" i="2"/>
  <c r="I104" i="2"/>
  <c r="J104" i="2"/>
  <c r="K104" i="2"/>
  <c r="L104" i="2"/>
  <c r="M104" i="2"/>
  <c r="N104" i="2"/>
  <c r="O104" i="2"/>
  <c r="P104" i="2"/>
  <c r="Q104" i="2"/>
  <c r="T104" i="2"/>
  <c r="U104" i="2"/>
  <c r="V104" i="2"/>
  <c r="X104" i="2"/>
  <c r="Y104" i="2"/>
  <c r="Z104" i="2"/>
  <c r="AA104" i="2"/>
  <c r="AB104" i="2"/>
  <c r="AC104" i="2"/>
  <c r="AD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T104" i="2"/>
  <c r="BU104" i="2"/>
  <c r="BW104" i="2"/>
  <c r="BX104" i="2"/>
  <c r="BY104" i="2"/>
  <c r="CA104" i="2"/>
  <c r="CB104" i="2"/>
  <c r="CC104" i="2"/>
  <c r="CD104" i="2"/>
  <c r="CE104" i="2"/>
  <c r="CG104" i="2"/>
  <c r="CH104" i="2"/>
  <c r="CJ104" i="2"/>
  <c r="CK104" i="2"/>
  <c r="CL104" i="2"/>
  <c r="CN104" i="2"/>
  <c r="CO104" i="2"/>
  <c r="CP104" i="2"/>
  <c r="CQ104" i="2"/>
  <c r="CR104" i="2"/>
  <c r="CT104" i="2"/>
  <c r="CU104" i="2"/>
  <c r="CV104" i="2"/>
  <c r="CW104" i="2"/>
  <c r="CY104" i="2"/>
  <c r="CZ104" i="2"/>
  <c r="DA104" i="2"/>
  <c r="DC104" i="2"/>
  <c r="DD104" i="2"/>
  <c r="DE104" i="2"/>
  <c r="DI104" i="2"/>
  <c r="DJ104" i="2"/>
  <c r="DK104" i="2"/>
  <c r="DM104" i="2"/>
  <c r="DN104" i="2"/>
  <c r="DO104" i="2"/>
  <c r="DQ104" i="2"/>
  <c r="DR104" i="2"/>
  <c r="DS104" i="2"/>
  <c r="DU104" i="2"/>
  <c r="DV104" i="2"/>
  <c r="DW104" i="2"/>
  <c r="I105" i="2"/>
  <c r="J105" i="2"/>
  <c r="K105" i="2"/>
  <c r="L105" i="2"/>
  <c r="M105" i="2"/>
  <c r="N105" i="2"/>
  <c r="O105" i="2"/>
  <c r="P105" i="2"/>
  <c r="Q105" i="2"/>
  <c r="T105" i="2"/>
  <c r="U105" i="2"/>
  <c r="V105" i="2"/>
  <c r="X105" i="2"/>
  <c r="Y105" i="2"/>
  <c r="Z105" i="2"/>
  <c r="AA105" i="2"/>
  <c r="AB105" i="2"/>
  <c r="AC105" i="2"/>
  <c r="AD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T105" i="2"/>
  <c r="BU105" i="2"/>
  <c r="BW105" i="2"/>
  <c r="BX105" i="2"/>
  <c r="BY105" i="2"/>
  <c r="CA105" i="2"/>
  <c r="CB105" i="2"/>
  <c r="CC105" i="2"/>
  <c r="CD105" i="2"/>
  <c r="CE105" i="2"/>
  <c r="CG105" i="2"/>
  <c r="CH105" i="2"/>
  <c r="CJ105" i="2"/>
  <c r="CK105" i="2"/>
  <c r="CL105" i="2"/>
  <c r="CN105" i="2"/>
  <c r="CO105" i="2"/>
  <c r="CP105" i="2"/>
  <c r="CQ105" i="2"/>
  <c r="CR105" i="2"/>
  <c r="CT105" i="2"/>
  <c r="CU105" i="2"/>
  <c r="CV105" i="2"/>
  <c r="CW105" i="2"/>
  <c r="CY105" i="2"/>
  <c r="CZ105" i="2"/>
  <c r="DA105" i="2"/>
  <c r="DC105" i="2"/>
  <c r="DD105" i="2"/>
  <c r="DE105" i="2"/>
  <c r="DI105" i="2"/>
  <c r="DJ105" i="2"/>
  <c r="DK105" i="2"/>
  <c r="DM105" i="2"/>
  <c r="DN105" i="2"/>
  <c r="DO105" i="2"/>
  <c r="DQ105" i="2"/>
  <c r="DR105" i="2"/>
  <c r="DS105" i="2"/>
  <c r="DU105" i="2"/>
  <c r="DV105" i="2"/>
  <c r="DW105" i="2"/>
  <c r="I106" i="2"/>
  <c r="J106" i="2"/>
  <c r="K106" i="2"/>
  <c r="L106" i="2"/>
  <c r="M106" i="2"/>
  <c r="N106" i="2"/>
  <c r="O106" i="2"/>
  <c r="P106" i="2"/>
  <c r="Q106" i="2"/>
  <c r="T106" i="2"/>
  <c r="U106" i="2"/>
  <c r="V106" i="2"/>
  <c r="X106" i="2"/>
  <c r="Y106" i="2"/>
  <c r="Z106" i="2"/>
  <c r="AA106" i="2"/>
  <c r="AB106" i="2"/>
  <c r="AC106" i="2"/>
  <c r="AD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T106" i="2"/>
  <c r="BU106" i="2"/>
  <c r="BW106" i="2"/>
  <c r="BX106" i="2"/>
  <c r="BY106" i="2"/>
  <c r="CA106" i="2"/>
  <c r="CB106" i="2"/>
  <c r="CC106" i="2"/>
  <c r="CD106" i="2"/>
  <c r="CE106" i="2"/>
  <c r="CG106" i="2"/>
  <c r="CH106" i="2"/>
  <c r="CJ106" i="2"/>
  <c r="CK106" i="2"/>
  <c r="CL106" i="2"/>
  <c r="CN106" i="2"/>
  <c r="CO106" i="2"/>
  <c r="CP106" i="2"/>
  <c r="CQ106" i="2"/>
  <c r="CR106" i="2"/>
  <c r="CT106" i="2"/>
  <c r="CU106" i="2"/>
  <c r="CV106" i="2"/>
  <c r="CW106" i="2"/>
  <c r="CY106" i="2"/>
  <c r="CZ106" i="2"/>
  <c r="DA106" i="2"/>
  <c r="DC106" i="2"/>
  <c r="DD106" i="2"/>
  <c r="DE106" i="2"/>
  <c r="DI106" i="2"/>
  <c r="DJ106" i="2"/>
  <c r="DK106" i="2"/>
  <c r="DM106" i="2"/>
  <c r="DN106" i="2"/>
  <c r="DO106" i="2"/>
  <c r="DQ106" i="2"/>
  <c r="DR106" i="2"/>
  <c r="DS106" i="2"/>
  <c r="DU106" i="2"/>
  <c r="DV106" i="2"/>
  <c r="DW106" i="2"/>
  <c r="I107" i="2"/>
  <c r="J107" i="2"/>
  <c r="K107" i="2"/>
  <c r="L107" i="2"/>
  <c r="M107" i="2"/>
  <c r="N107" i="2"/>
  <c r="O107" i="2"/>
  <c r="P107" i="2"/>
  <c r="Q107" i="2"/>
  <c r="T107" i="2"/>
  <c r="U107" i="2"/>
  <c r="V107" i="2"/>
  <c r="X107" i="2"/>
  <c r="Y107" i="2"/>
  <c r="Z107" i="2"/>
  <c r="AA107" i="2"/>
  <c r="AB107" i="2"/>
  <c r="AC107" i="2"/>
  <c r="AD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T107" i="2"/>
  <c r="BU107" i="2"/>
  <c r="BW107" i="2"/>
  <c r="BX107" i="2"/>
  <c r="BY107" i="2"/>
  <c r="CA107" i="2"/>
  <c r="CB107" i="2"/>
  <c r="CC107" i="2"/>
  <c r="CD107" i="2"/>
  <c r="CE107" i="2"/>
  <c r="CG107" i="2"/>
  <c r="CH107" i="2"/>
  <c r="CJ107" i="2"/>
  <c r="CK107" i="2"/>
  <c r="CL107" i="2"/>
  <c r="CN107" i="2"/>
  <c r="CO107" i="2"/>
  <c r="CP107" i="2"/>
  <c r="CQ107" i="2"/>
  <c r="CR107" i="2"/>
  <c r="CT107" i="2"/>
  <c r="CU107" i="2"/>
  <c r="CV107" i="2"/>
  <c r="CW107" i="2"/>
  <c r="CY107" i="2"/>
  <c r="CZ107" i="2"/>
  <c r="DA107" i="2"/>
  <c r="DC107" i="2"/>
  <c r="DD107" i="2"/>
  <c r="DE107" i="2"/>
  <c r="DI107" i="2"/>
  <c r="DJ107" i="2"/>
  <c r="DK107" i="2"/>
  <c r="DM107" i="2"/>
  <c r="DN107" i="2"/>
  <c r="DO107" i="2"/>
  <c r="DQ107" i="2"/>
  <c r="DR107" i="2"/>
  <c r="DS107" i="2"/>
  <c r="DU107" i="2"/>
  <c r="DV107" i="2"/>
  <c r="DW107" i="2"/>
  <c r="I108" i="2"/>
  <c r="J108" i="2"/>
  <c r="K108" i="2"/>
  <c r="L108" i="2"/>
  <c r="M108" i="2"/>
  <c r="N108" i="2"/>
  <c r="O108" i="2"/>
  <c r="P108" i="2"/>
  <c r="Q108" i="2"/>
  <c r="T108" i="2"/>
  <c r="U108" i="2"/>
  <c r="V108" i="2"/>
  <c r="X108" i="2"/>
  <c r="Y108" i="2"/>
  <c r="Z108" i="2"/>
  <c r="AA108" i="2"/>
  <c r="AB108" i="2"/>
  <c r="AC108" i="2"/>
  <c r="AD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T108" i="2"/>
  <c r="BU108" i="2"/>
  <c r="BW108" i="2"/>
  <c r="BX108" i="2"/>
  <c r="BY108" i="2"/>
  <c r="CA108" i="2"/>
  <c r="CB108" i="2"/>
  <c r="CC108" i="2"/>
  <c r="CD108" i="2"/>
  <c r="CE108" i="2"/>
  <c r="CG108" i="2"/>
  <c r="CH108" i="2"/>
  <c r="CJ108" i="2"/>
  <c r="CK108" i="2"/>
  <c r="CL108" i="2"/>
  <c r="CN108" i="2"/>
  <c r="CO108" i="2"/>
  <c r="CP108" i="2"/>
  <c r="CQ108" i="2"/>
  <c r="CR108" i="2"/>
  <c r="CT108" i="2"/>
  <c r="CU108" i="2"/>
  <c r="CV108" i="2"/>
  <c r="CW108" i="2"/>
  <c r="CY108" i="2"/>
  <c r="CZ108" i="2"/>
  <c r="DA108" i="2"/>
  <c r="DC108" i="2"/>
  <c r="DD108" i="2"/>
  <c r="DE108" i="2"/>
  <c r="DI108" i="2"/>
  <c r="DJ108" i="2"/>
  <c r="DK108" i="2"/>
  <c r="DM108" i="2"/>
  <c r="DN108" i="2"/>
  <c r="DO108" i="2"/>
  <c r="DQ108" i="2"/>
  <c r="DR108" i="2"/>
  <c r="DS108" i="2"/>
  <c r="DU108" i="2"/>
  <c r="DV108" i="2"/>
  <c r="DW108" i="2"/>
  <c r="I109" i="2"/>
  <c r="J109" i="2"/>
  <c r="K109" i="2"/>
  <c r="L109" i="2"/>
  <c r="M109" i="2"/>
  <c r="N109" i="2"/>
  <c r="O109" i="2"/>
  <c r="P109" i="2"/>
  <c r="Q109" i="2"/>
  <c r="T109" i="2"/>
  <c r="U109" i="2"/>
  <c r="V109" i="2"/>
  <c r="X109" i="2"/>
  <c r="Y109" i="2"/>
  <c r="Z109" i="2"/>
  <c r="AA109" i="2"/>
  <c r="AB109" i="2"/>
  <c r="AC109" i="2"/>
  <c r="AD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T109" i="2"/>
  <c r="BU109" i="2"/>
  <c r="BW109" i="2"/>
  <c r="BX109" i="2"/>
  <c r="BY109" i="2"/>
  <c r="CA109" i="2"/>
  <c r="CB109" i="2"/>
  <c r="CC109" i="2"/>
  <c r="CD109" i="2"/>
  <c r="CE109" i="2"/>
  <c r="CG109" i="2"/>
  <c r="CH109" i="2"/>
  <c r="CJ109" i="2"/>
  <c r="CK109" i="2"/>
  <c r="CL109" i="2"/>
  <c r="CN109" i="2"/>
  <c r="CO109" i="2"/>
  <c r="CP109" i="2"/>
  <c r="CQ109" i="2"/>
  <c r="CR109" i="2"/>
  <c r="CT109" i="2"/>
  <c r="CU109" i="2"/>
  <c r="CV109" i="2"/>
  <c r="CW109" i="2"/>
  <c r="CY109" i="2"/>
  <c r="CZ109" i="2"/>
  <c r="DA109" i="2"/>
  <c r="DC109" i="2"/>
  <c r="DD109" i="2"/>
  <c r="DE109" i="2"/>
  <c r="DI109" i="2"/>
  <c r="DJ109" i="2"/>
  <c r="DK109" i="2"/>
  <c r="DM109" i="2"/>
  <c r="DN109" i="2"/>
  <c r="DO109" i="2"/>
  <c r="DQ109" i="2"/>
  <c r="DR109" i="2"/>
  <c r="DS109" i="2"/>
  <c r="DU109" i="2"/>
  <c r="DV109" i="2"/>
  <c r="DW109" i="2"/>
  <c r="I110" i="2"/>
  <c r="J110" i="2"/>
  <c r="K110" i="2"/>
  <c r="L110" i="2"/>
  <c r="M110" i="2"/>
  <c r="N110" i="2"/>
  <c r="O110" i="2"/>
  <c r="P110" i="2"/>
  <c r="Q110" i="2"/>
  <c r="T110" i="2"/>
  <c r="U110" i="2"/>
  <c r="V110" i="2"/>
  <c r="X110" i="2"/>
  <c r="Y110" i="2"/>
  <c r="Z110" i="2"/>
  <c r="AA110" i="2"/>
  <c r="AB110" i="2"/>
  <c r="AC110" i="2"/>
  <c r="AD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T110" i="2"/>
  <c r="BU110" i="2"/>
  <c r="BW110" i="2"/>
  <c r="BX110" i="2"/>
  <c r="BY110" i="2"/>
  <c r="CA110" i="2"/>
  <c r="CB110" i="2"/>
  <c r="CC110" i="2"/>
  <c r="CD110" i="2"/>
  <c r="CE110" i="2"/>
  <c r="CG110" i="2"/>
  <c r="CH110" i="2"/>
  <c r="CJ110" i="2"/>
  <c r="CK110" i="2"/>
  <c r="CL110" i="2"/>
  <c r="CN110" i="2"/>
  <c r="CO110" i="2"/>
  <c r="CP110" i="2"/>
  <c r="CQ110" i="2"/>
  <c r="CR110" i="2"/>
  <c r="CT110" i="2"/>
  <c r="CU110" i="2"/>
  <c r="CV110" i="2"/>
  <c r="CW110" i="2"/>
  <c r="CY110" i="2"/>
  <c r="CZ110" i="2"/>
  <c r="DA110" i="2"/>
  <c r="DC110" i="2"/>
  <c r="DD110" i="2"/>
  <c r="DE110" i="2"/>
  <c r="DI110" i="2"/>
  <c r="DJ110" i="2"/>
  <c r="DK110" i="2"/>
  <c r="DM110" i="2"/>
  <c r="DN110" i="2"/>
  <c r="DO110" i="2"/>
  <c r="DQ110" i="2"/>
  <c r="DR110" i="2"/>
  <c r="DS110" i="2"/>
  <c r="DU110" i="2"/>
  <c r="DV110" i="2"/>
  <c r="DW110" i="2"/>
  <c r="I111" i="2"/>
  <c r="J111" i="2"/>
  <c r="K111" i="2"/>
  <c r="L111" i="2"/>
  <c r="M111" i="2"/>
  <c r="N111" i="2"/>
  <c r="O111" i="2"/>
  <c r="P111" i="2"/>
  <c r="Q111" i="2"/>
  <c r="T111" i="2"/>
  <c r="U111" i="2"/>
  <c r="V111" i="2"/>
  <c r="X111" i="2"/>
  <c r="Y111" i="2"/>
  <c r="Z111" i="2"/>
  <c r="AA111" i="2"/>
  <c r="AB111" i="2"/>
  <c r="AC111" i="2"/>
  <c r="AD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T111" i="2"/>
  <c r="BU111" i="2"/>
  <c r="BW111" i="2"/>
  <c r="BX111" i="2"/>
  <c r="BY111" i="2"/>
  <c r="CA111" i="2"/>
  <c r="CB111" i="2"/>
  <c r="CC111" i="2"/>
  <c r="CD111" i="2"/>
  <c r="CE111" i="2"/>
  <c r="CG111" i="2"/>
  <c r="CH111" i="2"/>
  <c r="CJ111" i="2"/>
  <c r="CK111" i="2"/>
  <c r="CL111" i="2"/>
  <c r="CN111" i="2"/>
  <c r="CO111" i="2"/>
  <c r="CP111" i="2"/>
  <c r="CQ111" i="2"/>
  <c r="CR111" i="2"/>
  <c r="CT111" i="2"/>
  <c r="CU111" i="2"/>
  <c r="CV111" i="2"/>
  <c r="CW111" i="2"/>
  <c r="CY111" i="2"/>
  <c r="CZ111" i="2"/>
  <c r="DA111" i="2"/>
  <c r="DC111" i="2"/>
  <c r="DD111" i="2"/>
  <c r="DE111" i="2"/>
  <c r="DI111" i="2"/>
  <c r="DJ111" i="2"/>
  <c r="DK111" i="2"/>
  <c r="DM111" i="2"/>
  <c r="DN111" i="2"/>
  <c r="DO111" i="2"/>
  <c r="DQ111" i="2"/>
  <c r="DR111" i="2"/>
  <c r="DS111" i="2"/>
  <c r="DU111" i="2"/>
  <c r="DV111" i="2"/>
  <c r="DW111" i="2"/>
  <c r="I112" i="2"/>
  <c r="J112" i="2"/>
  <c r="K112" i="2"/>
  <c r="L112" i="2"/>
  <c r="M112" i="2"/>
  <c r="N112" i="2"/>
  <c r="O112" i="2"/>
  <c r="P112" i="2"/>
  <c r="Q112" i="2"/>
  <c r="T112" i="2"/>
  <c r="U112" i="2"/>
  <c r="V112" i="2"/>
  <c r="X112" i="2"/>
  <c r="Y112" i="2"/>
  <c r="Z112" i="2"/>
  <c r="AA112" i="2"/>
  <c r="AB112" i="2"/>
  <c r="AC112" i="2"/>
  <c r="AD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T112" i="2"/>
  <c r="BU112" i="2"/>
  <c r="BW112" i="2"/>
  <c r="BX112" i="2"/>
  <c r="BY112" i="2"/>
  <c r="CA112" i="2"/>
  <c r="CB112" i="2"/>
  <c r="CC112" i="2"/>
  <c r="CD112" i="2"/>
  <c r="CE112" i="2"/>
  <c r="CG112" i="2"/>
  <c r="CH112" i="2"/>
  <c r="CJ112" i="2"/>
  <c r="CK112" i="2"/>
  <c r="CL112" i="2"/>
  <c r="CN112" i="2"/>
  <c r="CO112" i="2"/>
  <c r="CP112" i="2"/>
  <c r="CQ112" i="2"/>
  <c r="CR112" i="2"/>
  <c r="CT112" i="2"/>
  <c r="CU112" i="2"/>
  <c r="CV112" i="2"/>
  <c r="CW112" i="2"/>
  <c r="CY112" i="2"/>
  <c r="CZ112" i="2"/>
  <c r="DA112" i="2"/>
  <c r="DC112" i="2"/>
  <c r="DD112" i="2"/>
  <c r="DE112" i="2"/>
  <c r="DI112" i="2"/>
  <c r="DJ112" i="2"/>
  <c r="DK112" i="2"/>
  <c r="DM112" i="2"/>
  <c r="DN112" i="2"/>
  <c r="DO112" i="2"/>
  <c r="DQ112" i="2"/>
  <c r="DR112" i="2"/>
  <c r="DS112" i="2"/>
  <c r="DU112" i="2"/>
  <c r="DV112" i="2"/>
  <c r="DW112" i="2"/>
  <c r="I113" i="2"/>
  <c r="J113" i="2"/>
  <c r="K113" i="2"/>
  <c r="L113" i="2"/>
  <c r="M113" i="2"/>
  <c r="N113" i="2"/>
  <c r="O113" i="2"/>
  <c r="P113" i="2"/>
  <c r="Q113" i="2"/>
  <c r="T113" i="2"/>
  <c r="U113" i="2"/>
  <c r="V113" i="2"/>
  <c r="X113" i="2"/>
  <c r="Y113" i="2"/>
  <c r="Z113" i="2"/>
  <c r="AA113" i="2"/>
  <c r="AB113" i="2"/>
  <c r="AC113" i="2"/>
  <c r="AD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T113" i="2"/>
  <c r="BU113" i="2"/>
  <c r="BW113" i="2"/>
  <c r="BX113" i="2"/>
  <c r="BY113" i="2"/>
  <c r="CA113" i="2"/>
  <c r="CB113" i="2"/>
  <c r="CC113" i="2"/>
  <c r="CD113" i="2"/>
  <c r="CE113" i="2"/>
  <c r="CG113" i="2"/>
  <c r="CH113" i="2"/>
  <c r="CJ113" i="2"/>
  <c r="CK113" i="2"/>
  <c r="CL113" i="2"/>
  <c r="CN113" i="2"/>
  <c r="CO113" i="2"/>
  <c r="CP113" i="2"/>
  <c r="CQ113" i="2"/>
  <c r="CR113" i="2"/>
  <c r="CT113" i="2"/>
  <c r="CU113" i="2"/>
  <c r="CV113" i="2"/>
  <c r="CW113" i="2"/>
  <c r="CY113" i="2"/>
  <c r="CZ113" i="2"/>
  <c r="DA113" i="2"/>
  <c r="DC113" i="2"/>
  <c r="DD113" i="2"/>
  <c r="DE113" i="2"/>
  <c r="DI113" i="2"/>
  <c r="DJ113" i="2"/>
  <c r="DK113" i="2"/>
  <c r="DM113" i="2"/>
  <c r="DN113" i="2"/>
  <c r="DO113" i="2"/>
  <c r="DQ113" i="2"/>
  <c r="DR113" i="2"/>
  <c r="DS113" i="2"/>
  <c r="DU113" i="2"/>
  <c r="DV113" i="2"/>
  <c r="DW113" i="2"/>
  <c r="I114" i="2"/>
  <c r="J114" i="2"/>
  <c r="K114" i="2"/>
  <c r="L114" i="2"/>
  <c r="M114" i="2"/>
  <c r="N114" i="2"/>
  <c r="O114" i="2"/>
  <c r="P114" i="2"/>
  <c r="Q114" i="2"/>
  <c r="T114" i="2"/>
  <c r="U114" i="2"/>
  <c r="V114" i="2"/>
  <c r="X114" i="2"/>
  <c r="Y114" i="2"/>
  <c r="Z114" i="2"/>
  <c r="AA114" i="2"/>
  <c r="AB114" i="2"/>
  <c r="AC114" i="2"/>
  <c r="AD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T114" i="2"/>
  <c r="BU114" i="2"/>
  <c r="BW114" i="2"/>
  <c r="BX114" i="2"/>
  <c r="BY114" i="2"/>
  <c r="CA114" i="2"/>
  <c r="CB114" i="2"/>
  <c r="CC114" i="2"/>
  <c r="CD114" i="2"/>
  <c r="CE114" i="2"/>
  <c r="CG114" i="2"/>
  <c r="CH114" i="2"/>
  <c r="CJ114" i="2"/>
  <c r="CK114" i="2"/>
  <c r="CL114" i="2"/>
  <c r="CN114" i="2"/>
  <c r="CO114" i="2"/>
  <c r="CP114" i="2"/>
  <c r="CQ114" i="2"/>
  <c r="CR114" i="2"/>
  <c r="CT114" i="2"/>
  <c r="CU114" i="2"/>
  <c r="CV114" i="2"/>
  <c r="CW114" i="2"/>
  <c r="CY114" i="2"/>
  <c r="CZ114" i="2"/>
  <c r="DA114" i="2"/>
  <c r="DC114" i="2"/>
  <c r="DD114" i="2"/>
  <c r="DE114" i="2"/>
  <c r="DI114" i="2"/>
  <c r="DJ114" i="2"/>
  <c r="DK114" i="2"/>
  <c r="DM114" i="2"/>
  <c r="DN114" i="2"/>
  <c r="DO114" i="2"/>
  <c r="DQ114" i="2"/>
  <c r="DR114" i="2"/>
  <c r="DS114" i="2"/>
  <c r="DU114" i="2"/>
  <c r="DV114" i="2"/>
  <c r="DW114" i="2"/>
  <c r="I115" i="2"/>
  <c r="J115" i="2"/>
  <c r="K115" i="2"/>
  <c r="L115" i="2"/>
  <c r="M115" i="2"/>
  <c r="N115" i="2"/>
  <c r="O115" i="2"/>
  <c r="P115" i="2"/>
  <c r="Q115" i="2"/>
  <c r="T115" i="2"/>
  <c r="U115" i="2"/>
  <c r="V115" i="2"/>
  <c r="X115" i="2"/>
  <c r="Y115" i="2"/>
  <c r="Z115" i="2"/>
  <c r="AA115" i="2"/>
  <c r="AB115" i="2"/>
  <c r="AC115" i="2"/>
  <c r="AD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T115" i="2"/>
  <c r="BU115" i="2"/>
  <c r="BW115" i="2"/>
  <c r="BX115" i="2"/>
  <c r="BY115" i="2"/>
  <c r="CA115" i="2"/>
  <c r="CB115" i="2"/>
  <c r="CC115" i="2"/>
  <c r="CD115" i="2"/>
  <c r="CE115" i="2"/>
  <c r="CG115" i="2"/>
  <c r="CH115" i="2"/>
  <c r="CJ115" i="2"/>
  <c r="CK115" i="2"/>
  <c r="CL115" i="2"/>
  <c r="CN115" i="2"/>
  <c r="CO115" i="2"/>
  <c r="CP115" i="2"/>
  <c r="CQ115" i="2"/>
  <c r="CR115" i="2"/>
  <c r="CT115" i="2"/>
  <c r="CU115" i="2"/>
  <c r="CV115" i="2"/>
  <c r="CW115" i="2"/>
  <c r="CY115" i="2"/>
  <c r="CZ115" i="2"/>
  <c r="DA115" i="2"/>
  <c r="DC115" i="2"/>
  <c r="DD115" i="2"/>
  <c r="DE115" i="2"/>
  <c r="DI115" i="2"/>
  <c r="DJ115" i="2"/>
  <c r="DK115" i="2"/>
  <c r="DM115" i="2"/>
  <c r="DN115" i="2"/>
  <c r="DO115" i="2"/>
  <c r="DQ115" i="2"/>
  <c r="DR115" i="2"/>
  <c r="DS115" i="2"/>
  <c r="DU115" i="2"/>
  <c r="DV115" i="2"/>
  <c r="DW115" i="2"/>
  <c r="I116" i="2"/>
  <c r="J116" i="2"/>
  <c r="K116" i="2"/>
  <c r="L116" i="2"/>
  <c r="M116" i="2"/>
  <c r="N116" i="2"/>
  <c r="O116" i="2"/>
  <c r="P116" i="2"/>
  <c r="Q116" i="2"/>
  <c r="T116" i="2"/>
  <c r="U116" i="2"/>
  <c r="V116" i="2"/>
  <c r="X116" i="2"/>
  <c r="Y116" i="2"/>
  <c r="Z116" i="2"/>
  <c r="AA116" i="2"/>
  <c r="AB116" i="2"/>
  <c r="AC116" i="2"/>
  <c r="AD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T116" i="2"/>
  <c r="BU116" i="2"/>
  <c r="BW116" i="2"/>
  <c r="BX116" i="2"/>
  <c r="BY116" i="2"/>
  <c r="CA116" i="2"/>
  <c r="CB116" i="2"/>
  <c r="CC116" i="2"/>
  <c r="CD116" i="2"/>
  <c r="CE116" i="2"/>
  <c r="CG116" i="2"/>
  <c r="CH116" i="2"/>
  <c r="CJ116" i="2"/>
  <c r="CK116" i="2"/>
  <c r="CL116" i="2"/>
  <c r="CN116" i="2"/>
  <c r="CO116" i="2"/>
  <c r="CP116" i="2"/>
  <c r="CQ116" i="2"/>
  <c r="CR116" i="2"/>
  <c r="CT116" i="2"/>
  <c r="CU116" i="2"/>
  <c r="CV116" i="2"/>
  <c r="CW116" i="2"/>
  <c r="CY116" i="2"/>
  <c r="CZ116" i="2"/>
  <c r="DA116" i="2"/>
  <c r="DC116" i="2"/>
  <c r="DD116" i="2"/>
  <c r="DE116" i="2"/>
  <c r="DI116" i="2"/>
  <c r="DJ116" i="2"/>
  <c r="DK116" i="2"/>
  <c r="DM116" i="2"/>
  <c r="DN116" i="2"/>
  <c r="DO116" i="2"/>
  <c r="DQ116" i="2"/>
  <c r="DR116" i="2"/>
  <c r="DS116" i="2"/>
  <c r="DU116" i="2"/>
  <c r="DV116" i="2"/>
  <c r="DW116" i="2"/>
  <c r="I117" i="2"/>
  <c r="J117" i="2"/>
  <c r="K117" i="2"/>
  <c r="L117" i="2"/>
  <c r="M117" i="2"/>
  <c r="N117" i="2"/>
  <c r="O117" i="2"/>
  <c r="P117" i="2"/>
  <c r="Q117" i="2"/>
  <c r="T117" i="2"/>
  <c r="U117" i="2"/>
  <c r="V117" i="2"/>
  <c r="X117" i="2"/>
  <c r="Y117" i="2"/>
  <c r="Z117" i="2"/>
  <c r="AA117" i="2"/>
  <c r="AB117" i="2"/>
  <c r="AC117" i="2"/>
  <c r="AD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T117" i="2"/>
  <c r="BU117" i="2"/>
  <c r="BW117" i="2"/>
  <c r="BX117" i="2"/>
  <c r="BY117" i="2"/>
  <c r="CA117" i="2"/>
  <c r="CB117" i="2"/>
  <c r="CC117" i="2"/>
  <c r="CD117" i="2"/>
  <c r="CE117" i="2"/>
  <c r="CG117" i="2"/>
  <c r="CH117" i="2"/>
  <c r="CJ117" i="2"/>
  <c r="CK117" i="2"/>
  <c r="CL117" i="2"/>
  <c r="CN117" i="2"/>
  <c r="CO117" i="2"/>
  <c r="CP117" i="2"/>
  <c r="CQ117" i="2"/>
  <c r="CR117" i="2"/>
  <c r="CT117" i="2"/>
  <c r="CU117" i="2"/>
  <c r="CV117" i="2"/>
  <c r="CW117" i="2"/>
  <c r="CY117" i="2"/>
  <c r="CZ117" i="2"/>
  <c r="DA117" i="2"/>
  <c r="DC117" i="2"/>
  <c r="DD117" i="2"/>
  <c r="DE117" i="2"/>
  <c r="DI117" i="2"/>
  <c r="DJ117" i="2"/>
  <c r="DK117" i="2"/>
  <c r="DM117" i="2"/>
  <c r="DN117" i="2"/>
  <c r="DO117" i="2"/>
  <c r="DQ117" i="2"/>
  <c r="DR117" i="2"/>
  <c r="DS117" i="2"/>
  <c r="DU117" i="2"/>
  <c r="DV117" i="2"/>
  <c r="DW117" i="2"/>
  <c r="I118" i="2"/>
  <c r="J118" i="2"/>
  <c r="K118" i="2"/>
  <c r="L118" i="2"/>
  <c r="M118" i="2"/>
  <c r="N118" i="2"/>
  <c r="O118" i="2"/>
  <c r="P118" i="2"/>
  <c r="Q118" i="2"/>
  <c r="T118" i="2"/>
  <c r="U118" i="2"/>
  <c r="V118" i="2"/>
  <c r="X118" i="2"/>
  <c r="Y118" i="2"/>
  <c r="Z118" i="2"/>
  <c r="AA118" i="2"/>
  <c r="AB118" i="2"/>
  <c r="AC118" i="2"/>
  <c r="AD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T118" i="2"/>
  <c r="BU118" i="2"/>
  <c r="BW118" i="2"/>
  <c r="BX118" i="2"/>
  <c r="BY118" i="2"/>
  <c r="CA118" i="2"/>
  <c r="CB118" i="2"/>
  <c r="CC118" i="2"/>
  <c r="CD118" i="2"/>
  <c r="CE118" i="2"/>
  <c r="CG118" i="2"/>
  <c r="CH118" i="2"/>
  <c r="CJ118" i="2"/>
  <c r="CK118" i="2"/>
  <c r="CL118" i="2"/>
  <c r="CN118" i="2"/>
  <c r="CO118" i="2"/>
  <c r="CP118" i="2"/>
  <c r="CQ118" i="2"/>
  <c r="CR118" i="2"/>
  <c r="CT118" i="2"/>
  <c r="CU118" i="2"/>
  <c r="CV118" i="2"/>
  <c r="CW118" i="2"/>
  <c r="CY118" i="2"/>
  <c r="CZ118" i="2"/>
  <c r="DA118" i="2"/>
  <c r="DC118" i="2"/>
  <c r="DD118" i="2"/>
  <c r="DE118" i="2"/>
  <c r="DI118" i="2"/>
  <c r="DJ118" i="2"/>
  <c r="DK118" i="2"/>
  <c r="DM118" i="2"/>
  <c r="DN118" i="2"/>
  <c r="DO118" i="2"/>
  <c r="DQ118" i="2"/>
  <c r="DR118" i="2"/>
  <c r="DS118" i="2"/>
  <c r="DU118" i="2"/>
  <c r="DV118" i="2"/>
  <c r="DW118" i="2"/>
  <c r="I119" i="2"/>
  <c r="J119" i="2"/>
  <c r="K119" i="2"/>
  <c r="L119" i="2"/>
  <c r="M119" i="2"/>
  <c r="N119" i="2"/>
  <c r="O119" i="2"/>
  <c r="P119" i="2"/>
  <c r="Q119" i="2"/>
  <c r="T119" i="2"/>
  <c r="U119" i="2"/>
  <c r="V119" i="2"/>
  <c r="X119" i="2"/>
  <c r="Y119" i="2"/>
  <c r="Z119" i="2"/>
  <c r="AA119" i="2"/>
  <c r="AB119" i="2"/>
  <c r="AC119" i="2"/>
  <c r="AD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T119" i="2"/>
  <c r="BU119" i="2"/>
  <c r="BW119" i="2"/>
  <c r="BX119" i="2"/>
  <c r="BY119" i="2"/>
  <c r="CA119" i="2"/>
  <c r="CB119" i="2"/>
  <c r="CC119" i="2"/>
  <c r="CD119" i="2"/>
  <c r="CE119" i="2"/>
  <c r="CG119" i="2"/>
  <c r="CH119" i="2"/>
  <c r="CJ119" i="2"/>
  <c r="CK119" i="2"/>
  <c r="CL119" i="2"/>
  <c r="CN119" i="2"/>
  <c r="CO119" i="2"/>
  <c r="CP119" i="2"/>
  <c r="CQ119" i="2"/>
  <c r="CR119" i="2"/>
  <c r="CT119" i="2"/>
  <c r="CU119" i="2"/>
  <c r="CV119" i="2"/>
  <c r="CW119" i="2"/>
  <c r="CY119" i="2"/>
  <c r="CZ119" i="2"/>
  <c r="DA119" i="2"/>
  <c r="DC119" i="2"/>
  <c r="DD119" i="2"/>
  <c r="DE119" i="2"/>
  <c r="DI119" i="2"/>
  <c r="DJ119" i="2"/>
  <c r="DK119" i="2"/>
  <c r="DM119" i="2"/>
  <c r="DN119" i="2"/>
  <c r="DO119" i="2"/>
  <c r="DQ119" i="2"/>
  <c r="DR119" i="2"/>
  <c r="DS119" i="2"/>
  <c r="DU119" i="2"/>
  <c r="DV119" i="2"/>
  <c r="DW119" i="2"/>
  <c r="I120" i="2"/>
  <c r="J120" i="2"/>
  <c r="K120" i="2"/>
  <c r="L120" i="2"/>
  <c r="M120" i="2"/>
  <c r="N120" i="2"/>
  <c r="O120" i="2"/>
  <c r="P120" i="2"/>
  <c r="Q120" i="2"/>
  <c r="T120" i="2"/>
  <c r="U120" i="2"/>
  <c r="V120" i="2"/>
  <c r="X120" i="2"/>
  <c r="Y120" i="2"/>
  <c r="Z120" i="2"/>
  <c r="AA120" i="2"/>
  <c r="AB120" i="2"/>
  <c r="AC120" i="2"/>
  <c r="AD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T120" i="2"/>
  <c r="BU120" i="2"/>
  <c r="BW120" i="2"/>
  <c r="BX120" i="2"/>
  <c r="BY120" i="2"/>
  <c r="CA120" i="2"/>
  <c r="CB120" i="2"/>
  <c r="CC120" i="2"/>
  <c r="CD120" i="2"/>
  <c r="CE120" i="2"/>
  <c r="CG120" i="2"/>
  <c r="CH120" i="2"/>
  <c r="CJ120" i="2"/>
  <c r="CK120" i="2"/>
  <c r="CL120" i="2"/>
  <c r="CN120" i="2"/>
  <c r="CO120" i="2"/>
  <c r="CP120" i="2"/>
  <c r="CQ120" i="2"/>
  <c r="CR120" i="2"/>
  <c r="CT120" i="2"/>
  <c r="CU120" i="2"/>
  <c r="CV120" i="2"/>
  <c r="CW120" i="2"/>
  <c r="CY120" i="2"/>
  <c r="CZ120" i="2"/>
  <c r="DA120" i="2"/>
  <c r="DC120" i="2"/>
  <c r="DD120" i="2"/>
  <c r="DE120" i="2"/>
  <c r="DI120" i="2"/>
  <c r="DJ120" i="2"/>
  <c r="DK120" i="2"/>
  <c r="DM120" i="2"/>
  <c r="DN120" i="2"/>
  <c r="DO120" i="2"/>
  <c r="DQ120" i="2"/>
  <c r="DR120" i="2"/>
  <c r="DS120" i="2"/>
  <c r="DU120" i="2"/>
  <c r="DV120" i="2"/>
  <c r="DW120" i="2"/>
  <c r="I121" i="2"/>
  <c r="J121" i="2"/>
  <c r="K121" i="2"/>
  <c r="L121" i="2"/>
  <c r="M121" i="2"/>
  <c r="N121" i="2"/>
  <c r="O121" i="2"/>
  <c r="P121" i="2"/>
  <c r="Q121" i="2"/>
  <c r="T121" i="2"/>
  <c r="U121" i="2"/>
  <c r="V121" i="2"/>
  <c r="X121" i="2"/>
  <c r="Y121" i="2"/>
  <c r="Z121" i="2"/>
  <c r="AA121" i="2"/>
  <c r="AB121" i="2"/>
  <c r="AC121" i="2"/>
  <c r="AD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T121" i="2"/>
  <c r="BU121" i="2"/>
  <c r="BW121" i="2"/>
  <c r="BX121" i="2"/>
  <c r="BY121" i="2"/>
  <c r="CA121" i="2"/>
  <c r="CB121" i="2"/>
  <c r="CC121" i="2"/>
  <c r="CD121" i="2"/>
  <c r="CE121" i="2"/>
  <c r="CG121" i="2"/>
  <c r="CH121" i="2"/>
  <c r="CJ121" i="2"/>
  <c r="CK121" i="2"/>
  <c r="CL121" i="2"/>
  <c r="CN121" i="2"/>
  <c r="CO121" i="2"/>
  <c r="CP121" i="2"/>
  <c r="CQ121" i="2"/>
  <c r="CR121" i="2"/>
  <c r="CT121" i="2"/>
  <c r="CU121" i="2"/>
  <c r="CV121" i="2"/>
  <c r="CW121" i="2"/>
  <c r="CY121" i="2"/>
  <c r="CZ121" i="2"/>
  <c r="DA121" i="2"/>
  <c r="DC121" i="2"/>
  <c r="DD121" i="2"/>
  <c r="DE121" i="2"/>
  <c r="DI121" i="2"/>
  <c r="DJ121" i="2"/>
  <c r="DK121" i="2"/>
  <c r="DM121" i="2"/>
  <c r="DN121" i="2"/>
  <c r="DO121" i="2"/>
  <c r="DQ121" i="2"/>
  <c r="DR121" i="2"/>
  <c r="DS121" i="2"/>
  <c r="DU121" i="2"/>
  <c r="DV121" i="2"/>
  <c r="DW121" i="2"/>
  <c r="I122" i="2"/>
  <c r="J122" i="2"/>
  <c r="K122" i="2"/>
  <c r="L122" i="2"/>
  <c r="M122" i="2"/>
  <c r="N122" i="2"/>
  <c r="O122" i="2"/>
  <c r="P122" i="2"/>
  <c r="Q122" i="2"/>
  <c r="T122" i="2"/>
  <c r="U122" i="2"/>
  <c r="V122" i="2"/>
  <c r="X122" i="2"/>
  <c r="Y122" i="2"/>
  <c r="Z122" i="2"/>
  <c r="AA122" i="2"/>
  <c r="AB122" i="2"/>
  <c r="AC122" i="2"/>
  <c r="AD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T122" i="2"/>
  <c r="BU122" i="2"/>
  <c r="BW122" i="2"/>
  <c r="BX122" i="2"/>
  <c r="BY122" i="2"/>
  <c r="CA122" i="2"/>
  <c r="CB122" i="2"/>
  <c r="CC122" i="2"/>
  <c r="CD122" i="2"/>
  <c r="CE122" i="2"/>
  <c r="CG122" i="2"/>
  <c r="CH122" i="2"/>
  <c r="CJ122" i="2"/>
  <c r="CK122" i="2"/>
  <c r="CL122" i="2"/>
  <c r="CN122" i="2"/>
  <c r="CO122" i="2"/>
  <c r="CP122" i="2"/>
  <c r="CQ122" i="2"/>
  <c r="CR122" i="2"/>
  <c r="CT122" i="2"/>
  <c r="CU122" i="2"/>
  <c r="CV122" i="2"/>
  <c r="CW122" i="2"/>
  <c r="CY122" i="2"/>
  <c r="CZ122" i="2"/>
  <c r="DA122" i="2"/>
  <c r="DC122" i="2"/>
  <c r="DD122" i="2"/>
  <c r="DE122" i="2"/>
  <c r="DI122" i="2"/>
  <c r="DJ122" i="2"/>
  <c r="DK122" i="2"/>
  <c r="DM122" i="2"/>
  <c r="DN122" i="2"/>
  <c r="DO122" i="2"/>
  <c r="DQ122" i="2"/>
  <c r="DR122" i="2"/>
  <c r="DS122" i="2"/>
  <c r="DU122" i="2"/>
  <c r="DV122" i="2"/>
  <c r="DW122" i="2"/>
  <c r="I123" i="2"/>
  <c r="J123" i="2"/>
  <c r="K123" i="2"/>
  <c r="L123" i="2"/>
  <c r="M123" i="2"/>
  <c r="N123" i="2"/>
  <c r="O123" i="2"/>
  <c r="P123" i="2"/>
  <c r="Q123" i="2"/>
  <c r="T123" i="2"/>
  <c r="U123" i="2"/>
  <c r="V123" i="2"/>
  <c r="X123" i="2"/>
  <c r="Y123" i="2"/>
  <c r="Z123" i="2"/>
  <c r="AA123" i="2"/>
  <c r="AB123" i="2"/>
  <c r="AC123" i="2"/>
  <c r="AD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T123" i="2"/>
  <c r="BU123" i="2"/>
  <c r="BW123" i="2"/>
  <c r="BX123" i="2"/>
  <c r="BY123" i="2"/>
  <c r="CA123" i="2"/>
  <c r="CB123" i="2"/>
  <c r="CC123" i="2"/>
  <c r="CD123" i="2"/>
  <c r="CE123" i="2"/>
  <c r="CG123" i="2"/>
  <c r="CH123" i="2"/>
  <c r="CJ123" i="2"/>
  <c r="CK123" i="2"/>
  <c r="CL123" i="2"/>
  <c r="CN123" i="2"/>
  <c r="CO123" i="2"/>
  <c r="CP123" i="2"/>
  <c r="CQ123" i="2"/>
  <c r="CR123" i="2"/>
  <c r="CT123" i="2"/>
  <c r="CU123" i="2"/>
  <c r="CV123" i="2"/>
  <c r="CW123" i="2"/>
  <c r="CY123" i="2"/>
  <c r="CZ123" i="2"/>
  <c r="DA123" i="2"/>
  <c r="DC123" i="2"/>
  <c r="DD123" i="2"/>
  <c r="DE123" i="2"/>
  <c r="DI123" i="2"/>
  <c r="DJ123" i="2"/>
  <c r="DK123" i="2"/>
  <c r="DM123" i="2"/>
  <c r="DN123" i="2"/>
  <c r="DO123" i="2"/>
  <c r="DQ123" i="2"/>
  <c r="DR123" i="2"/>
  <c r="DS123" i="2"/>
  <c r="DU123" i="2"/>
  <c r="DV123" i="2"/>
  <c r="DW123" i="2"/>
  <c r="I124" i="2"/>
  <c r="J124" i="2"/>
  <c r="K124" i="2"/>
  <c r="L124" i="2"/>
  <c r="M124" i="2"/>
  <c r="N124" i="2"/>
  <c r="O124" i="2"/>
  <c r="P124" i="2"/>
  <c r="Q124" i="2"/>
  <c r="T124" i="2"/>
  <c r="U124" i="2"/>
  <c r="V124" i="2"/>
  <c r="X124" i="2"/>
  <c r="Y124" i="2"/>
  <c r="Z124" i="2"/>
  <c r="AA124" i="2"/>
  <c r="AB124" i="2"/>
  <c r="AC124" i="2"/>
  <c r="AD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T124" i="2"/>
  <c r="BU124" i="2"/>
  <c r="BW124" i="2"/>
  <c r="BX124" i="2"/>
  <c r="BY124" i="2"/>
  <c r="CA124" i="2"/>
  <c r="CB124" i="2"/>
  <c r="CC124" i="2"/>
  <c r="CD124" i="2"/>
  <c r="CE124" i="2"/>
  <c r="CG124" i="2"/>
  <c r="CH124" i="2"/>
  <c r="CJ124" i="2"/>
  <c r="CK124" i="2"/>
  <c r="CL124" i="2"/>
  <c r="CN124" i="2"/>
  <c r="CO124" i="2"/>
  <c r="CP124" i="2"/>
  <c r="CQ124" i="2"/>
  <c r="CR124" i="2"/>
  <c r="CT124" i="2"/>
  <c r="CU124" i="2"/>
  <c r="CV124" i="2"/>
  <c r="CW124" i="2"/>
  <c r="CY124" i="2"/>
  <c r="CZ124" i="2"/>
  <c r="DA124" i="2"/>
  <c r="DC124" i="2"/>
  <c r="DD124" i="2"/>
  <c r="DE124" i="2"/>
  <c r="DI124" i="2"/>
  <c r="DJ124" i="2"/>
  <c r="DK124" i="2"/>
  <c r="DM124" i="2"/>
  <c r="DN124" i="2"/>
  <c r="DO124" i="2"/>
  <c r="DQ124" i="2"/>
  <c r="DR124" i="2"/>
  <c r="DS124" i="2"/>
  <c r="DU124" i="2"/>
  <c r="DV124" i="2"/>
  <c r="DW124" i="2"/>
  <c r="I125" i="2"/>
  <c r="J125" i="2"/>
  <c r="K125" i="2"/>
  <c r="L125" i="2"/>
  <c r="M125" i="2"/>
  <c r="N125" i="2"/>
  <c r="O125" i="2"/>
  <c r="P125" i="2"/>
  <c r="Q125" i="2"/>
  <c r="T125" i="2"/>
  <c r="U125" i="2"/>
  <c r="V125" i="2"/>
  <c r="X125" i="2"/>
  <c r="Y125" i="2"/>
  <c r="Z125" i="2"/>
  <c r="AA125" i="2"/>
  <c r="AB125" i="2"/>
  <c r="AC125" i="2"/>
  <c r="AD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T125" i="2"/>
  <c r="BU125" i="2"/>
  <c r="BW125" i="2"/>
  <c r="BX125" i="2"/>
  <c r="BY125" i="2"/>
  <c r="CA125" i="2"/>
  <c r="CB125" i="2"/>
  <c r="CC125" i="2"/>
  <c r="CD125" i="2"/>
  <c r="CE125" i="2"/>
  <c r="CG125" i="2"/>
  <c r="CH125" i="2"/>
  <c r="CJ125" i="2"/>
  <c r="CK125" i="2"/>
  <c r="CL125" i="2"/>
  <c r="CN125" i="2"/>
  <c r="CO125" i="2"/>
  <c r="CP125" i="2"/>
  <c r="CQ125" i="2"/>
  <c r="CR125" i="2"/>
  <c r="CT125" i="2"/>
  <c r="CU125" i="2"/>
  <c r="CV125" i="2"/>
  <c r="CW125" i="2"/>
  <c r="CY125" i="2"/>
  <c r="CZ125" i="2"/>
  <c r="DA125" i="2"/>
  <c r="DC125" i="2"/>
  <c r="DD125" i="2"/>
  <c r="DE125" i="2"/>
  <c r="DI125" i="2"/>
  <c r="DJ125" i="2"/>
  <c r="DK125" i="2"/>
  <c r="DM125" i="2"/>
  <c r="DN125" i="2"/>
  <c r="DO125" i="2"/>
  <c r="DQ125" i="2"/>
  <c r="DR125" i="2"/>
  <c r="DS125" i="2"/>
  <c r="DU125" i="2"/>
  <c r="DV125" i="2"/>
  <c r="DW125" i="2"/>
  <c r="I126" i="2"/>
  <c r="J126" i="2"/>
  <c r="K126" i="2"/>
  <c r="L126" i="2"/>
  <c r="M126" i="2"/>
  <c r="N126" i="2"/>
  <c r="O126" i="2"/>
  <c r="P126" i="2"/>
  <c r="Q126" i="2"/>
  <c r="T126" i="2"/>
  <c r="U126" i="2"/>
  <c r="V126" i="2"/>
  <c r="X126" i="2"/>
  <c r="Y126" i="2"/>
  <c r="Z126" i="2"/>
  <c r="AA126" i="2"/>
  <c r="AB126" i="2"/>
  <c r="AC126" i="2"/>
  <c r="AD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T126" i="2"/>
  <c r="BU126" i="2"/>
  <c r="BW126" i="2"/>
  <c r="BX126" i="2"/>
  <c r="BY126" i="2"/>
  <c r="CA126" i="2"/>
  <c r="CB126" i="2"/>
  <c r="CC126" i="2"/>
  <c r="CD126" i="2"/>
  <c r="CE126" i="2"/>
  <c r="CG126" i="2"/>
  <c r="CH126" i="2"/>
  <c r="CJ126" i="2"/>
  <c r="CK126" i="2"/>
  <c r="CL126" i="2"/>
  <c r="CN126" i="2"/>
  <c r="CO126" i="2"/>
  <c r="CP126" i="2"/>
  <c r="CQ126" i="2"/>
  <c r="CR126" i="2"/>
  <c r="CT126" i="2"/>
  <c r="CU126" i="2"/>
  <c r="CV126" i="2"/>
  <c r="CW126" i="2"/>
  <c r="CY126" i="2"/>
  <c r="CZ126" i="2"/>
  <c r="DA126" i="2"/>
  <c r="DC126" i="2"/>
  <c r="DD126" i="2"/>
  <c r="DE126" i="2"/>
  <c r="DI126" i="2"/>
  <c r="DJ126" i="2"/>
  <c r="DK126" i="2"/>
  <c r="DM126" i="2"/>
  <c r="DN126" i="2"/>
  <c r="DO126" i="2"/>
  <c r="DQ126" i="2"/>
  <c r="DR126" i="2"/>
  <c r="DS126" i="2"/>
  <c r="DU126" i="2"/>
  <c r="DV126" i="2"/>
  <c r="DW126" i="2"/>
  <c r="I127" i="2"/>
  <c r="J127" i="2"/>
  <c r="K127" i="2"/>
  <c r="L127" i="2"/>
  <c r="M127" i="2"/>
  <c r="N127" i="2"/>
  <c r="O127" i="2"/>
  <c r="P127" i="2"/>
  <c r="Q127" i="2"/>
  <c r="T127" i="2"/>
  <c r="U127" i="2"/>
  <c r="V127" i="2"/>
  <c r="X127" i="2"/>
  <c r="Y127" i="2"/>
  <c r="Z127" i="2"/>
  <c r="AA127" i="2"/>
  <c r="AB127" i="2"/>
  <c r="AC127" i="2"/>
  <c r="AD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T127" i="2"/>
  <c r="BU127" i="2"/>
  <c r="BW127" i="2"/>
  <c r="BX127" i="2"/>
  <c r="BY127" i="2"/>
  <c r="CA127" i="2"/>
  <c r="CB127" i="2"/>
  <c r="CC127" i="2"/>
  <c r="CD127" i="2"/>
  <c r="CE127" i="2"/>
  <c r="CG127" i="2"/>
  <c r="CH127" i="2"/>
  <c r="CJ127" i="2"/>
  <c r="CK127" i="2"/>
  <c r="CL127" i="2"/>
  <c r="CN127" i="2"/>
  <c r="CO127" i="2"/>
  <c r="CP127" i="2"/>
  <c r="CQ127" i="2"/>
  <c r="CR127" i="2"/>
  <c r="CT127" i="2"/>
  <c r="CU127" i="2"/>
  <c r="CV127" i="2"/>
  <c r="CW127" i="2"/>
  <c r="CY127" i="2"/>
  <c r="CZ127" i="2"/>
  <c r="DA127" i="2"/>
  <c r="DC127" i="2"/>
  <c r="DD127" i="2"/>
  <c r="DE127" i="2"/>
  <c r="DI127" i="2"/>
  <c r="DJ127" i="2"/>
  <c r="DK127" i="2"/>
  <c r="DM127" i="2"/>
  <c r="DN127" i="2"/>
  <c r="DO127" i="2"/>
  <c r="DQ127" i="2"/>
  <c r="DR127" i="2"/>
  <c r="DS127" i="2"/>
  <c r="DU127" i="2"/>
  <c r="DV127" i="2"/>
  <c r="DW127" i="2"/>
  <c r="I128" i="2"/>
  <c r="J128" i="2"/>
  <c r="K128" i="2"/>
  <c r="L128" i="2"/>
  <c r="M128" i="2"/>
  <c r="N128" i="2"/>
  <c r="O128" i="2"/>
  <c r="P128" i="2"/>
  <c r="Q128" i="2"/>
  <c r="T128" i="2"/>
  <c r="U128" i="2"/>
  <c r="V128" i="2"/>
  <c r="X128" i="2"/>
  <c r="Y128" i="2"/>
  <c r="Z128" i="2"/>
  <c r="AA128" i="2"/>
  <c r="AB128" i="2"/>
  <c r="AC128" i="2"/>
  <c r="AD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T128" i="2"/>
  <c r="BU128" i="2"/>
  <c r="BW128" i="2"/>
  <c r="BX128" i="2"/>
  <c r="BY128" i="2"/>
  <c r="CA128" i="2"/>
  <c r="CB128" i="2"/>
  <c r="CC128" i="2"/>
  <c r="CD128" i="2"/>
  <c r="CE128" i="2"/>
  <c r="CG128" i="2"/>
  <c r="CH128" i="2"/>
  <c r="CJ128" i="2"/>
  <c r="CK128" i="2"/>
  <c r="CL128" i="2"/>
  <c r="CN128" i="2"/>
  <c r="CO128" i="2"/>
  <c r="CP128" i="2"/>
  <c r="CQ128" i="2"/>
  <c r="CR128" i="2"/>
  <c r="CT128" i="2"/>
  <c r="CU128" i="2"/>
  <c r="CV128" i="2"/>
  <c r="CW128" i="2"/>
  <c r="CY128" i="2"/>
  <c r="CZ128" i="2"/>
  <c r="DA128" i="2"/>
  <c r="DC128" i="2"/>
  <c r="DD128" i="2"/>
  <c r="DE128" i="2"/>
  <c r="DI128" i="2"/>
  <c r="DJ128" i="2"/>
  <c r="DK128" i="2"/>
  <c r="DM128" i="2"/>
  <c r="DN128" i="2"/>
  <c r="DO128" i="2"/>
  <c r="DQ128" i="2"/>
  <c r="DR128" i="2"/>
  <c r="DS128" i="2"/>
  <c r="DU128" i="2"/>
  <c r="DV128" i="2"/>
  <c r="DW128" i="2"/>
  <c r="I129" i="2"/>
  <c r="J129" i="2"/>
  <c r="K129" i="2"/>
  <c r="L129" i="2"/>
  <c r="M129" i="2"/>
  <c r="N129" i="2"/>
  <c r="O129" i="2"/>
  <c r="P129" i="2"/>
  <c r="Q129" i="2"/>
  <c r="T129" i="2"/>
  <c r="U129" i="2"/>
  <c r="V129" i="2"/>
  <c r="X129" i="2"/>
  <c r="Y129" i="2"/>
  <c r="Z129" i="2"/>
  <c r="AA129" i="2"/>
  <c r="AB129" i="2"/>
  <c r="AC129" i="2"/>
  <c r="AD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T129" i="2"/>
  <c r="BU129" i="2"/>
  <c r="BW129" i="2"/>
  <c r="BX129" i="2"/>
  <c r="BY129" i="2"/>
  <c r="CA129" i="2"/>
  <c r="CB129" i="2"/>
  <c r="CC129" i="2"/>
  <c r="CD129" i="2"/>
  <c r="CE129" i="2"/>
  <c r="CG129" i="2"/>
  <c r="CH129" i="2"/>
  <c r="CJ129" i="2"/>
  <c r="CK129" i="2"/>
  <c r="CL129" i="2"/>
  <c r="CN129" i="2"/>
  <c r="CO129" i="2"/>
  <c r="CP129" i="2"/>
  <c r="CQ129" i="2"/>
  <c r="CR129" i="2"/>
  <c r="CT129" i="2"/>
  <c r="CU129" i="2"/>
  <c r="CV129" i="2"/>
  <c r="CW129" i="2"/>
  <c r="CY129" i="2"/>
  <c r="CZ129" i="2"/>
  <c r="DA129" i="2"/>
  <c r="DC129" i="2"/>
  <c r="DD129" i="2"/>
  <c r="DE129" i="2"/>
  <c r="DI129" i="2"/>
  <c r="DJ129" i="2"/>
  <c r="DK129" i="2"/>
  <c r="DM129" i="2"/>
  <c r="DN129" i="2"/>
  <c r="DO129" i="2"/>
  <c r="DQ129" i="2"/>
  <c r="DR129" i="2"/>
  <c r="DS129" i="2"/>
  <c r="DU129" i="2"/>
  <c r="DV129" i="2"/>
  <c r="DW129" i="2"/>
  <c r="I130" i="2"/>
  <c r="J130" i="2"/>
  <c r="K130" i="2"/>
  <c r="L130" i="2"/>
  <c r="M130" i="2"/>
  <c r="N130" i="2"/>
  <c r="O130" i="2"/>
  <c r="P130" i="2"/>
  <c r="Q130" i="2"/>
  <c r="T130" i="2"/>
  <c r="U130" i="2"/>
  <c r="V130" i="2"/>
  <c r="X130" i="2"/>
  <c r="Y130" i="2"/>
  <c r="Z130" i="2"/>
  <c r="AA130" i="2"/>
  <c r="AB130" i="2"/>
  <c r="AC130" i="2"/>
  <c r="AD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T130" i="2"/>
  <c r="BU130" i="2"/>
  <c r="BW130" i="2"/>
  <c r="BX130" i="2"/>
  <c r="BY130" i="2"/>
  <c r="CA130" i="2"/>
  <c r="CB130" i="2"/>
  <c r="CC130" i="2"/>
  <c r="CD130" i="2"/>
  <c r="CE130" i="2"/>
  <c r="CG130" i="2"/>
  <c r="CH130" i="2"/>
  <c r="CJ130" i="2"/>
  <c r="CK130" i="2"/>
  <c r="CL130" i="2"/>
  <c r="CN130" i="2"/>
  <c r="CO130" i="2"/>
  <c r="CP130" i="2"/>
  <c r="CQ130" i="2"/>
  <c r="CR130" i="2"/>
  <c r="CT130" i="2"/>
  <c r="CU130" i="2"/>
  <c r="CV130" i="2"/>
  <c r="CW130" i="2"/>
  <c r="CY130" i="2"/>
  <c r="CZ130" i="2"/>
  <c r="DA130" i="2"/>
  <c r="DC130" i="2"/>
  <c r="DD130" i="2"/>
  <c r="DE130" i="2"/>
  <c r="DI130" i="2"/>
  <c r="DJ130" i="2"/>
  <c r="DK130" i="2"/>
  <c r="DM130" i="2"/>
  <c r="DN130" i="2"/>
  <c r="DO130" i="2"/>
  <c r="DQ130" i="2"/>
  <c r="DR130" i="2"/>
  <c r="DS130" i="2"/>
  <c r="DU130" i="2"/>
  <c r="DV130" i="2"/>
  <c r="DW130" i="2"/>
  <c r="I131" i="2"/>
  <c r="J131" i="2"/>
  <c r="K131" i="2"/>
  <c r="L131" i="2"/>
  <c r="M131" i="2"/>
  <c r="N131" i="2"/>
  <c r="O131" i="2"/>
  <c r="P131" i="2"/>
  <c r="Q131" i="2"/>
  <c r="T131" i="2"/>
  <c r="U131" i="2"/>
  <c r="V131" i="2"/>
  <c r="X131" i="2"/>
  <c r="Y131" i="2"/>
  <c r="Z131" i="2"/>
  <c r="AA131" i="2"/>
  <c r="AB131" i="2"/>
  <c r="AC131" i="2"/>
  <c r="AD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T131" i="2"/>
  <c r="BU131" i="2"/>
  <c r="BW131" i="2"/>
  <c r="BX131" i="2"/>
  <c r="BY131" i="2"/>
  <c r="CA131" i="2"/>
  <c r="CB131" i="2"/>
  <c r="CC131" i="2"/>
  <c r="CD131" i="2"/>
  <c r="CE131" i="2"/>
  <c r="CG131" i="2"/>
  <c r="CH131" i="2"/>
  <c r="CJ131" i="2"/>
  <c r="CK131" i="2"/>
  <c r="CL131" i="2"/>
  <c r="CN131" i="2"/>
  <c r="CO131" i="2"/>
  <c r="CP131" i="2"/>
  <c r="CQ131" i="2"/>
  <c r="CR131" i="2"/>
  <c r="CT131" i="2"/>
  <c r="CU131" i="2"/>
  <c r="CV131" i="2"/>
  <c r="CW131" i="2"/>
  <c r="CY131" i="2"/>
  <c r="CZ131" i="2"/>
  <c r="DA131" i="2"/>
  <c r="DC131" i="2"/>
  <c r="DD131" i="2"/>
  <c r="DE131" i="2"/>
  <c r="DI131" i="2"/>
  <c r="DJ131" i="2"/>
  <c r="DK131" i="2"/>
  <c r="DM131" i="2"/>
  <c r="DN131" i="2"/>
  <c r="DO131" i="2"/>
  <c r="DQ131" i="2"/>
  <c r="DR131" i="2"/>
  <c r="DS131" i="2"/>
  <c r="DU131" i="2"/>
  <c r="DV131" i="2"/>
  <c r="DW131" i="2"/>
  <c r="I132" i="2"/>
  <c r="J132" i="2"/>
  <c r="K132" i="2"/>
  <c r="L132" i="2"/>
  <c r="M132" i="2"/>
  <c r="N132" i="2"/>
  <c r="O132" i="2"/>
  <c r="P132" i="2"/>
  <c r="Q132" i="2"/>
  <c r="T132" i="2"/>
  <c r="U132" i="2"/>
  <c r="V132" i="2"/>
  <c r="X132" i="2"/>
  <c r="Y132" i="2"/>
  <c r="Z132" i="2"/>
  <c r="AA132" i="2"/>
  <c r="AB132" i="2"/>
  <c r="AC132" i="2"/>
  <c r="AD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T132" i="2"/>
  <c r="BU132" i="2"/>
  <c r="BW132" i="2"/>
  <c r="BX132" i="2"/>
  <c r="BY132" i="2"/>
  <c r="CA132" i="2"/>
  <c r="CB132" i="2"/>
  <c r="CC132" i="2"/>
  <c r="CD132" i="2"/>
  <c r="CE132" i="2"/>
  <c r="CG132" i="2"/>
  <c r="CH132" i="2"/>
  <c r="CJ132" i="2"/>
  <c r="CK132" i="2"/>
  <c r="CL132" i="2"/>
  <c r="CN132" i="2"/>
  <c r="CO132" i="2"/>
  <c r="CP132" i="2"/>
  <c r="CQ132" i="2"/>
  <c r="CR132" i="2"/>
  <c r="CT132" i="2"/>
  <c r="CU132" i="2"/>
  <c r="CV132" i="2"/>
  <c r="CW132" i="2"/>
  <c r="CY132" i="2"/>
  <c r="CZ132" i="2"/>
  <c r="DA132" i="2"/>
  <c r="DC132" i="2"/>
  <c r="DD132" i="2"/>
  <c r="DE132" i="2"/>
  <c r="DI132" i="2"/>
  <c r="DJ132" i="2"/>
  <c r="DK132" i="2"/>
  <c r="DM132" i="2"/>
  <c r="DN132" i="2"/>
  <c r="DO132" i="2"/>
  <c r="DQ132" i="2"/>
  <c r="DR132" i="2"/>
  <c r="DS132" i="2"/>
  <c r="DU132" i="2"/>
  <c r="DV132" i="2"/>
  <c r="DW132" i="2"/>
  <c r="I133" i="2"/>
  <c r="J133" i="2"/>
  <c r="K133" i="2"/>
  <c r="L133" i="2"/>
  <c r="M133" i="2"/>
  <c r="N133" i="2"/>
  <c r="O133" i="2"/>
  <c r="P133" i="2"/>
  <c r="Q133" i="2"/>
  <c r="T133" i="2"/>
  <c r="U133" i="2"/>
  <c r="V133" i="2"/>
  <c r="X133" i="2"/>
  <c r="Y133" i="2"/>
  <c r="Z133" i="2"/>
  <c r="AA133" i="2"/>
  <c r="AB133" i="2"/>
  <c r="AC133" i="2"/>
  <c r="AD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T133" i="2"/>
  <c r="BU133" i="2"/>
  <c r="BW133" i="2"/>
  <c r="BX133" i="2"/>
  <c r="BY133" i="2"/>
  <c r="CA133" i="2"/>
  <c r="CB133" i="2"/>
  <c r="CC133" i="2"/>
  <c r="CD133" i="2"/>
  <c r="CE133" i="2"/>
  <c r="CG133" i="2"/>
  <c r="CH133" i="2"/>
  <c r="CJ133" i="2"/>
  <c r="CK133" i="2"/>
  <c r="CL133" i="2"/>
  <c r="CN133" i="2"/>
  <c r="CO133" i="2"/>
  <c r="CP133" i="2"/>
  <c r="CQ133" i="2"/>
  <c r="CR133" i="2"/>
  <c r="CT133" i="2"/>
  <c r="CU133" i="2"/>
  <c r="CV133" i="2"/>
  <c r="CW133" i="2"/>
  <c r="CY133" i="2"/>
  <c r="CZ133" i="2"/>
  <c r="DA133" i="2"/>
  <c r="DC133" i="2"/>
  <c r="DD133" i="2"/>
  <c r="DE133" i="2"/>
  <c r="DI133" i="2"/>
  <c r="DJ133" i="2"/>
  <c r="DK133" i="2"/>
  <c r="DM133" i="2"/>
  <c r="DN133" i="2"/>
  <c r="DO133" i="2"/>
  <c r="DQ133" i="2"/>
  <c r="DR133" i="2"/>
  <c r="DS133" i="2"/>
  <c r="DU133" i="2"/>
  <c r="DV133" i="2"/>
  <c r="DW133" i="2"/>
  <c r="I134" i="2"/>
  <c r="J134" i="2"/>
  <c r="K134" i="2"/>
  <c r="L134" i="2"/>
  <c r="M134" i="2"/>
  <c r="N134" i="2"/>
  <c r="O134" i="2"/>
  <c r="P134" i="2"/>
  <c r="Q134" i="2"/>
  <c r="T134" i="2"/>
  <c r="U134" i="2"/>
  <c r="V134" i="2"/>
  <c r="X134" i="2"/>
  <c r="Y134" i="2"/>
  <c r="Z134" i="2"/>
  <c r="AA134" i="2"/>
  <c r="AB134" i="2"/>
  <c r="AC134" i="2"/>
  <c r="AD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T134" i="2"/>
  <c r="BU134" i="2"/>
  <c r="BW134" i="2"/>
  <c r="BX134" i="2"/>
  <c r="BY134" i="2"/>
  <c r="CA134" i="2"/>
  <c r="CB134" i="2"/>
  <c r="CC134" i="2"/>
  <c r="CD134" i="2"/>
  <c r="CE134" i="2"/>
  <c r="CG134" i="2"/>
  <c r="CH134" i="2"/>
  <c r="CJ134" i="2"/>
  <c r="CK134" i="2"/>
  <c r="CL134" i="2"/>
  <c r="CN134" i="2"/>
  <c r="CO134" i="2"/>
  <c r="CP134" i="2"/>
  <c r="CQ134" i="2"/>
  <c r="CR134" i="2"/>
  <c r="CT134" i="2"/>
  <c r="CU134" i="2"/>
  <c r="CV134" i="2"/>
  <c r="CW134" i="2"/>
  <c r="CY134" i="2"/>
  <c r="CZ134" i="2"/>
  <c r="DA134" i="2"/>
  <c r="DC134" i="2"/>
  <c r="DD134" i="2"/>
  <c r="DE134" i="2"/>
  <c r="DI134" i="2"/>
  <c r="DJ134" i="2"/>
  <c r="DK134" i="2"/>
  <c r="DM134" i="2"/>
  <c r="DN134" i="2"/>
  <c r="DO134" i="2"/>
  <c r="DQ134" i="2"/>
  <c r="DR134" i="2"/>
  <c r="DS134" i="2"/>
  <c r="DU134" i="2"/>
  <c r="DV134" i="2"/>
  <c r="DW134" i="2"/>
  <c r="I135" i="2"/>
  <c r="J135" i="2"/>
  <c r="K135" i="2"/>
  <c r="L135" i="2"/>
  <c r="M135" i="2"/>
  <c r="N135" i="2"/>
  <c r="O135" i="2"/>
  <c r="P135" i="2"/>
  <c r="Q135" i="2"/>
  <c r="T135" i="2"/>
  <c r="U135" i="2"/>
  <c r="V135" i="2"/>
  <c r="X135" i="2"/>
  <c r="Y135" i="2"/>
  <c r="Z135" i="2"/>
  <c r="AA135" i="2"/>
  <c r="AB135" i="2"/>
  <c r="AC135" i="2"/>
  <c r="AD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T135" i="2"/>
  <c r="BU135" i="2"/>
  <c r="BW135" i="2"/>
  <c r="BX135" i="2"/>
  <c r="BY135" i="2"/>
  <c r="CA135" i="2"/>
  <c r="CB135" i="2"/>
  <c r="CC135" i="2"/>
  <c r="CD135" i="2"/>
  <c r="CE135" i="2"/>
  <c r="CG135" i="2"/>
  <c r="CH135" i="2"/>
  <c r="CJ135" i="2"/>
  <c r="CK135" i="2"/>
  <c r="CL135" i="2"/>
  <c r="CN135" i="2"/>
  <c r="CO135" i="2"/>
  <c r="CP135" i="2"/>
  <c r="CQ135" i="2"/>
  <c r="CR135" i="2"/>
  <c r="CT135" i="2"/>
  <c r="CU135" i="2"/>
  <c r="CV135" i="2"/>
  <c r="CW135" i="2"/>
  <c r="CY135" i="2"/>
  <c r="CZ135" i="2"/>
  <c r="DA135" i="2"/>
  <c r="DC135" i="2"/>
  <c r="DD135" i="2"/>
  <c r="DE135" i="2"/>
  <c r="DI135" i="2"/>
  <c r="DJ135" i="2"/>
  <c r="DK135" i="2"/>
  <c r="DM135" i="2"/>
  <c r="DN135" i="2"/>
  <c r="DO135" i="2"/>
  <c r="DQ135" i="2"/>
  <c r="DR135" i="2"/>
  <c r="DS135" i="2"/>
  <c r="DU135" i="2"/>
  <c r="DV135" i="2"/>
  <c r="DW135" i="2"/>
  <c r="I136" i="2"/>
  <c r="J136" i="2"/>
  <c r="K136" i="2"/>
  <c r="L136" i="2"/>
  <c r="M136" i="2"/>
  <c r="N136" i="2"/>
  <c r="O136" i="2"/>
  <c r="P136" i="2"/>
  <c r="Q136" i="2"/>
  <c r="T136" i="2"/>
  <c r="U136" i="2"/>
  <c r="V136" i="2"/>
  <c r="X136" i="2"/>
  <c r="Y136" i="2"/>
  <c r="Z136" i="2"/>
  <c r="AA136" i="2"/>
  <c r="AB136" i="2"/>
  <c r="AC136" i="2"/>
  <c r="AD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T136" i="2"/>
  <c r="BU136" i="2"/>
  <c r="BW136" i="2"/>
  <c r="BX136" i="2"/>
  <c r="BY136" i="2"/>
  <c r="CA136" i="2"/>
  <c r="CB136" i="2"/>
  <c r="CC136" i="2"/>
  <c r="CD136" i="2"/>
  <c r="CE136" i="2"/>
  <c r="CG136" i="2"/>
  <c r="CH136" i="2"/>
  <c r="CJ136" i="2"/>
  <c r="CK136" i="2"/>
  <c r="CL136" i="2"/>
  <c r="CN136" i="2"/>
  <c r="CO136" i="2"/>
  <c r="CP136" i="2"/>
  <c r="CQ136" i="2"/>
  <c r="CR136" i="2"/>
  <c r="CT136" i="2"/>
  <c r="CU136" i="2"/>
  <c r="CV136" i="2"/>
  <c r="CW136" i="2"/>
  <c r="CY136" i="2"/>
  <c r="CZ136" i="2"/>
  <c r="DA136" i="2"/>
  <c r="DC136" i="2"/>
  <c r="DD136" i="2"/>
  <c r="DE136" i="2"/>
  <c r="DI136" i="2"/>
  <c r="DJ136" i="2"/>
  <c r="DK136" i="2"/>
  <c r="DM136" i="2"/>
  <c r="DN136" i="2"/>
  <c r="DO136" i="2"/>
  <c r="DQ136" i="2"/>
  <c r="DR136" i="2"/>
  <c r="DS136" i="2"/>
  <c r="DU136" i="2"/>
  <c r="DV136" i="2"/>
  <c r="DW136" i="2"/>
  <c r="I137" i="2"/>
  <c r="J137" i="2"/>
  <c r="K137" i="2"/>
  <c r="L137" i="2"/>
  <c r="M137" i="2"/>
  <c r="N137" i="2"/>
  <c r="O137" i="2"/>
  <c r="P137" i="2"/>
  <c r="Q137" i="2"/>
  <c r="T137" i="2"/>
  <c r="U137" i="2"/>
  <c r="V137" i="2"/>
  <c r="X137" i="2"/>
  <c r="Y137" i="2"/>
  <c r="Z137" i="2"/>
  <c r="AA137" i="2"/>
  <c r="AB137" i="2"/>
  <c r="AC137" i="2"/>
  <c r="AD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T137" i="2"/>
  <c r="BU137" i="2"/>
  <c r="BW137" i="2"/>
  <c r="BX137" i="2"/>
  <c r="BY137" i="2"/>
  <c r="CA137" i="2"/>
  <c r="CB137" i="2"/>
  <c r="CC137" i="2"/>
  <c r="CD137" i="2"/>
  <c r="CE137" i="2"/>
  <c r="CG137" i="2"/>
  <c r="CH137" i="2"/>
  <c r="CJ137" i="2"/>
  <c r="CK137" i="2"/>
  <c r="CL137" i="2"/>
  <c r="CN137" i="2"/>
  <c r="CO137" i="2"/>
  <c r="CP137" i="2"/>
  <c r="CQ137" i="2"/>
  <c r="CR137" i="2"/>
  <c r="CT137" i="2"/>
  <c r="CU137" i="2"/>
  <c r="CV137" i="2"/>
  <c r="CW137" i="2"/>
  <c r="CY137" i="2"/>
  <c r="CZ137" i="2"/>
  <c r="DA137" i="2"/>
  <c r="DC137" i="2"/>
  <c r="DD137" i="2"/>
  <c r="DE137" i="2"/>
  <c r="DI137" i="2"/>
  <c r="DJ137" i="2"/>
  <c r="DK137" i="2"/>
  <c r="DM137" i="2"/>
  <c r="DN137" i="2"/>
  <c r="DO137" i="2"/>
  <c r="DQ137" i="2"/>
  <c r="DR137" i="2"/>
  <c r="DS137" i="2"/>
  <c r="DU137" i="2"/>
  <c r="DV137" i="2"/>
  <c r="DW137" i="2"/>
  <c r="I138" i="2"/>
  <c r="J138" i="2"/>
  <c r="K138" i="2"/>
  <c r="L138" i="2"/>
  <c r="M138" i="2"/>
  <c r="N138" i="2"/>
  <c r="O138" i="2"/>
  <c r="P138" i="2"/>
  <c r="Q138" i="2"/>
  <c r="T138" i="2"/>
  <c r="U138" i="2"/>
  <c r="V138" i="2"/>
  <c r="X138" i="2"/>
  <c r="Y138" i="2"/>
  <c r="Z138" i="2"/>
  <c r="AA138" i="2"/>
  <c r="AB138" i="2"/>
  <c r="AC138" i="2"/>
  <c r="AD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T138" i="2"/>
  <c r="BU138" i="2"/>
  <c r="BW138" i="2"/>
  <c r="BX138" i="2"/>
  <c r="BY138" i="2"/>
  <c r="CA138" i="2"/>
  <c r="CB138" i="2"/>
  <c r="CC138" i="2"/>
  <c r="CD138" i="2"/>
  <c r="CE138" i="2"/>
  <c r="CG138" i="2"/>
  <c r="CH138" i="2"/>
  <c r="CJ138" i="2"/>
  <c r="CK138" i="2"/>
  <c r="CL138" i="2"/>
  <c r="CN138" i="2"/>
  <c r="CO138" i="2"/>
  <c r="CP138" i="2"/>
  <c r="CQ138" i="2"/>
  <c r="CR138" i="2"/>
  <c r="CT138" i="2"/>
  <c r="CU138" i="2"/>
  <c r="CV138" i="2"/>
  <c r="CW138" i="2"/>
  <c r="CY138" i="2"/>
  <c r="CZ138" i="2"/>
  <c r="DA138" i="2"/>
  <c r="DC138" i="2"/>
  <c r="DD138" i="2"/>
  <c r="DE138" i="2"/>
  <c r="DI138" i="2"/>
  <c r="DJ138" i="2"/>
  <c r="DK138" i="2"/>
  <c r="DM138" i="2"/>
  <c r="DN138" i="2"/>
  <c r="DO138" i="2"/>
  <c r="DQ138" i="2"/>
  <c r="DR138" i="2"/>
  <c r="DS138" i="2"/>
  <c r="DU138" i="2"/>
  <c r="DV138" i="2"/>
  <c r="DW138" i="2"/>
  <c r="I139" i="2"/>
  <c r="J139" i="2"/>
  <c r="K139" i="2"/>
  <c r="L139" i="2"/>
  <c r="M139" i="2"/>
  <c r="N139" i="2"/>
  <c r="O139" i="2"/>
  <c r="P139" i="2"/>
  <c r="Q139" i="2"/>
  <c r="T139" i="2"/>
  <c r="U139" i="2"/>
  <c r="V139" i="2"/>
  <c r="X139" i="2"/>
  <c r="Y139" i="2"/>
  <c r="Z139" i="2"/>
  <c r="AA139" i="2"/>
  <c r="AB139" i="2"/>
  <c r="AC139" i="2"/>
  <c r="AD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T139" i="2"/>
  <c r="BU139" i="2"/>
  <c r="BW139" i="2"/>
  <c r="BX139" i="2"/>
  <c r="BY139" i="2"/>
  <c r="CA139" i="2"/>
  <c r="CB139" i="2"/>
  <c r="CC139" i="2"/>
  <c r="CD139" i="2"/>
  <c r="CE139" i="2"/>
  <c r="CG139" i="2"/>
  <c r="CH139" i="2"/>
  <c r="CJ139" i="2"/>
  <c r="CK139" i="2"/>
  <c r="CL139" i="2"/>
  <c r="CN139" i="2"/>
  <c r="CO139" i="2"/>
  <c r="CP139" i="2"/>
  <c r="CQ139" i="2"/>
  <c r="CR139" i="2"/>
  <c r="CT139" i="2"/>
  <c r="CU139" i="2"/>
  <c r="CV139" i="2"/>
  <c r="CW139" i="2"/>
  <c r="CY139" i="2"/>
  <c r="CZ139" i="2"/>
  <c r="DA139" i="2"/>
  <c r="DC139" i="2"/>
  <c r="DD139" i="2"/>
  <c r="DE139" i="2"/>
  <c r="DI139" i="2"/>
  <c r="DJ139" i="2"/>
  <c r="DK139" i="2"/>
  <c r="DM139" i="2"/>
  <c r="DN139" i="2"/>
  <c r="DO139" i="2"/>
  <c r="DQ139" i="2"/>
  <c r="DR139" i="2"/>
  <c r="DS139" i="2"/>
  <c r="DU139" i="2"/>
  <c r="DV139" i="2"/>
  <c r="DW139" i="2"/>
  <c r="I140" i="2"/>
  <c r="J140" i="2"/>
  <c r="K140" i="2"/>
  <c r="L140" i="2"/>
  <c r="M140" i="2"/>
  <c r="N140" i="2"/>
  <c r="O140" i="2"/>
  <c r="P140" i="2"/>
  <c r="Q140" i="2"/>
  <c r="T140" i="2"/>
  <c r="U140" i="2"/>
  <c r="V140" i="2"/>
  <c r="X140" i="2"/>
  <c r="Y140" i="2"/>
  <c r="Z140" i="2"/>
  <c r="AA140" i="2"/>
  <c r="AB140" i="2"/>
  <c r="AC140" i="2"/>
  <c r="AD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T140" i="2"/>
  <c r="BU140" i="2"/>
  <c r="BW140" i="2"/>
  <c r="BX140" i="2"/>
  <c r="BY140" i="2"/>
  <c r="CA140" i="2"/>
  <c r="CB140" i="2"/>
  <c r="CC140" i="2"/>
  <c r="CD140" i="2"/>
  <c r="CE140" i="2"/>
  <c r="CG140" i="2"/>
  <c r="CH140" i="2"/>
  <c r="CJ140" i="2"/>
  <c r="CK140" i="2"/>
  <c r="CL140" i="2"/>
  <c r="CN140" i="2"/>
  <c r="CO140" i="2"/>
  <c r="CP140" i="2"/>
  <c r="CQ140" i="2"/>
  <c r="CR140" i="2"/>
  <c r="CT140" i="2"/>
  <c r="CU140" i="2"/>
  <c r="CV140" i="2"/>
  <c r="CW140" i="2"/>
  <c r="CY140" i="2"/>
  <c r="CZ140" i="2"/>
  <c r="DA140" i="2"/>
  <c r="DC140" i="2"/>
  <c r="DD140" i="2"/>
  <c r="DE140" i="2"/>
  <c r="DI140" i="2"/>
  <c r="DJ140" i="2"/>
  <c r="DK140" i="2"/>
  <c r="DM140" i="2"/>
  <c r="DN140" i="2"/>
  <c r="DO140" i="2"/>
  <c r="DQ140" i="2"/>
  <c r="DR140" i="2"/>
  <c r="DS140" i="2"/>
  <c r="DU140" i="2"/>
  <c r="DV140" i="2"/>
  <c r="DW140" i="2"/>
  <c r="I141" i="2"/>
  <c r="J141" i="2"/>
  <c r="K141" i="2"/>
  <c r="L141" i="2"/>
  <c r="M141" i="2"/>
  <c r="N141" i="2"/>
  <c r="O141" i="2"/>
  <c r="P141" i="2"/>
  <c r="Q141" i="2"/>
  <c r="T141" i="2"/>
  <c r="U141" i="2"/>
  <c r="V141" i="2"/>
  <c r="X141" i="2"/>
  <c r="Y141" i="2"/>
  <c r="Z141" i="2"/>
  <c r="AA141" i="2"/>
  <c r="AB141" i="2"/>
  <c r="AC141" i="2"/>
  <c r="AD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T141" i="2"/>
  <c r="BU141" i="2"/>
  <c r="BW141" i="2"/>
  <c r="BX141" i="2"/>
  <c r="BY141" i="2"/>
  <c r="CA141" i="2"/>
  <c r="CB141" i="2"/>
  <c r="CC141" i="2"/>
  <c r="CD141" i="2"/>
  <c r="CE141" i="2"/>
  <c r="CG141" i="2"/>
  <c r="CH141" i="2"/>
  <c r="CJ141" i="2"/>
  <c r="CK141" i="2"/>
  <c r="CL141" i="2"/>
  <c r="CN141" i="2"/>
  <c r="CO141" i="2"/>
  <c r="CP141" i="2"/>
  <c r="CQ141" i="2"/>
  <c r="CR141" i="2"/>
  <c r="CT141" i="2"/>
  <c r="CU141" i="2"/>
  <c r="CV141" i="2"/>
  <c r="CW141" i="2"/>
  <c r="CY141" i="2"/>
  <c r="CZ141" i="2"/>
  <c r="DA141" i="2"/>
  <c r="DC141" i="2"/>
  <c r="DD141" i="2"/>
  <c r="DE141" i="2"/>
  <c r="DI141" i="2"/>
  <c r="DJ141" i="2"/>
  <c r="DK141" i="2"/>
  <c r="DM141" i="2"/>
  <c r="DN141" i="2"/>
  <c r="DO141" i="2"/>
  <c r="DQ141" i="2"/>
  <c r="DR141" i="2"/>
  <c r="DS141" i="2"/>
  <c r="DU141" i="2"/>
  <c r="DV141" i="2"/>
  <c r="DW141" i="2"/>
  <c r="I142" i="2"/>
  <c r="J142" i="2"/>
  <c r="K142" i="2"/>
  <c r="L142" i="2"/>
  <c r="M142" i="2"/>
  <c r="N142" i="2"/>
  <c r="O142" i="2"/>
  <c r="P142" i="2"/>
  <c r="Q142" i="2"/>
  <c r="T142" i="2"/>
  <c r="U142" i="2"/>
  <c r="V142" i="2"/>
  <c r="X142" i="2"/>
  <c r="Y142" i="2"/>
  <c r="Z142" i="2"/>
  <c r="AA142" i="2"/>
  <c r="AB142" i="2"/>
  <c r="AC142" i="2"/>
  <c r="AD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T142" i="2"/>
  <c r="BU142" i="2"/>
  <c r="BW142" i="2"/>
  <c r="BX142" i="2"/>
  <c r="BY142" i="2"/>
  <c r="CA142" i="2"/>
  <c r="CB142" i="2"/>
  <c r="CC142" i="2"/>
  <c r="CD142" i="2"/>
  <c r="CE142" i="2"/>
  <c r="CG142" i="2"/>
  <c r="CH142" i="2"/>
  <c r="CJ142" i="2"/>
  <c r="CK142" i="2"/>
  <c r="CL142" i="2"/>
  <c r="CN142" i="2"/>
  <c r="CO142" i="2"/>
  <c r="CP142" i="2"/>
  <c r="CQ142" i="2"/>
  <c r="CR142" i="2"/>
  <c r="CT142" i="2"/>
  <c r="CU142" i="2"/>
  <c r="CV142" i="2"/>
  <c r="CW142" i="2"/>
  <c r="CY142" i="2"/>
  <c r="CZ142" i="2"/>
  <c r="DA142" i="2"/>
  <c r="DC142" i="2"/>
  <c r="DD142" i="2"/>
  <c r="DE142" i="2"/>
  <c r="DI142" i="2"/>
  <c r="DJ142" i="2"/>
  <c r="DK142" i="2"/>
  <c r="DM142" i="2"/>
  <c r="DN142" i="2"/>
  <c r="DO142" i="2"/>
  <c r="DQ142" i="2"/>
  <c r="DR142" i="2"/>
  <c r="DS142" i="2"/>
  <c r="DU142" i="2"/>
  <c r="DV142" i="2"/>
  <c r="DW142" i="2"/>
  <c r="I143" i="2"/>
  <c r="J143" i="2"/>
  <c r="K143" i="2"/>
  <c r="L143" i="2"/>
  <c r="M143" i="2"/>
  <c r="N143" i="2"/>
  <c r="O143" i="2"/>
  <c r="P143" i="2"/>
  <c r="Q143" i="2"/>
  <c r="T143" i="2"/>
  <c r="U143" i="2"/>
  <c r="V143" i="2"/>
  <c r="X143" i="2"/>
  <c r="Y143" i="2"/>
  <c r="Z143" i="2"/>
  <c r="AA143" i="2"/>
  <c r="AB143" i="2"/>
  <c r="AC143" i="2"/>
  <c r="AD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T143" i="2"/>
  <c r="BU143" i="2"/>
  <c r="BW143" i="2"/>
  <c r="BX143" i="2"/>
  <c r="BY143" i="2"/>
  <c r="CA143" i="2"/>
  <c r="CB143" i="2"/>
  <c r="CC143" i="2"/>
  <c r="CD143" i="2"/>
  <c r="CE143" i="2"/>
  <c r="CG143" i="2"/>
  <c r="CH143" i="2"/>
  <c r="CJ143" i="2"/>
  <c r="CK143" i="2"/>
  <c r="CL143" i="2"/>
  <c r="CN143" i="2"/>
  <c r="CO143" i="2"/>
  <c r="CP143" i="2"/>
  <c r="CQ143" i="2"/>
  <c r="CR143" i="2"/>
  <c r="CT143" i="2"/>
  <c r="CU143" i="2"/>
  <c r="CV143" i="2"/>
  <c r="CW143" i="2"/>
  <c r="CY143" i="2"/>
  <c r="CZ143" i="2"/>
  <c r="DA143" i="2"/>
  <c r="DC143" i="2"/>
  <c r="DD143" i="2"/>
  <c r="DE143" i="2"/>
  <c r="DI143" i="2"/>
  <c r="DJ143" i="2"/>
  <c r="DK143" i="2"/>
  <c r="DM143" i="2"/>
  <c r="DN143" i="2"/>
  <c r="DO143" i="2"/>
  <c r="DQ143" i="2"/>
  <c r="DR143" i="2"/>
  <c r="DS143" i="2"/>
  <c r="DU143" i="2"/>
  <c r="DV143" i="2"/>
  <c r="DW143" i="2"/>
  <c r="I144" i="2"/>
  <c r="J144" i="2"/>
  <c r="K144" i="2"/>
  <c r="L144" i="2"/>
  <c r="M144" i="2"/>
  <c r="N144" i="2"/>
  <c r="O144" i="2"/>
  <c r="P144" i="2"/>
  <c r="Q144" i="2"/>
  <c r="T144" i="2"/>
  <c r="U144" i="2"/>
  <c r="V144" i="2"/>
  <c r="X144" i="2"/>
  <c r="Y144" i="2"/>
  <c r="Z144" i="2"/>
  <c r="AA144" i="2"/>
  <c r="AB144" i="2"/>
  <c r="AC144" i="2"/>
  <c r="AD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T144" i="2"/>
  <c r="BU144" i="2"/>
  <c r="BW144" i="2"/>
  <c r="BX144" i="2"/>
  <c r="BY144" i="2"/>
  <c r="CA144" i="2"/>
  <c r="CB144" i="2"/>
  <c r="CC144" i="2"/>
  <c r="CD144" i="2"/>
  <c r="CE144" i="2"/>
  <c r="CG144" i="2"/>
  <c r="CH144" i="2"/>
  <c r="CJ144" i="2"/>
  <c r="CK144" i="2"/>
  <c r="CL144" i="2"/>
  <c r="CN144" i="2"/>
  <c r="CO144" i="2"/>
  <c r="CP144" i="2"/>
  <c r="CQ144" i="2"/>
  <c r="CR144" i="2"/>
  <c r="CT144" i="2"/>
  <c r="CU144" i="2"/>
  <c r="CV144" i="2"/>
  <c r="CW144" i="2"/>
  <c r="CY144" i="2"/>
  <c r="CZ144" i="2"/>
  <c r="DA144" i="2"/>
  <c r="DC144" i="2"/>
  <c r="DD144" i="2"/>
  <c r="DE144" i="2"/>
  <c r="DI144" i="2"/>
  <c r="DJ144" i="2"/>
  <c r="DK144" i="2"/>
  <c r="DM144" i="2"/>
  <c r="DN144" i="2"/>
  <c r="DO144" i="2"/>
  <c r="DQ144" i="2"/>
  <c r="DR144" i="2"/>
  <c r="DS144" i="2"/>
  <c r="DU144" i="2"/>
  <c r="DV144" i="2"/>
  <c r="DW144" i="2"/>
  <c r="I145" i="2"/>
  <c r="J145" i="2"/>
  <c r="K145" i="2"/>
  <c r="L145" i="2"/>
  <c r="M145" i="2"/>
  <c r="N145" i="2"/>
  <c r="O145" i="2"/>
  <c r="P145" i="2"/>
  <c r="Q145" i="2"/>
  <c r="T145" i="2"/>
  <c r="U145" i="2"/>
  <c r="V145" i="2"/>
  <c r="X145" i="2"/>
  <c r="Y145" i="2"/>
  <c r="Z145" i="2"/>
  <c r="AA145" i="2"/>
  <c r="AB145" i="2"/>
  <c r="AC145" i="2"/>
  <c r="AD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T145" i="2"/>
  <c r="BU145" i="2"/>
  <c r="BW145" i="2"/>
  <c r="BX145" i="2"/>
  <c r="BY145" i="2"/>
  <c r="CA145" i="2"/>
  <c r="CB145" i="2"/>
  <c r="CC145" i="2"/>
  <c r="CD145" i="2"/>
  <c r="CE145" i="2"/>
  <c r="CG145" i="2"/>
  <c r="CH145" i="2"/>
  <c r="CJ145" i="2"/>
  <c r="CK145" i="2"/>
  <c r="CL145" i="2"/>
  <c r="CN145" i="2"/>
  <c r="CO145" i="2"/>
  <c r="CP145" i="2"/>
  <c r="CQ145" i="2"/>
  <c r="CR145" i="2"/>
  <c r="CT145" i="2"/>
  <c r="CU145" i="2"/>
  <c r="CV145" i="2"/>
  <c r="CW145" i="2"/>
  <c r="CY145" i="2"/>
  <c r="CZ145" i="2"/>
  <c r="DA145" i="2"/>
  <c r="DC145" i="2"/>
  <c r="DD145" i="2"/>
  <c r="DE145" i="2"/>
  <c r="DI145" i="2"/>
  <c r="DJ145" i="2"/>
  <c r="DK145" i="2"/>
  <c r="DM145" i="2"/>
  <c r="DN145" i="2"/>
  <c r="DO145" i="2"/>
  <c r="DQ145" i="2"/>
  <c r="DR145" i="2"/>
  <c r="DS145" i="2"/>
  <c r="DU145" i="2"/>
  <c r="DV145" i="2"/>
  <c r="DW145" i="2"/>
  <c r="I146" i="2"/>
  <c r="J146" i="2"/>
  <c r="K146" i="2"/>
  <c r="L146" i="2"/>
  <c r="M146" i="2"/>
  <c r="N146" i="2"/>
  <c r="O146" i="2"/>
  <c r="P146" i="2"/>
  <c r="Q146" i="2"/>
  <c r="T146" i="2"/>
  <c r="U146" i="2"/>
  <c r="V146" i="2"/>
  <c r="X146" i="2"/>
  <c r="Y146" i="2"/>
  <c r="Z146" i="2"/>
  <c r="AA146" i="2"/>
  <c r="AB146" i="2"/>
  <c r="AC146" i="2"/>
  <c r="AD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T146" i="2"/>
  <c r="BU146" i="2"/>
  <c r="BW146" i="2"/>
  <c r="BX146" i="2"/>
  <c r="BY146" i="2"/>
  <c r="CA146" i="2"/>
  <c r="CB146" i="2"/>
  <c r="CC146" i="2"/>
  <c r="CD146" i="2"/>
  <c r="CE146" i="2"/>
  <c r="CG146" i="2"/>
  <c r="CH146" i="2"/>
  <c r="CJ146" i="2"/>
  <c r="CK146" i="2"/>
  <c r="CL146" i="2"/>
  <c r="CN146" i="2"/>
  <c r="CO146" i="2"/>
  <c r="CP146" i="2"/>
  <c r="CQ146" i="2"/>
  <c r="CR146" i="2"/>
  <c r="CT146" i="2"/>
  <c r="CU146" i="2"/>
  <c r="CV146" i="2"/>
  <c r="CW146" i="2"/>
  <c r="CY146" i="2"/>
  <c r="CZ146" i="2"/>
  <c r="DA146" i="2"/>
  <c r="DC146" i="2"/>
  <c r="DD146" i="2"/>
  <c r="DE146" i="2"/>
  <c r="DI146" i="2"/>
  <c r="DJ146" i="2"/>
  <c r="DK146" i="2"/>
  <c r="DM146" i="2"/>
  <c r="DN146" i="2"/>
  <c r="DO146" i="2"/>
  <c r="DQ146" i="2"/>
  <c r="DR146" i="2"/>
  <c r="DS146" i="2"/>
  <c r="DU146" i="2"/>
  <c r="DV146" i="2"/>
  <c r="DW146" i="2"/>
  <c r="I147" i="2"/>
  <c r="J147" i="2"/>
  <c r="K147" i="2"/>
  <c r="L147" i="2"/>
  <c r="M147" i="2"/>
  <c r="N147" i="2"/>
  <c r="O147" i="2"/>
  <c r="P147" i="2"/>
  <c r="Q147" i="2"/>
  <c r="T147" i="2"/>
  <c r="U147" i="2"/>
  <c r="V147" i="2"/>
  <c r="X147" i="2"/>
  <c r="Y147" i="2"/>
  <c r="Z147" i="2"/>
  <c r="AA147" i="2"/>
  <c r="AB147" i="2"/>
  <c r="AC147" i="2"/>
  <c r="AD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T147" i="2"/>
  <c r="BU147" i="2"/>
  <c r="BW147" i="2"/>
  <c r="BX147" i="2"/>
  <c r="BY147" i="2"/>
  <c r="CA147" i="2"/>
  <c r="CB147" i="2"/>
  <c r="CC147" i="2"/>
  <c r="CD147" i="2"/>
  <c r="CE147" i="2"/>
  <c r="CG147" i="2"/>
  <c r="CH147" i="2"/>
  <c r="CJ147" i="2"/>
  <c r="CK147" i="2"/>
  <c r="CL147" i="2"/>
  <c r="CN147" i="2"/>
  <c r="CO147" i="2"/>
  <c r="CP147" i="2"/>
  <c r="CQ147" i="2"/>
  <c r="CR147" i="2"/>
  <c r="CT147" i="2"/>
  <c r="CU147" i="2"/>
  <c r="CV147" i="2"/>
  <c r="CW147" i="2"/>
  <c r="CY147" i="2"/>
  <c r="CZ147" i="2"/>
  <c r="DA147" i="2"/>
  <c r="DC147" i="2"/>
  <c r="DD147" i="2"/>
  <c r="DE147" i="2"/>
  <c r="DI147" i="2"/>
  <c r="DJ147" i="2"/>
  <c r="DK147" i="2"/>
  <c r="DM147" i="2"/>
  <c r="DN147" i="2"/>
  <c r="DO147" i="2"/>
  <c r="DQ147" i="2"/>
  <c r="DR147" i="2"/>
  <c r="DS147" i="2"/>
  <c r="DU147" i="2"/>
  <c r="DV147" i="2"/>
  <c r="DW147" i="2"/>
  <c r="I148" i="2"/>
  <c r="J148" i="2"/>
  <c r="K148" i="2"/>
  <c r="L148" i="2"/>
  <c r="M148" i="2"/>
  <c r="N148" i="2"/>
  <c r="O148" i="2"/>
  <c r="P148" i="2"/>
  <c r="Q148" i="2"/>
  <c r="T148" i="2"/>
  <c r="U148" i="2"/>
  <c r="V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T148" i="2"/>
  <c r="BU148" i="2"/>
  <c r="BW148" i="2"/>
  <c r="BX148" i="2"/>
  <c r="BY148" i="2"/>
  <c r="CA148" i="2"/>
  <c r="CB148" i="2"/>
  <c r="CC148" i="2"/>
  <c r="CD148" i="2"/>
  <c r="CE148" i="2"/>
  <c r="CG148" i="2"/>
  <c r="CH148" i="2"/>
  <c r="CJ148" i="2"/>
  <c r="CK148" i="2"/>
  <c r="CL148" i="2"/>
  <c r="CN148" i="2"/>
  <c r="CO148" i="2"/>
  <c r="CP148" i="2"/>
  <c r="CQ148" i="2"/>
  <c r="CR148" i="2"/>
  <c r="CT148" i="2"/>
  <c r="CU148" i="2"/>
  <c r="CV148" i="2"/>
  <c r="CW148" i="2"/>
  <c r="CY148" i="2"/>
  <c r="CZ148" i="2"/>
  <c r="DA148" i="2"/>
  <c r="DC148" i="2"/>
  <c r="DD148" i="2"/>
  <c r="DE148" i="2"/>
  <c r="DI148" i="2"/>
  <c r="DJ148" i="2"/>
  <c r="DK148" i="2"/>
  <c r="DM148" i="2"/>
  <c r="DN148" i="2"/>
  <c r="DO148" i="2"/>
  <c r="DQ148" i="2"/>
  <c r="DR148" i="2"/>
  <c r="DS148" i="2"/>
  <c r="DU148" i="2"/>
  <c r="DV148" i="2"/>
  <c r="DW148" i="2"/>
  <c r="I149" i="2"/>
  <c r="J149" i="2"/>
  <c r="K149" i="2"/>
  <c r="L149" i="2"/>
  <c r="M149" i="2"/>
  <c r="N149" i="2"/>
  <c r="O149" i="2"/>
  <c r="P149" i="2"/>
  <c r="Q149" i="2"/>
  <c r="T149" i="2"/>
  <c r="U149" i="2"/>
  <c r="V149" i="2"/>
  <c r="X149" i="2"/>
  <c r="Y149" i="2"/>
  <c r="Z149" i="2"/>
  <c r="AA149" i="2"/>
  <c r="AB149" i="2"/>
  <c r="AC149" i="2"/>
  <c r="AD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T149" i="2"/>
  <c r="BU149" i="2"/>
  <c r="BW149" i="2"/>
  <c r="BX149" i="2"/>
  <c r="BY149" i="2"/>
  <c r="CA149" i="2"/>
  <c r="CB149" i="2"/>
  <c r="CC149" i="2"/>
  <c r="CD149" i="2"/>
  <c r="CE149" i="2"/>
  <c r="CG149" i="2"/>
  <c r="CH149" i="2"/>
  <c r="CJ149" i="2"/>
  <c r="CK149" i="2"/>
  <c r="CL149" i="2"/>
  <c r="CN149" i="2"/>
  <c r="CO149" i="2"/>
  <c r="CP149" i="2"/>
  <c r="CQ149" i="2"/>
  <c r="CR149" i="2"/>
  <c r="CT149" i="2"/>
  <c r="CU149" i="2"/>
  <c r="CV149" i="2"/>
  <c r="CW149" i="2"/>
  <c r="CY149" i="2"/>
  <c r="CZ149" i="2"/>
  <c r="DA149" i="2"/>
  <c r="DC149" i="2"/>
  <c r="DD149" i="2"/>
  <c r="DE149" i="2"/>
  <c r="DI149" i="2"/>
  <c r="DJ149" i="2"/>
  <c r="DK149" i="2"/>
  <c r="DM149" i="2"/>
  <c r="DN149" i="2"/>
  <c r="DO149" i="2"/>
  <c r="DQ149" i="2"/>
  <c r="DR149" i="2"/>
  <c r="DS149" i="2"/>
  <c r="DU149" i="2"/>
  <c r="DV149" i="2"/>
  <c r="DW149" i="2"/>
  <c r="I150" i="2"/>
  <c r="J150" i="2"/>
  <c r="K150" i="2"/>
  <c r="L150" i="2"/>
  <c r="M150" i="2"/>
  <c r="N150" i="2"/>
  <c r="O150" i="2"/>
  <c r="P150" i="2"/>
  <c r="Q150" i="2"/>
  <c r="T150" i="2"/>
  <c r="U150" i="2"/>
  <c r="V150" i="2"/>
  <c r="X150" i="2"/>
  <c r="Y150" i="2"/>
  <c r="Z150" i="2"/>
  <c r="AA150" i="2"/>
  <c r="AB150" i="2"/>
  <c r="AC150" i="2"/>
  <c r="AD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T150" i="2"/>
  <c r="BU150" i="2"/>
  <c r="BW150" i="2"/>
  <c r="BX150" i="2"/>
  <c r="BY150" i="2"/>
  <c r="CA150" i="2"/>
  <c r="CB150" i="2"/>
  <c r="CC150" i="2"/>
  <c r="CD150" i="2"/>
  <c r="CE150" i="2"/>
  <c r="CG150" i="2"/>
  <c r="CH150" i="2"/>
  <c r="CJ150" i="2"/>
  <c r="CK150" i="2"/>
  <c r="CL150" i="2"/>
  <c r="CN150" i="2"/>
  <c r="CO150" i="2"/>
  <c r="CP150" i="2"/>
  <c r="CQ150" i="2"/>
  <c r="CR150" i="2"/>
  <c r="CT150" i="2"/>
  <c r="CU150" i="2"/>
  <c r="CV150" i="2"/>
  <c r="CW150" i="2"/>
  <c r="CY150" i="2"/>
  <c r="CZ150" i="2"/>
  <c r="DA150" i="2"/>
  <c r="DC150" i="2"/>
  <c r="DD150" i="2"/>
  <c r="DE150" i="2"/>
  <c r="DI150" i="2"/>
  <c r="DJ150" i="2"/>
  <c r="DK150" i="2"/>
  <c r="DM150" i="2"/>
  <c r="DN150" i="2"/>
  <c r="DO150" i="2"/>
  <c r="DQ150" i="2"/>
  <c r="DR150" i="2"/>
  <c r="DS150" i="2"/>
  <c r="DU150" i="2"/>
  <c r="DV150" i="2"/>
  <c r="DW150" i="2"/>
  <c r="I151" i="2"/>
  <c r="J151" i="2"/>
  <c r="K151" i="2"/>
  <c r="L151" i="2"/>
  <c r="M151" i="2"/>
  <c r="N151" i="2"/>
  <c r="O151" i="2"/>
  <c r="P151" i="2"/>
  <c r="Q151" i="2"/>
  <c r="T151" i="2"/>
  <c r="U151" i="2"/>
  <c r="V151" i="2"/>
  <c r="X151" i="2"/>
  <c r="Y151" i="2"/>
  <c r="Z151" i="2"/>
  <c r="AA151" i="2"/>
  <c r="AB151" i="2"/>
  <c r="AC151" i="2"/>
  <c r="AD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T151" i="2"/>
  <c r="BU151" i="2"/>
  <c r="BW151" i="2"/>
  <c r="BX151" i="2"/>
  <c r="BY151" i="2"/>
  <c r="CA151" i="2"/>
  <c r="CB151" i="2"/>
  <c r="CC151" i="2"/>
  <c r="CD151" i="2"/>
  <c r="CE151" i="2"/>
  <c r="CG151" i="2"/>
  <c r="CH151" i="2"/>
  <c r="CJ151" i="2"/>
  <c r="CK151" i="2"/>
  <c r="CL151" i="2"/>
  <c r="CN151" i="2"/>
  <c r="CO151" i="2"/>
  <c r="CP151" i="2"/>
  <c r="CQ151" i="2"/>
  <c r="CR151" i="2"/>
  <c r="CT151" i="2"/>
  <c r="CU151" i="2"/>
  <c r="CV151" i="2"/>
  <c r="CW151" i="2"/>
  <c r="CY151" i="2"/>
  <c r="CZ151" i="2"/>
  <c r="DA151" i="2"/>
  <c r="DC151" i="2"/>
  <c r="DD151" i="2"/>
  <c r="DE151" i="2"/>
  <c r="DI151" i="2"/>
  <c r="DJ151" i="2"/>
  <c r="DK151" i="2"/>
  <c r="DM151" i="2"/>
  <c r="DN151" i="2"/>
  <c r="DO151" i="2"/>
  <c r="DQ151" i="2"/>
  <c r="DR151" i="2"/>
  <c r="DS151" i="2"/>
  <c r="DU151" i="2"/>
  <c r="DV151" i="2"/>
  <c r="DW151" i="2"/>
  <c r="I152" i="2"/>
  <c r="J152" i="2"/>
  <c r="K152" i="2"/>
  <c r="L152" i="2"/>
  <c r="M152" i="2"/>
  <c r="N152" i="2"/>
  <c r="O152" i="2"/>
  <c r="P152" i="2"/>
  <c r="Q152" i="2"/>
  <c r="T152" i="2"/>
  <c r="U152" i="2"/>
  <c r="V152" i="2"/>
  <c r="X152" i="2"/>
  <c r="Y152" i="2"/>
  <c r="Z152" i="2"/>
  <c r="AA152" i="2"/>
  <c r="AB152" i="2"/>
  <c r="AC152" i="2"/>
  <c r="AD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T152" i="2"/>
  <c r="BU152" i="2"/>
  <c r="BW152" i="2"/>
  <c r="BX152" i="2"/>
  <c r="BY152" i="2"/>
  <c r="CA152" i="2"/>
  <c r="CB152" i="2"/>
  <c r="CC152" i="2"/>
  <c r="CD152" i="2"/>
  <c r="CE152" i="2"/>
  <c r="CG152" i="2"/>
  <c r="CH152" i="2"/>
  <c r="CJ152" i="2"/>
  <c r="CK152" i="2"/>
  <c r="CL152" i="2"/>
  <c r="CN152" i="2"/>
  <c r="CO152" i="2"/>
  <c r="CP152" i="2"/>
  <c r="CQ152" i="2"/>
  <c r="CR152" i="2"/>
  <c r="CT152" i="2"/>
  <c r="CU152" i="2"/>
  <c r="CV152" i="2"/>
  <c r="CW152" i="2"/>
  <c r="CY152" i="2"/>
  <c r="CZ152" i="2"/>
  <c r="DA152" i="2"/>
  <c r="DC152" i="2"/>
  <c r="DD152" i="2"/>
  <c r="DE152" i="2"/>
  <c r="DI152" i="2"/>
  <c r="DJ152" i="2"/>
  <c r="DK152" i="2"/>
  <c r="DM152" i="2"/>
  <c r="DN152" i="2"/>
  <c r="DO152" i="2"/>
  <c r="DQ152" i="2"/>
  <c r="DR152" i="2"/>
  <c r="DS152" i="2"/>
  <c r="DU152" i="2"/>
  <c r="DV152" i="2"/>
  <c r="DW152" i="2"/>
  <c r="I153" i="2"/>
  <c r="J153" i="2"/>
  <c r="K153" i="2"/>
  <c r="L153" i="2"/>
  <c r="M153" i="2"/>
  <c r="N153" i="2"/>
  <c r="O153" i="2"/>
  <c r="P153" i="2"/>
  <c r="Q153" i="2"/>
  <c r="T153" i="2"/>
  <c r="U153" i="2"/>
  <c r="V153" i="2"/>
  <c r="X153" i="2"/>
  <c r="Y153" i="2"/>
  <c r="Z153" i="2"/>
  <c r="AA153" i="2"/>
  <c r="AB153" i="2"/>
  <c r="AC153" i="2"/>
  <c r="AD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T153" i="2"/>
  <c r="BU153" i="2"/>
  <c r="BW153" i="2"/>
  <c r="BX153" i="2"/>
  <c r="BY153" i="2"/>
  <c r="CA153" i="2"/>
  <c r="CB153" i="2"/>
  <c r="CC153" i="2"/>
  <c r="CD153" i="2"/>
  <c r="CE153" i="2"/>
  <c r="CG153" i="2"/>
  <c r="CH153" i="2"/>
  <c r="CJ153" i="2"/>
  <c r="CK153" i="2"/>
  <c r="CL153" i="2"/>
  <c r="CN153" i="2"/>
  <c r="CO153" i="2"/>
  <c r="CP153" i="2"/>
  <c r="CQ153" i="2"/>
  <c r="CR153" i="2"/>
  <c r="CT153" i="2"/>
  <c r="CU153" i="2"/>
  <c r="CV153" i="2"/>
  <c r="CW153" i="2"/>
  <c r="CY153" i="2"/>
  <c r="CZ153" i="2"/>
  <c r="DA153" i="2"/>
  <c r="DC153" i="2"/>
  <c r="DD153" i="2"/>
  <c r="DE153" i="2"/>
  <c r="DI153" i="2"/>
  <c r="DJ153" i="2"/>
  <c r="DK153" i="2"/>
  <c r="DM153" i="2"/>
  <c r="DN153" i="2"/>
  <c r="DO153" i="2"/>
  <c r="DQ153" i="2"/>
  <c r="DR153" i="2"/>
  <c r="DS153" i="2"/>
  <c r="DU153" i="2"/>
  <c r="DV153" i="2"/>
  <c r="DW153" i="2"/>
  <c r="I154" i="2"/>
  <c r="J154" i="2"/>
  <c r="K154" i="2"/>
  <c r="L154" i="2"/>
  <c r="M154" i="2"/>
  <c r="N154" i="2"/>
  <c r="O154" i="2"/>
  <c r="P154" i="2"/>
  <c r="Q154" i="2"/>
  <c r="T154" i="2"/>
  <c r="U154" i="2"/>
  <c r="V154" i="2"/>
  <c r="X154" i="2"/>
  <c r="Y154" i="2"/>
  <c r="Z154" i="2"/>
  <c r="AA154" i="2"/>
  <c r="AB154" i="2"/>
  <c r="AC154" i="2"/>
  <c r="AD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T154" i="2"/>
  <c r="BU154" i="2"/>
  <c r="BW154" i="2"/>
  <c r="BX154" i="2"/>
  <c r="BY154" i="2"/>
  <c r="CA154" i="2"/>
  <c r="CB154" i="2"/>
  <c r="CC154" i="2"/>
  <c r="CD154" i="2"/>
  <c r="CE154" i="2"/>
  <c r="CG154" i="2"/>
  <c r="CH154" i="2"/>
  <c r="CJ154" i="2"/>
  <c r="CK154" i="2"/>
  <c r="CL154" i="2"/>
  <c r="CN154" i="2"/>
  <c r="CO154" i="2"/>
  <c r="CP154" i="2"/>
  <c r="CQ154" i="2"/>
  <c r="CR154" i="2"/>
  <c r="CT154" i="2"/>
  <c r="CU154" i="2"/>
  <c r="CV154" i="2"/>
  <c r="CW154" i="2"/>
  <c r="CY154" i="2"/>
  <c r="CZ154" i="2"/>
  <c r="DA154" i="2"/>
  <c r="DC154" i="2"/>
  <c r="DD154" i="2"/>
  <c r="DE154" i="2"/>
  <c r="DI154" i="2"/>
  <c r="DJ154" i="2"/>
  <c r="DK154" i="2"/>
  <c r="DM154" i="2"/>
  <c r="DN154" i="2"/>
  <c r="DO154" i="2"/>
  <c r="DQ154" i="2"/>
  <c r="DR154" i="2"/>
  <c r="DS154" i="2"/>
  <c r="DU154" i="2"/>
  <c r="DV154" i="2"/>
  <c r="DW154" i="2"/>
  <c r="I155" i="2"/>
  <c r="J155" i="2"/>
  <c r="K155" i="2"/>
  <c r="L155" i="2"/>
  <c r="M155" i="2"/>
  <c r="N155" i="2"/>
  <c r="O155" i="2"/>
  <c r="P155" i="2"/>
  <c r="Q155" i="2"/>
  <c r="T155" i="2"/>
  <c r="U155" i="2"/>
  <c r="V155" i="2"/>
  <c r="X155" i="2"/>
  <c r="Y155" i="2"/>
  <c r="Z155" i="2"/>
  <c r="AA155" i="2"/>
  <c r="AB155" i="2"/>
  <c r="AC155" i="2"/>
  <c r="AD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T155" i="2"/>
  <c r="BU155" i="2"/>
  <c r="BW155" i="2"/>
  <c r="BX155" i="2"/>
  <c r="BY155" i="2"/>
  <c r="CA155" i="2"/>
  <c r="CB155" i="2"/>
  <c r="CC155" i="2"/>
  <c r="CD155" i="2"/>
  <c r="CE155" i="2"/>
  <c r="CG155" i="2"/>
  <c r="CH155" i="2"/>
  <c r="CJ155" i="2"/>
  <c r="CK155" i="2"/>
  <c r="CL155" i="2"/>
  <c r="CN155" i="2"/>
  <c r="CO155" i="2"/>
  <c r="CP155" i="2"/>
  <c r="CQ155" i="2"/>
  <c r="CR155" i="2"/>
  <c r="CT155" i="2"/>
  <c r="CU155" i="2"/>
  <c r="CV155" i="2"/>
  <c r="CW155" i="2"/>
  <c r="CY155" i="2"/>
  <c r="CZ155" i="2"/>
  <c r="DA155" i="2"/>
  <c r="DC155" i="2"/>
  <c r="DD155" i="2"/>
  <c r="DE155" i="2"/>
  <c r="DI155" i="2"/>
  <c r="DJ155" i="2"/>
  <c r="DK155" i="2"/>
  <c r="DM155" i="2"/>
  <c r="DN155" i="2"/>
  <c r="DO155" i="2"/>
  <c r="DQ155" i="2"/>
  <c r="DR155" i="2"/>
  <c r="DS155" i="2"/>
  <c r="DU155" i="2"/>
  <c r="DV155" i="2"/>
  <c r="DW155" i="2"/>
  <c r="I156" i="2"/>
  <c r="J156" i="2"/>
  <c r="K156" i="2"/>
  <c r="L156" i="2"/>
  <c r="M156" i="2"/>
  <c r="N156" i="2"/>
  <c r="O156" i="2"/>
  <c r="P156" i="2"/>
  <c r="Q156" i="2"/>
  <c r="T156" i="2"/>
  <c r="U156" i="2"/>
  <c r="V156" i="2"/>
  <c r="X156" i="2"/>
  <c r="Y156" i="2"/>
  <c r="Z156" i="2"/>
  <c r="AA156" i="2"/>
  <c r="AB156" i="2"/>
  <c r="AC156" i="2"/>
  <c r="AD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T156" i="2"/>
  <c r="BU156" i="2"/>
  <c r="BW156" i="2"/>
  <c r="BX156" i="2"/>
  <c r="BY156" i="2"/>
  <c r="CA156" i="2"/>
  <c r="CB156" i="2"/>
  <c r="CC156" i="2"/>
  <c r="CD156" i="2"/>
  <c r="CE156" i="2"/>
  <c r="CG156" i="2"/>
  <c r="CH156" i="2"/>
  <c r="CJ156" i="2"/>
  <c r="CK156" i="2"/>
  <c r="CL156" i="2"/>
  <c r="CN156" i="2"/>
  <c r="CO156" i="2"/>
  <c r="CP156" i="2"/>
  <c r="CQ156" i="2"/>
  <c r="CR156" i="2"/>
  <c r="CT156" i="2"/>
  <c r="CU156" i="2"/>
  <c r="CV156" i="2"/>
  <c r="CW156" i="2"/>
  <c r="CY156" i="2"/>
  <c r="CZ156" i="2"/>
  <c r="DA156" i="2"/>
  <c r="DC156" i="2"/>
  <c r="DD156" i="2"/>
  <c r="DE156" i="2"/>
  <c r="DI156" i="2"/>
  <c r="DJ156" i="2"/>
  <c r="DK156" i="2"/>
  <c r="DM156" i="2"/>
  <c r="DN156" i="2"/>
  <c r="DO156" i="2"/>
  <c r="DQ156" i="2"/>
  <c r="DR156" i="2"/>
  <c r="DS156" i="2"/>
  <c r="DU156" i="2"/>
  <c r="DV156" i="2"/>
  <c r="DW156" i="2"/>
  <c r="I157" i="2"/>
  <c r="J157" i="2"/>
  <c r="K157" i="2"/>
  <c r="L157" i="2"/>
  <c r="M157" i="2"/>
  <c r="N157" i="2"/>
  <c r="O157" i="2"/>
  <c r="P157" i="2"/>
  <c r="Q157" i="2"/>
  <c r="T157" i="2"/>
  <c r="U157" i="2"/>
  <c r="V157" i="2"/>
  <c r="X157" i="2"/>
  <c r="Y157" i="2"/>
  <c r="Z157" i="2"/>
  <c r="AA157" i="2"/>
  <c r="AB157" i="2"/>
  <c r="AC157" i="2"/>
  <c r="AD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T157" i="2"/>
  <c r="BU157" i="2"/>
  <c r="BW157" i="2"/>
  <c r="BX157" i="2"/>
  <c r="BY157" i="2"/>
  <c r="CA157" i="2"/>
  <c r="CB157" i="2"/>
  <c r="CC157" i="2"/>
  <c r="CD157" i="2"/>
  <c r="CE157" i="2"/>
  <c r="CG157" i="2"/>
  <c r="CH157" i="2"/>
  <c r="CJ157" i="2"/>
  <c r="CK157" i="2"/>
  <c r="CL157" i="2"/>
  <c r="CN157" i="2"/>
  <c r="CO157" i="2"/>
  <c r="CP157" i="2"/>
  <c r="CQ157" i="2"/>
  <c r="CR157" i="2"/>
  <c r="CT157" i="2"/>
  <c r="CU157" i="2"/>
  <c r="CV157" i="2"/>
  <c r="CW157" i="2"/>
  <c r="CY157" i="2"/>
  <c r="CZ157" i="2"/>
  <c r="DA157" i="2"/>
  <c r="DC157" i="2"/>
  <c r="DD157" i="2"/>
  <c r="DE157" i="2"/>
  <c r="DI157" i="2"/>
  <c r="DJ157" i="2"/>
  <c r="DK157" i="2"/>
  <c r="DM157" i="2"/>
  <c r="DN157" i="2"/>
  <c r="DO157" i="2"/>
  <c r="DQ157" i="2"/>
  <c r="DR157" i="2"/>
  <c r="DS157" i="2"/>
  <c r="DU157" i="2"/>
  <c r="DV157" i="2"/>
  <c r="DW157" i="2"/>
  <c r="I158" i="2"/>
  <c r="J158" i="2"/>
  <c r="K158" i="2"/>
  <c r="L158" i="2"/>
  <c r="M158" i="2"/>
  <c r="N158" i="2"/>
  <c r="O158" i="2"/>
  <c r="P158" i="2"/>
  <c r="Q158" i="2"/>
  <c r="T158" i="2"/>
  <c r="U158" i="2"/>
  <c r="V158" i="2"/>
  <c r="X158" i="2"/>
  <c r="Y158" i="2"/>
  <c r="Z158" i="2"/>
  <c r="AA158" i="2"/>
  <c r="AB158" i="2"/>
  <c r="AC158" i="2"/>
  <c r="AD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T158" i="2"/>
  <c r="BU158" i="2"/>
  <c r="BW158" i="2"/>
  <c r="BX158" i="2"/>
  <c r="BY158" i="2"/>
  <c r="CA158" i="2"/>
  <c r="CB158" i="2"/>
  <c r="CC158" i="2"/>
  <c r="CD158" i="2"/>
  <c r="CE158" i="2"/>
  <c r="CG158" i="2"/>
  <c r="CH158" i="2"/>
  <c r="CJ158" i="2"/>
  <c r="CK158" i="2"/>
  <c r="CL158" i="2"/>
  <c r="CN158" i="2"/>
  <c r="CO158" i="2"/>
  <c r="CP158" i="2"/>
  <c r="CQ158" i="2"/>
  <c r="CR158" i="2"/>
  <c r="CT158" i="2"/>
  <c r="CU158" i="2"/>
  <c r="CV158" i="2"/>
  <c r="CW158" i="2"/>
  <c r="CY158" i="2"/>
  <c r="CZ158" i="2"/>
  <c r="DA158" i="2"/>
  <c r="DC158" i="2"/>
  <c r="DD158" i="2"/>
  <c r="DE158" i="2"/>
  <c r="DI158" i="2"/>
  <c r="DJ158" i="2"/>
  <c r="DK158" i="2"/>
  <c r="DM158" i="2"/>
  <c r="DN158" i="2"/>
  <c r="DO158" i="2"/>
  <c r="DQ158" i="2"/>
  <c r="DR158" i="2"/>
  <c r="DS158" i="2"/>
  <c r="DU158" i="2"/>
  <c r="DV158" i="2"/>
  <c r="DW158" i="2"/>
  <c r="I159" i="2"/>
  <c r="J159" i="2"/>
  <c r="K159" i="2"/>
  <c r="L159" i="2"/>
  <c r="M159" i="2"/>
  <c r="N159" i="2"/>
  <c r="O159" i="2"/>
  <c r="P159" i="2"/>
  <c r="Q159" i="2"/>
  <c r="T159" i="2"/>
  <c r="U159" i="2"/>
  <c r="V159" i="2"/>
  <c r="X159" i="2"/>
  <c r="Y159" i="2"/>
  <c r="Z159" i="2"/>
  <c r="AA159" i="2"/>
  <c r="AB159" i="2"/>
  <c r="AC159" i="2"/>
  <c r="AD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T159" i="2"/>
  <c r="BU159" i="2"/>
  <c r="BW159" i="2"/>
  <c r="BX159" i="2"/>
  <c r="BY159" i="2"/>
  <c r="CA159" i="2"/>
  <c r="CB159" i="2"/>
  <c r="CC159" i="2"/>
  <c r="CD159" i="2"/>
  <c r="CE159" i="2"/>
  <c r="CG159" i="2"/>
  <c r="CH159" i="2"/>
  <c r="CJ159" i="2"/>
  <c r="CK159" i="2"/>
  <c r="CL159" i="2"/>
  <c r="CN159" i="2"/>
  <c r="CO159" i="2"/>
  <c r="CP159" i="2"/>
  <c r="CQ159" i="2"/>
  <c r="CR159" i="2"/>
  <c r="CT159" i="2"/>
  <c r="CU159" i="2"/>
  <c r="CV159" i="2"/>
  <c r="CW159" i="2"/>
  <c r="CY159" i="2"/>
  <c r="CZ159" i="2"/>
  <c r="DA159" i="2"/>
  <c r="DC159" i="2"/>
  <c r="DD159" i="2"/>
  <c r="DE159" i="2"/>
  <c r="DI159" i="2"/>
  <c r="DJ159" i="2"/>
  <c r="DK159" i="2"/>
  <c r="DM159" i="2"/>
  <c r="DN159" i="2"/>
  <c r="DO159" i="2"/>
  <c r="DQ159" i="2"/>
  <c r="DR159" i="2"/>
  <c r="DS159" i="2"/>
  <c r="DU159" i="2"/>
  <c r="DV159" i="2"/>
  <c r="DW159" i="2"/>
  <c r="I160" i="2"/>
  <c r="J160" i="2"/>
  <c r="K160" i="2"/>
  <c r="L160" i="2"/>
  <c r="M160" i="2"/>
  <c r="N160" i="2"/>
  <c r="O160" i="2"/>
  <c r="P160" i="2"/>
  <c r="Q160" i="2"/>
  <c r="T160" i="2"/>
  <c r="U160" i="2"/>
  <c r="V160" i="2"/>
  <c r="X160" i="2"/>
  <c r="Y160" i="2"/>
  <c r="Z160" i="2"/>
  <c r="AA160" i="2"/>
  <c r="AB160" i="2"/>
  <c r="AC160" i="2"/>
  <c r="AD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T160" i="2"/>
  <c r="BU160" i="2"/>
  <c r="BW160" i="2"/>
  <c r="BX160" i="2"/>
  <c r="BY160" i="2"/>
  <c r="CA160" i="2"/>
  <c r="CB160" i="2"/>
  <c r="CC160" i="2"/>
  <c r="CD160" i="2"/>
  <c r="CE160" i="2"/>
  <c r="CG160" i="2"/>
  <c r="CH160" i="2"/>
  <c r="CJ160" i="2"/>
  <c r="CK160" i="2"/>
  <c r="CL160" i="2"/>
  <c r="CN160" i="2"/>
  <c r="CO160" i="2"/>
  <c r="CP160" i="2"/>
  <c r="CQ160" i="2"/>
  <c r="CR160" i="2"/>
  <c r="CT160" i="2"/>
  <c r="CU160" i="2"/>
  <c r="CV160" i="2"/>
  <c r="CW160" i="2"/>
  <c r="CY160" i="2"/>
  <c r="CZ160" i="2"/>
  <c r="DA160" i="2"/>
  <c r="DC160" i="2"/>
  <c r="DD160" i="2"/>
  <c r="DE160" i="2"/>
  <c r="DI160" i="2"/>
  <c r="DJ160" i="2"/>
  <c r="DK160" i="2"/>
  <c r="DM160" i="2"/>
  <c r="DN160" i="2"/>
  <c r="DO160" i="2"/>
  <c r="DQ160" i="2"/>
  <c r="DR160" i="2"/>
  <c r="DS160" i="2"/>
  <c r="DU160" i="2"/>
  <c r="DV160" i="2"/>
  <c r="DW160" i="2"/>
  <c r="I161" i="2"/>
  <c r="J161" i="2"/>
  <c r="K161" i="2"/>
  <c r="L161" i="2"/>
  <c r="M161" i="2"/>
  <c r="N161" i="2"/>
  <c r="O161" i="2"/>
  <c r="P161" i="2"/>
  <c r="Q161" i="2"/>
  <c r="T161" i="2"/>
  <c r="U161" i="2"/>
  <c r="V161" i="2"/>
  <c r="X161" i="2"/>
  <c r="Y161" i="2"/>
  <c r="Z161" i="2"/>
  <c r="AA161" i="2"/>
  <c r="AB161" i="2"/>
  <c r="AC161" i="2"/>
  <c r="AD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T161" i="2"/>
  <c r="BU161" i="2"/>
  <c r="BW161" i="2"/>
  <c r="BX161" i="2"/>
  <c r="BY161" i="2"/>
  <c r="CA161" i="2"/>
  <c r="CB161" i="2"/>
  <c r="CC161" i="2"/>
  <c r="CD161" i="2"/>
  <c r="CE161" i="2"/>
  <c r="CG161" i="2"/>
  <c r="CH161" i="2"/>
  <c r="CJ161" i="2"/>
  <c r="CK161" i="2"/>
  <c r="CL161" i="2"/>
  <c r="CN161" i="2"/>
  <c r="CO161" i="2"/>
  <c r="CP161" i="2"/>
  <c r="CQ161" i="2"/>
  <c r="CR161" i="2"/>
  <c r="CT161" i="2"/>
  <c r="CU161" i="2"/>
  <c r="CV161" i="2"/>
  <c r="CW161" i="2"/>
  <c r="CY161" i="2"/>
  <c r="CZ161" i="2"/>
  <c r="DA161" i="2"/>
  <c r="DC161" i="2"/>
  <c r="DD161" i="2"/>
  <c r="DE161" i="2"/>
  <c r="DI161" i="2"/>
  <c r="DJ161" i="2"/>
  <c r="DK161" i="2"/>
  <c r="DM161" i="2"/>
  <c r="DN161" i="2"/>
  <c r="DO161" i="2"/>
  <c r="DQ161" i="2"/>
  <c r="DR161" i="2"/>
  <c r="DS161" i="2"/>
  <c r="DU161" i="2"/>
  <c r="DV161" i="2"/>
  <c r="DW161" i="2"/>
  <c r="I162" i="2"/>
  <c r="J162" i="2"/>
  <c r="K162" i="2"/>
  <c r="L162" i="2"/>
  <c r="M162" i="2"/>
  <c r="N162" i="2"/>
  <c r="O162" i="2"/>
  <c r="P162" i="2"/>
  <c r="Q162" i="2"/>
  <c r="T162" i="2"/>
  <c r="U162" i="2"/>
  <c r="V162" i="2"/>
  <c r="X162" i="2"/>
  <c r="Y162" i="2"/>
  <c r="Z162" i="2"/>
  <c r="AA162" i="2"/>
  <c r="AB162" i="2"/>
  <c r="AC162" i="2"/>
  <c r="AD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T162" i="2"/>
  <c r="BU162" i="2"/>
  <c r="BW162" i="2"/>
  <c r="BX162" i="2"/>
  <c r="BY162" i="2"/>
  <c r="CA162" i="2"/>
  <c r="CB162" i="2"/>
  <c r="CC162" i="2"/>
  <c r="CD162" i="2"/>
  <c r="CE162" i="2"/>
  <c r="CG162" i="2"/>
  <c r="CH162" i="2"/>
  <c r="CJ162" i="2"/>
  <c r="CK162" i="2"/>
  <c r="CL162" i="2"/>
  <c r="CN162" i="2"/>
  <c r="CO162" i="2"/>
  <c r="CP162" i="2"/>
  <c r="CQ162" i="2"/>
  <c r="CR162" i="2"/>
  <c r="CT162" i="2"/>
  <c r="CU162" i="2"/>
  <c r="CV162" i="2"/>
  <c r="CW162" i="2"/>
  <c r="CY162" i="2"/>
  <c r="CZ162" i="2"/>
  <c r="DA162" i="2"/>
  <c r="DC162" i="2"/>
  <c r="DD162" i="2"/>
  <c r="DE162" i="2"/>
  <c r="DI162" i="2"/>
  <c r="DJ162" i="2"/>
  <c r="DK162" i="2"/>
  <c r="DM162" i="2"/>
  <c r="DN162" i="2"/>
  <c r="DO162" i="2"/>
  <c r="DQ162" i="2"/>
  <c r="DR162" i="2"/>
  <c r="DS162" i="2"/>
  <c r="DU162" i="2"/>
  <c r="DV162" i="2"/>
  <c r="DW162" i="2"/>
  <c r="I163" i="2"/>
  <c r="J163" i="2"/>
  <c r="K163" i="2"/>
  <c r="L163" i="2"/>
  <c r="M163" i="2"/>
  <c r="N163" i="2"/>
  <c r="O163" i="2"/>
  <c r="P163" i="2"/>
  <c r="Q163" i="2"/>
  <c r="T163" i="2"/>
  <c r="U163" i="2"/>
  <c r="V163" i="2"/>
  <c r="X163" i="2"/>
  <c r="Y163" i="2"/>
  <c r="Z163" i="2"/>
  <c r="AA163" i="2"/>
  <c r="AB163" i="2"/>
  <c r="AC163" i="2"/>
  <c r="AD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T163" i="2"/>
  <c r="BU163" i="2"/>
  <c r="BW163" i="2"/>
  <c r="BX163" i="2"/>
  <c r="BY163" i="2"/>
  <c r="CA163" i="2"/>
  <c r="CB163" i="2"/>
  <c r="CC163" i="2"/>
  <c r="CD163" i="2"/>
  <c r="CE163" i="2"/>
  <c r="CG163" i="2"/>
  <c r="CH163" i="2"/>
  <c r="CJ163" i="2"/>
  <c r="CK163" i="2"/>
  <c r="CL163" i="2"/>
  <c r="CN163" i="2"/>
  <c r="CO163" i="2"/>
  <c r="CP163" i="2"/>
  <c r="CQ163" i="2"/>
  <c r="CR163" i="2"/>
  <c r="CT163" i="2"/>
  <c r="CU163" i="2"/>
  <c r="CV163" i="2"/>
  <c r="CW163" i="2"/>
  <c r="CY163" i="2"/>
  <c r="CZ163" i="2"/>
  <c r="DA163" i="2"/>
  <c r="DC163" i="2"/>
  <c r="DD163" i="2"/>
  <c r="DE163" i="2"/>
  <c r="DI163" i="2"/>
  <c r="DJ163" i="2"/>
  <c r="DK163" i="2"/>
  <c r="DM163" i="2"/>
  <c r="DN163" i="2"/>
  <c r="DO163" i="2"/>
  <c r="DQ163" i="2"/>
  <c r="DR163" i="2"/>
  <c r="DS163" i="2"/>
  <c r="DU163" i="2"/>
  <c r="DV163" i="2"/>
  <c r="DW163" i="2"/>
  <c r="I164" i="2"/>
  <c r="J164" i="2"/>
  <c r="K164" i="2"/>
  <c r="L164" i="2"/>
  <c r="M164" i="2"/>
  <c r="N164" i="2"/>
  <c r="O164" i="2"/>
  <c r="P164" i="2"/>
  <c r="Q164" i="2"/>
  <c r="T164" i="2"/>
  <c r="U164" i="2"/>
  <c r="V164" i="2"/>
  <c r="X164" i="2"/>
  <c r="Y164" i="2"/>
  <c r="Z164" i="2"/>
  <c r="AA164" i="2"/>
  <c r="AB164" i="2"/>
  <c r="AC164" i="2"/>
  <c r="AD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T164" i="2"/>
  <c r="BU164" i="2"/>
  <c r="BW164" i="2"/>
  <c r="BX164" i="2"/>
  <c r="BY164" i="2"/>
  <c r="CA164" i="2"/>
  <c r="CB164" i="2"/>
  <c r="CC164" i="2"/>
  <c r="CD164" i="2"/>
  <c r="CE164" i="2"/>
  <c r="CG164" i="2"/>
  <c r="CH164" i="2"/>
  <c r="CJ164" i="2"/>
  <c r="CK164" i="2"/>
  <c r="CL164" i="2"/>
  <c r="CN164" i="2"/>
  <c r="CO164" i="2"/>
  <c r="CP164" i="2"/>
  <c r="CQ164" i="2"/>
  <c r="CR164" i="2"/>
  <c r="CT164" i="2"/>
  <c r="CU164" i="2"/>
  <c r="CV164" i="2"/>
  <c r="CW164" i="2"/>
  <c r="CY164" i="2"/>
  <c r="CZ164" i="2"/>
  <c r="DA164" i="2"/>
  <c r="DC164" i="2"/>
  <c r="DD164" i="2"/>
  <c r="DE164" i="2"/>
  <c r="DI164" i="2"/>
  <c r="DJ164" i="2"/>
  <c r="DK164" i="2"/>
  <c r="DM164" i="2"/>
  <c r="DN164" i="2"/>
  <c r="DO164" i="2"/>
  <c r="DQ164" i="2"/>
  <c r="DR164" i="2"/>
  <c r="DS164" i="2"/>
  <c r="DU164" i="2"/>
  <c r="DV164" i="2"/>
  <c r="DW164" i="2"/>
  <c r="I165" i="2"/>
  <c r="J165" i="2"/>
  <c r="K165" i="2"/>
  <c r="L165" i="2"/>
  <c r="M165" i="2"/>
  <c r="N165" i="2"/>
  <c r="O165" i="2"/>
  <c r="P165" i="2"/>
  <c r="Q165" i="2"/>
  <c r="T165" i="2"/>
  <c r="U165" i="2"/>
  <c r="V165" i="2"/>
  <c r="X165" i="2"/>
  <c r="Y165" i="2"/>
  <c r="Z165" i="2"/>
  <c r="AA165" i="2"/>
  <c r="AB165" i="2"/>
  <c r="AC165" i="2"/>
  <c r="AD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T165" i="2"/>
  <c r="BU165" i="2"/>
  <c r="BW165" i="2"/>
  <c r="BX165" i="2"/>
  <c r="BY165" i="2"/>
  <c r="CA165" i="2"/>
  <c r="CB165" i="2"/>
  <c r="CC165" i="2"/>
  <c r="CD165" i="2"/>
  <c r="CE165" i="2"/>
  <c r="CG165" i="2"/>
  <c r="CH165" i="2"/>
  <c r="CJ165" i="2"/>
  <c r="CK165" i="2"/>
  <c r="CL165" i="2"/>
  <c r="CN165" i="2"/>
  <c r="CO165" i="2"/>
  <c r="CP165" i="2"/>
  <c r="CQ165" i="2"/>
  <c r="CR165" i="2"/>
  <c r="CT165" i="2"/>
  <c r="CU165" i="2"/>
  <c r="CV165" i="2"/>
  <c r="CW165" i="2"/>
  <c r="CY165" i="2"/>
  <c r="CZ165" i="2"/>
  <c r="DA165" i="2"/>
  <c r="DC165" i="2"/>
  <c r="DD165" i="2"/>
  <c r="DE165" i="2"/>
  <c r="DI165" i="2"/>
  <c r="DJ165" i="2"/>
  <c r="DK165" i="2"/>
  <c r="DM165" i="2"/>
  <c r="DN165" i="2"/>
  <c r="DO165" i="2"/>
  <c r="DQ165" i="2"/>
  <c r="DR165" i="2"/>
  <c r="DS165" i="2"/>
  <c r="DU165" i="2"/>
  <c r="DV165" i="2"/>
  <c r="DW165" i="2"/>
  <c r="I166" i="2"/>
  <c r="J166" i="2"/>
  <c r="K166" i="2"/>
  <c r="L166" i="2"/>
  <c r="M166" i="2"/>
  <c r="N166" i="2"/>
  <c r="O166" i="2"/>
  <c r="P166" i="2"/>
  <c r="Q166" i="2"/>
  <c r="T166" i="2"/>
  <c r="U166" i="2"/>
  <c r="V166" i="2"/>
  <c r="X166" i="2"/>
  <c r="Y166" i="2"/>
  <c r="Z166" i="2"/>
  <c r="AA166" i="2"/>
  <c r="AB166" i="2"/>
  <c r="AC166" i="2"/>
  <c r="AD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T166" i="2"/>
  <c r="BU166" i="2"/>
  <c r="BW166" i="2"/>
  <c r="BX166" i="2"/>
  <c r="BY166" i="2"/>
  <c r="CA166" i="2"/>
  <c r="CB166" i="2"/>
  <c r="CC166" i="2"/>
  <c r="CD166" i="2"/>
  <c r="CE166" i="2"/>
  <c r="CG166" i="2"/>
  <c r="CH166" i="2"/>
  <c r="CJ166" i="2"/>
  <c r="CK166" i="2"/>
  <c r="CL166" i="2"/>
  <c r="CN166" i="2"/>
  <c r="CO166" i="2"/>
  <c r="CP166" i="2"/>
  <c r="CQ166" i="2"/>
  <c r="CR166" i="2"/>
  <c r="CT166" i="2"/>
  <c r="CU166" i="2"/>
  <c r="CV166" i="2"/>
  <c r="CW166" i="2"/>
  <c r="CY166" i="2"/>
  <c r="CZ166" i="2"/>
  <c r="DA166" i="2"/>
  <c r="DC166" i="2"/>
  <c r="DD166" i="2"/>
  <c r="DE166" i="2"/>
  <c r="DI166" i="2"/>
  <c r="DJ166" i="2"/>
  <c r="DK166" i="2"/>
  <c r="DM166" i="2"/>
  <c r="DN166" i="2"/>
  <c r="DO166" i="2"/>
  <c r="DQ166" i="2"/>
  <c r="DR166" i="2"/>
  <c r="DS166" i="2"/>
  <c r="DU166" i="2"/>
  <c r="DV166" i="2"/>
  <c r="DW166" i="2"/>
  <c r="I167" i="2"/>
  <c r="J167" i="2"/>
  <c r="K167" i="2"/>
  <c r="L167" i="2"/>
  <c r="M167" i="2"/>
  <c r="N167" i="2"/>
  <c r="O167" i="2"/>
  <c r="P167" i="2"/>
  <c r="Q167" i="2"/>
  <c r="T167" i="2"/>
  <c r="U167" i="2"/>
  <c r="V167" i="2"/>
  <c r="X167" i="2"/>
  <c r="Y167" i="2"/>
  <c r="Z167" i="2"/>
  <c r="AA167" i="2"/>
  <c r="AB167" i="2"/>
  <c r="AC167" i="2"/>
  <c r="AD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T167" i="2"/>
  <c r="BU167" i="2"/>
  <c r="BW167" i="2"/>
  <c r="BX167" i="2"/>
  <c r="BY167" i="2"/>
  <c r="CA167" i="2"/>
  <c r="CB167" i="2"/>
  <c r="CC167" i="2"/>
  <c r="CD167" i="2"/>
  <c r="CE167" i="2"/>
  <c r="CG167" i="2"/>
  <c r="CH167" i="2"/>
  <c r="CJ167" i="2"/>
  <c r="CK167" i="2"/>
  <c r="CL167" i="2"/>
  <c r="CN167" i="2"/>
  <c r="CO167" i="2"/>
  <c r="CP167" i="2"/>
  <c r="CQ167" i="2"/>
  <c r="CR167" i="2"/>
  <c r="CT167" i="2"/>
  <c r="CU167" i="2"/>
  <c r="CV167" i="2"/>
  <c r="CW167" i="2"/>
  <c r="CY167" i="2"/>
  <c r="CZ167" i="2"/>
  <c r="DA167" i="2"/>
  <c r="DC167" i="2"/>
  <c r="DD167" i="2"/>
  <c r="DE167" i="2"/>
  <c r="DI167" i="2"/>
  <c r="DJ167" i="2"/>
  <c r="DK167" i="2"/>
  <c r="DM167" i="2"/>
  <c r="DN167" i="2"/>
  <c r="DO167" i="2"/>
  <c r="DQ167" i="2"/>
  <c r="DR167" i="2"/>
  <c r="DS167" i="2"/>
  <c r="DU167" i="2"/>
  <c r="DV167" i="2"/>
  <c r="DW167" i="2"/>
  <c r="I168" i="2"/>
  <c r="J168" i="2"/>
  <c r="K168" i="2"/>
  <c r="L168" i="2"/>
  <c r="M168" i="2"/>
  <c r="N168" i="2"/>
  <c r="O168" i="2"/>
  <c r="P168" i="2"/>
  <c r="Q168" i="2"/>
  <c r="T168" i="2"/>
  <c r="U168" i="2"/>
  <c r="V168" i="2"/>
  <c r="X168" i="2"/>
  <c r="Y168" i="2"/>
  <c r="Z168" i="2"/>
  <c r="AA168" i="2"/>
  <c r="AB168" i="2"/>
  <c r="AC168" i="2"/>
  <c r="AD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T168" i="2"/>
  <c r="BU168" i="2"/>
  <c r="BW168" i="2"/>
  <c r="BX168" i="2"/>
  <c r="BY168" i="2"/>
  <c r="CA168" i="2"/>
  <c r="CB168" i="2"/>
  <c r="CC168" i="2"/>
  <c r="CD168" i="2"/>
  <c r="CE168" i="2"/>
  <c r="CG168" i="2"/>
  <c r="CH168" i="2"/>
  <c r="CJ168" i="2"/>
  <c r="CK168" i="2"/>
  <c r="CL168" i="2"/>
  <c r="CN168" i="2"/>
  <c r="CO168" i="2"/>
  <c r="CP168" i="2"/>
  <c r="CQ168" i="2"/>
  <c r="CR168" i="2"/>
  <c r="CT168" i="2"/>
  <c r="CU168" i="2"/>
  <c r="CV168" i="2"/>
  <c r="CW168" i="2"/>
  <c r="CY168" i="2"/>
  <c r="CZ168" i="2"/>
  <c r="DA168" i="2"/>
  <c r="DC168" i="2"/>
  <c r="DD168" i="2"/>
  <c r="DE168" i="2"/>
  <c r="DI168" i="2"/>
  <c r="DJ168" i="2"/>
  <c r="DK168" i="2"/>
  <c r="DM168" i="2"/>
  <c r="DN168" i="2"/>
  <c r="DO168" i="2"/>
  <c r="DQ168" i="2"/>
  <c r="DR168" i="2"/>
  <c r="DS168" i="2"/>
  <c r="DU168" i="2"/>
  <c r="DV168" i="2"/>
  <c r="DW168" i="2"/>
  <c r="I169" i="2"/>
  <c r="J169" i="2"/>
  <c r="K169" i="2"/>
  <c r="L169" i="2"/>
  <c r="M169" i="2"/>
  <c r="N169" i="2"/>
  <c r="O169" i="2"/>
  <c r="P169" i="2"/>
  <c r="Q169" i="2"/>
  <c r="T169" i="2"/>
  <c r="U169" i="2"/>
  <c r="V169" i="2"/>
  <c r="X169" i="2"/>
  <c r="Y169" i="2"/>
  <c r="Z169" i="2"/>
  <c r="AA169" i="2"/>
  <c r="AB169" i="2"/>
  <c r="AC169" i="2"/>
  <c r="AD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T169" i="2"/>
  <c r="BU169" i="2"/>
  <c r="BW169" i="2"/>
  <c r="BX169" i="2"/>
  <c r="BY169" i="2"/>
  <c r="CA169" i="2"/>
  <c r="CB169" i="2"/>
  <c r="CC169" i="2"/>
  <c r="CD169" i="2"/>
  <c r="CE169" i="2"/>
  <c r="CG169" i="2"/>
  <c r="CH169" i="2"/>
  <c r="CJ169" i="2"/>
  <c r="CK169" i="2"/>
  <c r="CL169" i="2"/>
  <c r="CN169" i="2"/>
  <c r="CO169" i="2"/>
  <c r="CP169" i="2"/>
  <c r="CQ169" i="2"/>
  <c r="CR169" i="2"/>
  <c r="CT169" i="2"/>
  <c r="CU169" i="2"/>
  <c r="CV169" i="2"/>
  <c r="CW169" i="2"/>
  <c r="CY169" i="2"/>
  <c r="CZ169" i="2"/>
  <c r="DA169" i="2"/>
  <c r="DC169" i="2"/>
  <c r="DD169" i="2"/>
  <c r="DE169" i="2"/>
  <c r="DI169" i="2"/>
  <c r="DJ169" i="2"/>
  <c r="DK169" i="2"/>
  <c r="DM169" i="2"/>
  <c r="DN169" i="2"/>
  <c r="DO169" i="2"/>
  <c r="DQ169" i="2"/>
  <c r="DR169" i="2"/>
  <c r="DS169" i="2"/>
  <c r="DU169" i="2"/>
  <c r="DV169" i="2"/>
  <c r="DW169" i="2"/>
  <c r="I170" i="2"/>
  <c r="J170" i="2"/>
  <c r="K170" i="2"/>
  <c r="L170" i="2"/>
  <c r="M170" i="2"/>
  <c r="N170" i="2"/>
  <c r="O170" i="2"/>
  <c r="P170" i="2"/>
  <c r="Q170" i="2"/>
  <c r="T170" i="2"/>
  <c r="U170" i="2"/>
  <c r="V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T170" i="2"/>
  <c r="BU170" i="2"/>
  <c r="BW170" i="2"/>
  <c r="BX170" i="2"/>
  <c r="BY170" i="2"/>
  <c r="CA170" i="2"/>
  <c r="CB170" i="2"/>
  <c r="CC170" i="2"/>
  <c r="CD170" i="2"/>
  <c r="CE170" i="2"/>
  <c r="CG170" i="2"/>
  <c r="CH170" i="2"/>
  <c r="CJ170" i="2"/>
  <c r="CK170" i="2"/>
  <c r="CL170" i="2"/>
  <c r="CN170" i="2"/>
  <c r="CO170" i="2"/>
  <c r="CP170" i="2"/>
  <c r="CQ170" i="2"/>
  <c r="CR170" i="2"/>
  <c r="CT170" i="2"/>
  <c r="CU170" i="2"/>
  <c r="CV170" i="2"/>
  <c r="CW170" i="2"/>
  <c r="CY170" i="2"/>
  <c r="CZ170" i="2"/>
  <c r="DA170" i="2"/>
  <c r="DC170" i="2"/>
  <c r="DD170" i="2"/>
  <c r="DE170" i="2"/>
  <c r="DI170" i="2"/>
  <c r="DJ170" i="2"/>
  <c r="DK170" i="2"/>
  <c r="DM170" i="2"/>
  <c r="DN170" i="2"/>
  <c r="DO170" i="2"/>
  <c r="DQ170" i="2"/>
  <c r="DR170" i="2"/>
  <c r="DS170" i="2"/>
  <c r="DU170" i="2"/>
  <c r="DV170" i="2"/>
  <c r="DW170" i="2"/>
  <c r="I171" i="2"/>
  <c r="J171" i="2"/>
  <c r="K171" i="2"/>
  <c r="L171" i="2"/>
  <c r="M171" i="2"/>
  <c r="N171" i="2"/>
  <c r="O171" i="2"/>
  <c r="P171" i="2"/>
  <c r="Q171" i="2"/>
  <c r="T171" i="2"/>
  <c r="U171" i="2"/>
  <c r="V171" i="2"/>
  <c r="X171" i="2"/>
  <c r="Y171" i="2"/>
  <c r="Z171" i="2"/>
  <c r="AA171" i="2"/>
  <c r="AB171" i="2"/>
  <c r="AC171" i="2"/>
  <c r="AD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T171" i="2"/>
  <c r="BU171" i="2"/>
  <c r="BW171" i="2"/>
  <c r="BX171" i="2"/>
  <c r="BY171" i="2"/>
  <c r="CA171" i="2"/>
  <c r="CB171" i="2"/>
  <c r="CC171" i="2"/>
  <c r="CD171" i="2"/>
  <c r="CE171" i="2"/>
  <c r="CG171" i="2"/>
  <c r="CH171" i="2"/>
  <c r="CJ171" i="2"/>
  <c r="CK171" i="2"/>
  <c r="CL171" i="2"/>
  <c r="CN171" i="2"/>
  <c r="CO171" i="2"/>
  <c r="CP171" i="2"/>
  <c r="CQ171" i="2"/>
  <c r="CR171" i="2"/>
  <c r="CT171" i="2"/>
  <c r="CU171" i="2"/>
  <c r="CV171" i="2"/>
  <c r="CW171" i="2"/>
  <c r="CY171" i="2"/>
  <c r="CZ171" i="2"/>
  <c r="DA171" i="2"/>
  <c r="DC171" i="2"/>
  <c r="DD171" i="2"/>
  <c r="DE171" i="2"/>
  <c r="DI171" i="2"/>
  <c r="DJ171" i="2"/>
  <c r="DK171" i="2"/>
  <c r="DM171" i="2"/>
  <c r="DN171" i="2"/>
  <c r="DO171" i="2"/>
  <c r="DQ171" i="2"/>
  <c r="DR171" i="2"/>
  <c r="DS171" i="2"/>
  <c r="DU171" i="2"/>
  <c r="DV171" i="2"/>
  <c r="DW171" i="2"/>
  <c r="I172" i="2"/>
  <c r="J172" i="2"/>
  <c r="K172" i="2"/>
  <c r="L172" i="2"/>
  <c r="M172" i="2"/>
  <c r="N172" i="2"/>
  <c r="O172" i="2"/>
  <c r="P172" i="2"/>
  <c r="Q172" i="2"/>
  <c r="T172" i="2"/>
  <c r="U172" i="2"/>
  <c r="V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T172" i="2"/>
  <c r="BU172" i="2"/>
  <c r="BW172" i="2"/>
  <c r="BX172" i="2"/>
  <c r="BY172" i="2"/>
  <c r="CA172" i="2"/>
  <c r="CB172" i="2"/>
  <c r="CC172" i="2"/>
  <c r="CD172" i="2"/>
  <c r="CE172" i="2"/>
  <c r="CG172" i="2"/>
  <c r="CH172" i="2"/>
  <c r="CJ172" i="2"/>
  <c r="CK172" i="2"/>
  <c r="CL172" i="2"/>
  <c r="CN172" i="2"/>
  <c r="CO172" i="2"/>
  <c r="CP172" i="2"/>
  <c r="CQ172" i="2"/>
  <c r="CR172" i="2"/>
  <c r="CT172" i="2"/>
  <c r="CU172" i="2"/>
  <c r="CV172" i="2"/>
  <c r="CW172" i="2"/>
  <c r="CY172" i="2"/>
  <c r="CZ172" i="2"/>
  <c r="DA172" i="2"/>
  <c r="DC172" i="2"/>
  <c r="DD172" i="2"/>
  <c r="DE172" i="2"/>
  <c r="DI172" i="2"/>
  <c r="DJ172" i="2"/>
  <c r="DK172" i="2"/>
  <c r="DM172" i="2"/>
  <c r="DN172" i="2"/>
  <c r="DO172" i="2"/>
  <c r="DQ172" i="2"/>
  <c r="DR172" i="2"/>
  <c r="DS172" i="2"/>
  <c r="DU172" i="2"/>
  <c r="DV172" i="2"/>
  <c r="DW172" i="2"/>
  <c r="I173" i="2"/>
  <c r="J173" i="2"/>
  <c r="K173" i="2"/>
  <c r="L173" i="2"/>
  <c r="M173" i="2"/>
  <c r="N173" i="2"/>
  <c r="O173" i="2"/>
  <c r="P173" i="2"/>
  <c r="Q173" i="2"/>
  <c r="T173" i="2"/>
  <c r="U173" i="2"/>
  <c r="V173" i="2"/>
  <c r="X173" i="2"/>
  <c r="Y173" i="2"/>
  <c r="Z173" i="2"/>
  <c r="AA173" i="2"/>
  <c r="AB173" i="2"/>
  <c r="AC173" i="2"/>
  <c r="AD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T173" i="2"/>
  <c r="BU173" i="2"/>
  <c r="BW173" i="2"/>
  <c r="BX173" i="2"/>
  <c r="BY173" i="2"/>
  <c r="CA173" i="2"/>
  <c r="CB173" i="2"/>
  <c r="CC173" i="2"/>
  <c r="CD173" i="2"/>
  <c r="CE173" i="2"/>
  <c r="CG173" i="2"/>
  <c r="CH173" i="2"/>
  <c r="CJ173" i="2"/>
  <c r="CK173" i="2"/>
  <c r="CL173" i="2"/>
  <c r="CN173" i="2"/>
  <c r="CO173" i="2"/>
  <c r="CP173" i="2"/>
  <c r="CQ173" i="2"/>
  <c r="CR173" i="2"/>
  <c r="CT173" i="2"/>
  <c r="CU173" i="2"/>
  <c r="CV173" i="2"/>
  <c r="CW173" i="2"/>
  <c r="CY173" i="2"/>
  <c r="CZ173" i="2"/>
  <c r="DA173" i="2"/>
  <c r="DC173" i="2"/>
  <c r="DD173" i="2"/>
  <c r="DE173" i="2"/>
  <c r="DI173" i="2"/>
  <c r="DJ173" i="2"/>
  <c r="DK173" i="2"/>
  <c r="DM173" i="2"/>
  <c r="DN173" i="2"/>
  <c r="DO173" i="2"/>
  <c r="DQ173" i="2"/>
  <c r="DR173" i="2"/>
  <c r="DS173" i="2"/>
  <c r="DU173" i="2"/>
  <c r="DV173" i="2"/>
  <c r="DW173" i="2"/>
  <c r="I174" i="2"/>
  <c r="J174" i="2"/>
  <c r="K174" i="2"/>
  <c r="L174" i="2"/>
  <c r="M174" i="2"/>
  <c r="N174" i="2"/>
  <c r="O174" i="2"/>
  <c r="P174" i="2"/>
  <c r="Q174" i="2"/>
  <c r="T174" i="2"/>
  <c r="U174" i="2"/>
  <c r="V174" i="2"/>
  <c r="X174" i="2"/>
  <c r="Y174" i="2"/>
  <c r="Z174" i="2"/>
  <c r="AA174" i="2"/>
  <c r="AB174" i="2"/>
  <c r="AC174" i="2"/>
  <c r="AD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T174" i="2"/>
  <c r="BU174" i="2"/>
  <c r="BW174" i="2"/>
  <c r="BX174" i="2"/>
  <c r="BY174" i="2"/>
  <c r="CA174" i="2"/>
  <c r="CB174" i="2"/>
  <c r="CC174" i="2"/>
  <c r="CD174" i="2"/>
  <c r="CE174" i="2"/>
  <c r="CG174" i="2"/>
  <c r="CH174" i="2"/>
  <c r="CJ174" i="2"/>
  <c r="CK174" i="2"/>
  <c r="CL174" i="2"/>
  <c r="CN174" i="2"/>
  <c r="CO174" i="2"/>
  <c r="CP174" i="2"/>
  <c r="CQ174" i="2"/>
  <c r="CR174" i="2"/>
  <c r="CT174" i="2"/>
  <c r="CU174" i="2"/>
  <c r="CV174" i="2"/>
  <c r="CW174" i="2"/>
  <c r="CY174" i="2"/>
  <c r="CZ174" i="2"/>
  <c r="DA174" i="2"/>
  <c r="DC174" i="2"/>
  <c r="DD174" i="2"/>
  <c r="DE174" i="2"/>
  <c r="DI174" i="2"/>
  <c r="DJ174" i="2"/>
  <c r="DK174" i="2"/>
  <c r="DM174" i="2"/>
  <c r="DN174" i="2"/>
  <c r="DO174" i="2"/>
  <c r="DQ174" i="2"/>
  <c r="DR174" i="2"/>
  <c r="DS174" i="2"/>
  <c r="DU174" i="2"/>
  <c r="DV174" i="2"/>
  <c r="DW174" i="2"/>
  <c r="I175" i="2"/>
  <c r="J175" i="2"/>
  <c r="K175" i="2"/>
  <c r="L175" i="2"/>
  <c r="M175" i="2"/>
  <c r="N175" i="2"/>
  <c r="O175" i="2"/>
  <c r="P175" i="2"/>
  <c r="Q175" i="2"/>
  <c r="T175" i="2"/>
  <c r="U175" i="2"/>
  <c r="V175" i="2"/>
  <c r="X175" i="2"/>
  <c r="Y175" i="2"/>
  <c r="Z175" i="2"/>
  <c r="AA175" i="2"/>
  <c r="AB175" i="2"/>
  <c r="AC175" i="2"/>
  <c r="AD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T175" i="2"/>
  <c r="BU175" i="2"/>
  <c r="BW175" i="2"/>
  <c r="BX175" i="2"/>
  <c r="BY175" i="2"/>
  <c r="CA175" i="2"/>
  <c r="CB175" i="2"/>
  <c r="CC175" i="2"/>
  <c r="CD175" i="2"/>
  <c r="CE175" i="2"/>
  <c r="CG175" i="2"/>
  <c r="CH175" i="2"/>
  <c r="CJ175" i="2"/>
  <c r="CK175" i="2"/>
  <c r="CL175" i="2"/>
  <c r="CN175" i="2"/>
  <c r="CO175" i="2"/>
  <c r="CP175" i="2"/>
  <c r="CQ175" i="2"/>
  <c r="CR175" i="2"/>
  <c r="CT175" i="2"/>
  <c r="CU175" i="2"/>
  <c r="CV175" i="2"/>
  <c r="CW175" i="2"/>
  <c r="CY175" i="2"/>
  <c r="CZ175" i="2"/>
  <c r="DA175" i="2"/>
  <c r="DC175" i="2"/>
  <c r="DD175" i="2"/>
  <c r="DE175" i="2"/>
  <c r="DI175" i="2"/>
  <c r="DJ175" i="2"/>
  <c r="DK175" i="2"/>
  <c r="DM175" i="2"/>
  <c r="DN175" i="2"/>
  <c r="DO175" i="2"/>
  <c r="DQ175" i="2"/>
  <c r="DR175" i="2"/>
  <c r="DS175" i="2"/>
  <c r="DU175" i="2"/>
  <c r="DV175" i="2"/>
  <c r="DW175" i="2"/>
  <c r="I176" i="2"/>
  <c r="J176" i="2"/>
  <c r="K176" i="2"/>
  <c r="L176" i="2"/>
  <c r="M176" i="2"/>
  <c r="N176" i="2"/>
  <c r="O176" i="2"/>
  <c r="P176" i="2"/>
  <c r="Q176" i="2"/>
  <c r="T176" i="2"/>
  <c r="U176" i="2"/>
  <c r="V176" i="2"/>
  <c r="X176" i="2"/>
  <c r="Y176" i="2"/>
  <c r="Z176" i="2"/>
  <c r="AA176" i="2"/>
  <c r="AB176" i="2"/>
  <c r="AC176" i="2"/>
  <c r="AD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T176" i="2"/>
  <c r="BU176" i="2"/>
  <c r="BW176" i="2"/>
  <c r="BX176" i="2"/>
  <c r="BY176" i="2"/>
  <c r="CA176" i="2"/>
  <c r="CB176" i="2"/>
  <c r="CC176" i="2"/>
  <c r="CD176" i="2"/>
  <c r="CE176" i="2"/>
  <c r="CG176" i="2"/>
  <c r="CH176" i="2"/>
  <c r="CJ176" i="2"/>
  <c r="CK176" i="2"/>
  <c r="CL176" i="2"/>
  <c r="CN176" i="2"/>
  <c r="CO176" i="2"/>
  <c r="CP176" i="2"/>
  <c r="CQ176" i="2"/>
  <c r="CR176" i="2"/>
  <c r="CT176" i="2"/>
  <c r="CU176" i="2"/>
  <c r="CV176" i="2"/>
  <c r="CW176" i="2"/>
  <c r="CY176" i="2"/>
  <c r="CZ176" i="2"/>
  <c r="DA176" i="2"/>
  <c r="DC176" i="2"/>
  <c r="DD176" i="2"/>
  <c r="DE176" i="2"/>
  <c r="DI176" i="2"/>
  <c r="DJ176" i="2"/>
  <c r="DK176" i="2"/>
  <c r="DM176" i="2"/>
  <c r="DN176" i="2"/>
  <c r="DO176" i="2"/>
  <c r="DQ176" i="2"/>
  <c r="DR176" i="2"/>
  <c r="DS176" i="2"/>
  <c r="DU176" i="2"/>
  <c r="DV176" i="2"/>
  <c r="DW176" i="2"/>
  <c r="I177" i="2"/>
  <c r="J177" i="2"/>
  <c r="K177" i="2"/>
  <c r="L177" i="2"/>
  <c r="M177" i="2"/>
  <c r="N177" i="2"/>
  <c r="O177" i="2"/>
  <c r="P177" i="2"/>
  <c r="Q177" i="2"/>
  <c r="T177" i="2"/>
  <c r="U177" i="2"/>
  <c r="V177" i="2"/>
  <c r="X177" i="2"/>
  <c r="Y177" i="2"/>
  <c r="Z177" i="2"/>
  <c r="AA177" i="2"/>
  <c r="AB177" i="2"/>
  <c r="AC177" i="2"/>
  <c r="AD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T177" i="2"/>
  <c r="BU177" i="2"/>
  <c r="BW177" i="2"/>
  <c r="BX177" i="2"/>
  <c r="BY177" i="2"/>
  <c r="CA177" i="2"/>
  <c r="CB177" i="2"/>
  <c r="CC177" i="2"/>
  <c r="CD177" i="2"/>
  <c r="CE177" i="2"/>
  <c r="CG177" i="2"/>
  <c r="CH177" i="2"/>
  <c r="CJ177" i="2"/>
  <c r="CK177" i="2"/>
  <c r="CL177" i="2"/>
  <c r="CN177" i="2"/>
  <c r="CO177" i="2"/>
  <c r="CP177" i="2"/>
  <c r="CQ177" i="2"/>
  <c r="CR177" i="2"/>
  <c r="CT177" i="2"/>
  <c r="CU177" i="2"/>
  <c r="CV177" i="2"/>
  <c r="CW177" i="2"/>
  <c r="CY177" i="2"/>
  <c r="CZ177" i="2"/>
  <c r="DA177" i="2"/>
  <c r="DC177" i="2"/>
  <c r="DD177" i="2"/>
  <c r="DE177" i="2"/>
  <c r="DI177" i="2"/>
  <c r="DJ177" i="2"/>
  <c r="DK177" i="2"/>
  <c r="DM177" i="2"/>
  <c r="DN177" i="2"/>
  <c r="DO177" i="2"/>
  <c r="DQ177" i="2"/>
  <c r="DR177" i="2"/>
  <c r="DS177" i="2"/>
  <c r="DU177" i="2"/>
  <c r="DV177" i="2"/>
  <c r="DW177" i="2"/>
  <c r="I178" i="2"/>
  <c r="J178" i="2"/>
  <c r="K178" i="2"/>
  <c r="L178" i="2"/>
  <c r="M178" i="2"/>
  <c r="N178" i="2"/>
  <c r="O178" i="2"/>
  <c r="P178" i="2"/>
  <c r="Q178" i="2"/>
  <c r="T178" i="2"/>
  <c r="U178" i="2"/>
  <c r="V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T178" i="2"/>
  <c r="BU178" i="2"/>
  <c r="BW178" i="2"/>
  <c r="BX178" i="2"/>
  <c r="BY178" i="2"/>
  <c r="CA178" i="2"/>
  <c r="CB178" i="2"/>
  <c r="CC178" i="2"/>
  <c r="CD178" i="2"/>
  <c r="CE178" i="2"/>
  <c r="CG178" i="2"/>
  <c r="CH178" i="2"/>
  <c r="CJ178" i="2"/>
  <c r="CK178" i="2"/>
  <c r="CL178" i="2"/>
  <c r="CN178" i="2"/>
  <c r="CO178" i="2"/>
  <c r="CP178" i="2"/>
  <c r="CQ178" i="2"/>
  <c r="CR178" i="2"/>
  <c r="CT178" i="2"/>
  <c r="CU178" i="2"/>
  <c r="CV178" i="2"/>
  <c r="CW178" i="2"/>
  <c r="CY178" i="2"/>
  <c r="CZ178" i="2"/>
  <c r="DA178" i="2"/>
  <c r="DC178" i="2"/>
  <c r="DD178" i="2"/>
  <c r="DE178" i="2"/>
  <c r="DI178" i="2"/>
  <c r="DJ178" i="2"/>
  <c r="DK178" i="2"/>
  <c r="DM178" i="2"/>
  <c r="DN178" i="2"/>
  <c r="DO178" i="2"/>
  <c r="DQ178" i="2"/>
  <c r="DR178" i="2"/>
  <c r="DS178" i="2"/>
  <c r="DU178" i="2"/>
  <c r="DV178" i="2"/>
  <c r="DW178" i="2"/>
  <c r="I179" i="2"/>
  <c r="J179" i="2"/>
  <c r="K179" i="2"/>
  <c r="L179" i="2"/>
  <c r="M179" i="2"/>
  <c r="N179" i="2"/>
  <c r="O179" i="2"/>
  <c r="P179" i="2"/>
  <c r="Q179" i="2"/>
  <c r="T179" i="2"/>
  <c r="U179" i="2"/>
  <c r="V179" i="2"/>
  <c r="X179" i="2"/>
  <c r="Y179" i="2"/>
  <c r="Z179" i="2"/>
  <c r="AA179" i="2"/>
  <c r="AB179" i="2"/>
  <c r="AC179" i="2"/>
  <c r="AD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T179" i="2"/>
  <c r="BU179" i="2"/>
  <c r="BW179" i="2"/>
  <c r="BX179" i="2"/>
  <c r="BY179" i="2"/>
  <c r="CA179" i="2"/>
  <c r="CB179" i="2"/>
  <c r="CC179" i="2"/>
  <c r="CD179" i="2"/>
  <c r="CE179" i="2"/>
  <c r="CG179" i="2"/>
  <c r="CH179" i="2"/>
  <c r="CJ179" i="2"/>
  <c r="CK179" i="2"/>
  <c r="CL179" i="2"/>
  <c r="CN179" i="2"/>
  <c r="CO179" i="2"/>
  <c r="CP179" i="2"/>
  <c r="CQ179" i="2"/>
  <c r="CR179" i="2"/>
  <c r="CT179" i="2"/>
  <c r="CU179" i="2"/>
  <c r="CV179" i="2"/>
  <c r="CW179" i="2"/>
  <c r="CY179" i="2"/>
  <c r="CZ179" i="2"/>
  <c r="DA179" i="2"/>
  <c r="DC179" i="2"/>
  <c r="DD179" i="2"/>
  <c r="DE179" i="2"/>
  <c r="DI179" i="2"/>
  <c r="DJ179" i="2"/>
  <c r="DK179" i="2"/>
  <c r="DM179" i="2"/>
  <c r="DN179" i="2"/>
  <c r="DO179" i="2"/>
  <c r="DQ179" i="2"/>
  <c r="DR179" i="2"/>
  <c r="DS179" i="2"/>
  <c r="DU179" i="2"/>
  <c r="DV179" i="2"/>
  <c r="DW179" i="2"/>
  <c r="I180" i="2"/>
  <c r="J180" i="2"/>
  <c r="K180" i="2"/>
  <c r="L180" i="2"/>
  <c r="M180" i="2"/>
  <c r="N180" i="2"/>
  <c r="O180" i="2"/>
  <c r="P180" i="2"/>
  <c r="Q180" i="2"/>
  <c r="T180" i="2"/>
  <c r="U180" i="2"/>
  <c r="V180" i="2"/>
  <c r="X180" i="2"/>
  <c r="Y180" i="2"/>
  <c r="Z180" i="2"/>
  <c r="AA180" i="2"/>
  <c r="AB180" i="2"/>
  <c r="AC180" i="2"/>
  <c r="AD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T180" i="2"/>
  <c r="BU180" i="2"/>
  <c r="BW180" i="2"/>
  <c r="BX180" i="2"/>
  <c r="BY180" i="2"/>
  <c r="CA180" i="2"/>
  <c r="CB180" i="2"/>
  <c r="CC180" i="2"/>
  <c r="CD180" i="2"/>
  <c r="CE180" i="2"/>
  <c r="CG180" i="2"/>
  <c r="CH180" i="2"/>
  <c r="CJ180" i="2"/>
  <c r="CK180" i="2"/>
  <c r="CL180" i="2"/>
  <c r="CN180" i="2"/>
  <c r="CO180" i="2"/>
  <c r="CP180" i="2"/>
  <c r="CQ180" i="2"/>
  <c r="CR180" i="2"/>
  <c r="CT180" i="2"/>
  <c r="CU180" i="2"/>
  <c r="CV180" i="2"/>
  <c r="CW180" i="2"/>
  <c r="CY180" i="2"/>
  <c r="CZ180" i="2"/>
  <c r="DA180" i="2"/>
  <c r="DC180" i="2"/>
  <c r="DD180" i="2"/>
  <c r="DE180" i="2"/>
  <c r="DI180" i="2"/>
  <c r="DJ180" i="2"/>
  <c r="DK180" i="2"/>
  <c r="DM180" i="2"/>
  <c r="DN180" i="2"/>
  <c r="DO180" i="2"/>
  <c r="DQ180" i="2"/>
  <c r="DR180" i="2"/>
  <c r="DS180" i="2"/>
  <c r="DU180" i="2"/>
  <c r="DV180" i="2"/>
  <c r="DW180" i="2"/>
  <c r="I181" i="2"/>
  <c r="J181" i="2"/>
  <c r="K181" i="2"/>
  <c r="L181" i="2"/>
  <c r="M181" i="2"/>
  <c r="N181" i="2"/>
  <c r="O181" i="2"/>
  <c r="P181" i="2"/>
  <c r="Q181" i="2"/>
  <c r="T181" i="2"/>
  <c r="U181" i="2"/>
  <c r="V181" i="2"/>
  <c r="X181" i="2"/>
  <c r="Y181" i="2"/>
  <c r="Z181" i="2"/>
  <c r="AA181" i="2"/>
  <c r="AB181" i="2"/>
  <c r="AC181" i="2"/>
  <c r="AD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T181" i="2"/>
  <c r="BU181" i="2"/>
  <c r="BW181" i="2"/>
  <c r="BX181" i="2"/>
  <c r="BY181" i="2"/>
  <c r="CA181" i="2"/>
  <c r="CB181" i="2"/>
  <c r="CC181" i="2"/>
  <c r="CD181" i="2"/>
  <c r="CE181" i="2"/>
  <c r="CG181" i="2"/>
  <c r="CH181" i="2"/>
  <c r="CJ181" i="2"/>
  <c r="CK181" i="2"/>
  <c r="CL181" i="2"/>
  <c r="CN181" i="2"/>
  <c r="CO181" i="2"/>
  <c r="CP181" i="2"/>
  <c r="CQ181" i="2"/>
  <c r="CR181" i="2"/>
  <c r="CT181" i="2"/>
  <c r="CU181" i="2"/>
  <c r="CV181" i="2"/>
  <c r="CW181" i="2"/>
  <c r="CY181" i="2"/>
  <c r="CZ181" i="2"/>
  <c r="DA181" i="2"/>
  <c r="DC181" i="2"/>
  <c r="DD181" i="2"/>
  <c r="DE181" i="2"/>
  <c r="DI181" i="2"/>
  <c r="DJ181" i="2"/>
  <c r="DK181" i="2"/>
  <c r="DM181" i="2"/>
  <c r="DN181" i="2"/>
  <c r="DO181" i="2"/>
  <c r="DQ181" i="2"/>
  <c r="DR181" i="2"/>
  <c r="DS181" i="2"/>
  <c r="DU181" i="2"/>
  <c r="DV181" i="2"/>
  <c r="DW181" i="2"/>
  <c r="I182" i="2"/>
  <c r="J182" i="2"/>
  <c r="K182" i="2"/>
  <c r="L182" i="2"/>
  <c r="M182" i="2"/>
  <c r="N182" i="2"/>
  <c r="O182" i="2"/>
  <c r="P182" i="2"/>
  <c r="Q182" i="2"/>
  <c r="T182" i="2"/>
  <c r="U182" i="2"/>
  <c r="V182" i="2"/>
  <c r="X182" i="2"/>
  <c r="Y182" i="2"/>
  <c r="Z182" i="2"/>
  <c r="AA182" i="2"/>
  <c r="AB182" i="2"/>
  <c r="AC182" i="2"/>
  <c r="AD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T182" i="2"/>
  <c r="BU182" i="2"/>
  <c r="BW182" i="2"/>
  <c r="BX182" i="2"/>
  <c r="BY182" i="2"/>
  <c r="CA182" i="2"/>
  <c r="CB182" i="2"/>
  <c r="CC182" i="2"/>
  <c r="CD182" i="2"/>
  <c r="CE182" i="2"/>
  <c r="CG182" i="2"/>
  <c r="CH182" i="2"/>
  <c r="CJ182" i="2"/>
  <c r="CK182" i="2"/>
  <c r="CL182" i="2"/>
  <c r="CN182" i="2"/>
  <c r="CO182" i="2"/>
  <c r="CP182" i="2"/>
  <c r="CQ182" i="2"/>
  <c r="CR182" i="2"/>
  <c r="CT182" i="2"/>
  <c r="CU182" i="2"/>
  <c r="CV182" i="2"/>
  <c r="CW182" i="2"/>
  <c r="CY182" i="2"/>
  <c r="CZ182" i="2"/>
  <c r="DA182" i="2"/>
  <c r="DC182" i="2"/>
  <c r="DD182" i="2"/>
  <c r="DE182" i="2"/>
  <c r="DI182" i="2"/>
  <c r="DJ182" i="2"/>
  <c r="DK182" i="2"/>
  <c r="DM182" i="2"/>
  <c r="DN182" i="2"/>
  <c r="DO182" i="2"/>
  <c r="DQ182" i="2"/>
  <c r="DR182" i="2"/>
  <c r="DS182" i="2"/>
  <c r="DU182" i="2"/>
  <c r="DV182" i="2"/>
  <c r="DW182" i="2"/>
  <c r="I183" i="2"/>
  <c r="J183" i="2"/>
  <c r="K183" i="2"/>
  <c r="L183" i="2"/>
  <c r="M183" i="2"/>
  <c r="N183" i="2"/>
  <c r="O183" i="2"/>
  <c r="P183" i="2"/>
  <c r="Q183" i="2"/>
  <c r="T183" i="2"/>
  <c r="U183" i="2"/>
  <c r="V183" i="2"/>
  <c r="X183" i="2"/>
  <c r="Y183" i="2"/>
  <c r="Z183" i="2"/>
  <c r="AA183" i="2"/>
  <c r="AB183" i="2"/>
  <c r="AC183" i="2"/>
  <c r="AD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T183" i="2"/>
  <c r="BU183" i="2"/>
  <c r="BW183" i="2"/>
  <c r="BX183" i="2"/>
  <c r="BY183" i="2"/>
  <c r="CA183" i="2"/>
  <c r="CB183" i="2"/>
  <c r="CC183" i="2"/>
  <c r="CD183" i="2"/>
  <c r="CE183" i="2"/>
  <c r="CG183" i="2"/>
  <c r="CH183" i="2"/>
  <c r="CJ183" i="2"/>
  <c r="CK183" i="2"/>
  <c r="CL183" i="2"/>
  <c r="CN183" i="2"/>
  <c r="CO183" i="2"/>
  <c r="CP183" i="2"/>
  <c r="CQ183" i="2"/>
  <c r="CR183" i="2"/>
  <c r="CT183" i="2"/>
  <c r="CU183" i="2"/>
  <c r="CV183" i="2"/>
  <c r="CW183" i="2"/>
  <c r="CY183" i="2"/>
  <c r="CZ183" i="2"/>
  <c r="DA183" i="2"/>
  <c r="DC183" i="2"/>
  <c r="DD183" i="2"/>
  <c r="DE183" i="2"/>
  <c r="DI183" i="2"/>
  <c r="DJ183" i="2"/>
  <c r="DK183" i="2"/>
  <c r="DM183" i="2"/>
  <c r="DN183" i="2"/>
  <c r="DO183" i="2"/>
  <c r="DQ183" i="2"/>
  <c r="DR183" i="2"/>
  <c r="DS183" i="2"/>
  <c r="DU183" i="2"/>
  <c r="DV183" i="2"/>
  <c r="DW183" i="2"/>
  <c r="I184" i="2"/>
  <c r="J184" i="2"/>
  <c r="K184" i="2"/>
  <c r="L184" i="2"/>
  <c r="M184" i="2"/>
  <c r="N184" i="2"/>
  <c r="O184" i="2"/>
  <c r="P184" i="2"/>
  <c r="Q184" i="2"/>
  <c r="T184" i="2"/>
  <c r="U184" i="2"/>
  <c r="V184" i="2"/>
  <c r="X184" i="2"/>
  <c r="Y184" i="2"/>
  <c r="Z184" i="2"/>
  <c r="AA184" i="2"/>
  <c r="AB184" i="2"/>
  <c r="AC184" i="2"/>
  <c r="AD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T184" i="2"/>
  <c r="BU184" i="2"/>
  <c r="BW184" i="2"/>
  <c r="BX184" i="2"/>
  <c r="BY184" i="2"/>
  <c r="CA184" i="2"/>
  <c r="CB184" i="2"/>
  <c r="CC184" i="2"/>
  <c r="CD184" i="2"/>
  <c r="CE184" i="2"/>
  <c r="CG184" i="2"/>
  <c r="CH184" i="2"/>
  <c r="CJ184" i="2"/>
  <c r="CK184" i="2"/>
  <c r="CL184" i="2"/>
  <c r="CN184" i="2"/>
  <c r="CO184" i="2"/>
  <c r="CP184" i="2"/>
  <c r="CQ184" i="2"/>
  <c r="CR184" i="2"/>
  <c r="CT184" i="2"/>
  <c r="CU184" i="2"/>
  <c r="CV184" i="2"/>
  <c r="CW184" i="2"/>
  <c r="CY184" i="2"/>
  <c r="CZ184" i="2"/>
  <c r="DA184" i="2"/>
  <c r="DC184" i="2"/>
  <c r="DD184" i="2"/>
  <c r="DE184" i="2"/>
  <c r="DI184" i="2"/>
  <c r="DJ184" i="2"/>
  <c r="DK184" i="2"/>
  <c r="DM184" i="2"/>
  <c r="DN184" i="2"/>
  <c r="DO184" i="2"/>
  <c r="DQ184" i="2"/>
  <c r="DR184" i="2"/>
  <c r="DS184" i="2"/>
  <c r="DU184" i="2"/>
  <c r="DV184" i="2"/>
  <c r="DW184" i="2"/>
  <c r="I185" i="2"/>
  <c r="J185" i="2"/>
  <c r="L185" i="2"/>
  <c r="M185" i="2"/>
  <c r="T185" i="2"/>
  <c r="BT185" i="2"/>
  <c r="BU185" i="2"/>
  <c r="BW185" i="2"/>
  <c r="BX185" i="2"/>
  <c r="BY185" i="2"/>
  <c r="CA185" i="2"/>
  <c r="CB185" i="2"/>
  <c r="CC185" i="2"/>
  <c r="CD185" i="2"/>
  <c r="CE185" i="2"/>
  <c r="CG185" i="2"/>
  <c r="CH185" i="2"/>
  <c r="CJ185" i="2"/>
  <c r="CK185" i="2"/>
  <c r="CL185" i="2"/>
  <c r="CN185" i="2"/>
  <c r="CO185" i="2"/>
  <c r="CP185" i="2"/>
  <c r="CQ185" i="2"/>
  <c r="CR185" i="2"/>
  <c r="CT185" i="2"/>
  <c r="CU185" i="2"/>
  <c r="CV185" i="2"/>
  <c r="CW185" i="2"/>
  <c r="CY185" i="2"/>
  <c r="CZ185" i="2"/>
  <c r="DA185" i="2"/>
  <c r="DC185" i="2"/>
  <c r="DD185" i="2"/>
  <c r="DE185" i="2"/>
  <c r="DI185" i="2"/>
  <c r="DJ185" i="2"/>
  <c r="DK185" i="2"/>
  <c r="DM185" i="2"/>
  <c r="DN185" i="2"/>
  <c r="DO185" i="2"/>
  <c r="DQ185" i="2"/>
  <c r="DR185" i="2"/>
  <c r="DS185" i="2"/>
  <c r="DU185" i="2"/>
  <c r="DV185" i="2"/>
  <c r="DW185" i="2"/>
  <c r="I186" i="2"/>
  <c r="J186" i="2"/>
  <c r="L186" i="2"/>
  <c r="M186" i="2"/>
  <c r="T186" i="2"/>
  <c r="BT186" i="2"/>
  <c r="BU186" i="2"/>
  <c r="BW186" i="2"/>
  <c r="BX186" i="2"/>
  <c r="BY186" i="2"/>
  <c r="CA186" i="2"/>
  <c r="CB186" i="2"/>
  <c r="CC186" i="2"/>
  <c r="CD186" i="2"/>
  <c r="CE186" i="2"/>
  <c r="CG186" i="2"/>
  <c r="CH186" i="2"/>
  <c r="CJ186" i="2"/>
  <c r="CK186" i="2"/>
  <c r="CL186" i="2"/>
  <c r="CN186" i="2"/>
  <c r="CO186" i="2"/>
  <c r="CP186" i="2"/>
  <c r="CQ186" i="2"/>
  <c r="CR186" i="2"/>
  <c r="CT186" i="2"/>
  <c r="CU186" i="2"/>
  <c r="CV186" i="2"/>
  <c r="CW186" i="2"/>
  <c r="CY186" i="2"/>
  <c r="CZ186" i="2"/>
  <c r="DA186" i="2"/>
  <c r="DC186" i="2"/>
  <c r="DD186" i="2"/>
  <c r="DE186" i="2"/>
  <c r="DI186" i="2"/>
  <c r="DJ186" i="2"/>
  <c r="DK186" i="2"/>
  <c r="DM186" i="2"/>
  <c r="DN186" i="2"/>
  <c r="DO186" i="2"/>
  <c r="DQ186" i="2"/>
  <c r="DR186" i="2"/>
  <c r="DS186" i="2"/>
  <c r="DU186" i="2"/>
  <c r="DV186" i="2"/>
  <c r="DW186" i="2"/>
  <c r="I187" i="2"/>
  <c r="B3" i="1"/>
  <c r="G4" i="1"/>
  <c r="S4" i="1"/>
  <c r="B5" i="1"/>
  <c r="E5" i="1"/>
  <c r="F5" i="1"/>
  <c r="G5" i="1"/>
  <c r="S5" i="1"/>
  <c r="B6" i="1"/>
  <c r="D6" i="1"/>
  <c r="I6" i="1"/>
  <c r="J6" i="1"/>
  <c r="K6" i="1"/>
  <c r="L6" i="1"/>
  <c r="M6" i="1"/>
  <c r="N6" i="1"/>
  <c r="P6" i="1"/>
  <c r="I7" i="1"/>
  <c r="J7" i="1"/>
  <c r="K7" i="1"/>
  <c r="L7" i="1"/>
  <c r="M7" i="1"/>
  <c r="N7" i="1"/>
  <c r="C8" i="1"/>
  <c r="D8" i="1"/>
  <c r="E8" i="1"/>
  <c r="F8" i="1"/>
  <c r="G8" i="1"/>
  <c r="I8" i="1"/>
  <c r="J8" i="1"/>
  <c r="K8" i="1"/>
  <c r="L8" i="1"/>
  <c r="M8" i="1"/>
  <c r="N8" i="1"/>
  <c r="C9" i="1"/>
  <c r="D9" i="1"/>
  <c r="E9" i="1"/>
  <c r="F9" i="1"/>
  <c r="G9" i="1"/>
  <c r="I9" i="1"/>
  <c r="J9" i="1"/>
  <c r="K9" i="1"/>
  <c r="L9" i="1"/>
  <c r="M9" i="1"/>
  <c r="N9" i="1"/>
  <c r="Q9" i="1"/>
  <c r="S9" i="1"/>
  <c r="AC9" i="1"/>
  <c r="B10" i="1"/>
  <c r="C10" i="1"/>
  <c r="D10" i="1"/>
  <c r="E10" i="1"/>
  <c r="F10" i="1"/>
  <c r="G10" i="1"/>
  <c r="I10" i="1"/>
  <c r="J10" i="1"/>
  <c r="K10" i="1"/>
  <c r="L10" i="1"/>
  <c r="M10" i="1"/>
  <c r="N10" i="1"/>
  <c r="S10" i="1"/>
  <c r="AC10" i="1"/>
  <c r="D11" i="1"/>
  <c r="F11" i="1"/>
  <c r="I11" i="1"/>
  <c r="J11" i="1"/>
  <c r="K11" i="1"/>
  <c r="L11" i="1"/>
  <c r="M11" i="1"/>
  <c r="N11" i="1"/>
  <c r="Q11" i="1"/>
  <c r="S11" i="1"/>
  <c r="AC11" i="1"/>
  <c r="I12" i="1"/>
  <c r="J12" i="1"/>
  <c r="M12" i="1"/>
  <c r="N12" i="1"/>
  <c r="S12" i="1"/>
  <c r="AC12" i="1"/>
  <c r="I13" i="1"/>
  <c r="J13" i="1"/>
  <c r="M13" i="1"/>
  <c r="N13" i="1"/>
  <c r="AC13" i="1"/>
  <c r="I14" i="1"/>
  <c r="J14" i="1"/>
  <c r="M14" i="1"/>
  <c r="N14" i="1"/>
  <c r="F15" i="1"/>
  <c r="I15" i="1"/>
  <c r="J15" i="1"/>
  <c r="M15" i="1"/>
  <c r="N15" i="1"/>
  <c r="AE15" i="1"/>
  <c r="F16" i="1"/>
  <c r="I16" i="1"/>
  <c r="J16" i="1"/>
  <c r="M16" i="1"/>
  <c r="N16" i="1"/>
  <c r="S16" i="1"/>
  <c r="AE16" i="1"/>
  <c r="I17" i="1"/>
  <c r="J17" i="1"/>
  <c r="M17" i="1"/>
  <c r="N17" i="1"/>
  <c r="W17" i="1"/>
  <c r="W18" i="1"/>
  <c r="E19" i="1"/>
  <c r="G19" i="1"/>
  <c r="E20" i="1"/>
  <c r="G20" i="1"/>
  <c r="W20" i="1"/>
  <c r="W21" i="1"/>
  <c r="G22" i="1"/>
  <c r="B23" i="1"/>
  <c r="C23" i="1"/>
  <c r="D23" i="1"/>
  <c r="E23" i="1"/>
  <c r="F23" i="1"/>
  <c r="G23" i="1"/>
  <c r="I23" i="1"/>
  <c r="J23" i="1"/>
  <c r="K23" i="1"/>
  <c r="M23" i="1"/>
  <c r="N23" i="1"/>
  <c r="O23" i="1"/>
  <c r="P23" i="1"/>
  <c r="Q23" i="1"/>
  <c r="B24" i="1"/>
  <c r="C24" i="1"/>
  <c r="D24" i="1"/>
  <c r="E24" i="1"/>
  <c r="F24" i="1"/>
  <c r="G24" i="1"/>
  <c r="I24" i="1"/>
  <c r="J24" i="1"/>
  <c r="K24" i="1"/>
  <c r="M24" i="1"/>
  <c r="N24" i="1"/>
  <c r="O24" i="1"/>
  <c r="P24" i="1"/>
  <c r="Q24" i="1"/>
  <c r="B25" i="1"/>
  <c r="C25" i="1"/>
  <c r="D25" i="1"/>
  <c r="E25" i="1"/>
  <c r="F25" i="1"/>
  <c r="G25" i="1"/>
  <c r="I25" i="1"/>
  <c r="J25" i="1"/>
  <c r="M25" i="1"/>
  <c r="N25" i="1"/>
  <c r="O25" i="1"/>
  <c r="P25" i="1"/>
  <c r="Q25" i="1"/>
  <c r="B26" i="1"/>
  <c r="C26" i="1"/>
  <c r="D26" i="1"/>
  <c r="E26" i="1"/>
  <c r="F26" i="1"/>
  <c r="G26" i="1"/>
  <c r="I26" i="1"/>
  <c r="J26" i="1"/>
  <c r="K26" i="1"/>
  <c r="B27" i="1"/>
  <c r="C27" i="1"/>
  <c r="D27" i="1"/>
  <c r="E27" i="1"/>
  <c r="F27" i="1"/>
  <c r="G27" i="1"/>
  <c r="K27" i="1"/>
  <c r="B28" i="1"/>
  <c r="C28" i="1"/>
  <c r="D28" i="1"/>
  <c r="E28" i="1"/>
  <c r="F28" i="1"/>
  <c r="G28" i="1"/>
  <c r="K28" i="1"/>
  <c r="B29" i="1"/>
  <c r="C29" i="1"/>
  <c r="D29" i="1"/>
  <c r="E29" i="1"/>
  <c r="F29" i="1"/>
  <c r="G29" i="1"/>
  <c r="O29" i="1"/>
  <c r="P29" i="1"/>
  <c r="B30" i="1"/>
  <c r="C30" i="1"/>
  <c r="D30" i="1"/>
  <c r="E30" i="1"/>
  <c r="F30" i="1"/>
  <c r="G30" i="1"/>
  <c r="K30" i="1"/>
  <c r="O30" i="1"/>
  <c r="P30" i="1"/>
</calcChain>
</file>

<file path=xl/sharedStrings.xml><?xml version="1.0" encoding="utf-8"?>
<sst xmlns="http://schemas.openxmlformats.org/spreadsheetml/2006/main" count="412" uniqueCount="193">
  <si>
    <t>Swap/Option Term</t>
  </si>
  <si>
    <t>Swap Pricing Results</t>
  </si>
  <si>
    <t>Controls</t>
  </si>
  <si>
    <t>Pricing as of</t>
  </si>
  <si>
    <t>Month</t>
  </si>
  <si>
    <t>Year</t>
  </si>
  <si>
    <t>Date</t>
  </si>
  <si>
    <t>WTI</t>
  </si>
  <si>
    <t>Start</t>
  </si>
  <si>
    <t>Swap</t>
  </si>
  <si>
    <t>Futures</t>
  </si>
  <si>
    <t>Option Control</t>
  </si>
  <si>
    <t>End</t>
  </si>
  <si>
    <t>Swaption Type</t>
  </si>
  <si>
    <t>Option Input Adjustments</t>
  </si>
  <si>
    <t>Vol Skew Table</t>
  </si>
  <si>
    <t>Participation Type</t>
  </si>
  <si>
    <t>Vol</t>
  </si>
  <si>
    <t>Price</t>
  </si>
  <si>
    <t>Closing</t>
  </si>
  <si>
    <t>Strike Is Above Underlying</t>
  </si>
  <si>
    <t>Strike Is Below Underlying</t>
  </si>
  <si>
    <t>Spread</t>
  </si>
  <si>
    <t>Override</t>
  </si>
  <si>
    <t>Vols</t>
  </si>
  <si>
    <t>Specify</t>
  </si>
  <si>
    <t>Used</t>
  </si>
  <si>
    <t>Days for Theta Calculation</t>
  </si>
  <si>
    <t>Asian</t>
  </si>
  <si>
    <t>Calc Mode (1-Auto, 2-Man)</t>
  </si>
  <si>
    <t>Euro</t>
  </si>
  <si>
    <t>Combination Type</t>
  </si>
  <si>
    <t>Strikes</t>
  </si>
  <si>
    <t>Extendable Swap</t>
  </si>
  <si>
    <t>Value</t>
  </si>
  <si>
    <t>First Adjustment</t>
  </si>
  <si>
    <t>Option Pricing Results</t>
  </si>
  <si>
    <t>Participating Swap</t>
  </si>
  <si>
    <t>Prem</t>
  </si>
  <si>
    <t>Delta</t>
  </si>
  <si>
    <t>Gamma</t>
  </si>
  <si>
    <t>Vega</t>
  </si>
  <si>
    <t>Volumes</t>
  </si>
  <si>
    <t>Participating Swap Pricing</t>
  </si>
  <si>
    <t>Monthly</t>
  </si>
  <si>
    <t>Total</t>
  </si>
  <si>
    <t>Rate</t>
  </si>
  <si>
    <t>Nom</t>
  </si>
  <si>
    <t>PV</t>
  </si>
  <si>
    <t>Swap/Opt</t>
  </si>
  <si>
    <t>Calculation Mode</t>
  </si>
  <si>
    <t>Swaption</t>
  </si>
  <si>
    <t>Swaption Term</t>
  </si>
  <si>
    <t>Expiry</t>
  </si>
  <si>
    <t>Strike</t>
  </si>
  <si>
    <t>WTI NYMEX</t>
  </si>
  <si>
    <t>Volatility Information</t>
  </si>
  <si>
    <t>Asian Options</t>
  </si>
  <si>
    <t>Euro Options</t>
  </si>
  <si>
    <t>Y</t>
  </si>
  <si>
    <t>M</t>
  </si>
  <si>
    <t>Deal</t>
  </si>
  <si>
    <t>Current</t>
  </si>
  <si>
    <t>Interest</t>
  </si>
  <si>
    <t>Discount</t>
  </si>
  <si>
    <t>Escal</t>
  </si>
  <si>
    <t>Period 1</t>
  </si>
  <si>
    <t>Period 2</t>
  </si>
  <si>
    <t>Under-</t>
  </si>
  <si>
    <t>Moneyness</t>
  </si>
  <si>
    <t>Trading</t>
  </si>
  <si>
    <t>Option</t>
  </si>
  <si>
    <t>Change</t>
  </si>
  <si>
    <t>Factor</t>
  </si>
  <si>
    <t>lying</t>
  </si>
  <si>
    <t>ATM</t>
  </si>
  <si>
    <t>Premium</t>
  </si>
  <si>
    <t>Theta</t>
  </si>
  <si>
    <t>(cents)</t>
  </si>
  <si>
    <t>Price Spread</t>
  </si>
  <si>
    <t>Swap Price</t>
  </si>
  <si>
    <t>Fut Price</t>
  </si>
  <si>
    <t>Effect. Vol</t>
  </si>
  <si>
    <t>Vol Skew, Strike Above</t>
  </si>
  <si>
    <t>Vol Skew, Strike Below</t>
  </si>
  <si>
    <t>Code Table</t>
  </si>
  <si>
    <t>Jan</t>
  </si>
  <si>
    <t>F</t>
  </si>
  <si>
    <t>Feb</t>
  </si>
  <si>
    <t>G</t>
  </si>
  <si>
    <t>Mar</t>
  </si>
  <si>
    <t>H</t>
  </si>
  <si>
    <t>Apr</t>
  </si>
  <si>
    <t>J</t>
  </si>
  <si>
    <t>May</t>
  </si>
  <si>
    <t>K</t>
  </si>
  <si>
    <t>Jun</t>
  </si>
  <si>
    <t>Jul</t>
  </si>
  <si>
    <t>N</t>
  </si>
  <si>
    <t>Aug</t>
  </si>
  <si>
    <t>Q</t>
  </si>
  <si>
    <t>Sep</t>
  </si>
  <si>
    <t>U</t>
  </si>
  <si>
    <t>Oct</t>
  </si>
  <si>
    <t>V</t>
  </si>
  <si>
    <t>Nov</t>
  </si>
  <si>
    <t>X</t>
  </si>
  <si>
    <t>Dec</t>
  </si>
  <si>
    <t>Z</t>
  </si>
  <si>
    <t>IR</t>
  </si>
  <si>
    <t>Crude</t>
  </si>
  <si>
    <t>Swap 1</t>
  </si>
  <si>
    <t>Swap 2</t>
  </si>
  <si>
    <t>Swap 2 Price</t>
  </si>
  <si>
    <t>Regular</t>
  </si>
  <si>
    <t>Swaption &amp; Extendable Pricing</t>
  </si>
  <si>
    <t>Days</t>
  </si>
  <si>
    <t>Out</t>
  </si>
  <si>
    <t>Skew</t>
  </si>
  <si>
    <t>Match</t>
  </si>
  <si>
    <t>Volume</t>
  </si>
  <si>
    <t>Esca-</t>
  </si>
  <si>
    <t>lation</t>
  </si>
  <si>
    <t>Delta*</t>
  </si>
  <si>
    <t>Gamma*</t>
  </si>
  <si>
    <t>Rudy</t>
  </si>
  <si>
    <t>Gas</t>
  </si>
  <si>
    <t>HO</t>
  </si>
  <si>
    <t>Jet</t>
  </si>
  <si>
    <t>NYH</t>
  </si>
  <si>
    <t>GC</t>
  </si>
  <si>
    <t>Fuel</t>
  </si>
  <si>
    <t>Hector</t>
  </si>
  <si>
    <t xml:space="preserve"> </t>
  </si>
  <si>
    <t>Nymex</t>
  </si>
  <si>
    <t>Dates</t>
  </si>
  <si>
    <t>in</t>
  </si>
  <si>
    <t>to Euro</t>
  </si>
  <si>
    <t>Opt</t>
  </si>
  <si>
    <t>Years to</t>
  </si>
  <si>
    <t>Gasoline</t>
  </si>
  <si>
    <t>Gulf Coast</t>
  </si>
  <si>
    <t>Previous</t>
  </si>
  <si>
    <t>Rudy's WTI-Product Spreads</t>
  </si>
  <si>
    <t>JetFuel</t>
  </si>
  <si>
    <t>Heating Oil</t>
  </si>
  <si>
    <t>Fut</t>
  </si>
  <si>
    <t>Ch</t>
  </si>
  <si>
    <t>$/bbl</t>
  </si>
  <si>
    <t>c/gal</t>
  </si>
  <si>
    <t>Prev</t>
  </si>
  <si>
    <t>Curr</t>
  </si>
  <si>
    <t>Gasoline Price, Nymex</t>
  </si>
  <si>
    <t>to WTI</t>
  </si>
  <si>
    <t>Gasoline Price, Gulf Coast</t>
  </si>
  <si>
    <t>Heating Oil Price, Nymex</t>
  </si>
  <si>
    <t>Heating Oil Price, Gulf Coast</t>
  </si>
  <si>
    <t>Jet Fuel Price, Gulf Coast</t>
  </si>
  <si>
    <t>Gasoline Vol, Nymex</t>
  </si>
  <si>
    <t>Heating Oil Vol, Nymex</t>
  </si>
  <si>
    <t>to-WTI Vol Spreads</t>
  </si>
  <si>
    <t>to Nymex</t>
  </si>
  <si>
    <t>to HONH</t>
  </si>
  <si>
    <t>Price Spreads Annual Escalators</t>
  </si>
  <si>
    <t>Gasoline to WTI</t>
  </si>
  <si>
    <t>Heating Oil to WTI</t>
  </si>
  <si>
    <t>Oil</t>
  </si>
  <si>
    <t>Heating</t>
  </si>
  <si>
    <t>Resid, 1% NY Harbor</t>
  </si>
  <si>
    <t>Resid, 1% Gulf Coast</t>
  </si>
  <si>
    <t>Resid, 3% Gulf Coast</t>
  </si>
  <si>
    <t>Resid, 2.2% NY Harbor</t>
  </si>
  <si>
    <t>Hector's WTI-Resid Spreads</t>
  </si>
  <si>
    <t>New York</t>
  </si>
  <si>
    <t>Harbor</t>
  </si>
  <si>
    <t>Gulf</t>
  </si>
  <si>
    <t>Coast</t>
  </si>
  <si>
    <t>Product Group</t>
  </si>
  <si>
    <t>Product</t>
  </si>
  <si>
    <t>Horizontal Price Offset</t>
  </si>
  <si>
    <t>Horizontal Vol Offset</t>
  </si>
  <si>
    <t>to Prev</t>
  </si>
  <si>
    <t>Crack Spreads</t>
  </si>
  <si>
    <t>Costless Collar Pricing</t>
  </si>
  <si>
    <t>Costless Collar Specification</t>
  </si>
  <si>
    <t>Euro Exp Date</t>
  </si>
  <si>
    <t>Euro Expiration Dates</t>
  </si>
  <si>
    <t>Up/Down</t>
  </si>
  <si>
    <t>Vol Skew</t>
  </si>
  <si>
    <t>Skew On/Off</t>
  </si>
  <si>
    <t>Weight</t>
  </si>
  <si>
    <t>Split</t>
  </si>
  <si>
    <t>Futures 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</si>
</sst>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dd\-mmm\-yy_)"/>
    <numFmt numFmtId="166" formatCode="dd\-mmm\-yy"/>
    <numFmt numFmtId="167" formatCode="0.0000"/>
    <numFmt numFmtId="168" formatCode="mm/dd/yy"/>
    <numFmt numFmtId="169" formatCode="0.0%"/>
    <numFmt numFmtId="170" formatCode="_(* #,##0.000_);_(* \(#,##0.000\);_(* &quot;-&quot;_);_(@_)"/>
  </numFmts>
  <fonts count="31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sz val="10"/>
      <color indexed="12"/>
      <name val="Times New Roman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color indexed="47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47"/>
      <name val="Times New Roman"/>
      <family val="1"/>
    </font>
    <font>
      <b/>
      <sz val="9"/>
      <name val="Times New Roman"/>
      <family val="1"/>
    </font>
    <font>
      <sz val="8"/>
      <name val="Tahoma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47"/>
      <name val="Times New Roman"/>
      <family val="1"/>
    </font>
    <font>
      <b/>
      <sz val="10"/>
      <color indexed="61"/>
      <name val="Times New Roman"/>
      <family val="1"/>
    </font>
    <font>
      <b/>
      <sz val="8"/>
      <color indexed="61"/>
      <name val="Times New Roman"/>
      <family val="1"/>
    </font>
    <font>
      <b/>
      <sz val="8"/>
      <color indexed="8"/>
      <name val="Times New Roman"/>
      <family val="1"/>
    </font>
    <font>
      <sz val="8"/>
      <color indexed="12"/>
      <name val="Times New Roman"/>
      <family val="1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2"/>
      <color indexed="6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Continuous"/>
    </xf>
    <xf numFmtId="0" fontId="1" fillId="0" borderId="0" xfId="0" applyFont="1" applyAlignment="1"/>
    <xf numFmtId="0" fontId="0" fillId="2" borderId="15" xfId="0" applyFill="1" applyBorder="1"/>
    <xf numFmtId="0" fontId="6" fillId="0" borderId="1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ill="1"/>
    <xf numFmtId="0" fontId="1" fillId="3" borderId="0" xfId="0" applyFont="1" applyFill="1" applyBorder="1" applyAlignment="1"/>
    <xf numFmtId="0" fontId="0" fillId="3" borderId="0" xfId="0" applyFill="1" applyBorder="1" applyAlignment="1"/>
    <xf numFmtId="0" fontId="3" fillId="4" borderId="16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Continuous"/>
    </xf>
    <xf numFmtId="0" fontId="1" fillId="4" borderId="21" xfId="0" applyFont="1" applyFill="1" applyBorder="1" applyAlignment="1">
      <alignment horizontal="centerContinuous"/>
    </xf>
    <xf numFmtId="0" fontId="1" fillId="4" borderId="22" xfId="0" quotePrefix="1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right"/>
    </xf>
    <xf numFmtId="0" fontId="1" fillId="4" borderId="19" xfId="0" applyFont="1" applyFill="1" applyBorder="1" applyAlignment="1">
      <alignment horizontal="right"/>
    </xf>
    <xf numFmtId="0" fontId="1" fillId="4" borderId="23" xfId="0" applyFont="1" applyFill="1" applyBorder="1" applyAlignment="1">
      <alignment horizontal="centerContinuous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Continuous"/>
    </xf>
    <xf numFmtId="0" fontId="7" fillId="4" borderId="23" xfId="0" applyFont="1" applyFill="1" applyBorder="1" applyAlignment="1">
      <alignment horizontal="center"/>
    </xf>
    <xf numFmtId="0" fontId="0" fillId="2" borderId="0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0" fillId="2" borderId="28" xfId="0" applyFill="1" applyBorder="1"/>
    <xf numFmtId="0" fontId="0" fillId="2" borderId="29" xfId="0" applyFill="1" applyBorder="1"/>
    <xf numFmtId="0" fontId="0" fillId="0" borderId="30" xfId="0" applyBorder="1" applyAlignment="1">
      <alignment horizontal="centerContinuous"/>
    </xf>
    <xf numFmtId="0" fontId="0" fillId="0" borderId="31" xfId="0" applyBorder="1" applyAlignment="1">
      <alignment horizontal="centerContinuous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2" xfId="0" applyBorder="1" applyAlignment="1">
      <alignment horizontal="centerContinuous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1" fillId="0" borderId="6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1" fillId="0" borderId="35" xfId="0" applyFont="1" applyBorder="1" applyAlignment="1">
      <alignment horizontal="centerContinuous"/>
    </xf>
    <xf numFmtId="0" fontId="0" fillId="0" borderId="0" xfId="0" applyBorder="1"/>
    <xf numFmtId="0" fontId="0" fillId="0" borderId="36" xfId="0" applyBorder="1" applyAlignment="1">
      <alignment horizontal="center"/>
    </xf>
    <xf numFmtId="0" fontId="2" fillId="0" borderId="8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0" fillId="0" borderId="1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37" xfId="0" applyFont="1" applyBorder="1" applyAlignment="1">
      <alignment horizontal="centerContinuous"/>
    </xf>
    <xf numFmtId="0" fontId="1" fillId="0" borderId="36" xfId="0" applyFont="1" applyBorder="1" applyAlignment="1">
      <alignment horizontal="centerContinuous"/>
    </xf>
    <xf numFmtId="0" fontId="4" fillId="4" borderId="16" xfId="0" applyFont="1" applyFill="1" applyBorder="1" applyAlignment="1">
      <alignment horizontal="center"/>
    </xf>
    <xf numFmtId="0" fontId="10" fillId="3" borderId="0" xfId="0" applyFont="1" applyFill="1" applyAlignment="1">
      <alignment horizontal="centerContinuous"/>
    </xf>
    <xf numFmtId="0" fontId="9" fillId="4" borderId="32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0" fillId="3" borderId="0" xfId="0" applyFill="1" applyAlignment="1">
      <alignment horizontal="centerContinuous"/>
    </xf>
    <xf numFmtId="0" fontId="1" fillId="4" borderId="38" xfId="0" applyFont="1" applyFill="1" applyBorder="1" applyAlignment="1">
      <alignment horizontal="center"/>
    </xf>
    <xf numFmtId="0" fontId="6" fillId="0" borderId="20" xfId="0" applyFont="1" applyBorder="1" applyAlignment="1">
      <alignment horizontal="centerContinuous"/>
    </xf>
    <xf numFmtId="0" fontId="6" fillId="0" borderId="21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7" fontId="2" fillId="0" borderId="0" xfId="0" applyNumberFormat="1" applyFont="1" applyFill="1" applyBorder="1"/>
    <xf numFmtId="0" fontId="1" fillId="2" borderId="2" xfId="0" applyFont="1" applyFill="1" applyBorder="1" applyAlignment="1"/>
    <xf numFmtId="0" fontId="2" fillId="0" borderId="18" xfId="0" applyFont="1" applyBorder="1" applyAlignment="1">
      <alignment horizontal="center"/>
    </xf>
    <xf numFmtId="0" fontId="12" fillId="4" borderId="1" xfId="0" applyFont="1" applyFill="1" applyBorder="1"/>
    <xf numFmtId="0" fontId="12" fillId="4" borderId="39" xfId="0" applyFont="1" applyFill="1" applyBorder="1" applyAlignment="1">
      <alignment horizontal="centerContinuous"/>
    </xf>
    <xf numFmtId="0" fontId="12" fillId="4" borderId="26" xfId="0" applyFont="1" applyFill="1" applyBorder="1"/>
    <xf numFmtId="0" fontId="12" fillId="4" borderId="24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3" fillId="3" borderId="0" xfId="0" applyFont="1" applyFill="1" applyAlignment="1">
      <alignment horizontal="centerContinuous"/>
    </xf>
    <xf numFmtId="0" fontId="0" fillId="0" borderId="18" xfId="0" applyBorder="1" applyAlignment="1">
      <alignment horizontal="center"/>
    </xf>
    <xf numFmtId="1" fontId="0" fillId="0" borderId="0" xfId="0" applyNumberFormat="1" applyBorder="1"/>
    <xf numFmtId="0" fontId="2" fillId="0" borderId="34" xfId="0" applyFont="1" applyBorder="1" applyAlignment="1" applyProtection="1">
      <alignment horizontal="center"/>
      <protection locked="0"/>
    </xf>
    <xf numFmtId="1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protection locked="0"/>
    </xf>
    <xf numFmtId="4" fontId="0" fillId="0" borderId="0" xfId="0" applyNumberFormat="1" applyBorder="1" applyAlignment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40" xfId="0" applyFont="1" applyBorder="1" applyProtection="1">
      <protection locked="0"/>
    </xf>
    <xf numFmtId="0" fontId="2" fillId="0" borderId="41" xfId="0" applyFont="1" applyBorder="1" applyAlignment="1" applyProtection="1">
      <alignment horizontal="center"/>
      <protection locked="0"/>
    </xf>
    <xf numFmtId="17" fontId="1" fillId="4" borderId="18" xfId="0" applyNumberFormat="1" applyFont="1" applyFill="1" applyBorder="1" applyAlignment="1" applyProtection="1">
      <alignment horizontal="center"/>
      <protection locked="0"/>
    </xf>
    <xf numFmtId="17" fontId="1" fillId="4" borderId="19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14" fillId="4" borderId="42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3" xfId="0" applyFont="1" applyBorder="1" applyAlignment="1" applyProtection="1">
      <alignment horizontal="center"/>
      <protection locked="0"/>
    </xf>
    <xf numFmtId="0" fontId="9" fillId="4" borderId="25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" fillId="0" borderId="0" xfId="0" applyFont="1" applyFill="1" applyAlignment="1"/>
    <xf numFmtId="0" fontId="9" fillId="4" borderId="19" xfId="0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Border="1"/>
    <xf numFmtId="164" fontId="0" fillId="0" borderId="0" xfId="0" applyNumberFormat="1" applyBorder="1"/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6" fontId="0" fillId="0" borderId="0" xfId="0" applyNumberFormat="1" applyFill="1" applyBorder="1" applyProtection="1"/>
    <xf numFmtId="166" fontId="17" fillId="0" borderId="0" xfId="0" applyNumberFormat="1" applyFont="1" applyBorder="1" applyProtection="1">
      <protection locked="0"/>
    </xf>
    <xf numFmtId="0" fontId="0" fillId="0" borderId="26" xfId="0" applyBorder="1"/>
    <xf numFmtId="1" fontId="2" fillId="0" borderId="26" xfId="0" applyNumberFormat="1" applyFont="1" applyBorder="1" applyAlignment="1"/>
    <xf numFmtId="1" fontId="2" fillId="0" borderId="0" xfId="0" applyNumberFormat="1" applyFont="1" applyBorder="1" applyAlignment="1"/>
    <xf numFmtId="17" fontId="5" fillId="4" borderId="43" xfId="0" applyNumberFormat="1" applyFont="1" applyFill="1" applyBorder="1" applyProtection="1"/>
    <xf numFmtId="17" fontId="0" fillId="0" borderId="36" xfId="0" applyNumberFormat="1" applyBorder="1" applyProtection="1">
      <protection locked="0"/>
    </xf>
    <xf numFmtId="17" fontId="0" fillId="4" borderId="44" xfId="0" applyNumberFormat="1" applyFill="1" applyBorder="1" applyProtection="1">
      <protection locked="0"/>
    </xf>
    <xf numFmtId="0" fontId="1" fillId="0" borderId="22" xfId="0" applyFont="1" applyBorder="1" applyAlignment="1">
      <alignment horizontal="centerContinuous"/>
    </xf>
    <xf numFmtId="0" fontId="1" fillId="0" borderId="21" xfId="0" applyFont="1" applyBorder="1" applyAlignment="1">
      <alignment horizontal="centerContinuous"/>
    </xf>
    <xf numFmtId="0" fontId="1" fillId="0" borderId="1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8" fillId="3" borderId="0" xfId="0" applyFont="1" applyFill="1" applyAlignment="1">
      <alignment horizontal="left"/>
    </xf>
    <xf numFmtId="17" fontId="9" fillId="4" borderId="34" xfId="0" applyNumberFormat="1" applyFont="1" applyFill="1" applyBorder="1"/>
    <xf numFmtId="17" fontId="9" fillId="4" borderId="41" xfId="0" applyNumberFormat="1" applyFont="1" applyFill="1" applyBorder="1"/>
    <xf numFmtId="0" fontId="9" fillId="4" borderId="4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Continuous"/>
    </xf>
    <xf numFmtId="0" fontId="9" fillId="4" borderId="46" xfId="0" applyFont="1" applyFill="1" applyBorder="1" applyAlignment="1">
      <alignment horizontal="centerContinuous"/>
    </xf>
    <xf numFmtId="0" fontId="9" fillId="4" borderId="12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Continuous"/>
    </xf>
    <xf numFmtId="0" fontId="1" fillId="0" borderId="48" xfId="0" applyFont="1" applyFill="1" applyBorder="1" applyAlignment="1">
      <alignment horizontal="centerContinuous"/>
    </xf>
    <xf numFmtId="0" fontId="1" fillId="0" borderId="49" xfId="0" applyFont="1" applyFill="1" applyBorder="1" applyAlignment="1">
      <alignment horizontal="centerContinuous"/>
    </xf>
    <xf numFmtId="0" fontId="1" fillId="0" borderId="50" xfId="0" applyFont="1" applyFill="1" applyBorder="1" applyAlignment="1">
      <alignment horizontal="centerContinuous"/>
    </xf>
    <xf numFmtId="9" fontId="7" fillId="0" borderId="32" xfId="0" applyNumberFormat="1" applyFont="1" applyFill="1" applyBorder="1" applyAlignment="1">
      <alignment horizontal="center"/>
    </xf>
    <xf numFmtId="9" fontId="7" fillId="0" borderId="34" xfId="0" applyNumberFormat="1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167" fontId="16" fillId="0" borderId="32" xfId="0" applyNumberFormat="1" applyFont="1" applyFill="1" applyBorder="1" applyAlignment="1" applyProtection="1">
      <alignment horizontal="right"/>
      <protection locked="0"/>
    </xf>
    <xf numFmtId="167" fontId="16" fillId="0" borderId="34" xfId="0" applyNumberFormat="1" applyFont="1" applyFill="1" applyBorder="1" applyAlignment="1" applyProtection="1">
      <alignment horizontal="right"/>
      <protection locked="0"/>
    </xf>
    <xf numFmtId="167" fontId="16" fillId="0" borderId="51" xfId="0" applyNumberFormat="1" applyFont="1" applyFill="1" applyBorder="1" applyAlignment="1" applyProtection="1">
      <alignment horizontal="right"/>
      <protection locked="0"/>
    </xf>
    <xf numFmtId="167" fontId="16" fillId="0" borderId="41" xfId="0" applyNumberFormat="1" applyFont="1" applyFill="1" applyBorder="1" applyAlignment="1" applyProtection="1">
      <alignment horizontal="right"/>
      <protection locked="0"/>
    </xf>
    <xf numFmtId="0" fontId="9" fillId="0" borderId="20" xfId="0" applyFont="1" applyBorder="1" applyAlignment="1">
      <alignment horizontal="centerContinuous"/>
    </xf>
    <xf numFmtId="1" fontId="2" fillId="0" borderId="0" xfId="0" applyNumberFormat="1" applyFont="1" applyFill="1" applyBorder="1"/>
    <xf numFmtId="167" fontId="2" fillId="4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21" fillId="4" borderId="18" xfId="0" applyFont="1" applyFill="1" applyBorder="1" applyAlignment="1">
      <alignment horizontal="centerContinuous"/>
    </xf>
    <xf numFmtId="0" fontId="21" fillId="4" borderId="19" xfId="0" applyFont="1" applyFill="1" applyBorder="1" applyAlignment="1">
      <alignment horizontal="centerContinuous"/>
    </xf>
    <xf numFmtId="0" fontId="12" fillId="4" borderId="52" xfId="0" applyFont="1" applyFill="1" applyBorder="1" applyAlignment="1">
      <alignment horizontal="centerContinuous"/>
    </xf>
    <xf numFmtId="0" fontId="12" fillId="4" borderId="3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21" fillId="4" borderId="4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4" borderId="53" xfId="0" applyFont="1" applyFill="1" applyBorder="1" applyAlignment="1">
      <alignment horizontal="center"/>
    </xf>
    <xf numFmtId="0" fontId="1" fillId="2" borderId="2" xfId="0" applyFont="1" applyFill="1" applyBorder="1"/>
    <xf numFmtId="0" fontId="9" fillId="0" borderId="0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54" xfId="0" applyFont="1" applyFill="1" applyBorder="1" applyAlignment="1">
      <alignment horizontal="center"/>
    </xf>
    <xf numFmtId="0" fontId="0" fillId="0" borderId="28" xfId="0" applyBorder="1"/>
    <xf numFmtId="0" fontId="1" fillId="0" borderId="0" xfId="0" applyFont="1" applyFill="1" applyBorder="1" applyAlignment="1" applyProtection="1">
      <alignment horizontal="center"/>
      <protection locked="0"/>
    </xf>
    <xf numFmtId="164" fontId="0" fillId="0" borderId="0" xfId="0" quotePrefix="1" applyNumberFormat="1" applyFill="1" applyBorder="1"/>
    <xf numFmtId="167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7" fontId="0" fillId="0" borderId="0" xfId="0" applyNumberFormat="1" applyFill="1" applyBorder="1"/>
    <xf numFmtId="167" fontId="0" fillId="0" borderId="0" xfId="0" quotePrefix="1" applyNumberFormat="1" applyFill="1" applyBorder="1"/>
    <xf numFmtId="170" fontId="0" fillId="0" borderId="0" xfId="0" quotePrefix="1" applyNumberFormat="1" applyFill="1" applyBorder="1"/>
    <xf numFmtId="170" fontId="0" fillId="0" borderId="0" xfId="0" applyNumberFormat="1" applyFill="1" applyBorder="1"/>
    <xf numFmtId="170" fontId="0" fillId="0" borderId="15" xfId="0" applyNumberFormat="1" applyFill="1" applyBorder="1"/>
    <xf numFmtId="0" fontId="1" fillId="0" borderId="0" xfId="0" applyFont="1" applyBorder="1" applyAlignment="1" applyProtection="1">
      <alignment horizontal="center"/>
      <protection locked="0"/>
    </xf>
    <xf numFmtId="164" fontId="0" fillId="0" borderId="0" xfId="0" quotePrefix="1" applyNumberFormat="1" applyBorder="1"/>
    <xf numFmtId="17" fontId="0" fillId="0" borderId="43" xfId="0" applyNumberFormat="1" applyBorder="1" applyProtection="1">
      <protection locked="0"/>
    </xf>
    <xf numFmtId="166" fontId="17" fillId="0" borderId="28" xfId="0" applyNumberFormat="1" applyFont="1" applyBorder="1" applyProtection="1">
      <protection locked="0"/>
    </xf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1" fontId="0" fillId="0" borderId="28" xfId="0" applyNumberFormat="1" applyBorder="1" applyProtection="1">
      <protection locked="0"/>
    </xf>
    <xf numFmtId="3" fontId="0" fillId="0" borderId="28" xfId="0" applyNumberFormat="1" applyBorder="1" applyAlignment="1" applyProtection="1">
      <protection locked="0"/>
    </xf>
    <xf numFmtId="4" fontId="0" fillId="0" borderId="28" xfId="0" applyNumberFormat="1" applyBorder="1" applyAlignment="1" applyProtection="1">
      <protection locked="0"/>
    </xf>
    <xf numFmtId="164" fontId="0" fillId="0" borderId="28" xfId="0" applyNumberForma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164" fontId="0" fillId="0" borderId="28" xfId="0" quotePrefix="1" applyNumberFormat="1" applyFill="1" applyBorder="1"/>
    <xf numFmtId="164" fontId="0" fillId="0" borderId="28" xfId="0" quotePrefix="1" applyNumberFormat="1" applyBorder="1"/>
    <xf numFmtId="167" fontId="2" fillId="0" borderId="28" xfId="0" applyNumberFormat="1" applyFont="1" applyFill="1" applyBorder="1"/>
    <xf numFmtId="1" fontId="2" fillId="0" borderId="28" xfId="0" applyNumberFormat="1" applyFont="1" applyFill="1" applyBorder="1"/>
    <xf numFmtId="164" fontId="0" fillId="0" borderId="28" xfId="0" applyNumberFormat="1" applyFill="1" applyBorder="1"/>
    <xf numFmtId="1" fontId="0" fillId="0" borderId="28" xfId="0" applyNumberFormat="1" applyFill="1" applyBorder="1"/>
    <xf numFmtId="167" fontId="0" fillId="0" borderId="28" xfId="0" applyNumberFormat="1" applyFill="1" applyBorder="1"/>
    <xf numFmtId="167" fontId="0" fillId="0" borderId="28" xfId="0" quotePrefix="1" applyNumberFormat="1" applyFill="1" applyBorder="1"/>
    <xf numFmtId="170" fontId="0" fillId="0" borderId="28" xfId="0" quotePrefix="1" applyNumberFormat="1" applyFill="1" applyBorder="1"/>
    <xf numFmtId="170" fontId="0" fillId="0" borderId="28" xfId="0" applyNumberForma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37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0" borderId="1" xfId="0" applyBorder="1"/>
    <xf numFmtId="0" fontId="0" fillId="0" borderId="26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1" fontId="0" fillId="0" borderId="0" xfId="0" applyNumberFormat="1" applyBorder="1" applyProtection="1"/>
    <xf numFmtId="3" fontId="0" fillId="0" borderId="0" xfId="0" applyNumberFormat="1" applyBorder="1" applyAlignment="1" applyProtection="1"/>
    <xf numFmtId="4" fontId="0" fillId="0" borderId="0" xfId="0" applyNumberFormat="1" applyBorder="1" applyAlignment="1" applyProtection="1"/>
    <xf numFmtId="0" fontId="0" fillId="0" borderId="4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8" xfId="0" applyNumberFormat="1" applyBorder="1"/>
    <xf numFmtId="2" fontId="0" fillId="0" borderId="34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0" borderId="37" xfId="0" applyBorder="1" applyAlignment="1">
      <alignment horizontal="center"/>
    </xf>
    <xf numFmtId="2" fontId="0" fillId="0" borderId="59" xfId="0" applyNumberFormat="1" applyBorder="1"/>
    <xf numFmtId="0" fontId="0" fillId="0" borderId="41" xfId="0" applyBorder="1" applyAlignment="1">
      <alignment horizontal="center"/>
    </xf>
    <xf numFmtId="0" fontId="0" fillId="0" borderId="36" xfId="0" applyBorder="1"/>
    <xf numFmtId="0" fontId="0" fillId="0" borderId="43" xfId="0" applyBorder="1" applyAlignment="1">
      <alignment horizontal="center"/>
    </xf>
    <xf numFmtId="0" fontId="0" fillId="0" borderId="61" xfId="0" applyBorder="1" applyAlignment="1">
      <alignment horizontal="center"/>
    </xf>
    <xf numFmtId="2" fontId="0" fillId="0" borderId="62" xfId="0" applyNumberFormat="1" applyBorder="1"/>
    <xf numFmtId="2" fontId="0" fillId="0" borderId="61" xfId="0" applyNumberFormat="1" applyBorder="1"/>
    <xf numFmtId="0" fontId="0" fillId="0" borderId="60" xfId="0" applyBorder="1"/>
    <xf numFmtId="0" fontId="9" fillId="0" borderId="27" xfId="0" applyFont="1" applyBorder="1" applyAlignment="1">
      <alignment horizontal="centerContinuous"/>
    </xf>
    <xf numFmtId="0" fontId="9" fillId="0" borderId="29" xfId="0" applyFont="1" applyBorder="1" applyAlignment="1">
      <alignment horizontal="centerContinuous"/>
    </xf>
    <xf numFmtId="0" fontId="9" fillId="0" borderId="28" xfId="0" applyFont="1" applyBorder="1" applyAlignment="1">
      <alignment horizontal="centerContinuous"/>
    </xf>
    <xf numFmtId="0" fontId="9" fillId="0" borderId="22" xfId="0" applyFont="1" applyBorder="1" applyAlignment="1">
      <alignment horizontal="centerContinuous"/>
    </xf>
    <xf numFmtId="0" fontId="9" fillId="0" borderId="21" xfId="0" applyFont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63" xfId="0" applyFont="1" applyBorder="1" applyAlignment="1">
      <alignment horizontal="centerContinuous"/>
    </xf>
    <xf numFmtId="0" fontId="9" fillId="0" borderId="52" xfId="0" applyFont="1" applyBorder="1" applyAlignment="1">
      <alignment horizontal="centerContinuous"/>
    </xf>
    <xf numFmtId="0" fontId="9" fillId="0" borderId="36" xfId="0" applyFont="1" applyBorder="1" applyAlignment="1">
      <alignment horizontal="centerContinuous"/>
    </xf>
    <xf numFmtId="0" fontId="0" fillId="0" borderId="6" xfId="0" applyBorder="1" applyAlignment="1">
      <alignment horizontal="center"/>
    </xf>
    <xf numFmtId="0" fontId="9" fillId="0" borderId="30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2" xfId="0" applyFont="1" applyBorder="1" applyAlignment="1">
      <alignment horizontal="centerContinuous"/>
    </xf>
    <xf numFmtId="0" fontId="9" fillId="0" borderId="3" xfId="0" applyFont="1" applyBorder="1" applyAlignment="1">
      <alignment horizontal="centerContinuous"/>
    </xf>
    <xf numFmtId="0" fontId="9" fillId="0" borderId="62" xfId="0" applyFont="1" applyBorder="1" applyAlignment="1">
      <alignment horizontal="centerContinuous"/>
    </xf>
    <xf numFmtId="0" fontId="9" fillId="0" borderId="33" xfId="0" applyFont="1" applyBorder="1" applyAlignment="1">
      <alignment horizontal="centerContinuous"/>
    </xf>
    <xf numFmtId="0" fontId="16" fillId="0" borderId="19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9" fillId="0" borderId="64" xfId="0" applyFont="1" applyBorder="1" applyAlignment="1">
      <alignment horizontal="centerContinuous"/>
    </xf>
    <xf numFmtId="0" fontId="16" fillId="0" borderId="8" xfId="0" applyFont="1" applyBorder="1" applyAlignment="1">
      <alignment horizontal="centerContinuous"/>
    </xf>
    <xf numFmtId="0" fontId="0" fillId="0" borderId="64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5" xfId="0" applyFont="1" applyBorder="1" applyAlignment="1">
      <alignment horizontal="centerContinuous"/>
    </xf>
    <xf numFmtId="0" fontId="0" fillId="0" borderId="66" xfId="0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0" fillId="0" borderId="1" xfId="0" applyBorder="1" applyAlignment="1">
      <alignment horizontal="centerContinuous"/>
    </xf>
    <xf numFmtId="0" fontId="16" fillId="0" borderId="55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6" fillId="0" borderId="5" xfId="0" applyFont="1" applyBorder="1" applyAlignment="1">
      <alignment horizontal="center"/>
    </xf>
    <xf numFmtId="2" fontId="0" fillId="0" borderId="32" xfId="0" applyNumberFormat="1" applyBorder="1"/>
    <xf numFmtId="9" fontId="16" fillId="0" borderId="5" xfId="0" applyNumberFormat="1" applyFont="1" applyBorder="1" applyAlignment="1">
      <alignment horizontal="center"/>
    </xf>
    <xf numFmtId="0" fontId="9" fillId="0" borderId="67" xfId="0" applyFont="1" applyBorder="1" applyAlignment="1">
      <alignment horizontal="centerContinuous"/>
    </xf>
    <xf numFmtId="9" fontId="16" fillId="0" borderId="1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68" xfId="0" applyBorder="1" applyAlignment="1">
      <alignment horizontal="center"/>
    </xf>
    <xf numFmtId="2" fontId="0" fillId="0" borderId="51" xfId="0" applyNumberForma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70" fontId="0" fillId="0" borderId="0" xfId="0" applyNumberFormat="1" applyBorder="1" applyAlignment="1">
      <alignment horizontal="left"/>
    </xf>
    <xf numFmtId="170" fontId="0" fillId="0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2" xfId="0" applyFont="1" applyBorder="1"/>
    <xf numFmtId="0" fontId="1" fillId="0" borderId="16" xfId="0" applyFont="1" applyBorder="1"/>
    <xf numFmtId="0" fontId="16" fillId="0" borderId="1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" fillId="0" borderId="19" xfId="0" applyFont="1" applyBorder="1"/>
    <xf numFmtId="169" fontId="16" fillId="0" borderId="51" xfId="0" applyNumberFormat="1" applyFont="1" applyBorder="1" applyAlignment="1">
      <alignment horizontal="center"/>
    </xf>
    <xf numFmtId="169" fontId="16" fillId="0" borderId="41" xfId="0" applyNumberFormat="1" applyFont="1" applyBorder="1" applyAlignment="1">
      <alignment horizontal="center"/>
    </xf>
    <xf numFmtId="0" fontId="1" fillId="0" borderId="41" xfId="0" applyFont="1" applyBorder="1"/>
    <xf numFmtId="0" fontId="1" fillId="0" borderId="22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3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0" borderId="17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51" xfId="0" applyFont="1" applyBorder="1"/>
    <xf numFmtId="169" fontId="1" fillId="4" borderId="45" xfId="0" applyNumberFormat="1" applyFont="1" applyFill="1" applyBorder="1" applyAlignment="1">
      <alignment horizontal="center"/>
    </xf>
    <xf numFmtId="169" fontId="1" fillId="4" borderId="12" xfId="0" applyNumberFormat="1" applyFont="1" applyFill="1" applyBorder="1" applyAlignment="1">
      <alignment horizontal="center"/>
    </xf>
    <xf numFmtId="17" fontId="1" fillId="4" borderId="68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/>
    <xf numFmtId="0" fontId="6" fillId="4" borderId="1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9" fillId="4" borderId="9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1" fillId="4" borderId="3" xfId="0" applyFont="1" applyFill="1" applyBorder="1"/>
    <xf numFmtId="17" fontId="1" fillId="4" borderId="25" xfId="0" applyNumberFormat="1" applyFont="1" applyFill="1" applyBorder="1" applyProtection="1">
      <protection locked="0"/>
    </xf>
    <xf numFmtId="0" fontId="1" fillId="4" borderId="27" xfId="0" applyFont="1" applyFill="1" applyBorder="1" applyAlignment="1">
      <alignment horizontal="centerContinuous"/>
    </xf>
    <xf numFmtId="0" fontId="0" fillId="4" borderId="29" xfId="0" applyFill="1" applyBorder="1" applyAlignment="1">
      <alignment horizontal="centerContinuous"/>
    </xf>
    <xf numFmtId="0" fontId="9" fillId="4" borderId="11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Continuous"/>
    </xf>
    <xf numFmtId="0" fontId="1" fillId="4" borderId="15" xfId="0" applyFont="1" applyFill="1" applyBorder="1" applyAlignment="1">
      <alignment horizontal="centerContinuous"/>
    </xf>
    <xf numFmtId="17" fontId="1" fillId="4" borderId="58" xfId="0" applyNumberFormat="1" applyFont="1" applyFill="1" applyBorder="1" applyProtection="1"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7" fontId="0" fillId="0" borderId="0" xfId="0" applyNumberFormat="1" applyFill="1" applyBorder="1"/>
    <xf numFmtId="164" fontId="0" fillId="0" borderId="28" xfId="0" applyNumberFormat="1" applyBorder="1"/>
    <xf numFmtId="167" fontId="0" fillId="0" borderId="28" xfId="0" applyNumberFormat="1" applyBorder="1"/>
    <xf numFmtId="170" fontId="0" fillId="0" borderId="29" xfId="0" applyNumberFormat="1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0" fillId="0" borderId="15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167" fontId="0" fillId="0" borderId="2" xfId="0" applyNumberFormat="1" applyFill="1" applyBorder="1"/>
    <xf numFmtId="167" fontId="0" fillId="0" borderId="3" xfId="0" applyNumberFormat="1" applyFill="1" applyBorder="1"/>
    <xf numFmtId="167" fontId="0" fillId="4" borderId="0" xfId="0" applyNumberFormat="1" applyFill="1" applyBorder="1"/>
    <xf numFmtId="167" fontId="0" fillId="4" borderId="15" xfId="0" applyNumberFormat="1" applyFill="1" applyBorder="1"/>
    <xf numFmtId="167" fontId="0" fillId="0" borderId="15" xfId="0" applyNumberFormat="1" applyBorder="1"/>
    <xf numFmtId="167" fontId="0" fillId="0" borderId="29" xfId="0" applyNumberFormat="1" applyBorder="1"/>
    <xf numFmtId="164" fontId="0" fillId="0" borderId="15" xfId="0" applyNumberFormat="1" applyBorder="1"/>
    <xf numFmtId="164" fontId="0" fillId="0" borderId="29" xfId="0" applyNumberFormat="1" applyBorder="1"/>
    <xf numFmtId="1" fontId="0" fillId="0" borderId="51" xfId="0" applyNumberFormat="1" applyBorder="1" applyAlignment="1">
      <alignment horizontal="right"/>
    </xf>
    <xf numFmtId="1" fontId="0" fillId="0" borderId="41" xfId="0" applyNumberFormat="1" applyBorder="1" applyAlignment="1">
      <alignment horizontal="right"/>
    </xf>
    <xf numFmtId="169" fontId="1" fillId="4" borderId="24" xfId="0" applyNumberFormat="1" applyFont="1" applyFill="1" applyBorder="1" applyAlignment="1">
      <alignment horizontal="center"/>
    </xf>
    <xf numFmtId="169" fontId="1" fillId="4" borderId="40" xfId="0" applyNumberFormat="1" applyFont="1" applyFill="1" applyBorder="1" applyAlignment="1">
      <alignment horizontal="center"/>
    </xf>
    <xf numFmtId="169" fontId="1" fillId="4" borderId="68" xfId="0" applyNumberFormat="1" applyFont="1" applyFill="1" applyBorder="1" applyAlignment="1">
      <alignment horizontal="center"/>
    </xf>
    <xf numFmtId="169" fontId="1" fillId="4" borderId="25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Continuous"/>
    </xf>
    <xf numFmtId="0" fontId="6" fillId="0" borderId="20" xfId="0" applyFont="1" applyFill="1" applyBorder="1" applyAlignment="1">
      <alignment horizontal="centerContinuous"/>
    </xf>
    <xf numFmtId="0" fontId="6" fillId="0" borderId="21" xfId="0" applyFont="1" applyFill="1" applyBorder="1" applyAlignment="1">
      <alignment horizontal="centerContinuous"/>
    </xf>
    <xf numFmtId="0" fontId="1" fillId="4" borderId="69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8" xfId="0" applyFont="1" applyFill="1" applyBorder="1" applyAlignment="1">
      <alignment horizontal="center"/>
    </xf>
    <xf numFmtId="0" fontId="1" fillId="3" borderId="0" xfId="0" applyFont="1" applyFill="1" applyAlignment="1">
      <alignment horizontal="centerContinuous"/>
    </xf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0" borderId="28" xfId="0" applyNumberFormat="1" applyFill="1" applyBorder="1"/>
    <xf numFmtId="0" fontId="0" fillId="0" borderId="35" xfId="0" applyBorder="1" applyAlignment="1">
      <alignment horizontal="centerContinuous"/>
    </xf>
    <xf numFmtId="0" fontId="1" fillId="2" borderId="1" xfId="0" applyFont="1" applyFill="1" applyBorder="1" applyAlignment="1"/>
    <xf numFmtId="0" fontId="0" fillId="2" borderId="27" xfId="0" applyFill="1" applyBorder="1"/>
    <xf numFmtId="164" fontId="0" fillId="0" borderId="15" xfId="0" quotePrefix="1" applyNumberFormat="1" applyFill="1" applyBorder="1"/>
    <xf numFmtId="164" fontId="0" fillId="0" borderId="15" xfId="0" quotePrefix="1" applyNumberFormat="1" applyBorder="1"/>
    <xf numFmtId="164" fontId="0" fillId="0" borderId="29" xfId="0" quotePrefix="1" applyNumberFormat="1" applyBorder="1"/>
    <xf numFmtId="0" fontId="6" fillId="0" borderId="1" xfId="0" applyFont="1" applyBorder="1" applyAlignment="1" applyProtection="1">
      <alignment horizontal="centerContinuous"/>
      <protection locked="0"/>
    </xf>
    <xf numFmtId="0" fontId="1" fillId="0" borderId="26" xfId="0" applyFont="1" applyBorder="1" applyAlignment="1">
      <alignment horizontal="centerContinuous"/>
    </xf>
    <xf numFmtId="0" fontId="0" fillId="0" borderId="26" xfId="0" applyBorder="1" applyAlignment="1">
      <alignment horizontal="centerContinuous"/>
    </xf>
    <xf numFmtId="0" fontId="8" fillId="0" borderId="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37" xfId="0" applyFont="1" applyBorder="1" applyAlignment="1" applyProtection="1">
      <alignment horizontal="centerContinuous"/>
      <protection locked="0"/>
    </xf>
    <xf numFmtId="0" fontId="9" fillId="0" borderId="36" xfId="0" applyFont="1" applyBorder="1" applyAlignment="1" applyProtection="1">
      <alignment horizontal="centerContinuous"/>
      <protection locked="0"/>
    </xf>
    <xf numFmtId="0" fontId="9" fillId="0" borderId="43" xfId="0" applyFont="1" applyBorder="1" applyAlignment="1" applyProtection="1">
      <alignment horizontal="center"/>
      <protection locked="0"/>
    </xf>
    <xf numFmtId="0" fontId="13" fillId="3" borderId="0" xfId="0" applyFont="1" applyFill="1" applyBorder="1" applyAlignment="1">
      <alignment horizontal="centerContinuous"/>
    </xf>
    <xf numFmtId="2" fontId="0" fillId="0" borderId="70" xfId="0" applyNumberFormat="1" applyBorder="1"/>
    <xf numFmtId="0" fontId="16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2" borderId="37" xfId="0" applyFont="1" applyFill="1" applyBorder="1" applyAlignment="1"/>
    <xf numFmtId="0" fontId="0" fillId="2" borderId="43" xfId="0" applyFill="1" applyBorder="1"/>
    <xf numFmtId="17" fontId="0" fillId="0" borderId="16" xfId="0" applyNumberFormat="1" applyBorder="1" applyAlignment="1" applyProtection="1"/>
    <xf numFmtId="17" fontId="0" fillId="0" borderId="18" xfId="0" applyNumberFormat="1" applyBorder="1" applyAlignment="1" applyProtection="1"/>
    <xf numFmtId="17" fontId="0" fillId="0" borderId="19" xfId="0" applyNumberFormat="1" applyBorder="1" applyAlignment="1" applyProtection="1"/>
    <xf numFmtId="166" fontId="8" fillId="0" borderId="23" xfId="0" applyNumberFormat="1" applyFont="1" applyFill="1" applyBorder="1" applyAlignment="1" applyProtection="1"/>
    <xf numFmtId="166" fontId="8" fillId="0" borderId="34" xfId="0" applyNumberFormat="1" applyFont="1" applyFill="1" applyBorder="1" applyAlignment="1" applyProtection="1"/>
    <xf numFmtId="166" fontId="22" fillId="0" borderId="34" xfId="0" applyNumberFormat="1" applyFont="1" applyBorder="1" applyAlignment="1" applyProtection="1">
      <protection locked="0"/>
    </xf>
    <xf numFmtId="166" fontId="22" fillId="0" borderId="41" xfId="0" applyNumberFormat="1" applyFont="1" applyBorder="1" applyAlignment="1" applyProtection="1">
      <protection locked="0"/>
    </xf>
    <xf numFmtId="0" fontId="16" fillId="0" borderId="26" xfId="0" applyFont="1" applyBorder="1" applyAlignment="1">
      <alignment horizontal="center"/>
    </xf>
    <xf numFmtId="165" fontId="16" fillId="0" borderId="27" xfId="0" applyNumberFormat="1" applyFont="1" applyBorder="1" applyAlignment="1" applyProtection="1">
      <alignment horizontal="center"/>
    </xf>
    <xf numFmtId="0" fontId="8" fillId="0" borderId="29" xfId="0" applyFont="1" applyBorder="1" applyAlignment="1">
      <alignment horizontal="center"/>
    </xf>
    <xf numFmtId="9" fontId="7" fillId="0" borderId="51" xfId="0" applyNumberFormat="1" applyFont="1" applyFill="1" applyBorder="1" applyAlignment="1">
      <alignment horizontal="center"/>
    </xf>
    <xf numFmtId="9" fontId="7" fillId="0" borderId="41" xfId="0" applyNumberFormat="1" applyFont="1" applyFill="1" applyBorder="1" applyAlignment="1">
      <alignment horizontal="center"/>
    </xf>
    <xf numFmtId="164" fontId="0" fillId="4" borderId="0" xfId="0" applyNumberFormat="1" applyFill="1" applyBorder="1"/>
    <xf numFmtId="168" fontId="23" fillId="6" borderId="60" xfId="0" applyNumberFormat="1" applyFont="1" applyFill="1" applyBorder="1" applyAlignment="1" applyProtection="1">
      <alignment horizontal="center"/>
      <protection locked="0"/>
    </xf>
    <xf numFmtId="0" fontId="23" fillId="0" borderId="32" xfId="0" applyFont="1" applyBorder="1" applyProtection="1">
      <protection locked="0"/>
    </xf>
    <xf numFmtId="0" fontId="23" fillId="0" borderId="51" xfId="0" applyFont="1" applyBorder="1" applyProtection="1">
      <protection locked="0"/>
    </xf>
    <xf numFmtId="164" fontId="24" fillId="4" borderId="65" xfId="0" applyNumberFormat="1" applyFont="1" applyFill="1" applyBorder="1"/>
    <xf numFmtId="164" fontId="24" fillId="4" borderId="9" xfId="0" applyNumberFormat="1" applyFont="1" applyFill="1" applyBorder="1"/>
    <xf numFmtId="164" fontId="24" fillId="4" borderId="4" xfId="0" applyNumberFormat="1" applyFont="1" applyFill="1" applyBorder="1"/>
    <xf numFmtId="164" fontId="24" fillId="4" borderId="14" xfId="0" applyNumberFormat="1" applyFont="1" applyFill="1" applyBorder="1"/>
    <xf numFmtId="164" fontId="24" fillId="4" borderId="53" xfId="0" applyNumberFormat="1" applyFont="1" applyFill="1" applyBorder="1"/>
    <xf numFmtId="164" fontId="24" fillId="4" borderId="71" xfId="0" applyNumberFormat="1" applyFont="1" applyFill="1" applyBorder="1"/>
    <xf numFmtId="0" fontId="23" fillId="4" borderId="54" xfId="0" applyFont="1" applyFill="1" applyBorder="1"/>
    <xf numFmtId="167" fontId="25" fillId="0" borderId="16" xfId="0" applyNumberFormat="1" applyFont="1" applyBorder="1" applyProtection="1">
      <protection locked="0"/>
    </xf>
    <xf numFmtId="167" fontId="25" fillId="0" borderId="23" xfId="0" applyNumberFormat="1" applyFont="1" applyBorder="1" applyProtection="1">
      <protection locked="0"/>
    </xf>
    <xf numFmtId="164" fontId="24" fillId="0" borderId="16" xfId="0" applyNumberFormat="1" applyFont="1" applyBorder="1" applyProtection="1">
      <protection locked="0"/>
    </xf>
    <xf numFmtId="164" fontId="24" fillId="4" borderId="17" xfId="0" applyNumberFormat="1" applyFont="1" applyFill="1" applyBorder="1"/>
    <xf numFmtId="164" fontId="24" fillId="0" borderId="23" xfId="0" applyNumberFormat="1" applyFont="1" applyBorder="1" applyProtection="1">
      <protection locked="0"/>
    </xf>
    <xf numFmtId="167" fontId="25" fillId="0" borderId="19" xfId="0" applyNumberFormat="1" applyFont="1" applyBorder="1" applyProtection="1">
      <protection locked="0"/>
    </xf>
    <xf numFmtId="167" fontId="25" fillId="0" borderId="41" xfId="0" applyNumberFormat="1" applyFont="1" applyBorder="1" applyProtection="1">
      <protection locked="0"/>
    </xf>
    <xf numFmtId="164" fontId="24" fillId="0" borderId="19" xfId="0" applyNumberFormat="1" applyFont="1" applyBorder="1" applyProtection="1">
      <protection locked="0"/>
    </xf>
    <xf numFmtId="164" fontId="24" fillId="4" borderId="51" xfId="0" applyNumberFormat="1" applyFont="1" applyFill="1" applyBorder="1"/>
    <xf numFmtId="164" fontId="24" fillId="0" borderId="41" xfId="0" applyNumberFormat="1" applyFont="1" applyBorder="1" applyProtection="1">
      <protection locked="0"/>
    </xf>
    <xf numFmtId="164" fontId="24" fillId="0" borderId="17" xfId="0" applyNumberFormat="1" applyFont="1" applyBorder="1" applyProtection="1">
      <protection locked="0"/>
    </xf>
    <xf numFmtId="164" fontId="24" fillId="4" borderId="23" xfId="0" applyNumberFormat="1" applyFont="1" applyFill="1" applyBorder="1"/>
    <xf numFmtId="164" fontId="24" fillId="0" borderId="51" xfId="0" applyNumberFormat="1" applyFont="1" applyBorder="1" applyProtection="1">
      <protection locked="0"/>
    </xf>
    <xf numFmtId="164" fontId="24" fillId="4" borderId="41" xfId="0" applyNumberFormat="1" applyFont="1" applyFill="1" applyBorder="1"/>
    <xf numFmtId="164" fontId="26" fillId="4" borderId="17" xfId="0" applyNumberFormat="1" applyFont="1" applyFill="1" applyBorder="1"/>
    <xf numFmtId="164" fontId="27" fillId="4" borderId="17" xfId="0" applyNumberFormat="1" applyFont="1" applyFill="1" applyBorder="1"/>
    <xf numFmtId="164" fontId="27" fillId="4" borderId="23" xfId="0" applyNumberFormat="1" applyFont="1" applyFill="1" applyBorder="1"/>
    <xf numFmtId="0" fontId="23" fillId="3" borderId="0" xfId="0" applyFont="1" applyFill="1" applyAlignment="1"/>
    <xf numFmtId="164" fontId="27" fillId="4" borderId="16" xfId="0" applyNumberFormat="1" applyFont="1" applyFill="1" applyBorder="1"/>
    <xf numFmtId="164" fontId="24" fillId="4" borderId="32" xfId="0" applyNumberFormat="1" applyFont="1" applyFill="1" applyBorder="1"/>
    <xf numFmtId="164" fontId="26" fillId="4" borderId="32" xfId="0" applyNumberFormat="1" applyFont="1" applyFill="1" applyBorder="1"/>
    <xf numFmtId="164" fontId="27" fillId="4" borderId="32" xfId="0" applyNumberFormat="1" applyFont="1" applyFill="1" applyBorder="1"/>
    <xf numFmtId="164" fontId="27" fillId="4" borderId="34" xfId="0" applyNumberFormat="1" applyFont="1" applyFill="1" applyBorder="1"/>
    <xf numFmtId="164" fontId="27" fillId="4" borderId="18" xfId="0" applyNumberFormat="1" applyFont="1" applyFill="1" applyBorder="1"/>
    <xf numFmtId="164" fontId="26" fillId="4" borderId="51" xfId="0" applyNumberFormat="1" applyFont="1" applyFill="1" applyBorder="1"/>
    <xf numFmtId="164" fontId="27" fillId="4" borderId="51" xfId="0" applyNumberFormat="1" applyFont="1" applyFill="1" applyBorder="1"/>
    <xf numFmtId="164" fontId="27" fillId="4" borderId="41" xfId="0" applyNumberFormat="1" applyFont="1" applyFill="1" applyBorder="1"/>
    <xf numFmtId="164" fontId="27" fillId="4" borderId="19" xfId="0" applyNumberFormat="1" applyFont="1" applyFill="1" applyBorder="1"/>
    <xf numFmtId="164" fontId="24" fillId="4" borderId="16" xfId="0" applyNumberFormat="1" applyFont="1" applyFill="1" applyBorder="1"/>
    <xf numFmtId="164" fontId="24" fillId="4" borderId="18" xfId="0" applyNumberFormat="1" applyFont="1" applyFill="1" applyBorder="1"/>
    <xf numFmtId="164" fontId="24" fillId="4" borderId="19" xfId="0" applyNumberFormat="1" applyFont="1" applyFill="1" applyBorder="1"/>
    <xf numFmtId="167" fontId="25" fillId="4" borderId="50" xfId="0" applyNumberFormat="1" applyFont="1" applyFill="1" applyBorder="1"/>
    <xf numFmtId="167" fontId="25" fillId="4" borderId="72" xfId="0" applyNumberFormat="1" applyFont="1" applyFill="1" applyBorder="1"/>
    <xf numFmtId="164" fontId="24" fillId="4" borderId="72" xfId="0" applyNumberFormat="1" applyFont="1" applyFill="1" applyBorder="1" applyAlignment="1">
      <alignment horizontal="right"/>
    </xf>
    <xf numFmtId="3" fontId="23" fillId="0" borderId="32" xfId="0" applyNumberFormat="1" applyFont="1" applyFill="1" applyBorder="1" applyProtection="1">
      <protection locked="0"/>
    </xf>
    <xf numFmtId="3" fontId="28" fillId="4" borderId="32" xfId="0" applyNumberFormat="1" applyFont="1" applyFill="1" applyBorder="1"/>
    <xf numFmtId="3" fontId="28" fillId="4" borderId="30" xfId="0" applyNumberFormat="1" applyFont="1" applyFill="1" applyBorder="1"/>
    <xf numFmtId="3" fontId="29" fillId="0" borderId="51" xfId="0" applyNumberFormat="1" applyFont="1" applyFill="1" applyBorder="1" applyAlignment="1" applyProtection="1">
      <protection locked="0"/>
    </xf>
    <xf numFmtId="3" fontId="28" fillId="4" borderId="51" xfId="0" applyNumberFormat="1" applyFont="1" applyFill="1" applyBorder="1"/>
    <xf numFmtId="3" fontId="28" fillId="4" borderId="57" xfId="0" applyNumberFormat="1" applyFont="1" applyFill="1" applyBorder="1"/>
    <xf numFmtId="10" fontId="23" fillId="0" borderId="41" xfId="0" applyNumberFormat="1" applyFont="1" applyFill="1" applyBorder="1" applyProtection="1">
      <protection locked="0"/>
    </xf>
    <xf numFmtId="164" fontId="24" fillId="4" borderId="41" xfId="0" applyNumberFormat="1" applyFont="1" applyFill="1" applyBorder="1" applyProtection="1">
      <protection locked="0"/>
    </xf>
    <xf numFmtId="9" fontId="23" fillId="0" borderId="19" xfId="0" applyNumberFormat="1" applyFont="1" applyFill="1" applyBorder="1" applyProtection="1">
      <protection locked="0"/>
    </xf>
    <xf numFmtId="164" fontId="24" fillId="4" borderId="34" xfId="0" quotePrefix="1" applyNumberFormat="1" applyFont="1" applyFill="1" applyBorder="1"/>
    <xf numFmtId="168" fontId="23" fillId="5" borderId="54" xfId="0" applyNumberFormat="1" applyFont="1" applyFill="1" applyBorder="1" applyAlignment="1" applyProtection="1">
      <alignment horizontal="right"/>
      <protection locked="0"/>
    </xf>
    <xf numFmtId="167" fontId="25" fillId="0" borderId="21" xfId="0" applyNumberFormat="1" applyFont="1" applyBorder="1" applyProtection="1">
      <protection locked="0"/>
    </xf>
    <xf numFmtId="164" fontId="24" fillId="0" borderId="21" xfId="0" applyNumberFormat="1" applyFont="1" applyBorder="1" applyProtection="1">
      <protection locked="0"/>
    </xf>
    <xf numFmtId="164" fontId="24" fillId="4" borderId="13" xfId="0" applyNumberFormat="1" applyFont="1" applyFill="1" applyBorder="1"/>
    <xf numFmtId="164" fontId="24" fillId="4" borderId="41" xfId="0" quotePrefix="1" applyNumberFormat="1" applyFont="1" applyFill="1" applyBorder="1"/>
    <xf numFmtId="167" fontId="25" fillId="0" borderId="68" xfId="0" applyNumberFormat="1" applyFont="1" applyFill="1" applyBorder="1" applyAlignment="1" applyProtection="1">
      <alignment horizontal="right"/>
      <protection locked="0"/>
    </xf>
    <xf numFmtId="167" fontId="25" fillId="4" borderId="25" xfId="0" applyNumberFormat="1" applyFont="1" applyFill="1" applyBorder="1" applyAlignment="1" applyProtection="1">
      <alignment horizontal="right"/>
      <protection locked="0"/>
    </xf>
    <xf numFmtId="167" fontId="25" fillId="0" borderId="68" xfId="0" applyNumberFormat="1" applyFont="1" applyFill="1" applyBorder="1" applyProtection="1">
      <protection locked="0"/>
    </xf>
    <xf numFmtId="167" fontId="25" fillId="4" borderId="25" xfId="0" applyNumberFormat="1" applyFont="1" applyFill="1" applyBorder="1"/>
    <xf numFmtId="167" fontId="25" fillId="0" borderId="11" xfId="0" applyNumberFormat="1" applyFont="1" applyFill="1" applyBorder="1" applyAlignment="1" applyProtection="1">
      <alignment horizontal="right"/>
      <protection locked="0"/>
    </xf>
    <xf numFmtId="167" fontId="25" fillId="4" borderId="58" xfId="0" applyNumberFormat="1" applyFont="1" applyFill="1" applyBorder="1" applyAlignment="1" applyProtection="1">
      <alignment horizontal="right"/>
      <protection locked="0"/>
    </xf>
    <xf numFmtId="167" fontId="25" fillId="4" borderId="68" xfId="0" applyNumberFormat="1" applyFont="1" applyFill="1" applyBorder="1" applyAlignment="1" applyProtection="1">
      <alignment horizontal="right"/>
      <protection locked="0"/>
    </xf>
    <xf numFmtId="167" fontId="25" fillId="4" borderId="18" xfId="0" applyNumberFormat="1" applyFont="1" applyFill="1" applyBorder="1" applyAlignment="1" applyProtection="1">
      <alignment horizontal="right"/>
      <protection locked="0"/>
    </xf>
    <xf numFmtId="167" fontId="25" fillId="4" borderId="34" xfId="0" applyNumberFormat="1" applyFont="1" applyFill="1" applyBorder="1" applyAlignment="1" applyProtection="1">
      <alignment horizontal="right"/>
      <protection locked="0"/>
    </xf>
    <xf numFmtId="167" fontId="25" fillId="4" borderId="19" xfId="0" applyNumberFormat="1" applyFont="1" applyFill="1" applyBorder="1" applyAlignment="1" applyProtection="1">
      <alignment horizontal="right"/>
      <protection locked="0"/>
    </xf>
    <xf numFmtId="167" fontId="25" fillId="4" borderId="41" xfId="0" applyNumberFormat="1" applyFont="1" applyFill="1" applyBorder="1" applyAlignment="1" applyProtection="1">
      <alignment horizontal="right"/>
      <protection locked="0"/>
    </xf>
    <xf numFmtId="167" fontId="25" fillId="0" borderId="11" xfId="0" applyNumberFormat="1" applyFont="1" applyFill="1" applyBorder="1" applyProtection="1">
      <protection locked="0"/>
    </xf>
    <xf numFmtId="167" fontId="25" fillId="4" borderId="58" xfId="0" applyNumberFormat="1" applyFont="1" applyFill="1" applyBorder="1"/>
    <xf numFmtId="0" fontId="0" fillId="0" borderId="3" xfId="0" applyBorder="1" applyAlignment="1" applyProtection="1">
      <alignment horizontal="centerContinuous"/>
      <protection locked="0"/>
    </xf>
    <xf numFmtId="164" fontId="0" fillId="0" borderId="34" xfId="0" quotePrefix="1" applyNumberFormat="1" applyBorder="1" applyProtection="1">
      <protection locked="0"/>
    </xf>
    <xf numFmtId="164" fontId="0" fillId="0" borderId="41" xfId="0" quotePrefix="1" applyNumberFormat="1" applyBorder="1" applyProtection="1">
      <protection locked="0"/>
    </xf>
    <xf numFmtId="167" fontId="0" fillId="0" borderId="0" xfId="0" applyNumberFormat="1"/>
    <xf numFmtId="0" fontId="1" fillId="4" borderId="69" xfId="0" applyFont="1" applyFill="1" applyBorder="1" applyAlignment="1">
      <alignment horizontal="center"/>
    </xf>
    <xf numFmtId="0" fontId="1" fillId="4" borderId="5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W$8" lockText="1"/>
</file>

<file path=xl/ctrlProps/ctrlProp13.xml><?xml version="1.0" encoding="utf-8"?>
<formControlPr xmlns="http://schemas.microsoft.com/office/spreadsheetml/2009/9/main" objectType="Radio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Radio" checked="Checked" firstButton="1" fmlaLink="$W$14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Drop" dropStyle="combo" dx="26" fmlaLink="$W$4" fmlaRange="$AB$3:$AB$4" sel="1" val="0"/>
</file>

<file path=xl/ctrlProps/ctrlProp19.xml><?xml version="1.0" encoding="utf-8"?>
<formControlPr xmlns="http://schemas.microsoft.com/office/spreadsheetml/2009/9/main" objectType="Drop" dropStyle="combo" dx="26" fmlaLink="$W$5" fmlaRange="$AC$9:$AC$13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$W$9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$W$10" lockText="1"/>
</file>

<file path=xl/ctrlProps/ctrlProp26.xml><?xml version="1.0" encoding="utf-8"?>
<formControlPr xmlns="http://schemas.microsoft.com/office/spreadsheetml/2009/9/main" objectType="Radio" lockText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checked="Checked" firstButton="1" fmlaLink="$W$11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firstButton="1" fmlaLink="$W$6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firstButton="1" fmlaLink="$W$7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12</xdr:row>
          <xdr:rowOff>7620</xdr:rowOff>
        </xdr:from>
        <xdr:to>
          <xdr:col>18</xdr:col>
          <xdr:colOff>640080</xdr:colOff>
          <xdr:row>13</xdr:row>
          <xdr:rowOff>15240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Extendable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16</xdr:row>
          <xdr:rowOff>0</xdr:rowOff>
        </xdr:from>
        <xdr:to>
          <xdr:col>19</xdr:col>
          <xdr:colOff>0</xdr:colOff>
          <xdr:row>16</xdr:row>
          <xdr:rowOff>228600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Participating Swap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17</xdr:row>
          <xdr:rowOff>7620</xdr:rowOff>
        </xdr:from>
        <xdr:to>
          <xdr:col>3</xdr:col>
          <xdr:colOff>312420</xdr:colOff>
          <xdr:row>18</xdr:row>
          <xdr:rowOff>45720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Specified Strikes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17</xdr:row>
          <xdr:rowOff>190500</xdr:rowOff>
        </xdr:from>
        <xdr:to>
          <xdr:col>3</xdr:col>
          <xdr:colOff>381000</xdr:colOff>
          <xdr:row>18</xdr:row>
          <xdr:rowOff>213360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Call+Put, At-the-Money Strike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18</xdr:row>
          <xdr:rowOff>167640</xdr:rowOff>
        </xdr:from>
        <xdr:to>
          <xdr:col>2</xdr:col>
          <xdr:colOff>175260</xdr:colOff>
          <xdr:row>19</xdr:row>
          <xdr:rowOff>160020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18</xdr:row>
          <xdr:rowOff>160020</xdr:rowOff>
        </xdr:from>
        <xdr:to>
          <xdr:col>3</xdr:col>
          <xdr:colOff>411480</xdr:colOff>
          <xdr:row>19</xdr:row>
          <xdr:rowOff>160020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 Spread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7</xdr:row>
          <xdr:rowOff>7620</xdr:rowOff>
        </xdr:from>
        <xdr:to>
          <xdr:col>16</xdr:col>
          <xdr:colOff>0</xdr:colOff>
          <xdr:row>7</xdr:row>
          <xdr:rowOff>228600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60960</xdr:colOff>
          <xdr:row>7</xdr:row>
          <xdr:rowOff>7620</xdr:rowOff>
        </xdr:from>
        <xdr:to>
          <xdr:col>16</xdr:col>
          <xdr:colOff>533400</xdr:colOff>
          <xdr:row>7</xdr:row>
          <xdr:rowOff>228600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723900</xdr:colOff>
          <xdr:row>8</xdr:row>
          <xdr:rowOff>0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7620</xdr:rowOff>
        </xdr:from>
        <xdr:to>
          <xdr:col>3</xdr:col>
          <xdr:colOff>647700</xdr:colOff>
          <xdr:row>19</xdr:row>
          <xdr:rowOff>190500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14</xdr:row>
          <xdr:rowOff>0</xdr:rowOff>
        </xdr:from>
        <xdr:to>
          <xdr:col>18</xdr:col>
          <xdr:colOff>0</xdr:colOff>
          <xdr:row>15</xdr:row>
          <xdr:rowOff>198120</xdr:rowOff>
        </xdr:to>
        <xdr:sp macro="" textlink="">
          <xdr:nvSpPr>
            <xdr:cNvPr id="1051" name="Group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175260</xdr:colOff>
          <xdr:row>14</xdr:row>
          <xdr:rowOff>7620</xdr:rowOff>
        </xdr:from>
        <xdr:to>
          <xdr:col>17</xdr:col>
          <xdr:colOff>320040</xdr:colOff>
          <xdr:row>15</xdr:row>
          <xdr:rowOff>30480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175260</xdr:colOff>
          <xdr:row>14</xdr:row>
          <xdr:rowOff>160020</xdr:rowOff>
        </xdr:from>
        <xdr:to>
          <xdr:col>17</xdr:col>
          <xdr:colOff>297180</xdr:colOff>
          <xdr:row>15</xdr:row>
          <xdr:rowOff>182880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Downside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3</xdr:row>
          <xdr:rowOff>7620</xdr:rowOff>
        </xdr:from>
        <xdr:to>
          <xdr:col>2</xdr:col>
          <xdr:colOff>0</xdr:colOff>
          <xdr:row>4</xdr:row>
          <xdr:rowOff>7620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Curve 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205740</xdr:colOff>
          <xdr:row>23</xdr:row>
          <xdr:rowOff>38100</xdr:rowOff>
        </xdr:from>
        <xdr:to>
          <xdr:col>21</xdr:col>
          <xdr:colOff>1211580</xdr:colOff>
          <xdr:row>24</xdr:row>
          <xdr:rowOff>15240</xdr:rowOff>
        </xdr:to>
        <xdr:sp macro="" textlink=""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Automatic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1333500</xdr:colOff>
          <xdr:row>23</xdr:row>
          <xdr:rowOff>38100</xdr:rowOff>
        </xdr:from>
        <xdr:to>
          <xdr:col>22</xdr:col>
          <xdr:colOff>533400</xdr:colOff>
          <xdr:row>24</xdr:row>
          <xdr:rowOff>15240</xdr:rowOff>
        </xdr:to>
        <xdr:sp macro="" textlink=""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22860</xdr:colOff>
          <xdr:row>23</xdr:row>
          <xdr:rowOff>15240</xdr:rowOff>
        </xdr:from>
        <xdr:to>
          <xdr:col>23</xdr:col>
          <xdr:colOff>7620</xdr:colOff>
          <xdr:row>24</xdr:row>
          <xdr:rowOff>45720</xdr:rowOff>
        </xdr:to>
        <xdr:sp macro="" textlink="">
          <xdr:nvSpPr>
            <xdr:cNvPr id="1059" name="Group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182880</xdr:rowOff>
        </xdr:from>
        <xdr:to>
          <xdr:col>1</xdr:col>
          <xdr:colOff>845820</xdr:colOff>
          <xdr:row>6</xdr:row>
          <xdr:rowOff>190500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12</xdr:row>
          <xdr:rowOff>106680</xdr:rowOff>
        </xdr:from>
        <xdr:to>
          <xdr:col>1</xdr:col>
          <xdr:colOff>830580</xdr:colOff>
          <xdr:row>13</xdr:row>
          <xdr:rowOff>114300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609600</xdr:colOff>
          <xdr:row>19</xdr:row>
          <xdr:rowOff>190500</xdr:rowOff>
        </xdr:to>
        <xdr:sp macro="" textlink="">
          <xdr:nvSpPr>
            <xdr:cNvPr id="1213" name="Group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18</xdr:row>
          <xdr:rowOff>7620</xdr:rowOff>
        </xdr:from>
        <xdr:to>
          <xdr:col>9</xdr:col>
          <xdr:colOff>579120</xdr:colOff>
          <xdr:row>19</xdr:row>
          <xdr:rowOff>7620</xdr:rowOff>
        </xdr:to>
        <xdr:sp macro="" textlink="">
          <xdr:nvSpPr>
            <xdr:cNvPr id="1214" name="Option 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Cap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</xdr:colOff>
          <xdr:row>18</xdr:row>
          <xdr:rowOff>167640</xdr:rowOff>
        </xdr:from>
        <xdr:to>
          <xdr:col>9</xdr:col>
          <xdr:colOff>556260</xdr:colOff>
          <xdr:row>19</xdr:row>
          <xdr:rowOff>167640</xdr:rowOff>
        </xdr:to>
        <xdr:sp macro="" textlink="">
          <xdr:nvSpPr>
            <xdr:cNvPr id="1215" name="Option Butto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Floor Specified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18</xdr:row>
          <xdr:rowOff>0</xdr:rowOff>
        </xdr:from>
        <xdr:to>
          <xdr:col>11</xdr:col>
          <xdr:colOff>533400</xdr:colOff>
          <xdr:row>19</xdr:row>
          <xdr:rowOff>190500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Calculate Costless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Collar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14</xdr:col>
          <xdr:colOff>0</xdr:colOff>
          <xdr:row>19</xdr:row>
          <xdr:rowOff>190500</xdr:rowOff>
        </xdr:to>
        <xdr:sp macro="" textlink="">
          <xdr:nvSpPr>
            <xdr:cNvPr id="1224" name="Group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7620</xdr:rowOff>
        </xdr:from>
        <xdr:to>
          <xdr:col>13</xdr:col>
          <xdr:colOff>502920</xdr:colOff>
          <xdr:row>19</xdr:row>
          <xdr:rowOff>7620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Exchange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</xdr:colOff>
          <xdr:row>18</xdr:row>
          <xdr:rowOff>167640</xdr:rowOff>
        </xdr:from>
        <xdr:to>
          <xdr:col>13</xdr:col>
          <xdr:colOff>480060</xdr:colOff>
          <xdr:row>19</xdr:row>
          <xdr:rowOff>167640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Penultimate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16</xdr:col>
          <xdr:colOff>0</xdr:colOff>
          <xdr:row>19</xdr:row>
          <xdr:rowOff>190500</xdr:rowOff>
        </xdr:to>
        <xdr:sp macro="" textlink="">
          <xdr:nvSpPr>
            <xdr:cNvPr id="1267" name="Group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18</xdr:row>
          <xdr:rowOff>7620</xdr:rowOff>
        </xdr:from>
        <xdr:to>
          <xdr:col>15</xdr:col>
          <xdr:colOff>548640</xdr:colOff>
          <xdr:row>19</xdr:row>
          <xdr:rowOff>7620</xdr:rowOff>
        </xdr:to>
        <xdr:sp macro="" textlink="">
          <xdr:nvSpPr>
            <xdr:cNvPr id="1268" name="Option 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</xdr:colOff>
          <xdr:row>18</xdr:row>
          <xdr:rowOff>167640</xdr:rowOff>
        </xdr:from>
        <xdr:to>
          <xdr:col>15</xdr:col>
          <xdr:colOff>533400</xdr:colOff>
          <xdr:row>19</xdr:row>
          <xdr:rowOff>167640</xdr:rowOff>
        </xdr:to>
        <xdr:sp macro="" textlink="">
          <xdr:nvSpPr>
            <xdr:cNvPr id="1269" name="Option 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68580</xdr:colOff>
          <xdr:row>4</xdr:row>
          <xdr:rowOff>68580</xdr:rowOff>
        </xdr:from>
        <xdr:to>
          <xdr:col>135</xdr:col>
          <xdr:colOff>579120</xdr:colOff>
          <xdr:row>6</xdr:row>
          <xdr:rowOff>106680</xdr:rowOff>
        </xdr:to>
        <xdr:sp macro="" textlink="">
          <xdr:nvSpPr>
            <xdr:cNvPr id="4566" name="Button 1494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Gasoline, Heating Oil and Jet Fuel Spreads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128</xdr:col>
          <xdr:colOff>30480</xdr:colOff>
          <xdr:row>29</xdr:row>
          <xdr:rowOff>22860</xdr:rowOff>
        </xdr:from>
        <xdr:to>
          <xdr:col>132</xdr:col>
          <xdr:colOff>685800</xdr:colOff>
          <xdr:row>30</xdr:row>
          <xdr:rowOff>137160</xdr:rowOff>
        </xdr:to>
        <xdr:sp macro="" textlink="">
          <xdr:nvSpPr>
            <xdr:cNvPr id="4567" name="Button 1495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993366"/>
                  </a:solidFill>
                  <a:latin typeface="Times New Roman"/>
                  <a:cs typeface="Times New Roman"/>
                </a:rPr>
                <a:t>Save Resid Spreads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85"/>
  <sheetViews>
    <sheetView tabSelected="1" zoomScale="90" workbookViewId="0"/>
  </sheetViews>
  <sheetFormatPr defaultColWidth="9.33203125" defaultRowHeight="13.2" x14ac:dyDescent="0.25"/>
  <cols>
    <col min="1" max="1" width="0.6640625" style="3" customWidth="1"/>
    <col min="2" max="2" width="13.33203125" style="3" bestFit="1" customWidth="1"/>
    <col min="3" max="7" width="9.6640625" style="3" customWidth="1"/>
    <col min="8" max="8" width="0.44140625" style="3" customWidth="1"/>
    <col min="9" max="9" width="8.44140625" style="3" bestFit="1" customWidth="1"/>
    <col min="10" max="10" width="9.109375" style="3" bestFit="1" customWidth="1"/>
    <col min="11" max="11" width="10.77734375" style="3" bestFit="1" customWidth="1"/>
    <col min="12" max="12" width="10.109375" style="3" customWidth="1"/>
    <col min="13" max="13" width="9.6640625" style="22" customWidth="1"/>
    <col min="14" max="14" width="10.109375" style="3" customWidth="1"/>
    <col min="15" max="15" width="9" style="3" customWidth="1"/>
    <col min="16" max="16" width="9" style="3" bestFit="1" customWidth="1"/>
    <col min="17" max="17" width="10.6640625" style="3" customWidth="1"/>
    <col min="18" max="18" width="9.44140625" style="3" customWidth="1"/>
    <col min="19" max="19" width="10.109375" style="3" customWidth="1"/>
    <col min="20" max="20" width="1.77734375" style="3" customWidth="1"/>
    <col min="21" max="21" width="1.77734375" style="115" customWidth="1"/>
    <col min="22" max="22" width="25.77734375" style="3" customWidth="1"/>
    <col min="23" max="23" width="9.77734375" style="3" customWidth="1"/>
    <col min="24" max="24" width="9.33203125" style="3"/>
    <col min="25" max="26" width="5.6640625" style="3" customWidth="1"/>
    <col min="27" max="27" width="9.33203125" style="3"/>
    <col min="28" max="28" width="7.33203125" style="3" bestFit="1" customWidth="1"/>
    <col min="29" max="29" width="11.33203125" style="3" bestFit="1" customWidth="1"/>
    <col min="30" max="16384" width="9.33203125" style="3"/>
  </cols>
  <sheetData>
    <row r="1" spans="1:39" ht="3" customHeight="1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30"/>
      <c r="Q1" s="30"/>
      <c r="R1" s="30"/>
      <c r="S1" s="30"/>
      <c r="T1" s="26"/>
    </row>
    <row r="2" spans="1:39" ht="16.2" thickBot="1" x14ac:dyDescent="0.35">
      <c r="A2" s="26"/>
      <c r="B2" s="117" t="s">
        <v>3</v>
      </c>
      <c r="C2" s="26"/>
      <c r="D2" s="99" t="s">
        <v>0</v>
      </c>
      <c r="E2" s="99"/>
      <c r="F2" s="86"/>
      <c r="G2" s="83"/>
      <c r="H2" s="29"/>
      <c r="I2" s="99" t="s">
        <v>192</v>
      </c>
      <c r="J2" s="371"/>
      <c r="K2" s="371"/>
      <c r="L2" s="371"/>
      <c r="M2" s="371"/>
      <c r="N2" s="371"/>
      <c r="O2" s="28"/>
      <c r="P2" s="99" t="s">
        <v>52</v>
      </c>
      <c r="Q2" s="86"/>
      <c r="R2" s="86"/>
      <c r="S2" s="83"/>
      <c r="T2" s="29"/>
      <c r="U2" s="116"/>
    </row>
    <row r="3" spans="1:39" ht="15.75" customHeight="1" thickBot="1" x14ac:dyDescent="0.3">
      <c r="A3" s="26"/>
      <c r="B3" s="408">
        <f ca="1">TODAY()</f>
        <v>36955</v>
      </c>
      <c r="C3" s="26"/>
      <c r="D3" s="32"/>
      <c r="E3" s="33" t="s">
        <v>4</v>
      </c>
      <c r="F3" s="33" t="s">
        <v>5</v>
      </c>
      <c r="G3" s="41" t="s">
        <v>6</v>
      </c>
      <c r="H3" s="29"/>
      <c r="I3" s="40"/>
      <c r="J3" s="329"/>
      <c r="K3" s="325" t="s">
        <v>140</v>
      </c>
      <c r="L3" s="326"/>
      <c r="M3" s="325" t="s">
        <v>145</v>
      </c>
      <c r="N3" s="326"/>
      <c r="O3" s="28"/>
      <c r="P3" s="32"/>
      <c r="Q3" s="33" t="s">
        <v>4</v>
      </c>
      <c r="R3" s="33" t="s">
        <v>5</v>
      </c>
      <c r="S3" s="41" t="s">
        <v>6</v>
      </c>
      <c r="T3" s="29"/>
      <c r="U3" s="116"/>
      <c r="V3" s="24" t="s">
        <v>2</v>
      </c>
      <c r="W3" s="25"/>
      <c r="Y3" s="138" t="s">
        <v>85</v>
      </c>
      <c r="Z3" s="139"/>
      <c r="AB3" s="304" t="s">
        <v>125</v>
      </c>
      <c r="AC3" s="305" t="s">
        <v>126</v>
      </c>
      <c r="AD3" s="305" t="s">
        <v>126</v>
      </c>
      <c r="AE3" s="305" t="s">
        <v>127</v>
      </c>
      <c r="AF3" s="305" t="s">
        <v>127</v>
      </c>
      <c r="AG3" s="306" t="s">
        <v>128</v>
      </c>
    </row>
    <row r="4" spans="1:39" ht="15.75" customHeight="1" thickBot="1" x14ac:dyDescent="0.3">
      <c r="A4" s="26"/>
      <c r="B4" s="26"/>
      <c r="C4" s="26"/>
      <c r="D4" s="34" t="s">
        <v>8</v>
      </c>
      <c r="E4" s="409">
        <v>4</v>
      </c>
      <c r="F4" s="409">
        <v>100</v>
      </c>
      <c r="G4" s="146">
        <f>DATE(F4+1900,E4,1)</f>
        <v>36617</v>
      </c>
      <c r="H4" s="29"/>
      <c r="I4" s="335" t="s">
        <v>4</v>
      </c>
      <c r="J4" s="336"/>
      <c r="K4" s="327" t="s">
        <v>62</v>
      </c>
      <c r="L4" s="328" t="s">
        <v>72</v>
      </c>
      <c r="M4" s="327" t="s">
        <v>62</v>
      </c>
      <c r="N4" s="328" t="s">
        <v>72</v>
      </c>
      <c r="O4" s="28"/>
      <c r="P4" s="34" t="s">
        <v>8</v>
      </c>
      <c r="Q4" s="409">
        <v>1</v>
      </c>
      <c r="R4" s="409">
        <v>100</v>
      </c>
      <c r="S4" s="146">
        <f>DATE(R4+1900,Q4,1)</f>
        <v>36526</v>
      </c>
      <c r="T4" s="29"/>
      <c r="U4" s="116"/>
      <c r="V4" s="93" t="s">
        <v>177</v>
      </c>
      <c r="W4" s="102">
        <v>1</v>
      </c>
      <c r="Y4" s="140" t="s">
        <v>86</v>
      </c>
      <c r="Z4" s="141" t="s">
        <v>87</v>
      </c>
      <c r="AB4" s="307" t="s">
        <v>132</v>
      </c>
      <c r="AC4" s="308">
        <v>0.01</v>
      </c>
      <c r="AD4" s="308">
        <v>0.01</v>
      </c>
      <c r="AE4" s="308">
        <v>0.03</v>
      </c>
      <c r="AF4" s="308">
        <v>2.1999999999999999E-2</v>
      </c>
      <c r="AG4" s="309"/>
    </row>
    <row r="5" spans="1:39" ht="15.75" customHeight="1" thickBot="1" x14ac:dyDescent="0.3">
      <c r="A5" s="26"/>
      <c r="B5" s="408">
        <f ca="1">DateToday-1-IF(WEEKDAY(DateToday)&lt;=2,WEEKDAY(DateToday),0)</f>
        <v>36952</v>
      </c>
      <c r="C5" s="145" t="s">
        <v>109</v>
      </c>
      <c r="D5" s="35" t="s">
        <v>12</v>
      </c>
      <c r="E5" s="410">
        <f>E4</f>
        <v>4</v>
      </c>
      <c r="F5" s="410">
        <f>YearStart</f>
        <v>100</v>
      </c>
      <c r="G5" s="147">
        <f>EOMONTH(DATE(F5+1900,E5,1),0)</f>
        <v>36646</v>
      </c>
      <c r="H5" s="29"/>
      <c r="I5" s="331"/>
      <c r="J5" s="332"/>
      <c r="K5" s="333" t="s">
        <v>24</v>
      </c>
      <c r="L5" s="334" t="s">
        <v>181</v>
      </c>
      <c r="M5" s="333" t="s">
        <v>24</v>
      </c>
      <c r="N5" s="334" t="s">
        <v>181</v>
      </c>
      <c r="O5" s="28"/>
      <c r="P5" s="35" t="s">
        <v>12</v>
      </c>
      <c r="Q5" s="410">
        <v>12</v>
      </c>
      <c r="R5" s="410">
        <v>100</v>
      </c>
      <c r="S5" s="147">
        <f>EOMONTH(DATE(R5+1900,Q5,1),0)</f>
        <v>36891</v>
      </c>
      <c r="T5" s="29"/>
      <c r="U5" s="116"/>
      <c r="V5" s="93" t="s">
        <v>178</v>
      </c>
      <c r="W5" s="102">
        <v>3</v>
      </c>
      <c r="Y5" s="142" t="s">
        <v>88</v>
      </c>
      <c r="Z5" s="128" t="s">
        <v>89</v>
      </c>
      <c r="AB5" s="220"/>
      <c r="AC5" s="219"/>
      <c r="AD5" s="219"/>
      <c r="AE5" s="219"/>
      <c r="AF5" s="219"/>
      <c r="AG5" s="219"/>
      <c r="AI5" s="3" t="s">
        <v>133</v>
      </c>
      <c r="AJ5" s="3" t="s">
        <v>133</v>
      </c>
      <c r="AK5" s="3" t="s">
        <v>133</v>
      </c>
      <c r="AL5" s="3" t="s">
        <v>133</v>
      </c>
      <c r="AM5" s="3" t="s">
        <v>133</v>
      </c>
    </row>
    <row r="6" spans="1:39" ht="15" customHeight="1" thickBot="1" x14ac:dyDescent="0.3">
      <c r="A6" s="26"/>
      <c r="B6" s="408">
        <f ca="1">DateToday-1-IF(WEEKDAY(DateToday)&lt;=2,WEEKDAY(DateToday),0)</f>
        <v>36952</v>
      </c>
      <c r="C6" s="145" t="s">
        <v>110</v>
      </c>
      <c r="D6" s="38" t="str">
        <f>CONCATENATE("Term: ",F5-F4+INT((E5-E4+1)/12)," Years, ",MOD(E5-E4+1,12)," Months")</f>
        <v>Term: 0 Years, 1 Months</v>
      </c>
      <c r="E6" s="36"/>
      <c r="F6" s="36"/>
      <c r="G6" s="37"/>
      <c r="H6" s="29"/>
      <c r="I6" s="323" t="str">
        <f t="shared" ref="I6:I17" ca="1" si="0">IF(J6="","",CONCATENATE(INDEX($Z$4:$Z$15,MONTH(J6)),RIGHT(YEAR(J6))))</f>
        <v>J1</v>
      </c>
      <c r="J6" s="330">
        <f ca="1">CALC!I6</f>
        <v>36982</v>
      </c>
      <c r="K6" s="467">
        <f>CALC!CX6</f>
        <v>0.42899999999999999</v>
      </c>
      <c r="L6" s="468">
        <f>K6-CALC!CX6</f>
        <v>0</v>
      </c>
      <c r="M6" s="469">
        <f>CALC!DB6</f>
        <v>0.37200000000000005</v>
      </c>
      <c r="N6" s="470">
        <f>M6-CALC!DB6</f>
        <v>0</v>
      </c>
      <c r="O6" s="28"/>
      <c r="P6" s="38" t="str">
        <f>CONCATENATE("Term: ",R5-R4+INT((Q5-Q4+1)/12)," Years, ",MOD(Q5-Q4+1,12)," Months")</f>
        <v>Term: 1 Years, 0 Months</v>
      </c>
      <c r="Q6" s="36"/>
      <c r="R6" s="36"/>
      <c r="S6" s="37"/>
      <c r="T6" s="29"/>
      <c r="U6" s="116"/>
      <c r="V6" s="93" t="s">
        <v>11</v>
      </c>
      <c r="W6" s="102">
        <v>2</v>
      </c>
      <c r="Y6" s="142" t="s">
        <v>90</v>
      </c>
      <c r="Z6" s="128" t="s">
        <v>91</v>
      </c>
      <c r="AB6" s="304" t="s">
        <v>125</v>
      </c>
      <c r="AC6" s="305" t="s">
        <v>129</v>
      </c>
      <c r="AD6" s="305" t="s">
        <v>130</v>
      </c>
      <c r="AE6" s="305" t="s">
        <v>129</v>
      </c>
      <c r="AF6" s="305" t="s">
        <v>130</v>
      </c>
      <c r="AG6" s="306" t="s">
        <v>131</v>
      </c>
    </row>
    <row r="7" spans="1:39" ht="16.5" customHeight="1" thickBot="1" x14ac:dyDescent="0.35">
      <c r="A7" s="26"/>
      <c r="B7" s="99" t="s">
        <v>1</v>
      </c>
      <c r="C7" s="86"/>
      <c r="D7" s="86"/>
      <c r="E7" s="83"/>
      <c r="F7" s="86"/>
      <c r="G7" s="86"/>
      <c r="H7" s="29"/>
      <c r="I7" s="112" t="str">
        <f t="shared" ca="1" si="0"/>
        <v>K1</v>
      </c>
      <c r="J7" s="330">
        <f ca="1">CALC!I7</f>
        <v>37012</v>
      </c>
      <c r="K7" s="467">
        <f>CALC!CX7</f>
        <v>0.39700000000000002</v>
      </c>
      <c r="L7" s="468">
        <f>K7-CALC!CX7</f>
        <v>0</v>
      </c>
      <c r="M7" s="469">
        <f>CALC!DB7</f>
        <v>0.35300000000000004</v>
      </c>
      <c r="N7" s="470">
        <f>M7-CALC!DB7</f>
        <v>0</v>
      </c>
      <c r="O7" s="28"/>
      <c r="P7" s="99" t="s">
        <v>115</v>
      </c>
      <c r="Q7" s="99"/>
      <c r="R7" s="99"/>
      <c r="S7" s="99"/>
      <c r="T7" s="29"/>
      <c r="U7" s="116"/>
      <c r="V7" s="93" t="s">
        <v>13</v>
      </c>
      <c r="W7" s="102">
        <v>1</v>
      </c>
      <c r="Y7" s="142" t="s">
        <v>92</v>
      </c>
      <c r="Z7" s="128" t="s">
        <v>93</v>
      </c>
      <c r="AB7" s="307" t="s">
        <v>132</v>
      </c>
      <c r="AC7" s="273" t="s">
        <v>129</v>
      </c>
      <c r="AD7" s="273" t="s">
        <v>130</v>
      </c>
      <c r="AE7" s="273" t="s">
        <v>130</v>
      </c>
      <c r="AF7" s="273" t="s">
        <v>129</v>
      </c>
      <c r="AG7" s="310" t="s">
        <v>133</v>
      </c>
    </row>
    <row r="8" spans="1:39" ht="19.5" customHeight="1" thickBot="1" x14ac:dyDescent="0.3">
      <c r="A8" s="26"/>
      <c r="B8" s="369" t="s">
        <v>7</v>
      </c>
      <c r="C8" s="361" t="str">
        <f>INDEX(AC3:AC4,ProductGroup)</f>
        <v>Gas</v>
      </c>
      <c r="D8" s="321" t="str">
        <f>INDEX(AD3:AD4,ProductGroup)</f>
        <v>Gas</v>
      </c>
      <c r="E8" s="321" t="str">
        <f>INDEX(AE3:AE4,ProductGroup)</f>
        <v>HO</v>
      </c>
      <c r="F8" s="321" t="str">
        <f>INDEX(AF3:AF4,ProductGroup)</f>
        <v>HO</v>
      </c>
      <c r="G8" s="322" t="str">
        <f>IF(ProductGroup=1,INDEX(AG3:AG4,ProductGroup),"")</f>
        <v>Jet</v>
      </c>
      <c r="H8" s="29"/>
      <c r="I8" s="112" t="str">
        <f t="shared" ca="1" si="0"/>
        <v>M1</v>
      </c>
      <c r="J8" s="330">
        <f ca="1">CALC!I8</f>
        <v>37043</v>
      </c>
      <c r="K8" s="467">
        <f>CALC!CX8</f>
        <v>0.38</v>
      </c>
      <c r="L8" s="468">
        <f>K8-CALC!CX8</f>
        <v>0</v>
      </c>
      <c r="M8" s="469">
        <f>CALC!DB8</f>
        <v>0.32799999999999996</v>
      </c>
      <c r="N8" s="470">
        <f>M8-CALC!DB8</f>
        <v>0</v>
      </c>
      <c r="O8" s="28"/>
      <c r="P8" s="51"/>
      <c r="Q8" s="181"/>
      <c r="R8" s="180" t="s">
        <v>17</v>
      </c>
      <c r="S8" s="463">
        <v>0</v>
      </c>
      <c r="T8" s="29"/>
      <c r="U8" s="116"/>
      <c r="V8" s="93" t="s">
        <v>16</v>
      </c>
      <c r="W8" s="102">
        <v>1</v>
      </c>
      <c r="Y8" s="142" t="s">
        <v>94</v>
      </c>
      <c r="Z8" s="128" t="s">
        <v>95</v>
      </c>
    </row>
    <row r="9" spans="1:39" ht="15" customHeight="1" thickBot="1" x14ac:dyDescent="0.3">
      <c r="A9" s="26"/>
      <c r="B9" s="367" t="s">
        <v>9</v>
      </c>
      <c r="C9" s="370" t="str">
        <f>INDEX(AC6:AC7,ProductGroup)</f>
        <v>NYH</v>
      </c>
      <c r="D9" s="46" t="str">
        <f>INDEX(AD6:AD7,ProductGroup)</f>
        <v>GC</v>
      </c>
      <c r="E9" s="46" t="str">
        <f>INDEX(AE6:AE7,ProductGroup)</f>
        <v>NYH</v>
      </c>
      <c r="F9" s="46" t="str">
        <f>INDEX(AF6:AF7,ProductGroup)</f>
        <v>GC</v>
      </c>
      <c r="G9" s="47" t="str">
        <f>IF(ProductGroup=1,INDEX(AG6:AG7,ProductGroup),"")</f>
        <v>Fuel</v>
      </c>
      <c r="H9" s="29"/>
      <c r="I9" s="112" t="str">
        <f t="shared" ca="1" si="0"/>
        <v>N1</v>
      </c>
      <c r="J9" s="330">
        <f ca="1">CALC!I9</f>
        <v>37073</v>
      </c>
      <c r="K9" s="467">
        <f>CALC!CX9</f>
        <v>0.36800000000000005</v>
      </c>
      <c r="L9" s="468">
        <f>K9-CALC!CX9</f>
        <v>0</v>
      </c>
      <c r="M9" s="469">
        <f>CALC!DB9</f>
        <v>0.315</v>
      </c>
      <c r="N9" s="470">
        <f>M9-CALC!DB9</f>
        <v>0</v>
      </c>
      <c r="O9" s="28"/>
      <c r="P9" s="180" t="s">
        <v>53</v>
      </c>
      <c r="Q9" s="462">
        <f>S4-1</f>
        <v>36525</v>
      </c>
      <c r="R9" s="180" t="s">
        <v>54</v>
      </c>
      <c r="S9" s="464" t="e">
        <f ca="1">IF(Q12,Q12,Q11)</f>
        <v>#DIV/0!</v>
      </c>
      <c r="T9" s="29"/>
      <c r="U9" s="116"/>
      <c r="V9" s="93" t="s">
        <v>184</v>
      </c>
      <c r="W9" s="102">
        <v>1</v>
      </c>
      <c r="Y9" s="142" t="s">
        <v>96</v>
      </c>
      <c r="Z9" s="128" t="s">
        <v>60</v>
      </c>
      <c r="AB9" s="140">
        <v>1</v>
      </c>
      <c r="AC9" s="314" t="str">
        <f>CONCATENATE(TEXT(INDEX($AC$3:$AG$4,ProductGroup,AB9),"0.0%")," ",INDEX($AC$6:$AG$7,ProductGroup,AB9))</f>
        <v>Gas NYH</v>
      </c>
      <c r="AD9" s="317">
        <v>0</v>
      </c>
      <c r="AE9" s="318">
        <v>38</v>
      </c>
    </row>
    <row r="10" spans="1:39" ht="16.5" customHeight="1" thickBot="1" x14ac:dyDescent="0.3">
      <c r="A10" s="26"/>
      <c r="B10" s="411" t="e">
        <f ca="1">SUMPRODUCT(CALC!V5:V184,CALC!AI5:AI184)/P29</f>
        <v>#DIV/0!</v>
      </c>
      <c r="C10" s="412" t="e">
        <f ca="1">SUMPRODUCT(IF(ProductGroup=1,CALC!BY5:BY184,CALC!DK5:DK184),CALC!AI5:AI184)/P29</f>
        <v>#DIV/0!</v>
      </c>
      <c r="D10" s="413" t="e">
        <f ca="1">SUMPRODUCT(IF(ProductGroup=1,CALC!CD5:CD184,CALC!DO5:DO184),CALC!AI5:AI184)/P29</f>
        <v>#DIV/0!</v>
      </c>
      <c r="E10" s="413" t="e">
        <f ca="1">SUMPRODUCT(IF(ProductGroup=1,CALC!CL5:CL184,CALC!DS5:DS184),CALC!AI5:AI184)/P29</f>
        <v>#DIV/0!</v>
      </c>
      <c r="F10" s="413" t="e">
        <f ca="1">SUMPRODUCT(IF(ProductGroup=1,CALC!CQ5:CQ184,CALC!DW5:DW184),CALC!AI5:AI184)/P29</f>
        <v>#DIV/0!</v>
      </c>
      <c r="G10" s="414" t="e">
        <f ca="1">IF(ProductGroup=1,SUMPRODUCT(CALC!CW5:CW184,CALC!AI5:AI184)/P29,"")</f>
        <v>#DIV/0!</v>
      </c>
      <c r="H10" s="29"/>
      <c r="I10" s="112" t="str">
        <f t="shared" ca="1" si="0"/>
        <v>Q1</v>
      </c>
      <c r="J10" s="330">
        <f ca="1">CALC!I10</f>
        <v>37104</v>
      </c>
      <c r="K10" s="467">
        <f>CALC!CX10</f>
        <v>0.35</v>
      </c>
      <c r="L10" s="468">
        <f>K10-CALC!CX10</f>
        <v>0</v>
      </c>
      <c r="M10" s="469">
        <f>CALC!DB10</f>
        <v>0.30599999999999999</v>
      </c>
      <c r="N10" s="470">
        <f>M10-CALC!DB10</f>
        <v>0</v>
      </c>
      <c r="O10" s="28"/>
      <c r="P10" s="484" t="s">
        <v>113</v>
      </c>
      <c r="Q10" s="485"/>
      <c r="R10" s="179" t="s">
        <v>111</v>
      </c>
      <c r="S10" s="465" t="e">
        <f ca="1">UnderlyingPriceAsian</f>
        <v>#DIV/0!</v>
      </c>
      <c r="T10" s="29"/>
      <c r="U10" s="116"/>
      <c r="V10" s="93" t="s">
        <v>186</v>
      </c>
      <c r="W10" s="102">
        <v>1</v>
      </c>
      <c r="Y10" s="142" t="s">
        <v>97</v>
      </c>
      <c r="Z10" s="128" t="s">
        <v>98</v>
      </c>
      <c r="AB10" s="142">
        <v>2</v>
      </c>
      <c r="AC10" s="315" t="str">
        <f>CONCATENATE(TEXT(INDEX($AC$3:$AG$4,ProductGroup,AB10),"0.0%")," ",INDEX($AC$6:$AG$7,ProductGroup,AB10))</f>
        <v>Gas GC</v>
      </c>
      <c r="AD10" s="303">
        <v>5</v>
      </c>
      <c r="AE10" s="319">
        <v>42</v>
      </c>
    </row>
    <row r="11" spans="1:39" ht="15.75" customHeight="1" thickBot="1" x14ac:dyDescent="0.3">
      <c r="A11" s="26"/>
      <c r="B11" s="368" t="s">
        <v>187</v>
      </c>
      <c r="C11" s="415"/>
      <c r="D11" s="416" t="e">
        <f ca="1">D10-C10</f>
        <v>#DIV/0!</v>
      </c>
      <c r="E11" s="416"/>
      <c r="F11" s="416" t="e">
        <f ca="1">F10-E10</f>
        <v>#DIV/0!</v>
      </c>
      <c r="G11" s="417"/>
      <c r="H11" s="29"/>
      <c r="I11" s="112" t="str">
        <f t="shared" ca="1" si="0"/>
        <v>U1</v>
      </c>
      <c r="J11" s="330">
        <f ca="1">CALC!I11</f>
        <v>37135</v>
      </c>
      <c r="K11" s="471">
        <f>CALC!CX11</f>
        <v>0.33600000000000002</v>
      </c>
      <c r="L11" s="472">
        <f>K11-CALC!CX11</f>
        <v>0</v>
      </c>
      <c r="M11" s="469">
        <f>CALC!DB11</f>
        <v>0.30299999999999999</v>
      </c>
      <c r="N11" s="470">
        <f>M11-CALC!DB11</f>
        <v>0</v>
      </c>
      <c r="O11" s="28"/>
      <c r="P11" s="143" t="s">
        <v>114</v>
      </c>
      <c r="Q11" s="461" t="e">
        <f ca="1">SUMPRODUCT(OFFSET(CALC!BY5:BY184,0,HorizontalPriceOffset),CALC!AK5:AK184)/P30</f>
        <v>#DIV/0!</v>
      </c>
      <c r="R11" s="123" t="s">
        <v>112</v>
      </c>
      <c r="S11" s="431" t="e">
        <f ca="1">IF(Q12,Q12,Q11)</f>
        <v>#DIV/0!</v>
      </c>
      <c r="T11" s="29"/>
      <c r="U11" s="116"/>
      <c r="V11" s="79" t="s">
        <v>189</v>
      </c>
      <c r="W11" s="111">
        <v>1</v>
      </c>
      <c r="Y11" s="142" t="s">
        <v>99</v>
      </c>
      <c r="Z11" s="128" t="s">
        <v>100</v>
      </c>
      <c r="AB11" s="142">
        <v>3</v>
      </c>
      <c r="AC11" s="315" t="str">
        <f>CONCATENATE(TEXT(INDEX($AC$3:$AG$4,ProductGroup,AB11),"0.0%")," ",INDEX($AC$6:$AG$7,ProductGroup,AB11))</f>
        <v>HO NYH</v>
      </c>
      <c r="AD11" s="303">
        <v>13</v>
      </c>
      <c r="AE11" s="319">
        <v>46</v>
      </c>
    </row>
    <row r="12" spans="1:39" ht="15.75" customHeight="1" thickBot="1" x14ac:dyDescent="0.35">
      <c r="A12" s="26"/>
      <c r="B12" s="99" t="s">
        <v>14</v>
      </c>
      <c r="C12" s="83"/>
      <c r="D12" s="83"/>
      <c r="E12" s="83"/>
      <c r="F12" s="83"/>
      <c r="G12" s="83"/>
      <c r="H12" s="29"/>
      <c r="I12" s="112" t="str">
        <f t="shared" ca="1" si="0"/>
        <v>V1</v>
      </c>
      <c r="J12" s="330">
        <f ca="1">CALC!I12</f>
        <v>37165</v>
      </c>
      <c r="K12" s="473"/>
      <c r="L12" s="468"/>
      <c r="M12" s="469">
        <f>CALC!DB12</f>
        <v>0.30400000000000005</v>
      </c>
      <c r="N12" s="470">
        <f>M12-CALC!DB12</f>
        <v>0</v>
      </c>
      <c r="O12" s="28"/>
      <c r="P12" s="144" t="s">
        <v>23</v>
      </c>
      <c r="Q12" s="427">
        <v>0</v>
      </c>
      <c r="R12" s="123" t="s">
        <v>38</v>
      </c>
      <c r="S12" s="466" t="e">
        <f ca="1">_xll.xEURO(SwaptionUnderlyingPrice,SwaptionStrike,0,0,S8,Q9-DateToday+1,IF(SwaptionType=1,1,0),0)*P30/O30</f>
        <v>#DIV/0!</v>
      </c>
      <c r="T12" s="29"/>
      <c r="U12" s="116"/>
      <c r="W12" s="109"/>
      <c r="Y12" s="142" t="s">
        <v>101</v>
      </c>
      <c r="Z12" s="128" t="s">
        <v>102</v>
      </c>
      <c r="AB12" s="142">
        <v>4</v>
      </c>
      <c r="AC12" s="315" t="str">
        <f>CONCATENATE(TEXT(INDEX($AC$3:$AG$4,ProductGroup,AB12),"0.0%")," ",INDEX($AC$6:$AG$7,ProductGroup,AB12))</f>
        <v>HO GC</v>
      </c>
      <c r="AD12" s="303">
        <v>18</v>
      </c>
      <c r="AE12" s="319">
        <v>50</v>
      </c>
    </row>
    <row r="13" spans="1:39" ht="15.75" customHeight="1" thickBot="1" x14ac:dyDescent="0.3">
      <c r="A13" s="26"/>
      <c r="B13" s="221"/>
      <c r="C13" s="148" t="s">
        <v>17</v>
      </c>
      <c r="D13" s="148" t="s">
        <v>17</v>
      </c>
      <c r="E13" s="149" t="s">
        <v>79</v>
      </c>
      <c r="F13" s="150"/>
      <c r="G13" s="151" t="s">
        <v>18</v>
      </c>
      <c r="H13" s="29"/>
      <c r="I13" s="112" t="str">
        <f t="shared" ca="1" si="0"/>
        <v>X1</v>
      </c>
      <c r="J13" s="330">
        <f ca="1">CALC!I13</f>
        <v>37196</v>
      </c>
      <c r="K13" s="474"/>
      <c r="L13" s="475"/>
      <c r="M13" s="469">
        <f>CALC!DB13</f>
        <v>0.29600000000000004</v>
      </c>
      <c r="N13" s="470">
        <f>M13-CALC!DB13</f>
        <v>0</v>
      </c>
      <c r="O13" s="28"/>
      <c r="P13" s="28"/>
      <c r="Q13" s="28"/>
      <c r="R13" s="28"/>
      <c r="S13" s="28"/>
      <c r="T13" s="29"/>
      <c r="U13" s="116"/>
      <c r="V13" s="118" t="s">
        <v>27</v>
      </c>
      <c r="W13" s="119">
        <v>1</v>
      </c>
      <c r="Y13" s="142" t="s">
        <v>103</v>
      </c>
      <c r="Z13" s="128" t="s">
        <v>104</v>
      </c>
      <c r="AB13" s="127">
        <v>5</v>
      </c>
      <c r="AC13" s="316" t="str">
        <f>CONCATENATE(TEXT(INDEX($AC$3:$AG$4,ProductGroup,AB13),"0.0%")," ",INDEX($AC$6:$AG$7,ProductGroup,AB13))</f>
        <v>Jet Fuel</v>
      </c>
      <c r="AD13" s="320">
        <v>24</v>
      </c>
      <c r="AE13" s="310"/>
    </row>
    <row r="14" spans="1:39" ht="18.75" customHeight="1" thickBot="1" x14ac:dyDescent="0.3">
      <c r="A14" s="27"/>
      <c r="B14" s="222"/>
      <c r="C14" s="121" t="s">
        <v>22</v>
      </c>
      <c r="D14" s="121" t="s">
        <v>23</v>
      </c>
      <c r="E14" s="85" t="s">
        <v>25</v>
      </c>
      <c r="F14" s="84" t="s">
        <v>26</v>
      </c>
      <c r="G14" s="120" t="s">
        <v>23</v>
      </c>
      <c r="H14" s="29"/>
      <c r="I14" s="112" t="str">
        <f t="shared" ca="1" si="0"/>
        <v>Z1</v>
      </c>
      <c r="J14" s="330">
        <f ca="1">CALC!I14</f>
        <v>37226</v>
      </c>
      <c r="K14" s="474"/>
      <c r="L14" s="475"/>
      <c r="M14" s="469">
        <f>CALC!DB14</f>
        <v>0.29300000000000004</v>
      </c>
      <c r="N14" s="470">
        <f>M14-CALC!DB14</f>
        <v>0</v>
      </c>
      <c r="O14" s="28"/>
      <c r="P14" s="99" t="s">
        <v>43</v>
      </c>
      <c r="Q14" s="86"/>
      <c r="R14" s="86"/>
      <c r="S14" s="86"/>
      <c r="T14" s="29"/>
      <c r="U14" s="116"/>
      <c r="V14" s="79" t="s">
        <v>29</v>
      </c>
      <c r="W14" s="111">
        <v>1</v>
      </c>
      <c r="Y14" s="142" t="s">
        <v>105</v>
      </c>
      <c r="Z14" s="128" t="s">
        <v>106</v>
      </c>
    </row>
    <row r="15" spans="1:39" s="4" customFormat="1" ht="15.75" customHeight="1" thickBot="1" x14ac:dyDescent="0.3">
      <c r="A15" s="26"/>
      <c r="B15" s="39" t="s">
        <v>28</v>
      </c>
      <c r="C15" s="418">
        <v>0</v>
      </c>
      <c r="D15" s="419">
        <v>0</v>
      </c>
      <c r="E15" s="420">
        <v>0</v>
      </c>
      <c r="F15" s="421">
        <f>IF(G15,G15-INDEX(C10:G10,Product),E15)</f>
        <v>0</v>
      </c>
      <c r="G15" s="422">
        <v>0</v>
      </c>
      <c r="H15" s="29"/>
      <c r="I15" s="112" t="str">
        <f t="shared" ca="1" si="0"/>
        <v>F2</v>
      </c>
      <c r="J15" s="330">
        <f ca="1">CALC!I15</f>
        <v>37257</v>
      </c>
      <c r="K15" s="474"/>
      <c r="L15" s="475"/>
      <c r="M15" s="469">
        <f>CALC!DB15</f>
        <v>0.30599999999999999</v>
      </c>
      <c r="N15" s="470">
        <f>M15-CALC!DB15</f>
        <v>0</v>
      </c>
      <c r="O15" s="28"/>
      <c r="P15" s="48" t="s">
        <v>46</v>
      </c>
      <c r="Q15" s="92"/>
      <c r="R15" s="52"/>
      <c r="S15" s="45" t="s">
        <v>18</v>
      </c>
      <c r="T15" s="29"/>
      <c r="U15" s="116"/>
      <c r="V15" s="3"/>
      <c r="W15" s="109"/>
      <c r="Y15" s="127" t="s">
        <v>107</v>
      </c>
      <c r="Z15" s="129" t="s">
        <v>108</v>
      </c>
      <c r="AB15" s="311" t="s">
        <v>179</v>
      </c>
      <c r="AC15" s="312"/>
      <c r="AD15" s="312"/>
      <c r="AE15" s="313">
        <f>INDEX(AD9:AE13,Product,ProductGroup)</f>
        <v>13</v>
      </c>
    </row>
    <row r="16" spans="1:39" ht="16.5" customHeight="1" thickBot="1" x14ac:dyDescent="0.3">
      <c r="A16" s="26"/>
      <c r="B16" s="35" t="s">
        <v>30</v>
      </c>
      <c r="C16" s="423">
        <v>0</v>
      </c>
      <c r="D16" s="424">
        <v>0</v>
      </c>
      <c r="E16" s="425">
        <v>0</v>
      </c>
      <c r="F16" s="426">
        <f>IF(G16,G16-SUMPRODUCT(IF(Product=1,CALC!BX6:BX184,CALC!CK6:CK184),CALC!AI6:AI184)/P29,E16)</f>
        <v>0</v>
      </c>
      <c r="G16" s="427">
        <v>0</v>
      </c>
      <c r="H16" s="29"/>
      <c r="I16" s="112" t="str">
        <f t="shared" ca="1" si="0"/>
        <v>G2</v>
      </c>
      <c r="J16" s="330">
        <f ca="1">CALC!I16</f>
        <v>37288</v>
      </c>
      <c r="K16" s="474"/>
      <c r="L16" s="475"/>
      <c r="M16" s="469">
        <f>CALC!DB16</f>
        <v>0.30900000000000005</v>
      </c>
      <c r="N16" s="470">
        <f>M16-CALC!DB16</f>
        <v>0</v>
      </c>
      <c r="O16" s="28"/>
      <c r="P16" s="460">
        <v>0.5</v>
      </c>
      <c r="Q16" s="56"/>
      <c r="R16" s="56"/>
      <c r="S16" s="459" t="e">
        <f ca="1">INDEX(C10:G10,Product)</f>
        <v>#DIV/0!</v>
      </c>
      <c r="T16" s="29"/>
      <c r="U16" s="116"/>
      <c r="V16" s="5" t="s">
        <v>33</v>
      </c>
      <c r="W16" s="480"/>
      <c r="AB16" s="311" t="s">
        <v>180</v>
      </c>
      <c r="AC16" s="312"/>
      <c r="AD16" s="312"/>
      <c r="AE16" s="313">
        <f>IF(Product&gt;2,4,0)</f>
        <v>4</v>
      </c>
    </row>
    <row r="17" spans="1:26" ht="19.5" customHeight="1" thickBot="1" x14ac:dyDescent="0.3">
      <c r="A17" s="26"/>
      <c r="B17" s="99" t="s">
        <v>31</v>
      </c>
      <c r="C17" s="86"/>
      <c r="D17" s="86"/>
      <c r="E17" s="99" t="s">
        <v>32</v>
      </c>
      <c r="F17" s="86"/>
      <c r="G17" s="86"/>
      <c r="H17" s="29"/>
      <c r="I17" s="113" t="str">
        <f t="shared" ca="1" si="0"/>
        <v>H2</v>
      </c>
      <c r="J17" s="337">
        <f ca="1">CALC!I17</f>
        <v>37316</v>
      </c>
      <c r="K17" s="476"/>
      <c r="L17" s="477"/>
      <c r="M17" s="478">
        <f>CALC!DB17</f>
        <v>0.28900000000000003</v>
      </c>
      <c r="N17" s="479">
        <f>M17-CALC!DB17</f>
        <v>0</v>
      </c>
      <c r="O17" s="28"/>
      <c r="P17" s="29"/>
      <c r="Q17" s="29"/>
      <c r="R17" s="29"/>
      <c r="S17" s="29"/>
      <c r="T17" s="29"/>
      <c r="U17" s="116"/>
      <c r="V17" s="100" t="s">
        <v>34</v>
      </c>
      <c r="W17" s="481" t="e">
        <f ca="1">(IF(SwaptionType=1,-1,1)*(SwaptionStrike-UnderlyingPriceAsian)*P29+SwaptionPremium*O30)/(O29+O30)</f>
        <v>#DIV/0!</v>
      </c>
    </row>
    <row r="18" spans="1:26" ht="15.75" customHeight="1" thickBot="1" x14ac:dyDescent="0.35">
      <c r="A18" s="26"/>
      <c r="B18" s="51"/>
      <c r="C18" s="52"/>
      <c r="D18" s="53"/>
      <c r="E18" s="82"/>
      <c r="F18" s="33" t="s">
        <v>25</v>
      </c>
      <c r="G18" s="41" t="s">
        <v>26</v>
      </c>
      <c r="H18" s="29"/>
      <c r="I18" s="99" t="s">
        <v>183</v>
      </c>
      <c r="J18" s="371"/>
      <c r="K18" s="371"/>
      <c r="L18" s="371"/>
      <c r="M18" s="99" t="s">
        <v>185</v>
      </c>
      <c r="N18" s="371"/>
      <c r="O18" s="28"/>
      <c r="P18" s="392" t="s">
        <v>188</v>
      </c>
      <c r="Q18" s="371"/>
      <c r="R18" s="28"/>
      <c r="S18" s="28"/>
      <c r="T18" s="29"/>
      <c r="U18" s="116"/>
      <c r="V18" s="78" t="s">
        <v>35</v>
      </c>
      <c r="W18" s="482" t="e">
        <f ca="1">SwaptionPremium*O30/P29</f>
        <v>#DIV/0!</v>
      </c>
      <c r="Y18"/>
      <c r="Z18"/>
    </row>
    <row r="19" spans="1:26" ht="17.25" customHeight="1" x14ac:dyDescent="0.25">
      <c r="A19" s="26"/>
      <c r="B19" s="54"/>
      <c r="C19" s="50"/>
      <c r="D19" s="23"/>
      <c r="E19" s="39" t="str">
        <f>CONCATENATE(IF(OptControl=4,"Put 1","Call"),IF(OptControl=3," 1",""))</f>
        <v>Call</v>
      </c>
      <c r="F19" s="428">
        <v>50</v>
      </c>
      <c r="G19" s="429" t="e">
        <f ca="1">IF(OptControl=2,INDEX(C10:G10,Product)+PriceSpreadAsian,F19)</f>
        <v>#DIV/0!</v>
      </c>
      <c r="H19" s="29"/>
      <c r="I19" s="92"/>
      <c r="J19" s="52"/>
      <c r="K19" s="28"/>
      <c r="L19" s="28"/>
      <c r="M19" s="376"/>
      <c r="N19" s="53"/>
      <c r="O19" s="28"/>
      <c r="P19" s="393"/>
      <c r="Q19" s="28"/>
      <c r="R19" s="28"/>
      <c r="S19" s="28"/>
      <c r="T19" s="29"/>
      <c r="U19" s="116"/>
      <c r="V19" s="5" t="s">
        <v>37</v>
      </c>
      <c r="W19" s="480"/>
    </row>
    <row r="20" spans="1:26" ht="15.75" customHeight="1" thickBot="1" x14ac:dyDescent="0.35">
      <c r="A20" s="26"/>
      <c r="B20" s="55"/>
      <c r="C20" s="56"/>
      <c r="D20" s="57"/>
      <c r="E20" s="35" t="str">
        <f>CONCATENATE(IF(OptControl=3,"Call 2","Put"),IF(OptControl=4," 2",""))</f>
        <v>Put</v>
      </c>
      <c r="F20" s="430">
        <v>50</v>
      </c>
      <c r="G20" s="431" t="e">
        <f ca="1">IF(OptControl=2,INDEX(C10:G10,Product)+PriceSpreadAsian,F20)</f>
        <v>#DIV/0!</v>
      </c>
      <c r="H20" s="83"/>
      <c r="I20" s="56"/>
      <c r="J20" s="56"/>
      <c r="K20" s="28"/>
      <c r="L20" s="28"/>
      <c r="M20" s="377"/>
      <c r="N20" s="57"/>
      <c r="O20" s="28"/>
      <c r="P20" s="394"/>
      <c r="Q20" s="28"/>
      <c r="R20" s="28"/>
      <c r="S20" s="28"/>
      <c r="T20" s="29"/>
      <c r="U20" s="3"/>
      <c r="V20" s="100" t="s">
        <v>34</v>
      </c>
      <c r="W20" s="481" t="e">
        <f ca="1">IF(ParticipationType=1,1,-1)*(ParticipatingSwapPrice-UnderlyingPriceAsian)*P29/O29*(1-ParticipationRate)+IF(ParticipationType=1,C24,C23)*ParticipationRate</f>
        <v>#DIV/0!</v>
      </c>
      <c r="X20"/>
    </row>
    <row r="21" spans="1:26" ht="13.5" customHeight="1" thickBot="1" x14ac:dyDescent="0.35">
      <c r="A21" s="26"/>
      <c r="B21" s="99" t="s">
        <v>36</v>
      </c>
      <c r="C21" s="83"/>
      <c r="D21" s="83"/>
      <c r="E21" s="83"/>
      <c r="F21" s="83"/>
      <c r="G21" s="83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"/>
      <c r="V21" s="78" t="s">
        <v>35</v>
      </c>
      <c r="W21" s="482" t="e">
        <f ca="1">IF(ParticipationType=1,C24,C23)*O29/P29*ParticipationRate/(1-ParticipationRate)</f>
        <v>#DIV/0!</v>
      </c>
    </row>
    <row r="22" spans="1:26" ht="16.5" customHeight="1" thickBot="1" x14ac:dyDescent="0.3">
      <c r="A22" s="26"/>
      <c r="B22" s="40"/>
      <c r="C22" s="87" t="s">
        <v>38</v>
      </c>
      <c r="D22" s="33" t="s">
        <v>39</v>
      </c>
      <c r="E22" s="33" t="s">
        <v>40</v>
      </c>
      <c r="F22" s="33" t="s">
        <v>41</v>
      </c>
      <c r="G22" s="49" t="str">
        <f>CONCATENATE(DaysForThetaCalculation,"-d Theta")</f>
        <v>1-d Theta</v>
      </c>
      <c r="H22" s="28"/>
      <c r="I22" s="185" t="s">
        <v>123</v>
      </c>
      <c r="J22" s="186" t="s">
        <v>124</v>
      </c>
      <c r="K22" s="184" t="s">
        <v>82</v>
      </c>
      <c r="L22" s="29"/>
      <c r="M22" s="389" t="s">
        <v>182</v>
      </c>
      <c r="N22" s="389"/>
      <c r="O22" s="389"/>
      <c r="P22" s="389"/>
      <c r="Q22" s="389"/>
      <c r="R22" s="28"/>
      <c r="S22" s="28"/>
      <c r="T22" s="29"/>
      <c r="U22" s="3"/>
    </row>
    <row r="23" spans="1:26" ht="15" customHeight="1" x14ac:dyDescent="0.25">
      <c r="A23" s="26"/>
      <c r="B23" s="42" t="str">
        <f>CONCATENATE("Asian ",IF(OptControl=4,"Put 1","Call"),IF(OptControl=3," 1",""))</f>
        <v>Asian Call</v>
      </c>
      <c r="C23" s="421" t="e">
        <f ca="1">SUMPRODUCT(CALC!$AH5:$AH184,CALC!AR5:AR184)/$O$29</f>
        <v>#DIV/0!</v>
      </c>
      <c r="D23" s="432" t="e">
        <f t="shared" ref="D23:E25" ca="1" si="1">I23*NominalVolume/$P$29</f>
        <v>#DIV/0!</v>
      </c>
      <c r="E23" s="432" t="e">
        <f t="shared" ca="1" si="1"/>
        <v>#DIV/0!</v>
      </c>
      <c r="F23" s="433" t="e">
        <f ca="1">SUMPRODUCT(CALC!$AH5:$AH184,CALC!AU5:AU184)/$O$29</f>
        <v>#DIV/0!</v>
      </c>
      <c r="G23" s="434" t="e">
        <f ca="1">SUMPRODUCT(CALC!$AH5:$AH184,CALC!AV5:AV184)/$O$29</f>
        <v>#DIV/0!</v>
      </c>
      <c r="H23" s="435"/>
      <c r="I23" s="436" t="e">
        <f ca="1">SUMPRODUCT(CALC!$AH5:$AH184,CALC!AS5:AS184)/$O$29</f>
        <v>#DIV/0!</v>
      </c>
      <c r="J23" s="434" t="e">
        <f ca="1">SUMPRODUCT(CALC!$AH5:$AH184,CALC!AT5:AT184)/$O$29</f>
        <v>#DIV/0!</v>
      </c>
      <c r="K23" s="449" t="e">
        <f ca="1">AVERAGE(CALC!AP5:AP184)</f>
        <v>#DIV/0!</v>
      </c>
      <c r="L23" s="29"/>
      <c r="M23" s="361" t="str">
        <f t="shared" ref="M23:Q24" si="2">C8</f>
        <v>Gas</v>
      </c>
      <c r="N23" s="321" t="str">
        <f t="shared" si="2"/>
        <v>Gas</v>
      </c>
      <c r="O23" s="321" t="str">
        <f t="shared" si="2"/>
        <v>HO</v>
      </c>
      <c r="P23" s="321" t="str">
        <f t="shared" si="2"/>
        <v>HO</v>
      </c>
      <c r="Q23" s="322" t="str">
        <f t="shared" si="2"/>
        <v>Jet</v>
      </c>
      <c r="R23" s="28"/>
      <c r="S23" s="28"/>
      <c r="T23" s="29"/>
      <c r="U23" s="3"/>
      <c r="V23" s="175" t="s">
        <v>50</v>
      </c>
      <c r="W23" s="175"/>
    </row>
    <row r="24" spans="1:26" ht="18.75" customHeight="1" thickBot="1" x14ac:dyDescent="0.3">
      <c r="A24" s="26"/>
      <c r="B24" s="43" t="str">
        <f>CONCATENATE(IF(OptControl=3,"Call 2","Put"),IF(OptControl=4," 2",""))</f>
        <v>Put</v>
      </c>
      <c r="C24" s="437" t="e">
        <f ca="1">SUMPRODUCT(CALC!$AH5:$AH184,CALC!AW5:AW184)/$O$29</f>
        <v>#DIV/0!</v>
      </c>
      <c r="D24" s="438" t="e">
        <f t="shared" ca="1" si="1"/>
        <v>#DIV/0!</v>
      </c>
      <c r="E24" s="438" t="e">
        <f t="shared" ca="1" si="1"/>
        <v>#DIV/0!</v>
      </c>
      <c r="F24" s="439" t="e">
        <f ca="1">SUMPRODUCT(CALC!$AH5:$AH184,CALC!AZ5:AZ184)/$O$29</f>
        <v>#DIV/0!</v>
      </c>
      <c r="G24" s="440" t="e">
        <f ca="1">SUMPRODUCT(CALC!$AH5:$AH184,CALC!BA5:BA184)/$O$29</f>
        <v>#DIV/0!</v>
      </c>
      <c r="H24" s="435"/>
      <c r="I24" s="441" t="e">
        <f ca="1">SUMPRODUCT(CALC!$AH5:$AH184,CALC!AX5:AX184)/$O$29</f>
        <v>#DIV/0!</v>
      </c>
      <c r="J24" s="440" t="e">
        <f ca="1">SUMPRODUCT(CALC!$AH5:$AH184,CALC!AY5:AY184)/$O$29</f>
        <v>#DIV/0!</v>
      </c>
      <c r="K24" s="450" t="e">
        <f ca="1">AVERAGE(CALC!AQ5:AQ184)</f>
        <v>#DIV/0!</v>
      </c>
      <c r="L24" s="29"/>
      <c r="M24" s="362" t="str">
        <f t="shared" si="2"/>
        <v>NYH</v>
      </c>
      <c r="N24" s="360" t="str">
        <f t="shared" si="2"/>
        <v>GC</v>
      </c>
      <c r="O24" s="360" t="str">
        <f t="shared" si="2"/>
        <v>NYH</v>
      </c>
      <c r="P24" s="360" t="str">
        <f t="shared" si="2"/>
        <v>GC</v>
      </c>
      <c r="Q24" s="363" t="str">
        <f t="shared" si="2"/>
        <v>Fuel</v>
      </c>
      <c r="R24" s="28"/>
      <c r="S24" s="28"/>
      <c r="T24" s="29"/>
      <c r="U24" s="3"/>
      <c r="V24" s="50"/>
      <c r="W24" s="50"/>
      <c r="X24" s="125"/>
    </row>
    <row r="25" spans="1:26" ht="15.75" customHeight="1" thickBot="1" x14ac:dyDescent="0.3">
      <c r="A25" s="26"/>
      <c r="B25" s="43" t="str">
        <f>IF(OptControl=3,"Call Spread",IF(OptControl=4,"Put Spread","Straddle"))</f>
        <v>Straddle</v>
      </c>
      <c r="C25" s="437" t="e">
        <f ca="1">C23+C24*IF(OptControl&gt;2,-1,1)</f>
        <v>#DIV/0!</v>
      </c>
      <c r="D25" s="438" t="e">
        <f t="shared" ca="1" si="1"/>
        <v>#DIV/0!</v>
      </c>
      <c r="E25" s="438" t="e">
        <f t="shared" ca="1" si="1"/>
        <v>#DIV/0!</v>
      </c>
      <c r="F25" s="439" t="e">
        <f ca="1">F23+F24*IF(OptControl&gt;2,-1,1)</f>
        <v>#DIV/0!</v>
      </c>
      <c r="G25" s="440" t="e">
        <f ca="1">G23+G24*IF(OptControl&gt;2,-1,1)</f>
        <v>#DIV/0!</v>
      </c>
      <c r="H25" s="435"/>
      <c r="I25" s="441" t="e">
        <f ca="1">I23+I24*IF(OptControl&gt;2,-1,1)</f>
        <v>#DIV/0!</v>
      </c>
      <c r="J25" s="440" t="e">
        <f ca="1">J23+J24*IF(OptControl&gt;2,-1,1)</f>
        <v>#DIV/0!</v>
      </c>
      <c r="K25" s="183" t="s">
        <v>80</v>
      </c>
      <c r="L25" s="29"/>
      <c r="M25" s="448" t="e">
        <f ca="1">C10*42/100-$B10</f>
        <v>#DIV/0!</v>
      </c>
      <c r="N25" s="426" t="e">
        <f ca="1">D10*42/100-$B10</f>
        <v>#DIV/0!</v>
      </c>
      <c r="O25" s="426" t="e">
        <f ca="1">E10*42/100-$B10</f>
        <v>#DIV/0!</v>
      </c>
      <c r="P25" s="426" t="e">
        <f ca="1">F10*42/100-$B10</f>
        <v>#DIV/0!</v>
      </c>
      <c r="Q25" s="431" t="e">
        <f ca="1">G10*42/100-$B10</f>
        <v>#DIV/0!</v>
      </c>
      <c r="R25" s="28"/>
      <c r="S25" s="28"/>
      <c r="T25" s="29"/>
      <c r="U25" s="3"/>
      <c r="V25" s="176"/>
      <c r="W25" s="177"/>
      <c r="X25" s="125"/>
    </row>
    <row r="26" spans="1:26" ht="15.75" customHeight="1" thickBot="1" x14ac:dyDescent="0.3">
      <c r="A26" s="26"/>
      <c r="B26" s="44" t="str">
        <f>IF(OptControl&gt;2,"","Fence")</f>
        <v>Fence</v>
      </c>
      <c r="C26" s="426" t="e">
        <f ca="1">IF(OptControl&gt;2,"",C23-C24)</f>
        <v>#DIV/0!</v>
      </c>
      <c r="D26" s="442" t="e">
        <f ca="1">IF(I26="","",I26*NominalVolume/$P$29)</f>
        <v>#DIV/0!</v>
      </c>
      <c r="E26" s="442" t="e">
        <f ca="1">IF(J26="","",J26*NominalVolume/$P$29)</f>
        <v>#DIV/0!</v>
      </c>
      <c r="F26" s="443" t="e">
        <f ca="1">IF(OptControl&gt;2,"",F23-F24)</f>
        <v>#DIV/0!</v>
      </c>
      <c r="G26" s="444" t="e">
        <f ca="1">IF(OptControl&gt;2,"",G23-G24)</f>
        <v>#DIV/0!</v>
      </c>
      <c r="H26" s="435"/>
      <c r="I26" s="445" t="e">
        <f ca="1">IF(OptControl&gt;2,"",I23-I24)</f>
        <v>#DIV/0!</v>
      </c>
      <c r="J26" s="444" t="e">
        <f ca="1">IF(OptControl&gt;2,"",J23-J24)</f>
        <v>#DIV/0!</v>
      </c>
      <c r="K26" s="451" t="e">
        <f ca="1">INDEX(C10:G10,Product)+PriceSpreadAsian</f>
        <v>#DIV/0!</v>
      </c>
      <c r="L26" s="29"/>
      <c r="M26" s="389" t="s">
        <v>42</v>
      </c>
      <c r="N26" s="389"/>
      <c r="O26" s="389"/>
      <c r="P26" s="389"/>
      <c r="Q26" s="371"/>
      <c r="R26" s="28"/>
      <c r="S26" s="28"/>
      <c r="T26" s="29"/>
      <c r="U26" s="3"/>
    </row>
    <row r="27" spans="1:26" ht="15" customHeight="1" x14ac:dyDescent="0.25">
      <c r="A27" s="26"/>
      <c r="B27" s="43" t="str">
        <f>CONCATENATE("Euro ",IF(OptControl=4,"Put 1","Call"),IF(OptControl=3," 1",""))</f>
        <v>Euro Call</v>
      </c>
      <c r="C27" s="437" t="e">
        <f ca="1">SUMPRODUCT(CALC!$AH5:$AH184,CALC!BH5:BH184)/$O$29</f>
        <v>#DIV/0!</v>
      </c>
      <c r="D27" s="439" t="e">
        <f ca="1">SUMPRODUCT(CALC!$AH5:$AH184,CALC!BI5:BI184)/$O$29</f>
        <v>#DIV/0!</v>
      </c>
      <c r="E27" s="439" t="e">
        <f ca="1">SUMPRODUCT(CALC!$AH5:$AH184,CALC!BJ5:BJ184)/$O$29</f>
        <v>#DIV/0!</v>
      </c>
      <c r="F27" s="439" t="e">
        <f ca="1">SUMPRODUCT(CALC!$AH5:$AH184,CALC!BK5:BK184)/$O$29</f>
        <v>#DIV/0!</v>
      </c>
      <c r="G27" s="440" t="e">
        <f ca="1">SUMPRODUCT(CALC!$AH5:$AH184,CALC!BL5:BL184)/$O$29</f>
        <v>#DIV/0!</v>
      </c>
      <c r="H27" s="435"/>
      <c r="I27" s="446"/>
      <c r="J27" s="434"/>
      <c r="K27" s="449" t="e">
        <f ca="1">AVERAGE(CALC!BF5:BF184)</f>
        <v>#DIV/0!</v>
      </c>
      <c r="L27" s="29"/>
      <c r="M27" s="94"/>
      <c r="N27" s="178" t="s">
        <v>44</v>
      </c>
      <c r="O27" s="95" t="s">
        <v>45</v>
      </c>
      <c r="P27" s="171"/>
      <c r="Q27" s="174" t="s">
        <v>120</v>
      </c>
      <c r="R27" s="28"/>
      <c r="S27" s="28"/>
      <c r="T27" s="29"/>
      <c r="U27" s="3"/>
    </row>
    <row r="28" spans="1:26" ht="15" customHeight="1" thickBot="1" x14ac:dyDescent="0.3">
      <c r="A28" s="26"/>
      <c r="B28" s="43" t="str">
        <f>B24</f>
        <v>Put</v>
      </c>
      <c r="C28" s="437" t="e">
        <f ca="1">SUMPRODUCT(CALC!$AH5:$AH184,CALC!BM5:BM184)/$O$29</f>
        <v>#DIV/0!</v>
      </c>
      <c r="D28" s="439" t="e">
        <f ca="1">SUMPRODUCT(CALC!$AH5:$AH184,CALC!BN5:BN184)/$O$29</f>
        <v>#DIV/0!</v>
      </c>
      <c r="E28" s="439" t="e">
        <f ca="1">SUMPRODUCT(CALC!$AH5:$AH184,CALC!BO5:BO184)/$O$29</f>
        <v>#DIV/0!</v>
      </c>
      <c r="F28" s="439" t="e">
        <f ca="1">SUMPRODUCT(CALC!$AH5:$AH184,CALC!BP5:BP184)/$O$29</f>
        <v>#DIV/0!</v>
      </c>
      <c r="G28" s="440" t="e">
        <f ca="1">SUMPRODUCT(CALC!$AH5:$AH184,CALC!BQ5:BQ184)/$O$29</f>
        <v>#DIV/0!</v>
      </c>
      <c r="H28" s="435"/>
      <c r="I28" s="447"/>
      <c r="J28" s="440"/>
      <c r="K28" s="450" t="e">
        <f ca="1">AVERAGE(CALC!BG5:BG184)</f>
        <v>#DIV/0!</v>
      </c>
      <c r="L28" s="29"/>
      <c r="M28" s="96"/>
      <c r="N28" s="97"/>
      <c r="O28" s="98" t="s">
        <v>47</v>
      </c>
      <c r="P28" s="172" t="s">
        <v>48</v>
      </c>
      <c r="Q28" s="173" t="s">
        <v>121</v>
      </c>
      <c r="R28" s="28"/>
      <c r="S28" s="28"/>
      <c r="T28" s="30"/>
      <c r="U28" s="3"/>
    </row>
    <row r="29" spans="1:26" ht="15" customHeight="1" x14ac:dyDescent="0.25">
      <c r="A29" s="26"/>
      <c r="B29" s="43" t="str">
        <f>B25</f>
        <v>Straddle</v>
      </c>
      <c r="C29" s="437" t="e">
        <f ca="1">C27+C28*IF(OptControl&gt;2,-1,1)</f>
        <v>#DIV/0!</v>
      </c>
      <c r="D29" s="439" t="e">
        <f ca="1">D27+D28*IF(OptControl&gt;2,-1,1)</f>
        <v>#DIV/0!</v>
      </c>
      <c r="E29" s="439" t="e">
        <f ca="1">E27+E28*IF(OptControl&gt;2,-1,1)</f>
        <v>#DIV/0!</v>
      </c>
      <c r="F29" s="439" t="e">
        <f ca="1">F27+F28*IF(OptControl&gt;2,-1,1)</f>
        <v>#DIV/0!</v>
      </c>
      <c r="G29" s="440" t="e">
        <f ca="1">G27+G28*IF(OptControl&gt;2,-1,1)</f>
        <v>#DIV/0!</v>
      </c>
      <c r="H29" s="435"/>
      <c r="I29" s="447"/>
      <c r="J29" s="440"/>
      <c r="K29" s="183" t="s">
        <v>81</v>
      </c>
      <c r="L29" s="29"/>
      <c r="M29" s="169" t="s">
        <v>49</v>
      </c>
      <c r="N29" s="452">
        <v>1</v>
      </c>
      <c r="O29" s="453">
        <f ca="1">CALC!AH4</f>
        <v>0</v>
      </c>
      <c r="P29" s="454">
        <f ca="1">CALC!AI4</f>
        <v>0</v>
      </c>
      <c r="Q29" s="173" t="s">
        <v>122</v>
      </c>
      <c r="R29" s="28"/>
      <c r="S29" s="28"/>
      <c r="T29" s="31"/>
      <c r="U29" s="3"/>
      <c r="X29" s="101"/>
    </row>
    <row r="30" spans="1:26" ht="18.75" customHeight="1" thickBot="1" x14ac:dyDescent="0.3">
      <c r="A30" s="29"/>
      <c r="B30" s="44" t="str">
        <f>B26</f>
        <v>Fence</v>
      </c>
      <c r="C30" s="426" t="e">
        <f ca="1">IF(OptControl&gt;2,"",C27-C28)</f>
        <v>#DIV/0!</v>
      </c>
      <c r="D30" s="443" t="e">
        <f ca="1">IF(OptControl&gt;2,"",D27-D28)</f>
        <v>#DIV/0!</v>
      </c>
      <c r="E30" s="443" t="e">
        <f ca="1">IF(OptControl&gt;2,"",E27-E28)</f>
        <v>#DIV/0!</v>
      </c>
      <c r="F30" s="443" t="e">
        <f ca="1">IF(OptControl&gt;2,"",F27-F28)</f>
        <v>#DIV/0!</v>
      </c>
      <c r="G30" s="444" t="e">
        <f ca="1">IF(OptControl&gt;2,"",G27-G28)</f>
        <v>#DIV/0!</v>
      </c>
      <c r="H30" s="435"/>
      <c r="I30" s="448"/>
      <c r="J30" s="444"/>
      <c r="K30" s="451" t="e">
        <f ca="1">IF(ProductGroup=1,IF(Product=1,SUMPRODUCT(CALC!BX5:BX184,CALC!AI5:AI184)/P29+PriceSpreadEuro,IF(Product=3,SUMPRODUCT(CALC!CK5:CK184,CALC!AI5:AI184)/P29+PriceSpreadEuro,"N/A")),"N/A")</f>
        <v>#DIV/0!</v>
      </c>
      <c r="L30" s="29"/>
      <c r="M30" s="170" t="s">
        <v>51</v>
      </c>
      <c r="N30" s="455">
        <v>1</v>
      </c>
      <c r="O30" s="456">
        <f ca="1">CALC!AJ4</f>
        <v>0</v>
      </c>
      <c r="P30" s="457">
        <f ca="1">CALC!AK4</f>
        <v>0</v>
      </c>
      <c r="Q30" s="458">
        <v>0</v>
      </c>
      <c r="R30" s="28"/>
      <c r="S30" s="28"/>
      <c r="T30" s="29"/>
      <c r="U30" s="3"/>
    </row>
    <row r="31" spans="1:26" ht="15.7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116"/>
    </row>
    <row r="32" spans="1:26" ht="17.25" customHeight="1" x14ac:dyDescent="0.25">
      <c r="A32" s="122"/>
      <c r="B32" s="115"/>
      <c r="C32" s="115"/>
      <c r="D32" s="115"/>
      <c r="E32" s="115"/>
      <c r="F32" s="115"/>
      <c r="G32" s="168"/>
      <c r="H32" s="122"/>
      <c r="I32" s="115"/>
      <c r="J32" s="115"/>
      <c r="K32" s="115"/>
      <c r="L32" s="115"/>
      <c r="R32" s="115"/>
      <c r="S32" s="115"/>
      <c r="T32" s="122"/>
      <c r="U32" s="116"/>
    </row>
    <row r="33" spans="1:21" ht="16.5" customHeight="1" x14ac:dyDescent="0.25">
      <c r="A33" s="122"/>
      <c r="B33" s="115"/>
      <c r="C33" s="115"/>
      <c r="D33" s="115"/>
      <c r="E33" s="115"/>
      <c r="F33" s="115"/>
      <c r="G33" s="168"/>
      <c r="H33" s="122"/>
      <c r="I33" s="115"/>
      <c r="J33" s="115"/>
      <c r="K33" s="115"/>
      <c r="L33" s="115"/>
      <c r="M33" s="122"/>
      <c r="N33" s="115"/>
      <c r="O33" s="115"/>
      <c r="T33" s="122"/>
      <c r="U33" s="116"/>
    </row>
    <row r="34" spans="1:21" ht="18.75" customHeight="1" x14ac:dyDescent="0.25">
      <c r="A34" s="122"/>
      <c r="B34" s="115"/>
      <c r="C34" s="115"/>
      <c r="D34" s="115"/>
      <c r="E34" s="115"/>
      <c r="F34" s="115"/>
      <c r="G34" s="168"/>
      <c r="H34" s="122"/>
      <c r="I34" s="115"/>
      <c r="J34" s="115"/>
      <c r="K34" s="115"/>
      <c r="L34" s="115"/>
      <c r="M34" s="122"/>
      <c r="N34" s="115"/>
      <c r="O34" s="115"/>
      <c r="T34" s="122"/>
      <c r="U34" s="116"/>
    </row>
    <row r="35" spans="1:21" s="115" customFormat="1" ht="14.25" customHeight="1" x14ac:dyDescent="0.25">
      <c r="A35" s="122"/>
      <c r="G35" s="168"/>
      <c r="H35" s="122"/>
      <c r="M35" s="122"/>
      <c r="T35" s="122"/>
      <c r="U35" s="116"/>
    </row>
    <row r="36" spans="1:21" s="115" customFormat="1" ht="15.75" customHeight="1" x14ac:dyDescent="0.25">
      <c r="A36" s="122"/>
      <c r="G36" s="122"/>
      <c r="H36" s="122"/>
      <c r="I36" s="122"/>
      <c r="M36" s="122"/>
      <c r="T36" s="122"/>
      <c r="U36" s="116"/>
    </row>
    <row r="37" spans="1:21" s="115" customFormat="1" ht="15.75" customHeight="1" x14ac:dyDescent="0.25">
      <c r="A37" s="122"/>
      <c r="G37" s="122"/>
      <c r="H37" s="122"/>
      <c r="I37" s="122"/>
      <c r="M37" s="122"/>
      <c r="T37" s="122"/>
      <c r="U37" s="116"/>
    </row>
    <row r="38" spans="1:21" ht="14.25" customHeight="1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T38" s="122"/>
    </row>
    <row r="39" spans="1:21" ht="14.25" customHeight="1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T39" s="115"/>
    </row>
    <row r="40" spans="1:21" ht="14.25" customHeight="1" x14ac:dyDescent="0.25">
      <c r="A40" s="115"/>
      <c r="B40" s="115"/>
      <c r="C40" s="115"/>
      <c r="D40" s="115"/>
      <c r="E40" s="115"/>
      <c r="F40" s="116"/>
      <c r="G40" s="115"/>
      <c r="H40" s="115"/>
      <c r="I40" s="115"/>
      <c r="J40" s="115"/>
      <c r="K40" s="115"/>
      <c r="L40" s="115"/>
      <c r="M40" s="122"/>
      <c r="T40" s="115"/>
    </row>
    <row r="41" spans="1:21" ht="14.25" customHeight="1" x14ac:dyDescent="0.25">
      <c r="A41" s="115"/>
      <c r="B41" s="115"/>
      <c r="C41" s="115"/>
      <c r="D41" s="115"/>
      <c r="E41" s="115"/>
      <c r="F41" s="116"/>
      <c r="G41" s="115"/>
      <c r="H41" s="115"/>
      <c r="I41" s="115"/>
      <c r="J41" s="115"/>
      <c r="K41" s="115"/>
      <c r="L41" s="115"/>
      <c r="M41" s="122"/>
      <c r="N41" s="115"/>
      <c r="O41" s="115"/>
      <c r="P41" s="115"/>
      <c r="Q41" s="115"/>
      <c r="R41" s="116"/>
      <c r="S41" s="115"/>
      <c r="T41" s="115"/>
    </row>
    <row r="42" spans="1:21" ht="14.25" customHeight="1" x14ac:dyDescent="0.25">
      <c r="A42" s="115"/>
      <c r="B42" s="115"/>
      <c r="C42" s="115"/>
      <c r="D42" s="115"/>
      <c r="E42" s="115"/>
      <c r="F42" s="116"/>
      <c r="G42" s="115"/>
      <c r="H42" s="115"/>
      <c r="I42" s="115"/>
      <c r="J42" s="115"/>
      <c r="K42" s="115"/>
      <c r="L42" s="115"/>
      <c r="M42" s="116"/>
      <c r="N42" s="115"/>
      <c r="O42" s="115"/>
      <c r="P42" s="115"/>
      <c r="Q42" s="115"/>
      <c r="R42" s="116"/>
      <c r="S42" s="115"/>
      <c r="T42" s="115"/>
    </row>
    <row r="43" spans="1:21" ht="14.25" customHeight="1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6"/>
      <c r="N43" s="115"/>
      <c r="O43" s="115"/>
      <c r="P43" s="115"/>
      <c r="Q43" s="115"/>
      <c r="R43" s="116"/>
      <c r="S43" s="115"/>
      <c r="T43" s="115"/>
    </row>
    <row r="44" spans="1:21" ht="14.25" customHeight="1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22"/>
      <c r="N44" s="115"/>
      <c r="O44" s="115"/>
      <c r="P44" s="115"/>
      <c r="Q44" s="115"/>
      <c r="R44" s="115"/>
      <c r="S44" s="115"/>
      <c r="T44" s="115"/>
    </row>
    <row r="45" spans="1:21" ht="14.25" customHeight="1" x14ac:dyDescent="0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22"/>
      <c r="N45" s="115"/>
      <c r="O45" s="115"/>
      <c r="P45" s="115"/>
      <c r="Q45" s="115"/>
      <c r="R45" s="116"/>
      <c r="S45" s="115"/>
      <c r="T45" s="115"/>
    </row>
    <row r="46" spans="1:21" ht="14.25" customHeight="1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22"/>
      <c r="N46" s="115"/>
      <c r="O46" s="115"/>
      <c r="P46" s="115"/>
      <c r="Q46" s="115"/>
      <c r="R46" s="116"/>
      <c r="S46" s="115"/>
      <c r="T46" s="115"/>
    </row>
    <row r="47" spans="1:21" ht="14.25" customHeight="1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22"/>
      <c r="N47" s="115"/>
      <c r="O47" s="115"/>
      <c r="P47" s="115"/>
      <c r="Q47" s="115"/>
      <c r="R47" s="116"/>
      <c r="S47" s="115"/>
      <c r="T47" s="115"/>
    </row>
    <row r="48" spans="1:21" ht="14.25" customHeight="1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22"/>
      <c r="N48" s="115"/>
      <c r="O48" s="116"/>
      <c r="P48" s="116"/>
      <c r="Q48" s="116"/>
      <c r="R48" s="116"/>
      <c r="S48" s="116"/>
      <c r="T48" s="115"/>
    </row>
    <row r="49" spans="1:20" ht="14.25" customHeight="1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6"/>
      <c r="N49" s="115"/>
      <c r="O49" s="115"/>
      <c r="P49" s="115"/>
      <c r="Q49" s="115"/>
      <c r="R49" s="115"/>
      <c r="S49" s="115"/>
      <c r="T49" s="115"/>
    </row>
    <row r="50" spans="1:20" ht="14.25" customHeight="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6"/>
      <c r="N50" s="115"/>
      <c r="O50" s="115"/>
      <c r="P50" s="115"/>
      <c r="Q50" s="115"/>
      <c r="R50" s="115"/>
      <c r="S50" s="115"/>
      <c r="T50" s="115"/>
    </row>
    <row r="51" spans="1:20" ht="14.25" customHeight="1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6"/>
      <c r="N51" s="115"/>
      <c r="O51" s="115"/>
      <c r="P51" s="115"/>
      <c r="Q51" s="115"/>
      <c r="R51" s="115"/>
      <c r="S51" s="115"/>
      <c r="T51" s="115"/>
    </row>
    <row r="52" spans="1:20" ht="14.25" customHeight="1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6"/>
      <c r="N52" s="115"/>
      <c r="O52" s="115"/>
      <c r="P52" s="115"/>
      <c r="Q52" s="115"/>
      <c r="R52" s="115"/>
      <c r="S52" s="115"/>
      <c r="T52" s="115"/>
    </row>
    <row r="53" spans="1:20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22"/>
      <c r="N53" s="115"/>
      <c r="O53" s="115"/>
      <c r="P53" s="115"/>
      <c r="Q53" s="115"/>
      <c r="R53" s="115"/>
      <c r="S53" s="115"/>
      <c r="T53" s="115"/>
    </row>
    <row r="54" spans="1:20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22"/>
      <c r="N54" s="115"/>
      <c r="O54" s="115"/>
      <c r="P54" s="115"/>
      <c r="Q54" s="115"/>
      <c r="R54" s="115"/>
      <c r="S54" s="115"/>
      <c r="T54" s="115"/>
    </row>
    <row r="55" spans="1:20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22"/>
      <c r="N55" s="115"/>
      <c r="O55" s="115"/>
      <c r="P55" s="115"/>
      <c r="Q55" s="115"/>
      <c r="R55" s="115"/>
      <c r="S55" s="115"/>
      <c r="T55" s="115"/>
    </row>
    <row r="56" spans="1:20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22"/>
      <c r="N56" s="115"/>
      <c r="O56" s="115"/>
      <c r="P56" s="115"/>
      <c r="Q56" s="115"/>
      <c r="R56" s="115"/>
      <c r="S56" s="115"/>
      <c r="T56" s="115"/>
    </row>
    <row r="57" spans="1:20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22"/>
      <c r="N57" s="115"/>
      <c r="O57" s="115"/>
      <c r="P57" s="115"/>
      <c r="Q57" s="115"/>
      <c r="R57" s="115"/>
      <c r="S57" s="115"/>
      <c r="T57" s="115"/>
    </row>
    <row r="58" spans="1:20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22"/>
      <c r="N58" s="115"/>
      <c r="O58" s="115"/>
      <c r="P58" s="115"/>
      <c r="Q58" s="115"/>
      <c r="R58" s="115"/>
      <c r="S58" s="115"/>
      <c r="T58" s="115"/>
    </row>
    <row r="59" spans="1:20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22"/>
      <c r="N59" s="115"/>
      <c r="O59" s="115"/>
      <c r="P59" s="115"/>
      <c r="Q59" s="115"/>
      <c r="R59" s="115"/>
      <c r="S59" s="115"/>
      <c r="T59" s="115"/>
    </row>
    <row r="60" spans="1:20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22"/>
      <c r="N60" s="115"/>
      <c r="O60" s="115"/>
      <c r="P60" s="115"/>
      <c r="Q60" s="115"/>
      <c r="R60" s="115"/>
      <c r="S60" s="115"/>
      <c r="T60" s="115"/>
    </row>
    <row r="61" spans="1:20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22"/>
      <c r="N61" s="115"/>
      <c r="O61" s="115"/>
      <c r="P61" s="115"/>
      <c r="Q61" s="115"/>
      <c r="R61" s="115"/>
      <c r="S61" s="115"/>
      <c r="T61" s="115"/>
    </row>
    <row r="62" spans="1:20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22"/>
      <c r="N62" s="115"/>
      <c r="O62" s="115"/>
      <c r="P62" s="115"/>
      <c r="Q62" s="115"/>
      <c r="R62" s="115"/>
      <c r="S62" s="115"/>
      <c r="T62" s="115"/>
    </row>
    <row r="63" spans="1:20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22"/>
      <c r="N63" s="115"/>
      <c r="O63" s="115"/>
      <c r="P63" s="115"/>
      <c r="Q63" s="115"/>
      <c r="R63" s="115"/>
      <c r="S63" s="115"/>
      <c r="T63" s="115"/>
    </row>
    <row r="64" spans="1:20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22"/>
      <c r="N64" s="115"/>
      <c r="O64" s="115"/>
      <c r="P64" s="115"/>
      <c r="Q64" s="115"/>
      <c r="R64" s="115"/>
      <c r="S64" s="115"/>
      <c r="T64" s="115"/>
    </row>
    <row r="65" spans="1:20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22"/>
      <c r="N65" s="115"/>
      <c r="O65" s="115"/>
      <c r="P65" s="115"/>
      <c r="Q65" s="115"/>
      <c r="R65" s="115"/>
      <c r="S65" s="115"/>
      <c r="T65" s="115"/>
    </row>
    <row r="66" spans="1:20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22"/>
      <c r="N66" s="115"/>
      <c r="O66" s="115"/>
      <c r="P66" s="115"/>
      <c r="Q66" s="115"/>
      <c r="R66" s="115"/>
      <c r="S66" s="115"/>
      <c r="T66" s="115"/>
    </row>
    <row r="67" spans="1:20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22"/>
      <c r="N67" s="115"/>
      <c r="O67" s="115"/>
      <c r="P67" s="115"/>
      <c r="Q67" s="115"/>
      <c r="R67" s="115"/>
      <c r="S67" s="115"/>
      <c r="T67" s="115"/>
    </row>
    <row r="68" spans="1:20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22"/>
      <c r="N68" s="115"/>
      <c r="O68" s="115"/>
      <c r="P68" s="115"/>
      <c r="Q68" s="115"/>
      <c r="R68" s="115"/>
      <c r="S68" s="115"/>
      <c r="T68" s="115"/>
    </row>
    <row r="69" spans="1:20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22"/>
      <c r="N69" s="115"/>
      <c r="O69" s="115"/>
      <c r="P69" s="115"/>
      <c r="Q69" s="115"/>
      <c r="R69" s="115"/>
      <c r="S69" s="115"/>
      <c r="T69" s="115"/>
    </row>
    <row r="70" spans="1:20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22"/>
      <c r="N70" s="115"/>
      <c r="O70" s="115"/>
      <c r="P70" s="115"/>
      <c r="Q70" s="115"/>
      <c r="R70" s="115"/>
      <c r="S70" s="115"/>
      <c r="T70" s="115"/>
    </row>
    <row r="78" spans="1:20" x14ac:dyDescent="0.25">
      <c r="L78"/>
      <c r="M78" s="2"/>
      <c r="N78"/>
      <c r="O78"/>
      <c r="P78"/>
    </row>
    <row r="79" spans="1:20" x14ac:dyDescent="0.25">
      <c r="L79"/>
      <c r="M79" s="2"/>
      <c r="N79"/>
      <c r="O79"/>
      <c r="P79"/>
    </row>
    <row r="80" spans="1:20" x14ac:dyDescent="0.25">
      <c r="L80"/>
      <c r="M80" s="2"/>
      <c r="N80"/>
      <c r="O80"/>
      <c r="P80"/>
    </row>
    <row r="81" spans="12:16" x14ac:dyDescent="0.25">
      <c r="L81"/>
      <c r="M81" s="2"/>
      <c r="N81"/>
      <c r="O81"/>
      <c r="P81"/>
    </row>
    <row r="82" spans="12:16" x14ac:dyDescent="0.25">
      <c r="L82"/>
      <c r="M82" s="2"/>
      <c r="N82"/>
      <c r="O82"/>
      <c r="P82"/>
    </row>
    <row r="83" spans="12:16" x14ac:dyDescent="0.25">
      <c r="L83"/>
      <c r="M83" s="2"/>
      <c r="N83"/>
      <c r="O83"/>
      <c r="P83"/>
    </row>
    <row r="84" spans="12:16" x14ac:dyDescent="0.25">
      <c r="L84"/>
      <c r="M84" s="2"/>
      <c r="N84"/>
      <c r="O84"/>
      <c r="P84"/>
    </row>
    <row r="85" spans="12:16" x14ac:dyDescent="0.25">
      <c r="L85"/>
    </row>
  </sheetData>
  <sheetProtection sheet="1" objects="1" scenarios="1"/>
  <mergeCells count="1">
    <mergeCell ref="P10:Q10"/>
  </mergeCells>
  <phoneticPr fontId="0" type="noConversion"/>
  <printOptions horizontalCentered="1" verticalCentered="1"/>
  <pageMargins left="0.2" right="0.2" top="0.17" bottom="0.5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autoFill="0" autoLine="0" autoPict="0" macro="[0]!ExtendableSwap">
                <anchor moveWithCells="1" sizeWithCells="1">
                  <from>
                    <xdr:col>15</xdr:col>
                    <xdr:colOff>0</xdr:colOff>
                    <xdr:row>12</xdr:row>
                    <xdr:rowOff>7620</xdr:rowOff>
                  </from>
                  <to>
                    <xdr:col>18</xdr:col>
                    <xdr:colOff>640080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autoFill="0" autoLine="0" autoPict="0" macro="[0]!ParticipatingSwap">
                <anchor moveWithCells="1" siz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19</xdr:col>
                    <xdr:colOff>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Option Button 15">
              <controlPr defaultSize="0" autoFill="0" autoLine="0" autoPict="0">
                <anchor moveWithCells="1">
                  <from>
                    <xdr:col>1</xdr:col>
                    <xdr:colOff>83820</xdr:colOff>
                    <xdr:row>17</xdr:row>
                    <xdr:rowOff>7620</xdr:rowOff>
                  </from>
                  <to>
                    <xdr:col>3</xdr:col>
                    <xdr:colOff>312420</xdr:colOff>
                    <xdr:row>18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Option Button 16">
              <controlPr defaultSize="0" autoFill="0" autoLine="0" autoPict="0">
                <anchor moveWithCells="1">
                  <from>
                    <xdr:col>1</xdr:col>
                    <xdr:colOff>30480</xdr:colOff>
                    <xdr:row>17</xdr:row>
                    <xdr:rowOff>190500</xdr:rowOff>
                  </from>
                  <to>
                    <xdr:col>3</xdr:col>
                    <xdr:colOff>381000</xdr:colOff>
                    <xdr:row>18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Option Button 17">
              <controlPr defaultSize="0" autoFill="0" autoLine="0" autoPict="0">
                <anchor moveWithCells="1">
                  <from>
                    <xdr:col>1</xdr:col>
                    <xdr:colOff>68580</xdr:colOff>
                    <xdr:row>18</xdr:row>
                    <xdr:rowOff>167640</xdr:rowOff>
                  </from>
                  <to>
                    <xdr:col>2</xdr:col>
                    <xdr:colOff>175260</xdr:colOff>
                    <xdr:row>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Option Button 18">
              <controlPr defaultSize="0" autoFill="0" autoLine="0" autoPict="0">
                <anchor moveWithCells="1">
                  <from>
                    <xdr:col>2</xdr:col>
                    <xdr:colOff>182880</xdr:colOff>
                    <xdr:row>18</xdr:row>
                    <xdr:rowOff>160020</xdr:rowOff>
                  </from>
                  <to>
                    <xdr:col>3</xdr:col>
                    <xdr:colOff>411480</xdr:colOff>
                    <xdr:row>19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Option Button 21">
              <controlPr defaultSize="0" autoFill="0" autoLine="0" autoPict="0">
                <anchor moveWithCells="1">
                  <from>
                    <xdr:col>15</xdr:col>
                    <xdr:colOff>68580</xdr:colOff>
                    <xdr:row>7</xdr:row>
                    <xdr:rowOff>7620</xdr:rowOff>
                  </from>
                  <to>
                    <xdr:col>16</xdr:col>
                    <xdr:colOff>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Option Button 22">
              <controlPr defaultSize="0" autoFill="0" autoLine="0" autoPict="0">
                <anchor moveWithCells="1">
                  <from>
                    <xdr:col>16</xdr:col>
                    <xdr:colOff>60960</xdr:colOff>
                    <xdr:row>7</xdr:row>
                    <xdr:rowOff>7620</xdr:rowOff>
                  </from>
                  <to>
                    <xdr:col>16</xdr:col>
                    <xdr:colOff>533400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Group Box 23">
              <controlPr defaultSiz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723900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3" name="Group Box 24">
              <controlPr defaultSize="0" autoPict="0">
                <anchor moveWithCells="1">
                  <from>
                    <xdr:col>1</xdr:col>
                    <xdr:colOff>0</xdr:colOff>
                    <xdr:row>17</xdr:row>
                    <xdr:rowOff>7620</xdr:rowOff>
                  </from>
                  <to>
                    <xdr:col>3</xdr:col>
                    <xdr:colOff>647700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Group Box 27">
              <controlPr defaultSize="0" autoPict="0">
                <anchor moveWithCells="1">
                  <from>
                    <xdr:col>16</xdr:col>
                    <xdr:colOff>0</xdr:colOff>
                    <xdr:row>14</xdr:row>
                    <xdr:rowOff>0</xdr:rowOff>
                  </from>
                  <to>
                    <xdr:col>18</xdr:col>
                    <xdr:colOff>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Option Button 28">
              <controlPr defaultSize="0" autoFill="0" autoLine="0" autoPict="0">
                <anchor moveWithCells="1">
                  <from>
                    <xdr:col>16</xdr:col>
                    <xdr:colOff>175260</xdr:colOff>
                    <xdr:row>14</xdr:row>
                    <xdr:rowOff>7620</xdr:rowOff>
                  </from>
                  <to>
                    <xdr:col>17</xdr:col>
                    <xdr:colOff>320040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Option Button 29">
              <controlPr defaultSize="0" autoFill="0" autoLine="0" autoPict="0">
                <anchor moveWithCells="1">
                  <from>
                    <xdr:col>16</xdr:col>
                    <xdr:colOff>175260</xdr:colOff>
                    <xdr:row>14</xdr:row>
                    <xdr:rowOff>160020</xdr:rowOff>
                  </from>
                  <to>
                    <xdr:col>17</xdr:col>
                    <xdr:colOff>297180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7" name="Button 32">
              <controlPr defaultSize="0" print="0" autoFill="0" autoLine="0" autoPict="0" macro="[0]!_xlnm.Auto_Open">
                <anchor moveWithCells="1" sizeWithCells="1">
                  <from>
                    <xdr:col>1</xdr:col>
                    <xdr:colOff>15240</xdr:colOff>
                    <xdr:row>3</xdr:row>
                    <xdr:rowOff>7620</xdr:rowOff>
                  </from>
                  <to>
                    <xdr:col>2</xdr:col>
                    <xdr:colOff>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8" name="Option Button 33">
              <controlPr defaultSize="0" autoFill="0" autoLine="0" autoPict="0" macro="[0]!ChangeCalcMode">
                <anchor moveWithCells="1">
                  <from>
                    <xdr:col>21</xdr:col>
                    <xdr:colOff>205740</xdr:colOff>
                    <xdr:row>23</xdr:row>
                    <xdr:rowOff>38100</xdr:rowOff>
                  </from>
                  <to>
                    <xdr:col>21</xdr:col>
                    <xdr:colOff>1211580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9" name="Option Button 34">
              <controlPr defaultSize="0" autoFill="0" autoLine="0" autoPict="0" macro="[0]!ChangeCalcMode">
                <anchor moveWithCells="1">
                  <from>
                    <xdr:col>21</xdr:col>
                    <xdr:colOff>1333500</xdr:colOff>
                    <xdr:row>23</xdr:row>
                    <xdr:rowOff>38100</xdr:rowOff>
                  </from>
                  <to>
                    <xdr:col>22</xdr:col>
                    <xdr:colOff>533400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0" name="Group Box 35">
              <controlPr defaultSize="0" autoPict="0">
                <anchor moveWithCells="1">
                  <from>
                    <xdr:col>21</xdr:col>
                    <xdr:colOff>22860</xdr:colOff>
                    <xdr:row>23</xdr:row>
                    <xdr:rowOff>15240</xdr:rowOff>
                  </from>
                  <to>
                    <xdr:col>23</xdr:col>
                    <xdr:colOff>7620</xdr:colOff>
                    <xdr:row>24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1" name="Drop Down 118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182880</xdr:rowOff>
                  </from>
                  <to>
                    <xdr:col>1</xdr:col>
                    <xdr:colOff>845820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2" name="Drop Down 119">
              <controlPr defaultSize="0" autoLine="0" autoPict="0">
                <anchor moveWithCells="1">
                  <from>
                    <xdr:col>1</xdr:col>
                    <xdr:colOff>15240</xdr:colOff>
                    <xdr:row>12</xdr:row>
                    <xdr:rowOff>106680</xdr:rowOff>
                  </from>
                  <to>
                    <xdr:col>1</xdr:col>
                    <xdr:colOff>830580</xdr:colOff>
                    <xdr:row>13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23" name="Group Box 189">
              <controlPr defaultSiz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609600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24" name="Option Button 190">
              <controlPr defaultSize="0" autoFill="0" autoLine="0" autoPict="0">
                <anchor moveWithCells="1">
                  <from>
                    <xdr:col>8</xdr:col>
                    <xdr:colOff>45720</xdr:colOff>
                    <xdr:row>18</xdr:row>
                    <xdr:rowOff>7620</xdr:rowOff>
                  </from>
                  <to>
                    <xdr:col>9</xdr:col>
                    <xdr:colOff>579120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25" name="Option Button 191">
              <controlPr defaultSize="0" autoFill="0" autoLine="0" autoPict="0">
                <anchor moveWithCells="1">
                  <from>
                    <xdr:col>8</xdr:col>
                    <xdr:colOff>45720</xdr:colOff>
                    <xdr:row>18</xdr:row>
                    <xdr:rowOff>167640</xdr:rowOff>
                  </from>
                  <to>
                    <xdr:col>9</xdr:col>
                    <xdr:colOff>556260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26" name="Button 192">
              <controlPr defaultSize="0" autoFill="0" autoLine="0" autoPict="0" macro="[0]!CostlessCollar">
                <anchor moveWithCells="1" sizeWithCells="1">
                  <from>
                    <xdr:col>10</xdr:col>
                    <xdr:colOff>22860</xdr:colOff>
                    <xdr:row>18</xdr:row>
                    <xdr:rowOff>0</xdr:rowOff>
                  </from>
                  <to>
                    <xdr:col>11</xdr:col>
                    <xdr:colOff>533400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7" name="Group Box 200">
              <controlPr defaultSiz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14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8" name="Option Button 201">
              <controlPr defaultSize="0" autoFill="0" autoLine="0" autoPict="0">
                <anchor moveWithCells="1">
                  <from>
                    <xdr:col>12</xdr:col>
                    <xdr:colOff>45720</xdr:colOff>
                    <xdr:row>18</xdr:row>
                    <xdr:rowOff>7620</xdr:rowOff>
                  </from>
                  <to>
                    <xdr:col>13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9" name="Option Button 202">
              <controlPr defaultSize="0" autoFill="0" autoLine="0" autoPict="0">
                <anchor moveWithCells="1">
                  <from>
                    <xdr:col>12</xdr:col>
                    <xdr:colOff>45720</xdr:colOff>
                    <xdr:row>18</xdr:row>
                    <xdr:rowOff>167640</xdr:rowOff>
                  </from>
                  <to>
                    <xdr:col>13</xdr:col>
                    <xdr:colOff>480060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30" name="Group Box 243">
              <controlPr defaultSiz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16</xdr:col>
                    <xdr:colOff>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31" name="Option Button 244">
              <controlPr defaultSize="0" autoFill="0" autoLine="0" autoPict="0">
                <anchor moveWithCells="1">
                  <from>
                    <xdr:col>15</xdr:col>
                    <xdr:colOff>45720</xdr:colOff>
                    <xdr:row>18</xdr:row>
                    <xdr:rowOff>7620</xdr:rowOff>
                  </from>
                  <to>
                    <xdr:col>15</xdr:col>
                    <xdr:colOff>548640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32" name="Option Button 245">
              <controlPr defaultSize="0" autoFill="0" autoLine="0" autoPict="0">
                <anchor moveWithCells="1">
                  <from>
                    <xdr:col>15</xdr:col>
                    <xdr:colOff>45720</xdr:colOff>
                    <xdr:row>18</xdr:row>
                    <xdr:rowOff>167640</xdr:rowOff>
                  </from>
                  <to>
                    <xdr:col>15</xdr:col>
                    <xdr:colOff>533400</xdr:colOff>
                    <xdr:row>19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G504"/>
  <sheetViews>
    <sheetView topLeftCell="I1" workbookViewId="0">
      <pane xSplit="1" ySplit="4" topLeftCell="BS5" activePane="bottomRight" state="frozen"/>
      <selection activeCell="I1" sqref="I1"/>
      <selection pane="topRight" activeCell="J1" sqref="J1"/>
      <selection pane="bottomLeft" activeCell="I5" sqref="I5"/>
      <selection pane="bottomRight" activeCell="DY36" sqref="DY36:EC53"/>
    </sheetView>
  </sheetViews>
  <sheetFormatPr defaultRowHeight="13.2" x14ac:dyDescent="0.25"/>
  <cols>
    <col min="1" max="1" width="5.6640625" bestFit="1" customWidth="1"/>
    <col min="2" max="7" width="10.109375" customWidth="1"/>
    <col min="8" max="8" width="1.44140625" customWidth="1"/>
    <col min="9" max="9" width="8" style="2" customWidth="1"/>
    <col min="10" max="10" width="10.6640625" bestFit="1" customWidth="1"/>
    <col min="11" max="11" width="7.77734375" style="61" bestFit="1" customWidth="1"/>
    <col min="12" max="12" width="4.109375" style="60" customWidth="1"/>
    <col min="13" max="13" width="3.109375" style="60" customWidth="1"/>
    <col min="14" max="14" width="8.109375" style="73" bestFit="1" customWidth="1"/>
    <col min="15" max="15" width="8" style="61" bestFit="1" customWidth="1"/>
    <col min="16" max="16" width="5.6640625" style="61" bestFit="1" customWidth="1"/>
    <col min="17" max="17" width="5.77734375" style="61" customWidth="1"/>
    <col min="18" max="18" width="8" style="108" customWidth="1"/>
    <col min="19" max="19" width="8" customWidth="1"/>
    <col min="20" max="20" width="7.6640625" customWidth="1"/>
    <col min="21" max="22" width="6.6640625" customWidth="1"/>
    <col min="23" max="23" width="8" style="109" customWidth="1"/>
    <col min="24" max="24" width="6.109375" style="3" bestFit="1" customWidth="1"/>
    <col min="25" max="30" width="8.33203125" style="3" customWidth="1"/>
    <col min="31" max="31" width="7.77734375" style="108" customWidth="1"/>
    <col min="33" max="33" width="6.33203125" customWidth="1"/>
    <col min="34" max="37" width="8.77734375" customWidth="1"/>
    <col min="38" max="38" width="7.33203125" customWidth="1"/>
    <col min="39" max="40" width="6.33203125" bestFit="1" customWidth="1"/>
    <col min="41" max="43" width="6.6640625" bestFit="1" customWidth="1"/>
    <col min="44" max="53" width="8.109375" customWidth="1"/>
    <col min="54" max="54" width="7.33203125" customWidth="1"/>
    <col min="55" max="56" width="6.33203125" customWidth="1"/>
    <col min="57" max="59" width="7.33203125" customWidth="1"/>
    <col min="60" max="69" width="8.44140625" customWidth="1"/>
    <col min="70" max="70" width="2.6640625" style="302" customWidth="1"/>
    <col min="71" max="73" width="7.44140625" customWidth="1"/>
    <col min="74" max="74" width="5" customWidth="1"/>
    <col min="75" max="75" width="7.6640625" bestFit="1" customWidth="1"/>
    <col min="76" max="76" width="8" bestFit="1" customWidth="1"/>
    <col min="77" max="77" width="8" customWidth="1"/>
    <col min="79" max="79" width="7.77734375" customWidth="1"/>
    <col min="80" max="80" width="9" customWidth="1"/>
    <col min="81" max="81" width="8.77734375" customWidth="1"/>
    <col min="82" max="82" width="8.6640625" customWidth="1"/>
    <col min="83" max="83" width="9.44140625" bestFit="1" customWidth="1"/>
    <col min="85" max="85" width="7.77734375" customWidth="1"/>
    <col min="86" max="86" width="9" customWidth="1"/>
    <col min="87" max="87" width="4.6640625" bestFit="1" customWidth="1"/>
    <col min="88" max="88" width="8.77734375" customWidth="1"/>
    <col min="89" max="90" width="8.6640625" customWidth="1"/>
    <col min="92" max="92" width="7.77734375" customWidth="1"/>
    <col min="93" max="93" width="9" customWidth="1"/>
    <col min="94" max="94" width="8.77734375" customWidth="1"/>
    <col min="95" max="95" width="8.6640625" customWidth="1"/>
    <col min="96" max="96" width="9.44140625" customWidth="1"/>
    <col min="98" max="98" width="7.77734375" customWidth="1"/>
    <col min="99" max="100" width="9.44140625" bestFit="1" customWidth="1"/>
    <col min="101" max="101" width="8.6640625" customWidth="1"/>
    <col min="102" max="109" width="7.6640625" customWidth="1"/>
    <col min="110" max="110" width="2.44140625" customWidth="1"/>
    <col min="111" max="111" width="2.33203125" customWidth="1"/>
    <col min="112" max="127" width="7.6640625" customWidth="1"/>
    <col min="131" max="131" width="10.44140625" bestFit="1" customWidth="1"/>
    <col min="133" max="133" width="10.44140625" bestFit="1" customWidth="1"/>
    <col min="135" max="136" width="9.109375" customWidth="1"/>
  </cols>
  <sheetData>
    <row r="1" spans="1:137" ht="24.75" customHeight="1" thickBot="1" x14ac:dyDescent="0.35">
      <c r="I1" s="223"/>
      <c r="J1" s="391" t="s">
        <v>7</v>
      </c>
      <c r="K1" s="232" t="s">
        <v>7</v>
      </c>
      <c r="L1" s="226"/>
      <c r="M1" s="226"/>
      <c r="N1" s="231" t="s">
        <v>70</v>
      </c>
      <c r="O1" s="231" t="s">
        <v>116</v>
      </c>
      <c r="P1" s="62" t="s">
        <v>139</v>
      </c>
      <c r="Q1" s="62"/>
      <c r="R1" s="338" t="s">
        <v>55</v>
      </c>
      <c r="S1" s="6"/>
      <c r="T1" s="7"/>
      <c r="U1" s="80" t="s">
        <v>7</v>
      </c>
      <c r="V1" s="80"/>
      <c r="W1" s="381" t="s">
        <v>56</v>
      </c>
      <c r="X1" s="6"/>
      <c r="Y1" s="6"/>
      <c r="Z1" s="6"/>
      <c r="AA1" s="6"/>
      <c r="AB1" s="6"/>
      <c r="AC1" s="6"/>
      <c r="AD1" s="7"/>
      <c r="AE1" s="110"/>
      <c r="AF1" s="17"/>
      <c r="AG1" s="5" t="s">
        <v>42</v>
      </c>
      <c r="AH1" s="62"/>
      <c r="AI1" s="62"/>
      <c r="AJ1" s="62"/>
      <c r="AK1" s="21"/>
      <c r="AL1" s="69" t="s">
        <v>57</v>
      </c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1"/>
      <c r="BB1" s="69" t="s">
        <v>58</v>
      </c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1"/>
      <c r="BR1" s="298"/>
      <c r="BS1" s="267" t="s">
        <v>152</v>
      </c>
      <c r="BT1" s="70"/>
      <c r="BU1" s="6"/>
      <c r="BV1" s="6"/>
      <c r="BW1" s="6"/>
      <c r="BX1" s="7"/>
      <c r="BY1" s="7"/>
      <c r="BZ1" s="267" t="s">
        <v>154</v>
      </c>
      <c r="CA1" s="70"/>
      <c r="CB1" s="6"/>
      <c r="CC1" s="6"/>
      <c r="CD1" s="7"/>
      <c r="CE1" s="7"/>
      <c r="CF1" s="267" t="s">
        <v>155</v>
      </c>
      <c r="CG1" s="70"/>
      <c r="CH1" s="6"/>
      <c r="CI1" s="6"/>
      <c r="CJ1" s="6"/>
      <c r="CK1" s="7"/>
      <c r="CL1" s="7"/>
      <c r="CM1" s="267" t="s">
        <v>156</v>
      </c>
      <c r="CN1" s="70"/>
      <c r="CO1" s="6"/>
      <c r="CP1" s="6"/>
      <c r="CQ1" s="7"/>
      <c r="CR1" s="7"/>
      <c r="CS1" s="267" t="s">
        <v>157</v>
      </c>
      <c r="CT1" s="70"/>
      <c r="CU1" s="6"/>
      <c r="CV1" s="6"/>
      <c r="CW1" s="7"/>
      <c r="CX1" s="267" t="s">
        <v>158</v>
      </c>
      <c r="CY1" s="268"/>
      <c r="CZ1" s="268"/>
      <c r="DA1" s="269"/>
      <c r="DB1" s="267" t="s">
        <v>159</v>
      </c>
      <c r="DC1" s="268"/>
      <c r="DD1" s="268"/>
      <c r="DE1" s="269"/>
      <c r="DF1" s="3"/>
      <c r="DG1" s="324"/>
      <c r="DH1" s="267" t="s">
        <v>168</v>
      </c>
      <c r="DI1" s="268"/>
      <c r="DJ1" s="268"/>
      <c r="DK1" s="269"/>
      <c r="DL1" s="267" t="s">
        <v>169</v>
      </c>
      <c r="DM1" s="268"/>
      <c r="DN1" s="268"/>
      <c r="DO1" s="269"/>
      <c r="DP1" s="267" t="s">
        <v>170</v>
      </c>
      <c r="DQ1" s="268"/>
      <c r="DR1" s="268"/>
      <c r="DS1" s="269"/>
      <c r="DT1" s="267" t="s">
        <v>171</v>
      </c>
      <c r="DU1" s="268"/>
      <c r="DV1" s="268"/>
      <c r="DW1" s="269"/>
      <c r="DX1" s="3"/>
      <c r="DY1" s="3"/>
      <c r="DZ1" s="3"/>
      <c r="EA1" s="3"/>
      <c r="EB1" s="3"/>
      <c r="EC1" s="3"/>
      <c r="ED1" s="3"/>
      <c r="EE1" s="3"/>
      <c r="EF1" s="3"/>
      <c r="EG1" s="3"/>
    </row>
    <row r="2" spans="1:137" ht="14.4" thickBot="1" x14ac:dyDescent="0.3">
      <c r="A2" s="364" t="s">
        <v>15</v>
      </c>
      <c r="B2" s="365"/>
      <c r="C2" s="365"/>
      <c r="D2" s="365"/>
      <c r="E2" s="365"/>
      <c r="F2" s="365"/>
      <c r="G2" s="366"/>
      <c r="I2" s="224" t="s">
        <v>61</v>
      </c>
      <c r="J2" s="402" t="s">
        <v>10</v>
      </c>
      <c r="K2" s="233" t="s">
        <v>9</v>
      </c>
      <c r="L2" s="225" t="s">
        <v>59</v>
      </c>
      <c r="M2" s="225" t="s">
        <v>60</v>
      </c>
      <c r="N2" s="9" t="s">
        <v>116</v>
      </c>
      <c r="O2" s="9" t="s">
        <v>137</v>
      </c>
      <c r="P2" s="13" t="s">
        <v>28</v>
      </c>
      <c r="Q2" s="13"/>
      <c r="R2" s="339" t="s">
        <v>19</v>
      </c>
      <c r="S2" s="8"/>
      <c r="T2" s="19" t="s">
        <v>62</v>
      </c>
      <c r="U2" s="81" t="s">
        <v>9</v>
      </c>
      <c r="V2" s="382"/>
      <c r="W2" s="386" t="s">
        <v>7</v>
      </c>
      <c r="X2" s="384" t="s">
        <v>17</v>
      </c>
      <c r="Y2" s="165" t="s">
        <v>15</v>
      </c>
      <c r="Z2" s="88"/>
      <c r="AA2" s="88"/>
      <c r="AB2" s="88"/>
      <c r="AC2" s="88"/>
      <c r="AD2" s="89"/>
      <c r="AE2" s="107" t="s">
        <v>63</v>
      </c>
      <c r="AF2" s="18" t="s">
        <v>64</v>
      </c>
      <c r="AG2" s="14" t="s">
        <v>65</v>
      </c>
      <c r="AH2" s="58" t="s">
        <v>66</v>
      </c>
      <c r="AI2" s="59"/>
      <c r="AJ2" s="58" t="s">
        <v>67</v>
      </c>
      <c r="AK2" s="64"/>
      <c r="AL2" s="14" t="s">
        <v>68</v>
      </c>
      <c r="AM2" s="10" t="s">
        <v>69</v>
      </c>
      <c r="AN2" s="12"/>
      <c r="AO2" s="66" t="s">
        <v>24</v>
      </c>
      <c r="AP2" s="11"/>
      <c r="AQ2" s="12"/>
      <c r="AR2" s="66" t="str">
        <f>CONCATENATE(IF(OptControl=4,"Put 1","Call"),IF(OptControl=3," 1",""))</f>
        <v>Call</v>
      </c>
      <c r="AS2" s="67"/>
      <c r="AT2" s="67"/>
      <c r="AU2" s="67"/>
      <c r="AV2" s="68"/>
      <c r="AW2" s="66" t="str">
        <f>CONCATENATE(IF(OptControl=3,"Call 2","Put"),IF(OptControl=4," 2",""))</f>
        <v>Put</v>
      </c>
      <c r="AX2" s="67"/>
      <c r="AY2" s="67"/>
      <c r="AZ2" s="67"/>
      <c r="BA2" s="72"/>
      <c r="BB2" s="14" t="s">
        <v>68</v>
      </c>
      <c r="BC2" s="10" t="s">
        <v>69</v>
      </c>
      <c r="BD2" s="12"/>
      <c r="BE2" s="66" t="s">
        <v>24</v>
      </c>
      <c r="BF2" s="11"/>
      <c r="BG2" s="12"/>
      <c r="BH2" s="66" t="str">
        <f>AR2</f>
        <v>Call</v>
      </c>
      <c r="BI2" s="67"/>
      <c r="BJ2" s="67"/>
      <c r="BK2" s="67"/>
      <c r="BL2" s="68"/>
      <c r="BM2" s="66" t="str">
        <f>AW2</f>
        <v>Put</v>
      </c>
      <c r="BN2" s="67"/>
      <c r="BO2" s="67"/>
      <c r="BP2" s="67"/>
      <c r="BQ2" s="72"/>
      <c r="BR2" s="299"/>
      <c r="BS2" s="270" t="s">
        <v>142</v>
      </c>
      <c r="BT2" s="274"/>
      <c r="BU2" s="276"/>
      <c r="BV2" s="278"/>
      <c r="BW2" s="266" t="s">
        <v>62</v>
      </c>
      <c r="BX2" s="64"/>
      <c r="BY2" s="64"/>
      <c r="BZ2" s="270" t="s">
        <v>142</v>
      </c>
      <c r="CA2" s="274"/>
      <c r="CB2" s="276"/>
      <c r="CC2" s="266" t="s">
        <v>62</v>
      </c>
      <c r="CD2" s="64"/>
      <c r="CE2" s="64"/>
      <c r="CF2" s="270" t="s">
        <v>142</v>
      </c>
      <c r="CG2" s="274"/>
      <c r="CH2" s="276"/>
      <c r="CI2" s="278"/>
      <c r="CJ2" s="266" t="s">
        <v>62</v>
      </c>
      <c r="CK2" s="375"/>
      <c r="CL2" s="64"/>
      <c r="CM2" s="270" t="s">
        <v>142</v>
      </c>
      <c r="CN2" s="274"/>
      <c r="CO2" s="276"/>
      <c r="CP2" s="266" t="s">
        <v>62</v>
      </c>
      <c r="CQ2" s="64"/>
      <c r="CR2" s="64"/>
      <c r="CS2" s="270" t="s">
        <v>142</v>
      </c>
      <c r="CT2" s="274"/>
      <c r="CU2" s="276"/>
      <c r="CV2" s="266" t="s">
        <v>62</v>
      </c>
      <c r="CW2" s="64"/>
      <c r="CX2" s="270" t="s">
        <v>142</v>
      </c>
      <c r="CY2" s="261"/>
      <c r="CZ2" s="266" t="s">
        <v>62</v>
      </c>
      <c r="DA2" s="271"/>
      <c r="DB2" s="270" t="s">
        <v>142</v>
      </c>
      <c r="DC2" s="261"/>
      <c r="DD2" s="266" t="s">
        <v>62</v>
      </c>
      <c r="DE2" s="271"/>
      <c r="DF2" s="1"/>
      <c r="DG2" s="340"/>
      <c r="DH2" s="270" t="s">
        <v>142</v>
      </c>
      <c r="DI2" s="261"/>
      <c r="DJ2" s="266" t="s">
        <v>62</v>
      </c>
      <c r="DK2" s="271"/>
      <c r="DL2" s="270" t="s">
        <v>142</v>
      </c>
      <c r="DM2" s="261"/>
      <c r="DN2" s="266" t="s">
        <v>62</v>
      </c>
      <c r="DO2" s="271"/>
      <c r="DP2" s="270" t="s">
        <v>142</v>
      </c>
      <c r="DQ2" s="261"/>
      <c r="DR2" s="266" t="s">
        <v>62</v>
      </c>
      <c r="DS2" s="271"/>
      <c r="DT2" s="270" t="s">
        <v>142</v>
      </c>
      <c r="DU2" s="261"/>
      <c r="DV2" s="266" t="s">
        <v>62</v>
      </c>
      <c r="DW2" s="271"/>
      <c r="DX2" s="1"/>
      <c r="EG2" s="1"/>
    </row>
    <row r="3" spans="1:137" x14ac:dyDescent="0.25">
      <c r="A3" s="152" t="s">
        <v>116</v>
      </c>
      <c r="B3" s="153" t="s">
        <v>83</v>
      </c>
      <c r="C3" s="153"/>
      <c r="D3" s="154"/>
      <c r="E3" s="155" t="s">
        <v>84</v>
      </c>
      <c r="F3" s="153"/>
      <c r="G3" s="156"/>
      <c r="I3" s="224" t="s">
        <v>4</v>
      </c>
      <c r="J3" s="402" t="s">
        <v>53</v>
      </c>
      <c r="K3" s="18" t="s">
        <v>190</v>
      </c>
      <c r="L3" s="225"/>
      <c r="M3" s="225"/>
      <c r="N3" s="9" t="s">
        <v>136</v>
      </c>
      <c r="O3" s="9" t="s">
        <v>138</v>
      </c>
      <c r="P3" s="13" t="s">
        <v>71</v>
      </c>
      <c r="Q3" s="13"/>
      <c r="R3" s="107" t="s">
        <v>10</v>
      </c>
      <c r="S3" s="9" t="s">
        <v>72</v>
      </c>
      <c r="T3" s="18" t="s">
        <v>10</v>
      </c>
      <c r="U3" s="264" t="s">
        <v>18</v>
      </c>
      <c r="V3" s="383"/>
      <c r="W3" s="387" t="s">
        <v>134</v>
      </c>
      <c r="X3" s="385" t="s">
        <v>118</v>
      </c>
      <c r="Y3" s="90" t="s">
        <v>20</v>
      </c>
      <c r="Z3" s="90"/>
      <c r="AA3" s="75"/>
      <c r="AB3" s="76" t="s">
        <v>21</v>
      </c>
      <c r="AC3" s="90"/>
      <c r="AD3" s="77"/>
      <c r="AE3" s="107" t="s">
        <v>46</v>
      </c>
      <c r="AF3" s="18" t="s">
        <v>73</v>
      </c>
      <c r="AG3" s="15"/>
      <c r="AH3" s="63" t="s">
        <v>47</v>
      </c>
      <c r="AI3" s="63" t="s">
        <v>48</v>
      </c>
      <c r="AJ3" s="63" t="s">
        <v>47</v>
      </c>
      <c r="AK3" s="65" t="s">
        <v>48</v>
      </c>
      <c r="AL3" s="15" t="s">
        <v>74</v>
      </c>
      <c r="AM3" s="8" t="str">
        <f>AR2</f>
        <v>Call</v>
      </c>
      <c r="AN3" s="8" t="str">
        <f>AW2</f>
        <v>Put</v>
      </c>
      <c r="AO3" s="8" t="s">
        <v>75</v>
      </c>
      <c r="AP3" s="8" t="str">
        <f>AR2</f>
        <v>Call</v>
      </c>
      <c r="AQ3" s="8" t="str">
        <f>AW2</f>
        <v>Put</v>
      </c>
      <c r="AR3" s="8" t="s">
        <v>76</v>
      </c>
      <c r="AS3" s="8" t="s">
        <v>39</v>
      </c>
      <c r="AT3" s="8" t="s">
        <v>40</v>
      </c>
      <c r="AU3" s="8" t="s">
        <v>41</v>
      </c>
      <c r="AV3" s="8" t="s">
        <v>77</v>
      </c>
      <c r="AW3" s="8" t="s">
        <v>76</v>
      </c>
      <c r="AX3" s="8" t="s">
        <v>39</v>
      </c>
      <c r="AY3" s="8" t="s">
        <v>40</v>
      </c>
      <c r="AZ3" s="8" t="s">
        <v>41</v>
      </c>
      <c r="BA3" s="19" t="s">
        <v>77</v>
      </c>
      <c r="BB3" s="15" t="s">
        <v>74</v>
      </c>
      <c r="BC3" s="8" t="str">
        <f>AR2</f>
        <v>Call</v>
      </c>
      <c r="BD3" s="8" t="str">
        <f>AW2</f>
        <v>Put</v>
      </c>
      <c r="BE3" s="8" t="s">
        <v>75</v>
      </c>
      <c r="BF3" s="8" t="str">
        <f>AR2</f>
        <v>Call</v>
      </c>
      <c r="BG3" s="8" t="str">
        <f>AW2</f>
        <v>Put</v>
      </c>
      <c r="BH3" s="8" t="s">
        <v>76</v>
      </c>
      <c r="BI3" s="8" t="s">
        <v>39</v>
      </c>
      <c r="BJ3" s="8" t="s">
        <v>40</v>
      </c>
      <c r="BK3" s="8" t="s">
        <v>41</v>
      </c>
      <c r="BL3" s="8" t="s">
        <v>77</v>
      </c>
      <c r="BM3" s="8" t="s">
        <v>76</v>
      </c>
      <c r="BN3" s="8" t="s">
        <v>39</v>
      </c>
      <c r="BO3" s="8" t="s">
        <v>40</v>
      </c>
      <c r="BP3" s="8" t="s">
        <v>41</v>
      </c>
      <c r="BQ3" s="19" t="s">
        <v>77</v>
      </c>
      <c r="BR3" s="277"/>
      <c r="BS3" s="281" t="s">
        <v>10</v>
      </c>
      <c r="BT3" s="275"/>
      <c r="BU3" s="265" t="s">
        <v>22</v>
      </c>
      <c r="BV3" s="9" t="s">
        <v>146</v>
      </c>
      <c r="BW3" s="265" t="s">
        <v>22</v>
      </c>
      <c r="BX3" s="280" t="s">
        <v>10</v>
      </c>
      <c r="BY3" s="286" t="s">
        <v>9</v>
      </c>
      <c r="BZ3" s="281" t="s">
        <v>9</v>
      </c>
      <c r="CA3" s="275"/>
      <c r="CB3" s="265" t="s">
        <v>22</v>
      </c>
      <c r="CC3" s="265" t="s">
        <v>22</v>
      </c>
      <c r="CD3" s="280" t="s">
        <v>9</v>
      </c>
      <c r="CE3" s="279" t="s">
        <v>22</v>
      </c>
      <c r="CF3" s="281" t="s">
        <v>10</v>
      </c>
      <c r="CG3" s="275"/>
      <c r="CH3" s="265" t="s">
        <v>22</v>
      </c>
      <c r="CI3" s="9" t="s">
        <v>146</v>
      </c>
      <c r="CJ3" s="265" t="s">
        <v>22</v>
      </c>
      <c r="CK3" s="280" t="s">
        <v>10</v>
      </c>
      <c r="CL3" s="286" t="s">
        <v>9</v>
      </c>
      <c r="CM3" s="281" t="s">
        <v>9</v>
      </c>
      <c r="CN3" s="275"/>
      <c r="CO3" s="265" t="s">
        <v>22</v>
      </c>
      <c r="CP3" s="265" t="s">
        <v>22</v>
      </c>
      <c r="CQ3" s="280" t="s">
        <v>9</v>
      </c>
      <c r="CR3" s="286" t="s">
        <v>22</v>
      </c>
      <c r="CS3" s="281" t="s">
        <v>9</v>
      </c>
      <c r="CT3" s="275"/>
      <c r="CU3" s="265" t="s">
        <v>22</v>
      </c>
      <c r="CV3" s="265" t="s">
        <v>22</v>
      </c>
      <c r="CW3" s="279" t="s">
        <v>9</v>
      </c>
      <c r="CX3" s="227" t="s">
        <v>17</v>
      </c>
      <c r="CY3" s="280" t="s">
        <v>22</v>
      </c>
      <c r="CZ3" s="280" t="s">
        <v>22</v>
      </c>
      <c r="DA3" s="279" t="s">
        <v>17</v>
      </c>
      <c r="DB3" s="227" t="s">
        <v>17</v>
      </c>
      <c r="DC3" s="280" t="s">
        <v>22</v>
      </c>
      <c r="DD3" s="280" t="s">
        <v>22</v>
      </c>
      <c r="DE3" s="279" t="s">
        <v>17</v>
      </c>
      <c r="DF3" s="1"/>
      <c r="DG3" s="340"/>
      <c r="DH3" s="227" t="s">
        <v>9</v>
      </c>
      <c r="DI3" s="280" t="s">
        <v>22</v>
      </c>
      <c r="DJ3" s="280" t="s">
        <v>22</v>
      </c>
      <c r="DK3" s="279" t="s">
        <v>9</v>
      </c>
      <c r="DL3" s="227" t="s">
        <v>9</v>
      </c>
      <c r="DM3" s="280" t="s">
        <v>22</v>
      </c>
      <c r="DN3" s="280" t="s">
        <v>22</v>
      </c>
      <c r="DO3" s="279" t="s">
        <v>9</v>
      </c>
      <c r="DP3" s="227" t="s">
        <v>9</v>
      </c>
      <c r="DQ3" s="280" t="s">
        <v>22</v>
      </c>
      <c r="DR3" s="280" t="s">
        <v>22</v>
      </c>
      <c r="DS3" s="279" t="s">
        <v>9</v>
      </c>
      <c r="DT3" s="227" t="s">
        <v>9</v>
      </c>
      <c r="DU3" s="280" t="s">
        <v>22</v>
      </c>
      <c r="DV3" s="280" t="s">
        <v>22</v>
      </c>
      <c r="DW3" s="279" t="s">
        <v>9</v>
      </c>
      <c r="DX3" s="1"/>
      <c r="EG3" s="1"/>
    </row>
    <row r="4" spans="1:137" ht="13.8" thickBot="1" x14ac:dyDescent="0.3">
      <c r="A4" s="152" t="s">
        <v>117</v>
      </c>
      <c r="B4" s="157">
        <v>0.3</v>
      </c>
      <c r="C4" s="157">
        <v>0.2</v>
      </c>
      <c r="D4" s="157">
        <v>0.1</v>
      </c>
      <c r="E4" s="157">
        <v>0.1</v>
      </c>
      <c r="F4" s="157">
        <v>0.2</v>
      </c>
      <c r="G4" s="158">
        <v>0.3</v>
      </c>
      <c r="I4" s="132"/>
      <c r="J4" s="403" t="s">
        <v>135</v>
      </c>
      <c r="K4" s="238" t="s">
        <v>191</v>
      </c>
      <c r="L4" s="234"/>
      <c r="M4" s="234"/>
      <c r="N4" s="235" t="s">
        <v>4</v>
      </c>
      <c r="O4" s="235" t="s">
        <v>53</v>
      </c>
      <c r="P4" s="236" t="s">
        <v>8</v>
      </c>
      <c r="Q4" s="237" t="s">
        <v>12</v>
      </c>
      <c r="R4" s="239" t="s">
        <v>18</v>
      </c>
      <c r="S4" s="235" t="s">
        <v>78</v>
      </c>
      <c r="T4" s="238" t="s">
        <v>18</v>
      </c>
      <c r="U4" s="78" t="s">
        <v>150</v>
      </c>
      <c r="V4" s="237" t="s">
        <v>151</v>
      </c>
      <c r="W4" s="388" t="s">
        <v>17</v>
      </c>
      <c r="X4" s="404" t="s">
        <v>119</v>
      </c>
      <c r="Y4" s="405">
        <v>0.3</v>
      </c>
      <c r="Z4" s="405">
        <v>0.2</v>
      </c>
      <c r="AA4" s="405">
        <v>0.1</v>
      </c>
      <c r="AB4" s="405">
        <v>0.1</v>
      </c>
      <c r="AC4" s="405">
        <v>0.2</v>
      </c>
      <c r="AD4" s="406">
        <v>0.3</v>
      </c>
      <c r="AE4" s="239"/>
      <c r="AF4" s="238"/>
      <c r="AG4" s="16"/>
      <c r="AH4" s="358">
        <f ca="1">SUM(AH5:AH184)</f>
        <v>0</v>
      </c>
      <c r="AI4" s="358">
        <f ca="1">SUM(AI5:AI184)</f>
        <v>0</v>
      </c>
      <c r="AJ4" s="358">
        <f ca="1">SUM(AJ5:AJ184)</f>
        <v>0</v>
      </c>
      <c r="AK4" s="359">
        <f ca="1">SUM(AK5:AK184)</f>
        <v>0</v>
      </c>
      <c r="AL4" s="16" t="s">
        <v>18</v>
      </c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8"/>
      <c r="BB4" s="16" t="s">
        <v>18</v>
      </c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8"/>
      <c r="BR4" s="277"/>
      <c r="BS4" s="272" t="s">
        <v>148</v>
      </c>
      <c r="BT4" s="273" t="s">
        <v>149</v>
      </c>
      <c r="BU4" s="282" t="s">
        <v>153</v>
      </c>
      <c r="BV4" s="235" t="s">
        <v>147</v>
      </c>
      <c r="BW4" s="282" t="s">
        <v>153</v>
      </c>
      <c r="BX4" s="285" t="s">
        <v>149</v>
      </c>
      <c r="BY4" s="287" t="s">
        <v>149</v>
      </c>
      <c r="BZ4" s="272" t="s">
        <v>148</v>
      </c>
      <c r="CA4" s="273" t="s">
        <v>149</v>
      </c>
      <c r="CB4" s="282" t="s">
        <v>153</v>
      </c>
      <c r="CC4" s="282" t="s">
        <v>153</v>
      </c>
      <c r="CD4" s="285" t="s">
        <v>149</v>
      </c>
      <c r="CE4" s="283" t="s">
        <v>161</v>
      </c>
      <c r="CF4" s="272" t="s">
        <v>148</v>
      </c>
      <c r="CG4" s="273" t="s">
        <v>149</v>
      </c>
      <c r="CH4" s="282" t="s">
        <v>153</v>
      </c>
      <c r="CI4" s="235" t="s">
        <v>147</v>
      </c>
      <c r="CJ4" s="282" t="s">
        <v>153</v>
      </c>
      <c r="CK4" s="285" t="s">
        <v>149</v>
      </c>
      <c r="CL4" s="287" t="s">
        <v>149</v>
      </c>
      <c r="CM4" s="272" t="s">
        <v>148</v>
      </c>
      <c r="CN4" s="273" t="s">
        <v>149</v>
      </c>
      <c r="CO4" s="282" t="s">
        <v>153</v>
      </c>
      <c r="CP4" s="282" t="s">
        <v>153</v>
      </c>
      <c r="CQ4" s="285" t="s">
        <v>149</v>
      </c>
      <c r="CR4" s="287" t="s">
        <v>161</v>
      </c>
      <c r="CS4" s="272" t="s">
        <v>148</v>
      </c>
      <c r="CT4" s="273" t="s">
        <v>149</v>
      </c>
      <c r="CU4" s="282" t="s">
        <v>162</v>
      </c>
      <c r="CV4" s="282" t="s">
        <v>162</v>
      </c>
      <c r="CW4" s="283" t="s">
        <v>149</v>
      </c>
      <c r="CX4" s="16"/>
      <c r="CY4" s="235" t="s">
        <v>153</v>
      </c>
      <c r="CZ4" s="235" t="s">
        <v>153</v>
      </c>
      <c r="DA4" s="238"/>
      <c r="DB4" s="16"/>
      <c r="DC4" s="235" t="s">
        <v>153</v>
      </c>
      <c r="DD4" s="235" t="s">
        <v>153</v>
      </c>
      <c r="DE4" s="238"/>
      <c r="DF4" s="1"/>
      <c r="DG4" s="340"/>
      <c r="DH4" s="16" t="s">
        <v>148</v>
      </c>
      <c r="DI4" s="235" t="s">
        <v>153</v>
      </c>
      <c r="DJ4" s="235" t="s">
        <v>153</v>
      </c>
      <c r="DK4" s="238" t="s">
        <v>148</v>
      </c>
      <c r="DL4" s="16" t="s">
        <v>148</v>
      </c>
      <c r="DM4" s="235" t="s">
        <v>153</v>
      </c>
      <c r="DN4" s="235" t="s">
        <v>153</v>
      </c>
      <c r="DO4" s="238" t="s">
        <v>148</v>
      </c>
      <c r="DP4" s="16" t="s">
        <v>148</v>
      </c>
      <c r="DQ4" s="235" t="s">
        <v>153</v>
      </c>
      <c r="DR4" s="235" t="s">
        <v>153</v>
      </c>
      <c r="DS4" s="238" t="s">
        <v>148</v>
      </c>
      <c r="DT4" s="16" t="s">
        <v>148</v>
      </c>
      <c r="DU4" s="235" t="s">
        <v>153</v>
      </c>
      <c r="DV4" s="235" t="s">
        <v>153</v>
      </c>
      <c r="DW4" s="238" t="s">
        <v>148</v>
      </c>
      <c r="DX4" s="1"/>
      <c r="EG4" s="1"/>
    </row>
    <row r="5" spans="1:137" ht="13.8" thickBot="1" x14ac:dyDescent="0.3">
      <c r="A5" s="159">
        <v>30</v>
      </c>
      <c r="B5" s="161">
        <v>1.8457031249999999E-2</v>
      </c>
      <c r="C5" s="161">
        <v>1.212890625E-2</v>
      </c>
      <c r="D5" s="161">
        <v>5.8007812500000004E-3</v>
      </c>
      <c r="E5" s="161">
        <v>1.3068E-2</v>
      </c>
      <c r="F5" s="161">
        <v>2.7324000000000005E-2</v>
      </c>
      <c r="G5" s="162">
        <v>4.1580000000000006E-2</v>
      </c>
      <c r="I5" s="137">
        <f ca="1">EOMONTH(DateToday,-1)+1</f>
        <v>36951</v>
      </c>
      <c r="J5" s="130">
        <f ca="1">VLOOKUP(I5,$B$12:$C$332,2)</f>
        <v>36942</v>
      </c>
      <c r="K5" s="407">
        <f ca="1">IF(DateToday&lt;=J6,NETWORKDAYS(DateToday,J6)/NETWORKDAYS(DateToday,I6-1),0)</f>
        <v>0.6</v>
      </c>
      <c r="L5" s="133">
        <f t="shared" ref="L5:L33" ca="1" si="0">YEAR(I5)-1900</f>
        <v>101</v>
      </c>
      <c r="M5" s="134">
        <f t="shared" ref="M5:M33" ca="1" si="1">MONTH(I5)</f>
        <v>3</v>
      </c>
      <c r="N5" s="228">
        <f t="shared" ref="N5:N36" ca="1" si="2">NETWORKDAYS(I5,I6-1)</f>
        <v>22</v>
      </c>
      <c r="O5" s="229">
        <f ca="1">I5-DateToday-IF(EuroExpDateToggle=1,3+IF(WEEKDAY(I5-1)=7,1,IF(WEEKDAY(I5-1)&lt;5,2,0)),1+IF(WEEKDAY(I5-1)=7,1,IF(WEEKDAY(I5-1)&lt;3,2,0)))</f>
        <v>-9</v>
      </c>
      <c r="P5" s="230">
        <f t="shared" ref="P5:P33" ca="1" si="3">(I5-DateToday+1)/365.25</f>
        <v>-8.2135523613963042E-3</v>
      </c>
      <c r="Q5" s="230">
        <f t="shared" ref="Q5:Q33" ca="1" si="4">(I6-DateToday)/365.25</f>
        <v>7.3921971252566734E-2</v>
      </c>
      <c r="R5" s="114">
        <v>29.62</v>
      </c>
      <c r="S5" s="188">
        <v>0</v>
      </c>
      <c r="T5" s="189">
        <f>R5+S5/100</f>
        <v>29.62</v>
      </c>
      <c r="U5" s="189">
        <f t="shared" ref="U5:U36" ca="1" si="5">R6*K5+R7*(1-K5)</f>
        <v>30.366</v>
      </c>
      <c r="V5" s="378">
        <f t="shared" ref="V5:V36" ca="1" si="6">T6*K5+T7*(1-K5)</f>
        <v>30.366</v>
      </c>
      <c r="W5" s="483">
        <v>0.44575000000000004</v>
      </c>
      <c r="X5" s="166">
        <f t="shared" ref="X5:X36" ca="1" si="7">IF($I5-DateToday+1&gt;=$A$10,"",IF($I5-DateToday+1&lt;$A$5,1,MATCH($I5-DateToday+1,$A$5:$A$10)))</f>
        <v>1</v>
      </c>
      <c r="Y5" s="167">
        <f t="shared" ref="Y5:AD6" ca="1" si="8">INDEX(B$5:B$10,$X5)^((INDEX($A$5:$A$10,$X5+1)-($I5-DateToday+1))/(INDEX($A$5:$A$10,$X5+1)-INDEX($A$5:$A$10,$X5)))/INDEX(B$5:B$10,$X5+1)^((INDEX($A$5:$A$10,$X5)-($I5-DateToday+1))/(INDEX($A$5:$A$10,$X5+1)-INDEX($A$5:$A$10,$X5)))</f>
        <v>2.0369094365211206E-2</v>
      </c>
      <c r="Z5" s="167">
        <f t="shared" ca="1" si="8"/>
        <v>1.3405438809486794E-2</v>
      </c>
      <c r="AA5" s="167">
        <f t="shared" ca="1" si="8"/>
        <v>6.4419662029923655E-3</v>
      </c>
      <c r="AB5" s="167">
        <f t="shared" ca="1" si="8"/>
        <v>1.4512461462101191E-2</v>
      </c>
      <c r="AC5" s="167">
        <f t="shared" ca="1" si="8"/>
        <v>3.019977255001188E-2</v>
      </c>
      <c r="AD5" s="167">
        <f t="shared" ca="1" si="8"/>
        <v>4.5887495785947786E-2</v>
      </c>
      <c r="AE5" s="124">
        <v>1</v>
      </c>
      <c r="AF5" s="407">
        <v>1</v>
      </c>
      <c r="AG5" s="407">
        <v>1</v>
      </c>
      <c r="AH5" s="192">
        <f t="shared" ref="AH5:AH36" ca="1" si="9">IF(OR(DateStart&gt;=I6,DateEnd&lt;I5),0,Volume*AG5)</f>
        <v>0</v>
      </c>
      <c r="AI5" s="192">
        <f ca="1">AH5*AF5</f>
        <v>0</v>
      </c>
      <c r="AJ5" s="192">
        <f t="shared" ref="AJ5:AJ36" ca="1" si="10">IF(OR(DateStart2&gt;=I6,DateEnd2&lt;I5),0,VolumeSwaption*AG5)</f>
        <v>0</v>
      </c>
      <c r="AK5" s="192">
        <f ca="1">AJ5*AF5</f>
        <v>0</v>
      </c>
      <c r="AL5" s="191" t="str">
        <f ca="1">IF(AH5,OFFSET(BY5,0,HorizontalPriceOffset)+PriceSpreadAsian,"")</f>
        <v/>
      </c>
      <c r="AM5" s="191" t="str">
        <f ca="1">IF(AH5,Strike1/AL5-1,"")</f>
        <v/>
      </c>
      <c r="AN5" s="191" t="str">
        <f ca="1">IF(AH5,Strike2/AL5-1,"")</f>
        <v/>
      </c>
      <c r="AO5" s="193" t="str">
        <f ca="1">IF(AH5,IF(VolOverrideAsian,VolOverrideAsian,IF(ProductGroup=1,IF(Product&lt;3,DA6,DE6),W6)+VolSpreadAsian),"")</f>
        <v/>
      </c>
      <c r="AP5" s="194" t="str">
        <f ca="1">IF($AH5,$AO5+IF(SkewFlag=1,IF(AM5&gt;0,$AA5*MIN(AM5/10%,1)+($Z5-$AA5)*MAX(0,MIN(AM5/10%-1,1))+($Y5-$Z5)*MAX(0,AM5/10%-2),$AB5*MIN(-AM5/10%,1)+($AC5-$AB5)*MAX(0,MIN(-AM5/10%-1,1))+($AD5-$AC5)*MAX(0,-AM5/10%-2)),0),"")</f>
        <v/>
      </c>
      <c r="AQ5" s="194" t="str">
        <f ca="1">IF($AH5,$AO5+IF(SkewFlag=1,IF(AN5&gt;0,$AA5*MIN(AN5/10%,1)+($Z5-$AA5)*MAX(0,MIN(AN5/10%-1,1))+($Y5-$Z5)*MAX(0,AN5/10%-2),$AB5*MIN(-AN5/10%,1)+($AC5-$AB5)*MAX(0,MIN(-AN5/10%-1,1))+($AD5-$AC5)*MAX(0,-AN5/10%-2)),0),"")</f>
        <v/>
      </c>
      <c r="AR5" s="195">
        <f ca="1">IF(AH5,_xll.xASN(AL5,Strike1,AE5,AP5,0,N5,0,P5,Q5,IF(OptControl=4,0,1),0),0)</f>
        <v>0</v>
      </c>
      <c r="AS5" s="196">
        <f ca="1">IF(AH5,_xll.xASN(AL5,Strike1,AE5,AP5,0,N5,0,P5,Q5,IF(OptControl=4,0,1),1),0)</f>
        <v>0</v>
      </c>
      <c r="AT5" s="196">
        <f ca="1">IF(AH5,_xll.xASN(AL5,Strike1,AE5,AP5,0,N5,0,P5,Q5,IF(OptControl=4,0,1),2),0)</f>
        <v>0</v>
      </c>
      <c r="AU5" s="196">
        <f ca="1">IF(AH5,_xll.xASN(AL5,Strike1,AE5,AP5,0,N5,0,P5,Q5,IF(OptControl=4,0,1),3)/100,0)</f>
        <v>0</v>
      </c>
      <c r="AV5" s="196">
        <f ca="1">IF(AH5,_xll.xASN(AL5,Strike1,AE5,AP5,0,N5,0,P5-DaysForThetaCalculation/365.25,Q5-DaysForThetaCalculation/365.25,IF(OptControl=4,0,1),0)-_xll.xASN(AL5,Strike1,AE5,AP5,0,N5,0,P5,Q5,IF(OptControl=4,0,1),0),0)</f>
        <v>0</v>
      </c>
      <c r="AW5" s="196">
        <f ca="1">IF(AH5,_xll.xASN(AL5,Strike2,AE5,AQ5,0,N5,0,P5,Q5,IF(OptControl=3,1,0),0),0)</f>
        <v>0</v>
      </c>
      <c r="AX5" s="196">
        <f ca="1">IF(AH5,_xll.xASN(AL5,Strike2,AE5,AQ5,0,N5,0,P5,Q5,IF(OptControl=3,1,0),1),0)</f>
        <v>0</v>
      </c>
      <c r="AY5" s="196">
        <f ca="1">IF(AH5,_xll.xASN(AL5,Strike2,AE5,AQ5,0,N5,0,P5,Q5,IF(OptControl=3,1,0),2),0)</f>
        <v>0</v>
      </c>
      <c r="AZ5" s="196">
        <f ca="1">IF(AH5,_xll.xASN(AL5,Strike2,AE5,AQ5,0,N5,0,P5,Q5,IF(OptControl=3,1,0),3)/100,0)</f>
        <v>0</v>
      </c>
      <c r="BA5" s="196">
        <f ca="1">IF(AH5,_xll.xASN(AL5,Strike2,AE5,AQ5,0,N5,0,P5-DaysForThetaCalculation/365.25,Q5-DaysForThetaCalculation/365.25,IF(OptControl=3,1,0),0)-_xll.xASN(AL5,Strike2,AE5,AQ5,0,N5,0,P5,Q5,IF(OptControl=3,1,0),0),0)</f>
        <v>0</v>
      </c>
      <c r="BB5" s="126"/>
      <c r="BC5" s="191"/>
      <c r="BD5" s="191"/>
      <c r="BE5" s="190"/>
      <c r="BF5" s="194"/>
      <c r="BG5" s="194"/>
      <c r="BH5" s="195"/>
      <c r="BI5" s="196"/>
      <c r="BJ5" s="196"/>
      <c r="BK5" s="196"/>
      <c r="BL5" s="196"/>
      <c r="BM5" s="196"/>
      <c r="BN5" s="196"/>
      <c r="BO5" s="196"/>
      <c r="BP5" s="196"/>
      <c r="BQ5" s="197"/>
      <c r="BR5" s="300"/>
      <c r="BS5" s="114">
        <v>0</v>
      </c>
      <c r="BT5" s="345">
        <f t="shared" ref="BT5:BT69" si="11">BS5*100/42</f>
        <v>0</v>
      </c>
      <c r="BU5" s="345">
        <f ca="1">BS6-$U5</f>
        <v>9.1060000000000016</v>
      </c>
      <c r="BV5" s="182"/>
      <c r="BW5" s="346">
        <f ca="1">BS6+BV6/10000*42-$V5</f>
        <v>9.1060000000000016</v>
      </c>
      <c r="BX5" s="373"/>
      <c r="BY5" s="373">
        <f>BX6</f>
        <v>93.980952380952388</v>
      </c>
      <c r="BZ5" s="114">
        <v>35.692</v>
      </c>
      <c r="CA5" s="345">
        <f t="shared" ref="CA5:CA69" si="12">BZ5*100/42</f>
        <v>84.980952380952374</v>
      </c>
      <c r="CB5" s="345">
        <f t="shared" ref="CB5:CB18" ca="1" si="13">BZ5-$U5</f>
        <v>5.3260000000000005</v>
      </c>
      <c r="CC5" s="346">
        <f t="shared" ref="CC5:CC17" ca="1" si="14">CB5</f>
        <v>5.3260000000000005</v>
      </c>
      <c r="CD5" s="345">
        <f t="shared" ref="CD5:CD69" ca="1" si="15">($V5+CC5)*100/42</f>
        <v>84.980952380952374</v>
      </c>
      <c r="CE5" s="347">
        <f ca="1">CD5-BY5</f>
        <v>-9.0000000000000142</v>
      </c>
      <c r="CF5" s="114">
        <v>0</v>
      </c>
      <c r="CG5" s="345">
        <f t="shared" ref="CG5:CG69" si="16">CF5*100/42</f>
        <v>0</v>
      </c>
      <c r="CH5" s="345">
        <f ca="1">CF6-$U5</f>
        <v>-0.11299999999999599</v>
      </c>
      <c r="CI5" s="182"/>
      <c r="CJ5" s="346">
        <f ca="1">CF6+CI6/10000*42-$V5</f>
        <v>-0.11299999999999599</v>
      </c>
      <c r="CK5" s="373"/>
      <c r="CL5" s="373">
        <f>CK6</f>
        <v>72.030952380952385</v>
      </c>
      <c r="CM5" s="114">
        <v>29.203000000000003</v>
      </c>
      <c r="CN5" s="345">
        <f t="shared" ref="CN5:CN69" si="17">CM5*100/42</f>
        <v>69.530952380952385</v>
      </c>
      <c r="CO5" s="345">
        <f ca="1">CM5-$U5</f>
        <v>-1.1629999999999967</v>
      </c>
      <c r="CP5" s="346">
        <f t="shared" ref="CP5:CP23" ca="1" si="18">CO5</f>
        <v>-1.1629999999999967</v>
      </c>
      <c r="CQ5" s="345">
        <f t="shared" ref="CQ5:CQ69" ca="1" si="19">($V5+CP5)*100/42</f>
        <v>69.530952380952385</v>
      </c>
      <c r="CR5" s="347">
        <f ca="1">CQ5-CL5</f>
        <v>-2.5</v>
      </c>
      <c r="CS5" s="114">
        <v>31.408000000000001</v>
      </c>
      <c r="CT5" s="345">
        <f t="shared" ref="CT5:CT69" si="20">CS5*100/42</f>
        <v>74.780952380952385</v>
      </c>
      <c r="CU5" s="345">
        <f>CT5-CG6</f>
        <v>2.75</v>
      </c>
      <c r="CV5" s="346">
        <f t="shared" ref="CV5:CV23" si="21">CU5</f>
        <v>2.75</v>
      </c>
      <c r="CW5" s="347">
        <f>CL5+CV5</f>
        <v>74.780952380952385</v>
      </c>
      <c r="CX5" s="483">
        <v>0.42899999999999999</v>
      </c>
      <c r="CY5" s="350"/>
      <c r="CZ5" s="350"/>
      <c r="DA5" s="351"/>
      <c r="DB5" s="483">
        <v>0.37200000000000005</v>
      </c>
      <c r="DC5" s="350"/>
      <c r="DD5" s="350"/>
      <c r="DE5" s="351"/>
      <c r="DG5" s="341"/>
      <c r="DH5" s="114">
        <v>20.95</v>
      </c>
      <c r="DI5" s="126">
        <f ca="1">DH5-$U5</f>
        <v>-9.4160000000000004</v>
      </c>
      <c r="DJ5" s="126">
        <f t="shared" ref="DJ5:DJ68" ca="1" si="22">VLOOKUP(1900+$L5,ResidSpreadTable,2)</f>
        <v>-2</v>
      </c>
      <c r="DK5" s="356">
        <f t="shared" ref="DK5:DK68" ca="1" si="23">$V5+DJ5</f>
        <v>28.366</v>
      </c>
      <c r="DL5" s="114">
        <v>23</v>
      </c>
      <c r="DM5" s="126">
        <f ca="1">DL5-$U5</f>
        <v>-7.3659999999999997</v>
      </c>
      <c r="DN5" s="126">
        <f t="shared" ref="DN5:DN69" ca="1" si="24">VLOOKUP(1900+$L5,ResidSpreadTable,3)</f>
        <v>-3</v>
      </c>
      <c r="DO5" s="356">
        <f t="shared" ref="DO5:DO68" ca="1" si="25">$V5+DN5</f>
        <v>27.366</v>
      </c>
      <c r="DP5" s="114">
        <v>21.6</v>
      </c>
      <c r="DQ5" s="126">
        <f ca="1">DP5-$U5</f>
        <v>-8.7659999999999982</v>
      </c>
      <c r="DR5" s="126">
        <f t="shared" ref="DR5:DR69" ca="1" si="26">VLOOKUP(1900+$L5,ResidSpreadTable,4)</f>
        <v>-6</v>
      </c>
      <c r="DS5" s="356">
        <f t="shared" ref="DS5:DS68" ca="1" si="27">$V5+DR5</f>
        <v>24.366</v>
      </c>
      <c r="DT5" s="114">
        <v>20.75</v>
      </c>
      <c r="DU5" s="126">
        <f ca="1">DT5-$U5</f>
        <v>-9.6159999999999997</v>
      </c>
      <c r="DV5" s="126">
        <f t="shared" ref="DV5:DV69" ca="1" si="28">VLOOKUP(1900+$L5,ResidSpreadTable,5)</f>
        <v>-5</v>
      </c>
      <c r="DW5" s="356">
        <f t="shared" ref="DW5:DW68" ca="1" si="29">$V5+DV5</f>
        <v>25.366</v>
      </c>
    </row>
    <row r="6" spans="1:137" x14ac:dyDescent="0.25">
      <c r="A6" s="159">
        <v>60</v>
      </c>
      <c r="B6" s="161">
        <v>1.6875000000000001E-2</v>
      </c>
      <c r="C6" s="161">
        <v>1.107421875E-2</v>
      </c>
      <c r="D6" s="161">
        <v>5.2734375000000003E-3</v>
      </c>
      <c r="E6" s="161">
        <v>1.1880000000000002E-2</v>
      </c>
      <c r="F6" s="161">
        <v>2.4948000000000008E-2</v>
      </c>
      <c r="G6" s="162">
        <v>3.8016000000000008E-2</v>
      </c>
      <c r="I6" s="136">
        <f t="shared" ref="I6:I37" ca="1" si="30">EOMONTH(I5,0)+1</f>
        <v>36982</v>
      </c>
      <c r="J6" s="130">
        <f t="shared" ref="J6:J69" ca="1" si="31">VLOOKUP(I6,$B$12:$C$332,2)</f>
        <v>36970</v>
      </c>
      <c r="K6" s="106">
        <f t="shared" ref="K6:K37" ca="1" si="32">NETWORKDAYS(I6,J7)/N6</f>
        <v>0.7142857142857143</v>
      </c>
      <c r="L6" s="133">
        <f t="shared" ca="1" si="0"/>
        <v>101</v>
      </c>
      <c r="M6" s="134">
        <f t="shared" ca="1" si="1"/>
        <v>4</v>
      </c>
      <c r="N6" s="103">
        <f t="shared" ca="1" si="2"/>
        <v>21</v>
      </c>
      <c r="O6" s="104">
        <f t="shared" ref="O6:O69" ca="1" si="33">I6-DateToday-IF(EuroExpDateToggle=1,3+IF(WEEKDAY(I6-1)=7,1,IF(WEEKDAY(I6-1)&lt;5,2,0)),1+IF(WEEKDAY(I6-1)=7,1,IF(WEEKDAY(I6-1)&lt;3,2,0)))</f>
        <v>23</v>
      </c>
      <c r="P6" s="105">
        <f t="shared" ca="1" si="3"/>
        <v>7.665982203969883E-2</v>
      </c>
      <c r="Q6" s="105">
        <f t="shared" ca="1" si="4"/>
        <v>0.15605749486652978</v>
      </c>
      <c r="R6" s="114">
        <v>31.09</v>
      </c>
      <c r="S6" s="188">
        <v>0</v>
      </c>
      <c r="T6" s="189">
        <f t="shared" ref="T6:T69" si="34">R6+S6/100</f>
        <v>31.09</v>
      </c>
      <c r="U6" s="189">
        <f t="shared" ca="1" si="5"/>
        <v>28.914285714285715</v>
      </c>
      <c r="V6" s="378">
        <f t="shared" ca="1" si="6"/>
        <v>28.914285714285715</v>
      </c>
      <c r="W6" s="483">
        <v>0.44895000000000002</v>
      </c>
      <c r="X6" s="166">
        <f t="shared" ca="1" si="7"/>
        <v>1</v>
      </c>
      <c r="Y6" s="167">
        <f t="shared" ca="1" si="8"/>
        <v>1.8567626237140922E-2</v>
      </c>
      <c r="Z6" s="167">
        <f t="shared" ca="1" si="8"/>
        <v>1.2202688973314363E-2</v>
      </c>
      <c r="AA6" s="167">
        <f t="shared" ca="1" si="8"/>
        <v>5.8377568308355119E-3</v>
      </c>
      <c r="AB6" s="167">
        <f t="shared" ca="1" si="8"/>
        <v>1.3151298588506239E-2</v>
      </c>
      <c r="AC6" s="167">
        <f t="shared" ca="1" si="8"/>
        <v>2.749021771908261E-2</v>
      </c>
      <c r="AD6" s="167">
        <f t="shared" ca="1" si="8"/>
        <v>4.1829148387031084E-2</v>
      </c>
      <c r="AE6" s="124">
        <v>6.0301095152279993E-2</v>
      </c>
      <c r="AF6" s="191">
        <f ca="1">(1+AE6/2)^(-2*(I7-DateToday)/365.25)</f>
        <v>0.99077148506175938</v>
      </c>
      <c r="AG6" s="189">
        <f t="shared" ref="AG6:AG37" ca="1" si="35">AG5*(1+IF(AND(M6=1,L6&gt;YearStart),Escalation,0))</f>
        <v>1</v>
      </c>
      <c r="AH6" s="192">
        <f t="shared" ca="1" si="9"/>
        <v>0</v>
      </c>
      <c r="AI6" s="192">
        <f ca="1">AH6*AF6</f>
        <v>0</v>
      </c>
      <c r="AJ6" s="192">
        <f t="shared" ca="1" si="10"/>
        <v>0</v>
      </c>
      <c r="AK6" s="192">
        <f ca="1">AJ6*AF6</f>
        <v>0</v>
      </c>
      <c r="AL6" s="191" t="str">
        <f ca="1">IF(AH6,OFFSET(BY6,0,HorizontalPriceOffset)+PriceSpreadAsian,"")</f>
        <v/>
      </c>
      <c r="AM6" s="191" t="str">
        <f ca="1">IF(AH6,Strike1/AL6-1,"")</f>
        <v/>
      </c>
      <c r="AN6" s="191" t="str">
        <f ca="1">IF(AH6,Strike2/AL6-1,"")</f>
        <v/>
      </c>
      <c r="AO6" s="193" t="str">
        <f ca="1">IF(AH6,IF(VolOverrideAsian,VolOverrideAsian,IF(ProductGroup=1,IF(Product&lt;3,DA7,DE7),W7)+VolSpreadAsian),"")</f>
        <v/>
      </c>
      <c r="AP6" s="194" t="str">
        <f t="shared" ref="AP6:AP69" ca="1" si="36">IF($AH6,$AO6+IF(SkewFlag=1,IF(AM6&gt;0,$AA6*MIN(AM6/10%,1)+($Z6-$AA6)*MAX(0,MIN(AM6/10%-1,1))+($Y6-$Z6)*MAX(0,AM6/10%-2),$AB6*MIN(-AM6/10%,1)+($AC6-$AB6)*MAX(0,MIN(-AM6/10%-1,1))+($AD6-$AC6)*MAX(0,-AM6/10%-2)),0),"")</f>
        <v/>
      </c>
      <c r="AQ6" s="194" t="str">
        <f t="shared" ref="AQ6:AQ69" ca="1" si="37">IF($AH6,$AO6+IF(SkewFlag=1,IF(AN6&gt;0,$AA6*MIN(AN6/10%,1)+($Z6-$AA6)*MAX(0,MIN(AN6/10%-1,1))+($Y6-$Z6)*MAX(0,AN6/10%-2),$AB6*MIN(-AN6/10%,1)+($AC6-$AB6)*MAX(0,MIN(-AN6/10%-1,1))+($AD6-$AC6)*MAX(0,-AN6/10%-2)),0),"")</f>
        <v/>
      </c>
      <c r="AR6" s="195">
        <f ca="1">IF(AH6,_xll.xASN(AL6,Strike1,AE6,AP6,0,N6,0,P6,Q6,IF(OptControl=4,0,1),0),0)</f>
        <v>0</v>
      </c>
      <c r="AS6" s="196">
        <f ca="1">IF(AH6,_xll.xASN(AL6,Strike1,AE6,AP6,0,N6,0,P6,Q6,IF(OptControl=4,0,1),1),0)</f>
        <v>0</v>
      </c>
      <c r="AT6" s="196">
        <f ca="1">IF(AH6,_xll.xASN(AL6,Strike1,AE6,AP6,0,N6,0,P6,Q6,IF(OptControl=4,0,1),2),0)</f>
        <v>0</v>
      </c>
      <c r="AU6" s="196">
        <f ca="1">IF(AH6,_xll.xASN(AL6,Strike1,AE6,AP6,0,N6,0,P6,Q6,IF(OptControl=4,0,1),3)/100,0)</f>
        <v>0</v>
      </c>
      <c r="AV6" s="196">
        <f ca="1">IF(AH6,_xll.xASN(AL6,Strike1,AE6,AP6,0,N6,0,P6-DaysForThetaCalculation/365.25,Q6-DaysForThetaCalculation/365.25,IF(OptControl=4,0,1),0)-_xll.xASN(AL6,Strike1,AE6,AP6,0,N6,0,P6,Q6,IF(OptControl=4,0,1),0),0)</f>
        <v>0</v>
      </c>
      <c r="AW6" s="196">
        <f ca="1">IF(AH6,_xll.xASN(AL6,Strike2,AE6,AQ6,0,N6,0,P6,Q6,IF(OptControl=3,1,0),0),0)</f>
        <v>0</v>
      </c>
      <c r="AX6" s="196">
        <f ca="1">IF(AH6,_xll.xASN(AL6,Strike2,AE6,AQ6,0,N6,0,P6,Q6,IF(OptControl=3,1,0),1),0)</f>
        <v>0</v>
      </c>
      <c r="AY6" s="196">
        <f ca="1">IF(AH6,_xll.xASN(AL6,Strike2,AE6,AQ6,0,N6,0,P6,Q6,IF(OptControl=3,1,0),2),0)</f>
        <v>0</v>
      </c>
      <c r="AZ6" s="196">
        <f ca="1">IF(AH6,_xll.xASN(AL6,Strike2,AE6,AQ6,0,N6,0,P6,Q6,IF(OptControl=3,1,0),3)/100,0)</f>
        <v>0</v>
      </c>
      <c r="BA6" s="196">
        <f ca="1">IF(AH6,_xll.xASN(AL6,Strike2,AE6,AQ6,0,N6,0,P6-DaysForThetaCalculation/365.25,Q6-DaysForThetaCalculation/365.25,IF(OptControl=3,1,0),0)-_xll.xASN(AL6,Strike2,AE6,AQ6,0,N6,0,P6,Q6,IF(OptControl=3,1,0),0),0)</f>
        <v>0</v>
      </c>
      <c r="BB6" s="126" t="str">
        <f ca="1">IF(AH6,IF(ProductGroup=1,IF(Product=1,BX6+PriceSpreadEuro,IF(Product=3,CK6+PriceSpreadEuro,"N/A")),"N/A"),"")</f>
        <v/>
      </c>
      <c r="BC6" s="191" t="str">
        <f ca="1">IF(AH6,Strike1/BB6-1,"")</f>
        <v/>
      </c>
      <c r="BD6" s="191" t="str">
        <f ca="1">IF(AH6,Strike2/BB6-1,"")</f>
        <v/>
      </c>
      <c r="BE6" s="190" t="str">
        <f ca="1">IF(AH6,IF(VolOverrideEuro,VolOverrideEuro,IF(ProductGroup=1,IF(Product&lt;3,DA6,DE6)+VolSpreadEuro,"N/A")),"")</f>
        <v/>
      </c>
      <c r="BF6" s="194" t="str">
        <f ca="1">IF($AH6,$BE6+IF(SkewFlag=1,IF(BC6&gt;0,$AA6*MIN(BC6/10%,1)+($Z6-$AA6)*MAX(0,MIN(BC6/10%-1,1))+($Y6-$Z6)*MAX(0,BC6/10%-2),$AB6*MIN(-BC6/10%,1)+($AC6-$AB6)*MAX(0,MIN(-BC6/10%-1,1))+($AD6-$AC6)*MAX(0,-BC6/10%-2)),0),"")</f>
        <v/>
      </c>
      <c r="BG6" s="194" t="str">
        <f ca="1">IF($AH6,$BE6+IF(SkewFlag=1,IF(BD6&gt;0,$AA6*MIN(BD6/10%,1)+($Z6-$AA6)*MAX(0,MIN(BD6/10%-1,1))+($Y6-$Z6)*MAX(0,BD6/10%-2),$AB6*MIN(-BD6/10%,1)+($AC6-$AB6)*MAX(0,MIN(-BD6/10%-1,1))+($AD6-$AC6)*MAX(0,-BD6/10%-2)),0),"")</f>
        <v/>
      </c>
      <c r="BH6" s="195">
        <f ca="1">IF(AH6,_xll.xEURO(BB6,Strike1,AE6,AE6,BF6,O6,IF(OptControl=4,0,1),0),0)</f>
        <v>0</v>
      </c>
      <c r="BI6" s="196">
        <f ca="1">IF(AH6,_xll.xEURO(BB6,Strike1,AE6,AE6,BF6,O6,IF(OptControl=4,0,1),1),0)</f>
        <v>0</v>
      </c>
      <c r="BJ6" s="196">
        <f ca="1">IF(AH6,_xll.xEURO(BB6,Strike1,AE6,AE6,BF6,O6,IF(OptControl=4,0,1),2),0)</f>
        <v>0</v>
      </c>
      <c r="BK6" s="196">
        <f ca="1">IF(AH6,_xll.xEURO(BB6,Strike1,AE6,AE6,BF6,O6,IF(OptControl=4,0,1),3)/100,0)</f>
        <v>0</v>
      </c>
      <c r="BL6" s="196">
        <f ca="1">IF(AH6,_xll.xEURO(BB6,Strike1,AE6,AE6,BF6,O6-DaysForThetaCalculation,IF(OptControl=4,0,1),0)-_xll.xEURO(BB6,Strike1,AE6,AE6,BF6,O6,IF(OptControl=4,0,1),0),0)</f>
        <v>0</v>
      </c>
      <c r="BM6" s="196">
        <f ca="1">IF(AH6,_xll.xEURO(BB6,Strike2,AE6,AE6,BG6,O6,IF(OptControl=3,1,0),0),0)</f>
        <v>0</v>
      </c>
      <c r="BN6" s="196">
        <f ca="1">IF(AH6,_xll.xEURO(BB6,Strike2,AE6,AE6,BG6,O6,IF(OptControl=3,1,0),1),0)</f>
        <v>0</v>
      </c>
      <c r="BO6" s="196">
        <f ca="1">IF(AH6,_xll.xEURO(BB6,Strike2,AE6,AE6,BG6,O6,IF(OptControl=3,1,0),2),0)</f>
        <v>0</v>
      </c>
      <c r="BP6" s="196">
        <f ca="1">IF(AH6,_xll.xEURO(BB6,Strike2,AE6,AE6,BG6,O6,IF(OptControl=3,1,0),3)/100,0)</f>
        <v>0</v>
      </c>
      <c r="BQ6" s="197">
        <f ca="1">IF(AH6,_xll.xEURO(BB6,Strike2,AE6,AE6,BG6,O6-DaysForThetaCalculation,IF(OptControl=3,1,0),0)-_xll.xEURO(BB6,Strike2,AE6,AE6,BG6,O6,IF(OptControl=3,1,0),0),0)</f>
        <v>0</v>
      </c>
      <c r="BR6" s="301"/>
      <c r="BS6" s="114">
        <v>39.472000000000001</v>
      </c>
      <c r="BT6" s="345">
        <f t="shared" si="11"/>
        <v>93.980952380952388</v>
      </c>
      <c r="BU6" s="345">
        <f t="shared" ref="BU6:BU18" ca="1" si="38">BS7-$U6</f>
        <v>8.0457142857142863</v>
      </c>
      <c r="BV6" s="182">
        <v>0</v>
      </c>
      <c r="BW6" s="346">
        <f t="shared" ref="BW6:BW16" ca="1" si="39">BS7+BV7/10000*42-$V6</f>
        <v>8.0457142857142863</v>
      </c>
      <c r="BX6" s="372">
        <f t="shared" ref="BX6:BX17" si="40">BT6+BV6/100</f>
        <v>93.980952380952388</v>
      </c>
      <c r="BY6" s="373">
        <f t="shared" ref="BY6:BY69" si="41">BX7</f>
        <v>88</v>
      </c>
      <c r="BZ6" s="114">
        <v>34.335000000000001</v>
      </c>
      <c r="CA6" s="345">
        <f t="shared" si="12"/>
        <v>81.75</v>
      </c>
      <c r="CB6" s="345">
        <f t="shared" ca="1" si="13"/>
        <v>5.4207142857142863</v>
      </c>
      <c r="CC6" s="346">
        <f t="shared" ca="1" si="14"/>
        <v>5.4207142857142863</v>
      </c>
      <c r="CD6" s="345">
        <f t="shared" ca="1" si="15"/>
        <v>81.75</v>
      </c>
      <c r="CE6" s="347">
        <f ca="1">CD6-BY6</f>
        <v>-6.25</v>
      </c>
      <c r="CF6" s="114">
        <v>30.253000000000004</v>
      </c>
      <c r="CG6" s="345">
        <f t="shared" si="16"/>
        <v>72.030952380952385</v>
      </c>
      <c r="CH6" s="345">
        <f t="shared" ref="CH6:CH69" ca="1" si="42">CF7-$U6</f>
        <v>0.28871428571428837</v>
      </c>
      <c r="CI6" s="182">
        <v>0</v>
      </c>
      <c r="CJ6" s="346">
        <f t="shared" ref="CJ6:CJ22" ca="1" si="43">CF7+CI7/10000*42-$V6</f>
        <v>0.28871428571428837</v>
      </c>
      <c r="CK6" s="372">
        <f t="shared" ref="CK6:CK23" si="44">CG6+CI6/100</f>
        <v>72.030952380952385</v>
      </c>
      <c r="CL6" s="373">
        <f t="shared" ref="CL6:CL69" si="45">CK7</f>
        <v>69.530952380952385</v>
      </c>
      <c r="CM6" s="114">
        <v>28.258000000000003</v>
      </c>
      <c r="CN6" s="345">
        <f t="shared" si="17"/>
        <v>67.280952380952385</v>
      </c>
      <c r="CO6" s="345">
        <f t="shared" ref="CO6:CO69" ca="1" si="46">CM6-$U6</f>
        <v>-0.65628571428571192</v>
      </c>
      <c r="CP6" s="346">
        <f t="shared" ca="1" si="18"/>
        <v>-0.65628571428571192</v>
      </c>
      <c r="CQ6" s="345">
        <f t="shared" ca="1" si="19"/>
        <v>67.280952380952385</v>
      </c>
      <c r="CR6" s="347">
        <f ca="1">CQ6-CL6</f>
        <v>-2.25</v>
      </c>
      <c r="CS6" s="114">
        <v>30.442000000000004</v>
      </c>
      <c r="CT6" s="345">
        <f t="shared" si="20"/>
        <v>72.480952380952388</v>
      </c>
      <c r="CU6" s="345">
        <f>CT6-CG7</f>
        <v>2.9500000000000028</v>
      </c>
      <c r="CV6" s="346">
        <f t="shared" si="21"/>
        <v>2.9500000000000028</v>
      </c>
      <c r="CW6" s="347">
        <f>CL6+CV6</f>
        <v>72.480952380952388</v>
      </c>
      <c r="CX6" s="483">
        <v>0.42899999999999999</v>
      </c>
      <c r="CY6" s="190">
        <f t="shared" ref="CY6:CY69" si="47">CX6-$W6</f>
        <v>-1.9950000000000023E-2</v>
      </c>
      <c r="CZ6" s="352">
        <f t="shared" ref="CZ6:CZ11" si="48">DA6-W6</f>
        <v>-1.9950000000000023E-2</v>
      </c>
      <c r="DA6" s="353">
        <f>MAIN!K6</f>
        <v>0.42899999999999999</v>
      </c>
      <c r="DB6" s="483">
        <v>0.37200000000000005</v>
      </c>
      <c r="DC6" s="190">
        <f t="shared" ref="DC6:DC69" si="49">DB6-$W6</f>
        <v>-7.6949999999999963E-2</v>
      </c>
      <c r="DD6" s="352">
        <f t="shared" ref="DD6:DD17" si="50">DE6-W6</f>
        <v>-7.6949999999999963E-2</v>
      </c>
      <c r="DE6" s="353">
        <f>MAIN!M6</f>
        <v>0.37200000000000005</v>
      </c>
      <c r="DG6" s="341"/>
      <c r="DH6" s="114">
        <v>20.5</v>
      </c>
      <c r="DI6" s="126">
        <f ca="1">DH6-$U6</f>
        <v>-8.4142857142857146</v>
      </c>
      <c r="DJ6" s="126">
        <f t="shared" ca="1" si="22"/>
        <v>-2</v>
      </c>
      <c r="DK6" s="356">
        <f t="shared" ca="1" si="23"/>
        <v>26.914285714285715</v>
      </c>
      <c r="DL6" s="114">
        <v>20</v>
      </c>
      <c r="DM6" s="126">
        <f ca="1">DL6-$U6</f>
        <v>-8.9142857142857146</v>
      </c>
      <c r="DN6" s="126">
        <f t="shared" ca="1" si="24"/>
        <v>-3</v>
      </c>
      <c r="DO6" s="356">
        <f t="shared" ca="1" si="25"/>
        <v>25.914285714285715</v>
      </c>
      <c r="DP6" s="114">
        <v>20.399999999999999</v>
      </c>
      <c r="DQ6" s="126">
        <f ca="1">DP6-$U6</f>
        <v>-8.514285714285716</v>
      </c>
      <c r="DR6" s="126">
        <f t="shared" ca="1" si="26"/>
        <v>-6</v>
      </c>
      <c r="DS6" s="356">
        <f t="shared" ca="1" si="27"/>
        <v>22.914285714285715</v>
      </c>
      <c r="DT6" s="114">
        <v>19.899999999999999</v>
      </c>
      <c r="DU6" s="126">
        <f ca="1">DT6-$U6</f>
        <v>-9.014285714285716</v>
      </c>
      <c r="DV6" s="126">
        <f t="shared" ca="1" si="28"/>
        <v>-5</v>
      </c>
      <c r="DW6" s="356">
        <f t="shared" ca="1" si="29"/>
        <v>23.914285714285715</v>
      </c>
    </row>
    <row r="7" spans="1:137" ht="13.8" thickBot="1" x14ac:dyDescent="0.3">
      <c r="A7" s="159">
        <v>90</v>
      </c>
      <c r="B7" s="161">
        <v>1.5820312499999999E-2</v>
      </c>
      <c r="C7" s="161">
        <v>1.001953125E-2</v>
      </c>
      <c r="D7" s="161">
        <v>4.7460937500000003E-3</v>
      </c>
      <c r="E7" s="161">
        <v>1.0692000000000002E-2</v>
      </c>
      <c r="F7" s="161">
        <v>2.2572000000000002E-2</v>
      </c>
      <c r="G7" s="162">
        <v>3.5639999999999998E-2</v>
      </c>
      <c r="I7" s="136">
        <f t="shared" ca="1" si="30"/>
        <v>37012</v>
      </c>
      <c r="J7" s="130">
        <f t="shared" ca="1" si="31"/>
        <v>37001</v>
      </c>
      <c r="K7" s="106">
        <f t="shared" ca="1" si="32"/>
        <v>0.69565217391304346</v>
      </c>
      <c r="L7" s="133">
        <f t="shared" ca="1" si="0"/>
        <v>101</v>
      </c>
      <c r="M7" s="134">
        <f t="shared" ca="1" si="1"/>
        <v>5</v>
      </c>
      <c r="N7" s="103">
        <f t="shared" ca="1" si="2"/>
        <v>23</v>
      </c>
      <c r="O7" s="104">
        <f t="shared" ca="1" si="33"/>
        <v>52</v>
      </c>
      <c r="P7" s="105">
        <f t="shared" ca="1" si="3"/>
        <v>0.15879534565366188</v>
      </c>
      <c r="Q7" s="105">
        <f t="shared" ca="1" si="4"/>
        <v>0.24093086926762491</v>
      </c>
      <c r="R7" s="114">
        <v>29.28</v>
      </c>
      <c r="S7" s="198">
        <v>0</v>
      </c>
      <c r="T7" s="189">
        <f t="shared" si="34"/>
        <v>29.28</v>
      </c>
      <c r="U7" s="199">
        <f t="shared" ca="1" si="5"/>
        <v>27.72608695652174</v>
      </c>
      <c r="V7" s="379">
        <f t="shared" ca="1" si="6"/>
        <v>27.72608695652174</v>
      </c>
      <c r="W7" s="483">
        <v>0.44075000000000003</v>
      </c>
      <c r="X7" s="166">
        <f t="shared" ca="1" si="7"/>
        <v>1</v>
      </c>
      <c r="Y7" s="91">
        <f t="shared" ref="Y7:Y38" ca="1" si="51">IF($X7="",Y6^2/Y5,INDEX(B$5:B$10,$X7)^((INDEX($A$5:$A$10,$X7+1)-($I7-DateToday+1))/(INDEX($A$5:$A$10,$X7+1)-INDEX($A$5:$A$10,$X7)))/INDEX(B$5:B$10,$X7+1)^((INDEX($A$5:$A$10,$X7)-($I7-DateToday+1))/(INDEX($A$5:$A$10,$X7+1)-INDEX($A$5:$A$10,$X7))))</f>
        <v>1.6976115416814562E-2</v>
      </c>
      <c r="Z7" s="91">
        <f t="shared" ref="Z7:Z38" ca="1" si="52">IF($X7="",Z6^2/Z5,INDEX(C$5:C$10,$X7)^((INDEX($A$5:$A$10,$X7+1)-($I7-DateToday+1))/(INDEX($A$5:$A$10,$X7+1)-INDEX($A$5:$A$10,$X7)))/INDEX(C$5:C$10,$X7+1)^((INDEX($A$5:$A$10,$X7)-($I7-DateToday+1))/(INDEX($A$5:$A$10,$X7+1)-INDEX($A$5:$A$10,$X7))))</f>
        <v>1.1141585584330508E-2</v>
      </c>
      <c r="AA7" s="91">
        <f t="shared" ref="AA7:AA38" ca="1" si="53">IF($X7="",AA6^2/AA5,INDEX(D$5:D$10,$X7)^((INDEX($A$5:$A$10,$X7+1)-($I7-DateToday+1))/(INDEX($A$5:$A$10,$X7+1)-INDEX($A$5:$A$10,$X7)))/INDEX(D$5:D$10,$X7+1)^((INDEX($A$5:$A$10,$X7)-($I7-DateToday+1))/(INDEX($A$5:$A$10,$X7+1)-INDEX($A$5:$A$10,$X7))))</f>
        <v>5.3070516643959195E-3</v>
      </c>
      <c r="AB7" s="91">
        <f t="shared" ref="AB7:AB38" ca="1" si="54">IF($X7="",AB6^2/AB5,INDEX(E$5:E$10,$X7)^((INDEX($A$5:$A$10,$X7+1)-($I7-DateToday+1))/(INDEX($A$5:$A$10,$X7+1)-INDEX($A$5:$A$10,$X7)))/INDEX(E$5:E$10,$X7+1)^((INDEX($A$5:$A$10,$X7)-($I7-DateToday+1))/(INDEX($A$5:$A$10,$X7+1)-INDEX($A$5:$A$10,$X7))))</f>
        <v>1.1955725989551124E-2</v>
      </c>
      <c r="AC7" s="91">
        <f t="shared" ref="AC7:AC38" ca="1" si="55">IF($X7="",AC6^2/AC5,INDEX(F$5:F$10,$X7)^((INDEX($A$5:$A$10,$X7+1)-($I7-DateToday+1))/(INDEX($A$5:$A$10,$X7+1)-INDEX($A$5:$A$10,$X7)))/INDEX(F$5:F$10,$X7+1)^((INDEX($A$5:$A$10,$X7)-($I7-DateToday+1))/(INDEX($A$5:$A$10,$X7+1)-INDEX($A$5:$A$10,$X7))))</f>
        <v>2.5099764004379771E-2</v>
      </c>
      <c r="AD7" s="91">
        <f t="shared" ref="AD7:AD38" ca="1" si="56">IF($X7="",AD6^2/AD5,INDEX(G$5:G$10,$X7)^((INDEX($A$5:$A$10,$X7+1)-($I7-DateToday+1))/(INDEX($A$5:$A$10,$X7+1)-INDEX($A$5:$A$10,$X7)))/INDEX(G$5:G$10,$X7+1)^((INDEX($A$5:$A$10,$X7)-($I7-DateToday+1))/(INDEX($A$5:$A$10,$X7+1)-INDEX($A$5:$A$10,$X7))))</f>
        <v>3.8243792810999863E-2</v>
      </c>
      <c r="AE7" s="124">
        <v>6.1159116679634001E-2</v>
      </c>
      <c r="AF7" s="191">
        <f t="shared" ref="AF7:AF70" ca="1" si="57">(1+AE7/2)^(-2*(I8-DateToday)/365.25)</f>
        <v>0.98559051228377048</v>
      </c>
      <c r="AG7" s="189">
        <f t="shared" ca="1" si="35"/>
        <v>1</v>
      </c>
      <c r="AH7" s="192">
        <f t="shared" ca="1" si="9"/>
        <v>0</v>
      </c>
      <c r="AI7" s="192">
        <f t="shared" ref="AI7:AI20" ca="1" si="58">AH7*AF7</f>
        <v>0</v>
      </c>
      <c r="AJ7" s="192">
        <f t="shared" ca="1" si="10"/>
        <v>0</v>
      </c>
      <c r="AK7" s="192">
        <f t="shared" ref="AK7:AK20" ca="1" si="59">AJ7*AF7</f>
        <v>0</v>
      </c>
      <c r="AL7" s="191" t="str">
        <f t="shared" ref="AL7:AL70" ca="1" si="60">IF(AH7,OFFSET(BY7,0,HorizontalPriceOffset)+PriceSpreadAsian,"")</f>
        <v/>
      </c>
      <c r="AM7" s="191" t="str">
        <f t="shared" ref="AM7:AM70" ca="1" si="61">IF(AH7,Strike1/AL7-1,"")</f>
        <v/>
      </c>
      <c r="AN7" s="191" t="str">
        <f t="shared" ref="AN7:AN70" ca="1" si="62">IF(AH7,Strike2/AL7-1,"")</f>
        <v/>
      </c>
      <c r="AO7" s="193" t="str">
        <f t="shared" ref="AO7:AO70" ca="1" si="63">IF(AH7,IF(VolOverrideAsian,VolOverrideAsian,IF(ProductGroup=1,IF(Product&lt;3,DA8,DE8),W8)+VolSpreadAsian),"")</f>
        <v/>
      </c>
      <c r="AP7" s="194" t="str">
        <f t="shared" ca="1" si="36"/>
        <v/>
      </c>
      <c r="AQ7" s="194" t="str">
        <f t="shared" ca="1" si="37"/>
        <v/>
      </c>
      <c r="AR7" s="195">
        <f ca="1">IF(AH7,_xll.xASN(AL7,Strike1,AE7,AP7,0,N7,0,P7,Q7,IF(OptControl=4,0,1),0),0)</f>
        <v>0</v>
      </c>
      <c r="AS7" s="196">
        <f ca="1">IF(AH7,_xll.xASN(AL7,Strike1,AE7,AP7,0,N7,0,P7,Q7,IF(OptControl=4,0,1),1),0)</f>
        <v>0</v>
      </c>
      <c r="AT7" s="196">
        <f ca="1">IF(AH7,_xll.xASN(AL7,Strike1,AE7,AP7,0,N7,0,P7,Q7,IF(OptControl=4,0,1),2),0)</f>
        <v>0</v>
      </c>
      <c r="AU7" s="196">
        <f ca="1">IF(AH7,_xll.xASN(AL7,Strike1,AE7,AP7,0,N7,0,P7,Q7,IF(OptControl=4,0,1),3)/100,0)</f>
        <v>0</v>
      </c>
      <c r="AV7" s="196">
        <f ca="1">IF(AH7,_xll.xASN(AL7,Strike1,AE7,AP7,0,N7,0,P7-DaysForThetaCalculation/365.25,Q7-DaysForThetaCalculation/365.25,IF(OptControl=4,0,1),0)-_xll.xASN(AL7,Strike1,AE7,AP7,0,N7,0,P7,Q7,IF(OptControl=4,0,1),0),0)</f>
        <v>0</v>
      </c>
      <c r="AW7" s="196">
        <f ca="1">IF(AH7,_xll.xASN(AL7,Strike2,AE7,AQ7,0,N7,0,P7,Q7,IF(OptControl=3,1,0),0),0)</f>
        <v>0</v>
      </c>
      <c r="AX7" s="196">
        <f ca="1">IF(AH7,_xll.xASN(AL7,Strike2,AE7,AQ7,0,N7,0,P7,Q7,IF(OptControl=3,1,0),1),0)</f>
        <v>0</v>
      </c>
      <c r="AY7" s="196">
        <f ca="1">IF(AH7,_xll.xASN(AL7,Strike2,AE7,AQ7,0,N7,0,P7,Q7,IF(OptControl=3,1,0),2),0)</f>
        <v>0</v>
      </c>
      <c r="AZ7" s="196">
        <f ca="1">IF(AH7,_xll.xASN(AL7,Strike2,AE7,AQ7,0,N7,0,P7,Q7,IF(OptControl=3,1,0),3)/100,0)</f>
        <v>0</v>
      </c>
      <c r="BA7" s="196">
        <f ca="1">IF(AH7,_xll.xASN(AL7,Strike2,AE7,AQ7,0,N7,0,P7-DaysForThetaCalculation/365.25,Q7-DaysForThetaCalculation/365.25,IF(OptControl=3,1,0),0)-_xll.xASN(AL7,Strike2,AE7,AQ7,0,N7,0,P7,Q7,IF(OptControl=3,1,0),0),0)</f>
        <v>0</v>
      </c>
      <c r="BB7" s="126" t="str">
        <f t="shared" ref="BB7:BB70" ca="1" si="64">IF(AH7,IF(ProductGroup=1,IF(Product=1,BX7+PriceSpreadEuro,IF(Product=3,CK7+PriceSpreadEuro,"N/A")),"N/A"),"")</f>
        <v/>
      </c>
      <c r="BC7" s="191" t="str">
        <f t="shared" ref="BC7:BC70" ca="1" si="65">IF(AH7,Strike1/BB7-1,"")</f>
        <v/>
      </c>
      <c r="BD7" s="191" t="str">
        <f t="shared" ref="BD7:BD70" ca="1" si="66">IF(AH7,Strike2/BB7-1,"")</f>
        <v/>
      </c>
      <c r="BE7" s="190" t="str">
        <f t="shared" ref="BE7:BE70" ca="1" si="67">IF(AH7,IF(VolOverrideEuro,VolOverrideEuro,IF(ProductGroup=1,IF(Product&lt;3,DA7,DE7)+VolSpreadEuro,"N/A")),"")</f>
        <v/>
      </c>
      <c r="BF7" s="194" t="str">
        <f t="shared" ref="BF7:BF70" ca="1" si="68">IF($AH7,$BE7+IF(SkewFlag=1,IF(BC7&gt;0,$AA7*MIN(BC7/10%,1)+($Z7-$AA7)*MAX(0,MIN(BC7/10%-1,1))+($Y7-$Z7)*MAX(0,BC7/10%-2),$AB7*MIN(-BC7/10%,1)+($AC7-$AB7)*MAX(0,MIN(-BC7/10%-1,1))+($AD7-$AC7)*MAX(0,-BC7/10%-2)),0),"")</f>
        <v/>
      </c>
      <c r="BG7" s="194" t="str">
        <f t="shared" ref="BG7:BG70" ca="1" si="69">IF($AH7,$BE7+IF(SkewFlag=1,IF(BD7&gt;0,$AA7*MIN(BD7/10%,1)+($Z7-$AA7)*MAX(0,MIN(BD7/10%-1,1))+($Y7-$Z7)*MAX(0,BD7/10%-2),$AB7*MIN(-BD7/10%,1)+($AC7-$AB7)*MAX(0,MIN(-BD7/10%-1,1))+($AD7-$AC7)*MAX(0,-BD7/10%-2)),0),"")</f>
        <v/>
      </c>
      <c r="BH7" s="195">
        <f ca="1">IF(AH7,_xll.xEURO(BB7,Strike1,AE7,AE7,BF7,O7,IF(OptControl=4,0,1),0),0)</f>
        <v>0</v>
      </c>
      <c r="BI7" s="196">
        <f ca="1">IF(AH7,_xll.xEURO(BB7,Strike1,AE7,AE7,BF7,O7,IF(OptControl=4,0,1),1),0)</f>
        <v>0</v>
      </c>
      <c r="BJ7" s="196">
        <f ca="1">IF(AH7,_xll.xEURO(BB7,Strike1,AE7,AE7,BF7,O7,IF(OptControl=4,0,1),2),0)</f>
        <v>0</v>
      </c>
      <c r="BK7" s="196">
        <f ca="1">IF(AH7,_xll.xEURO(BB7,Strike1,AE7,AE7,BF7,O7,IF(OptControl=4,0,1),3)/100,0)</f>
        <v>0</v>
      </c>
      <c r="BL7" s="196">
        <f ca="1">IF(AH7,_xll.xEURO(BB7,Strike1,AE7,AE7,BF7,O7-DaysForThetaCalculation,IF(OptControl=4,0,1),0)-_xll.xEURO(BB7,Strike1,AE7,AE7,BF7,O7,IF(OptControl=4,0,1),0),0)</f>
        <v>0</v>
      </c>
      <c r="BM7" s="196">
        <f ca="1">IF(AH7,_xll.xEURO(BB7,Strike2,AE7,AE7,BG7,O7,IF(OptControl=3,1,0),0),0)</f>
        <v>0</v>
      </c>
      <c r="BN7" s="196">
        <f ca="1">IF(AH7,_xll.xEURO(BB7,Strike2,AE7,AE7,BG7,O7,IF(OptControl=3,1,0),1),0)</f>
        <v>0</v>
      </c>
      <c r="BO7" s="196">
        <f ca="1">IF(AH7,_xll.xEURO(BB7,Strike2,AE7,AE7,BG7,O7,IF(OptControl=3,1,0),2),0)</f>
        <v>0</v>
      </c>
      <c r="BP7" s="196">
        <f ca="1">IF(AH7,_xll.xEURO(BB7,Strike2,AE7,AE7,BG7,O7,IF(OptControl=3,1,0),3)/100,0)</f>
        <v>0</v>
      </c>
      <c r="BQ7" s="197">
        <f ca="1">IF(AH7,_xll.xEURO(BB7,Strike2,AE7,AE7,BG7,O7-DaysForThetaCalculation,IF(OptControl=3,1,0),0)-_xll.xEURO(BB7,Strike2,AE7,AE7,BG7,O7,IF(OptControl=3,1,0),0),0)</f>
        <v>0</v>
      </c>
      <c r="BR7" s="301"/>
      <c r="BS7" s="114">
        <v>36.96</v>
      </c>
      <c r="BT7" s="345">
        <f t="shared" si="11"/>
        <v>88</v>
      </c>
      <c r="BU7" s="345">
        <f t="shared" ca="1" si="38"/>
        <v>7.5539130434782606</v>
      </c>
      <c r="BV7" s="182">
        <v>0</v>
      </c>
      <c r="BW7" s="346">
        <f t="shared" ca="1" si="39"/>
        <v>7.5539130434782606</v>
      </c>
      <c r="BX7" s="372">
        <f t="shared" si="40"/>
        <v>88</v>
      </c>
      <c r="BY7" s="373">
        <f t="shared" si="41"/>
        <v>84</v>
      </c>
      <c r="BZ7" s="114">
        <v>32.655000000000001</v>
      </c>
      <c r="CA7" s="345">
        <f t="shared" si="12"/>
        <v>77.75</v>
      </c>
      <c r="CB7" s="345">
        <f t="shared" ca="1" si="13"/>
        <v>4.9289130434782606</v>
      </c>
      <c r="CC7" s="346">
        <f t="shared" ca="1" si="14"/>
        <v>4.9289130434782606</v>
      </c>
      <c r="CD7" s="345">
        <f t="shared" ca="1" si="15"/>
        <v>77.75</v>
      </c>
      <c r="CE7" s="347">
        <f t="shared" ref="CE7:CE70" ca="1" si="70">CD7-BY7</f>
        <v>-6.25</v>
      </c>
      <c r="CF7" s="114">
        <v>29.203000000000003</v>
      </c>
      <c r="CG7" s="345">
        <f t="shared" si="16"/>
        <v>69.530952380952385</v>
      </c>
      <c r="CH7" s="345">
        <f t="shared" ca="1" si="42"/>
        <v>0.67891304347826065</v>
      </c>
      <c r="CI7" s="182">
        <v>0</v>
      </c>
      <c r="CJ7" s="346">
        <f t="shared" ca="1" si="43"/>
        <v>0.67891304347826065</v>
      </c>
      <c r="CK7" s="372">
        <f t="shared" si="44"/>
        <v>69.530952380952385</v>
      </c>
      <c r="CL7" s="373">
        <f t="shared" si="45"/>
        <v>67.63095238095238</v>
      </c>
      <c r="CM7" s="114">
        <v>27.46</v>
      </c>
      <c r="CN7" s="345">
        <f t="shared" si="17"/>
        <v>65.38095238095238</v>
      </c>
      <c r="CO7" s="345">
        <f t="shared" ca="1" si="46"/>
        <v>-0.26608695652173964</v>
      </c>
      <c r="CP7" s="346">
        <f t="shared" ca="1" si="18"/>
        <v>-0.26608695652173964</v>
      </c>
      <c r="CQ7" s="345">
        <f t="shared" ca="1" si="19"/>
        <v>65.38095238095238</v>
      </c>
      <c r="CR7" s="347">
        <f t="shared" ref="CR7:CR70" ca="1" si="71">CQ7-CL7</f>
        <v>-2.25</v>
      </c>
      <c r="CS7" s="114">
        <v>28.614999999999998</v>
      </c>
      <c r="CT7" s="345">
        <f t="shared" si="20"/>
        <v>68.13095238095238</v>
      </c>
      <c r="CU7" s="345">
        <f t="shared" ref="CU7:CU70" si="72">CT7-CG8</f>
        <v>0.5</v>
      </c>
      <c r="CV7" s="346">
        <f t="shared" si="21"/>
        <v>0.5</v>
      </c>
      <c r="CW7" s="347">
        <f t="shared" ref="CW7:CW70" si="73">CL7+CV7</f>
        <v>68.13095238095238</v>
      </c>
      <c r="CX7" s="483">
        <v>0.39700000000000002</v>
      </c>
      <c r="CY7" s="190">
        <f t="shared" si="47"/>
        <v>-4.3750000000000011E-2</v>
      </c>
      <c r="CZ7" s="352">
        <f t="shared" si="48"/>
        <v>-4.3750000000000011E-2</v>
      </c>
      <c r="DA7" s="353">
        <f>MAIN!K7</f>
        <v>0.39700000000000002</v>
      </c>
      <c r="DB7" s="483">
        <v>0.35300000000000004</v>
      </c>
      <c r="DC7" s="190">
        <f t="shared" si="49"/>
        <v>-8.7749999999999995E-2</v>
      </c>
      <c r="DD7" s="352">
        <f t="shared" si="50"/>
        <v>-8.7749999999999995E-2</v>
      </c>
      <c r="DE7" s="353">
        <f>MAIN!M7</f>
        <v>0.35300000000000004</v>
      </c>
      <c r="DG7" s="341"/>
      <c r="DH7" s="114">
        <v>20.5</v>
      </c>
      <c r="DI7" s="126">
        <f t="shared" ref="DI7:DI70" ca="1" si="74">DH7-$U7</f>
        <v>-7.2260869565217405</v>
      </c>
      <c r="DJ7" s="126">
        <f t="shared" ca="1" si="22"/>
        <v>-2</v>
      </c>
      <c r="DK7" s="356">
        <f t="shared" ca="1" si="23"/>
        <v>25.72608695652174</v>
      </c>
      <c r="DL7" s="114">
        <v>20</v>
      </c>
      <c r="DM7" s="126">
        <f t="shared" ref="DM7:DM70" ca="1" si="75">DL7-$U7</f>
        <v>-7.7260869565217405</v>
      </c>
      <c r="DN7" s="126">
        <f t="shared" ca="1" si="24"/>
        <v>-3</v>
      </c>
      <c r="DO7" s="356">
        <f t="shared" ca="1" si="25"/>
        <v>24.72608695652174</v>
      </c>
      <c r="DP7" s="114">
        <v>20.3</v>
      </c>
      <c r="DQ7" s="126">
        <f t="shared" ref="DQ7:DQ70" ca="1" si="76">DP7-$U7</f>
        <v>-7.4260869565217398</v>
      </c>
      <c r="DR7" s="126">
        <f t="shared" ca="1" si="26"/>
        <v>-6</v>
      </c>
      <c r="DS7" s="356">
        <f t="shared" ca="1" si="27"/>
        <v>21.72608695652174</v>
      </c>
      <c r="DT7" s="114">
        <v>19.899999999999999</v>
      </c>
      <c r="DU7" s="126">
        <f t="shared" ref="DU7:DU70" ca="1" si="77">DT7-$U7</f>
        <v>-7.8260869565217419</v>
      </c>
      <c r="DV7" s="126">
        <f t="shared" ca="1" si="28"/>
        <v>-5</v>
      </c>
      <c r="DW7" s="356">
        <f t="shared" ca="1" si="29"/>
        <v>22.72608695652174</v>
      </c>
    </row>
    <row r="8" spans="1:137" ht="13.8" thickBot="1" x14ac:dyDescent="0.3">
      <c r="A8" s="159">
        <v>180</v>
      </c>
      <c r="B8" s="161">
        <v>1.423828125E-2</v>
      </c>
      <c r="C8" s="161">
        <v>8.7011718750000001E-3</v>
      </c>
      <c r="D8" s="161">
        <v>3.9550781249999998E-3</v>
      </c>
      <c r="E8" s="161">
        <v>8.9099999999999995E-3</v>
      </c>
      <c r="F8" s="161">
        <v>1.9602000000000005E-2</v>
      </c>
      <c r="G8" s="162">
        <v>3.2076000000000007E-2</v>
      </c>
      <c r="I8" s="136">
        <f t="shared" ca="1" si="30"/>
        <v>37043</v>
      </c>
      <c r="J8" s="130">
        <f t="shared" ca="1" si="31"/>
        <v>37033</v>
      </c>
      <c r="K8" s="106">
        <f t="shared" ca="1" si="32"/>
        <v>0.66666666666666663</v>
      </c>
      <c r="L8" s="133">
        <f t="shared" ca="1" si="0"/>
        <v>101</v>
      </c>
      <c r="M8" s="134">
        <f t="shared" ca="1" si="1"/>
        <v>6</v>
      </c>
      <c r="N8" s="103">
        <f t="shared" ca="1" si="2"/>
        <v>21</v>
      </c>
      <c r="O8" s="104">
        <f t="shared" ca="1" si="33"/>
        <v>85</v>
      </c>
      <c r="P8" s="105">
        <f t="shared" ca="1" si="3"/>
        <v>0.24366872005475701</v>
      </c>
      <c r="Q8" s="105">
        <f t="shared" ca="1" si="4"/>
        <v>0.32306639288158795</v>
      </c>
      <c r="R8" s="114">
        <v>28</v>
      </c>
      <c r="S8" s="198">
        <v>0</v>
      </c>
      <c r="T8" s="189">
        <f t="shared" si="34"/>
        <v>28</v>
      </c>
      <c r="U8" s="199">
        <f t="shared" ca="1" si="5"/>
        <v>26.883333333333333</v>
      </c>
      <c r="V8" s="379">
        <f t="shared" ca="1" si="6"/>
        <v>26.883333333333333</v>
      </c>
      <c r="W8" s="483">
        <v>0.40085000000000004</v>
      </c>
      <c r="X8" s="166">
        <f t="shared" ca="1" si="7"/>
        <v>2</v>
      </c>
      <c r="Y8" s="91">
        <f t="shared" ca="1" si="51"/>
        <v>1.5854383120407097E-2</v>
      </c>
      <c r="Z8" s="91">
        <f t="shared" ca="1" si="52"/>
        <v>1.0053013380423803E-2</v>
      </c>
      <c r="AA8" s="91">
        <f t="shared" ca="1" si="53"/>
        <v>4.7627914169125016E-3</v>
      </c>
      <c r="AB8" s="91">
        <f t="shared" ca="1" si="54"/>
        <v>1.0729616504020488E-2</v>
      </c>
      <c r="AC8" s="91">
        <f t="shared" ca="1" si="55"/>
        <v>2.2647428543418748E-2</v>
      </c>
      <c r="AD8" s="91">
        <f t="shared" ca="1" si="56"/>
        <v>3.5716754293653119E-2</v>
      </c>
      <c r="AE8" s="124">
        <v>6.2168933933492009E-2</v>
      </c>
      <c r="AF8" s="191">
        <f t="shared" ca="1" si="57"/>
        <v>0.98041546430008353</v>
      </c>
      <c r="AG8" s="189">
        <f t="shared" ca="1" si="35"/>
        <v>1</v>
      </c>
      <c r="AH8" s="192">
        <f t="shared" ca="1" si="9"/>
        <v>0</v>
      </c>
      <c r="AI8" s="192">
        <f t="shared" ca="1" si="58"/>
        <v>0</v>
      </c>
      <c r="AJ8" s="192">
        <f t="shared" ca="1" si="10"/>
        <v>0</v>
      </c>
      <c r="AK8" s="192">
        <f t="shared" ca="1" si="59"/>
        <v>0</v>
      </c>
      <c r="AL8" s="191" t="str">
        <f t="shared" ca="1" si="60"/>
        <v/>
      </c>
      <c r="AM8" s="191" t="str">
        <f t="shared" ca="1" si="61"/>
        <v/>
      </c>
      <c r="AN8" s="191" t="str">
        <f t="shared" ca="1" si="62"/>
        <v/>
      </c>
      <c r="AO8" s="193" t="str">
        <f t="shared" ca="1" si="63"/>
        <v/>
      </c>
      <c r="AP8" s="194" t="str">
        <f t="shared" ca="1" si="36"/>
        <v/>
      </c>
      <c r="AQ8" s="194" t="str">
        <f t="shared" ca="1" si="37"/>
        <v/>
      </c>
      <c r="AR8" s="195">
        <f ca="1">IF(AH8,_xll.xASN(AL8,Strike1,AE8,AP8,0,N8,0,P8,Q8,IF(OptControl=4,0,1),0),0)</f>
        <v>0</v>
      </c>
      <c r="AS8" s="196">
        <f ca="1">IF(AH8,_xll.xASN(AL8,Strike1,AE8,AP8,0,N8,0,P8,Q8,IF(OptControl=4,0,1),1),0)</f>
        <v>0</v>
      </c>
      <c r="AT8" s="196">
        <f ca="1">IF(AH8,_xll.xASN(AL8,Strike1,AE8,AP8,0,N8,0,P8,Q8,IF(OptControl=4,0,1),2),0)</f>
        <v>0</v>
      </c>
      <c r="AU8" s="196">
        <f ca="1">IF(AH8,_xll.xASN(AL8,Strike1,AE8,AP8,0,N8,0,P8,Q8,IF(OptControl=4,0,1),3)/100,0)</f>
        <v>0</v>
      </c>
      <c r="AV8" s="196">
        <f ca="1">IF(AH8,_xll.xASN(AL8,Strike1,AE8,AP8,0,N8,0,P8-DaysForThetaCalculation/365.25,Q8-DaysForThetaCalculation/365.25,IF(OptControl=4,0,1),0)-_xll.xASN(AL8,Strike1,AE8,AP8,0,N8,0,P8,Q8,IF(OptControl=4,0,1),0),0)</f>
        <v>0</v>
      </c>
      <c r="AW8" s="196">
        <f ca="1">IF(AH8,_xll.xASN(AL8,Strike2,AE8,AQ8,0,N8,0,P8,Q8,IF(OptControl=3,1,0),0),0)</f>
        <v>0</v>
      </c>
      <c r="AX8" s="196">
        <f ca="1">IF(AH8,_xll.xASN(AL8,Strike2,AE8,AQ8,0,N8,0,P8,Q8,IF(OptControl=3,1,0),1),0)</f>
        <v>0</v>
      </c>
      <c r="AY8" s="196">
        <f ca="1">IF(AH8,_xll.xASN(AL8,Strike2,AE8,AQ8,0,N8,0,P8,Q8,IF(OptControl=3,1,0),2),0)</f>
        <v>0</v>
      </c>
      <c r="AZ8" s="196">
        <f ca="1">IF(AH8,_xll.xASN(AL8,Strike2,AE8,AQ8,0,N8,0,P8,Q8,IF(OptControl=3,1,0),3)/100,0)</f>
        <v>0</v>
      </c>
      <c r="BA8" s="196">
        <f ca="1">IF(AH8,_xll.xASN(AL8,Strike2,AE8,AQ8,0,N8,0,P8-DaysForThetaCalculation/365.25,Q8-DaysForThetaCalculation/365.25,IF(OptControl=3,1,0),0)-_xll.xASN(AL8,Strike2,AE8,AQ8,0,N8,0,P8,Q8,IF(OptControl=3,1,0),0),0)</f>
        <v>0</v>
      </c>
      <c r="BB8" s="126" t="str">
        <f t="shared" ca="1" si="64"/>
        <v/>
      </c>
      <c r="BC8" s="191" t="str">
        <f t="shared" ca="1" si="65"/>
        <v/>
      </c>
      <c r="BD8" s="191" t="str">
        <f t="shared" ca="1" si="66"/>
        <v/>
      </c>
      <c r="BE8" s="190" t="str">
        <f t="shared" ca="1" si="67"/>
        <v/>
      </c>
      <c r="BF8" s="194" t="str">
        <f t="shared" ca="1" si="68"/>
        <v/>
      </c>
      <c r="BG8" s="194" t="str">
        <f t="shared" ca="1" si="69"/>
        <v/>
      </c>
      <c r="BH8" s="195">
        <f ca="1">IF(AH8,_xll.xEURO(BB8,Strike1,AE8,AE8,BF8,O8,IF(OptControl=4,0,1),0),0)</f>
        <v>0</v>
      </c>
      <c r="BI8" s="196">
        <f ca="1">IF(AH8,_xll.xEURO(BB8,Strike1,AE8,AE8,BF8,O8,IF(OptControl=4,0,1),1),0)</f>
        <v>0</v>
      </c>
      <c r="BJ8" s="196">
        <f ca="1">IF(AH8,_xll.xEURO(BB8,Strike1,AE8,AE8,BF8,O8,IF(OptControl=4,0,1),2),0)</f>
        <v>0</v>
      </c>
      <c r="BK8" s="196">
        <f ca="1">IF(AH8,_xll.xEURO(BB8,Strike1,AE8,AE8,BF8,O8,IF(OptControl=4,0,1),3)/100,0)</f>
        <v>0</v>
      </c>
      <c r="BL8" s="196">
        <f ca="1">IF(AH8,_xll.xEURO(BB8,Strike1,AE8,AE8,BF8,O8-DaysForThetaCalculation,IF(OptControl=4,0,1),0)-_xll.xEURO(BB8,Strike1,AE8,AE8,BF8,O8,IF(OptControl=4,0,1),0),0)</f>
        <v>0</v>
      </c>
      <c r="BM8" s="196">
        <f ca="1">IF(AH8,_xll.xEURO(BB8,Strike2,AE8,AE8,BG8,O8,IF(OptControl=3,1,0),0),0)</f>
        <v>0</v>
      </c>
      <c r="BN8" s="196">
        <f ca="1">IF(AH8,_xll.xEURO(BB8,Strike2,AE8,AE8,BG8,O8,IF(OptControl=3,1,0),1),0)</f>
        <v>0</v>
      </c>
      <c r="BO8" s="196">
        <f ca="1">IF(AH8,_xll.xEURO(BB8,Strike2,AE8,AE8,BG8,O8,IF(OptControl=3,1,0),2),0)</f>
        <v>0</v>
      </c>
      <c r="BP8" s="196">
        <f ca="1">IF(AH8,_xll.xEURO(BB8,Strike2,AE8,AE8,BG8,O8,IF(OptControl=3,1,0),3)/100,0)</f>
        <v>0</v>
      </c>
      <c r="BQ8" s="197">
        <f ca="1">IF(AH8,_xll.xEURO(BB8,Strike2,AE8,AE8,BG8,O8-DaysForThetaCalculation,IF(OptControl=3,1,0),0)-_xll.xEURO(BB8,Strike2,AE8,AE8,BG8,O8,IF(OptControl=3,1,0),0),0)</f>
        <v>0</v>
      </c>
      <c r="BR8" s="301"/>
      <c r="BS8" s="114">
        <v>35.28</v>
      </c>
      <c r="BT8" s="345">
        <f t="shared" si="11"/>
        <v>84</v>
      </c>
      <c r="BU8" s="345">
        <f t="shared" ca="1" si="38"/>
        <v>7.0736666666666679</v>
      </c>
      <c r="BV8" s="182">
        <v>0</v>
      </c>
      <c r="BW8" s="346">
        <f t="shared" ca="1" si="39"/>
        <v>7.0736666666666679</v>
      </c>
      <c r="BX8" s="372">
        <f t="shared" si="40"/>
        <v>84</v>
      </c>
      <c r="BY8" s="373">
        <f t="shared" si="41"/>
        <v>80.850000000000009</v>
      </c>
      <c r="BZ8" s="114">
        <v>31.332000000000004</v>
      </c>
      <c r="CA8" s="345">
        <f t="shared" si="12"/>
        <v>74.600000000000009</v>
      </c>
      <c r="CB8" s="345">
        <f t="shared" ca="1" si="13"/>
        <v>4.4486666666666714</v>
      </c>
      <c r="CC8" s="346">
        <f t="shared" ca="1" si="14"/>
        <v>4.4486666666666714</v>
      </c>
      <c r="CD8" s="345">
        <f t="shared" ca="1" si="15"/>
        <v>74.600000000000009</v>
      </c>
      <c r="CE8" s="347">
        <f t="shared" ca="1" si="70"/>
        <v>-6.25</v>
      </c>
      <c r="CF8" s="114">
        <v>28.405000000000001</v>
      </c>
      <c r="CG8" s="345">
        <f t="shared" si="16"/>
        <v>67.63095238095238</v>
      </c>
      <c r="CH8" s="345">
        <f t="shared" ca="1" si="42"/>
        <v>1.0386666666666713</v>
      </c>
      <c r="CI8" s="182">
        <v>0</v>
      </c>
      <c r="CJ8" s="346">
        <f t="shared" ca="1" si="43"/>
        <v>1.0386666666666713</v>
      </c>
      <c r="CK8" s="372">
        <f t="shared" si="44"/>
        <v>67.63095238095238</v>
      </c>
      <c r="CL8" s="373">
        <f t="shared" si="45"/>
        <v>66.480952380952388</v>
      </c>
      <c r="CM8" s="114">
        <v>26.977000000000004</v>
      </c>
      <c r="CN8" s="345">
        <f t="shared" si="17"/>
        <v>64.230952380952388</v>
      </c>
      <c r="CO8" s="345">
        <f t="shared" ca="1" si="46"/>
        <v>9.3666666666671006E-2</v>
      </c>
      <c r="CP8" s="346">
        <f t="shared" ca="1" si="18"/>
        <v>9.3666666666671006E-2</v>
      </c>
      <c r="CQ8" s="345">
        <f t="shared" ca="1" si="19"/>
        <v>64.230952380952388</v>
      </c>
      <c r="CR8" s="347">
        <f t="shared" ca="1" si="71"/>
        <v>-2.25</v>
      </c>
      <c r="CS8" s="114">
        <v>28.132000000000005</v>
      </c>
      <c r="CT8" s="345">
        <f t="shared" si="20"/>
        <v>66.980952380952402</v>
      </c>
      <c r="CU8" s="345">
        <f t="shared" si="72"/>
        <v>0.50000000000001421</v>
      </c>
      <c r="CV8" s="346">
        <f t="shared" si="21"/>
        <v>0.50000000000001421</v>
      </c>
      <c r="CW8" s="347">
        <f t="shared" si="73"/>
        <v>66.980952380952402</v>
      </c>
      <c r="CX8" s="483">
        <v>0.38</v>
      </c>
      <c r="CY8" s="190">
        <f t="shared" si="47"/>
        <v>-2.0850000000000035E-2</v>
      </c>
      <c r="CZ8" s="352">
        <f t="shared" si="48"/>
        <v>-2.0850000000000035E-2</v>
      </c>
      <c r="DA8" s="353">
        <f>MAIN!K8</f>
        <v>0.38</v>
      </c>
      <c r="DB8" s="483">
        <v>0.32799999999999996</v>
      </c>
      <c r="DC8" s="190">
        <f t="shared" si="49"/>
        <v>-7.2850000000000081E-2</v>
      </c>
      <c r="DD8" s="352">
        <f t="shared" si="50"/>
        <v>-7.2850000000000081E-2</v>
      </c>
      <c r="DE8" s="353">
        <f>MAIN!M8</f>
        <v>0.32799999999999996</v>
      </c>
      <c r="DG8" s="341"/>
      <c r="DH8" s="114">
        <v>20.5</v>
      </c>
      <c r="DI8" s="126">
        <f t="shared" ca="1" si="74"/>
        <v>-6.3833333333333329</v>
      </c>
      <c r="DJ8" s="126">
        <f t="shared" ca="1" si="22"/>
        <v>-2</v>
      </c>
      <c r="DK8" s="356">
        <f t="shared" ca="1" si="23"/>
        <v>24.883333333333333</v>
      </c>
      <c r="DL8" s="114">
        <v>20</v>
      </c>
      <c r="DM8" s="126">
        <f t="shared" ca="1" si="75"/>
        <v>-6.8833333333333329</v>
      </c>
      <c r="DN8" s="126">
        <f t="shared" ca="1" si="24"/>
        <v>-3</v>
      </c>
      <c r="DO8" s="356">
        <f t="shared" ca="1" si="25"/>
        <v>23.883333333333333</v>
      </c>
      <c r="DP8" s="114">
        <v>20.2</v>
      </c>
      <c r="DQ8" s="126">
        <f t="shared" ca="1" si="76"/>
        <v>-6.6833333333333336</v>
      </c>
      <c r="DR8" s="126">
        <f t="shared" ca="1" si="26"/>
        <v>-6</v>
      </c>
      <c r="DS8" s="356">
        <f t="shared" ca="1" si="27"/>
        <v>20.883333333333333</v>
      </c>
      <c r="DT8" s="114">
        <v>19.899999999999999</v>
      </c>
      <c r="DU8" s="126">
        <f t="shared" ca="1" si="77"/>
        <v>-6.9833333333333343</v>
      </c>
      <c r="DV8" s="126">
        <f t="shared" ca="1" si="28"/>
        <v>-5</v>
      </c>
      <c r="DW8" s="356">
        <f t="shared" ca="1" si="29"/>
        <v>21.883333333333333</v>
      </c>
      <c r="DY8" s="259" t="s">
        <v>143</v>
      </c>
      <c r="DZ8" s="165"/>
      <c r="EA8" s="165"/>
      <c r="EB8" s="165"/>
      <c r="EC8" s="165"/>
      <c r="ED8" s="165"/>
      <c r="EE8" s="165"/>
      <c r="EF8" s="260"/>
    </row>
    <row r="9" spans="1:137" ht="13.8" thickBot="1" x14ac:dyDescent="0.3">
      <c r="A9" s="159">
        <v>360</v>
      </c>
      <c r="B9" s="161">
        <v>1.1865234375E-2</v>
      </c>
      <c r="C9" s="161">
        <v>6.8554687499999996E-3</v>
      </c>
      <c r="D9" s="161">
        <v>3.1640625000000002E-3</v>
      </c>
      <c r="E9" s="161">
        <v>7.1280000000000024E-3</v>
      </c>
      <c r="F9" s="161">
        <v>1.5444000000000001E-2</v>
      </c>
      <c r="G9" s="162">
        <v>2.6730000000000004E-2</v>
      </c>
      <c r="I9" s="136">
        <f t="shared" ca="1" si="30"/>
        <v>37073</v>
      </c>
      <c r="J9" s="130">
        <f t="shared" ca="1" si="31"/>
        <v>37062</v>
      </c>
      <c r="K9" s="106">
        <f t="shared" ca="1" si="32"/>
        <v>0.68181818181818177</v>
      </c>
      <c r="L9" s="133">
        <f t="shared" ca="1" si="0"/>
        <v>101</v>
      </c>
      <c r="M9" s="134">
        <f t="shared" ca="1" si="1"/>
        <v>7</v>
      </c>
      <c r="N9" s="103">
        <f t="shared" ca="1" si="2"/>
        <v>22</v>
      </c>
      <c r="O9" s="104">
        <f t="shared" ca="1" si="33"/>
        <v>114</v>
      </c>
      <c r="P9" s="105">
        <f t="shared" ca="1" si="3"/>
        <v>0.32580424366872007</v>
      </c>
      <c r="Q9" s="105">
        <f t="shared" ca="1" si="4"/>
        <v>0.40793976728268311</v>
      </c>
      <c r="R9" s="114">
        <v>27.1</v>
      </c>
      <c r="S9" s="198">
        <v>0</v>
      </c>
      <c r="T9" s="189">
        <f t="shared" si="34"/>
        <v>27.1</v>
      </c>
      <c r="U9" s="199">
        <f t="shared" ca="1" si="5"/>
        <v>26.268636363636361</v>
      </c>
      <c r="V9" s="379">
        <f t="shared" ca="1" si="6"/>
        <v>26.268636363636361</v>
      </c>
      <c r="W9" s="483">
        <v>0.36774999999999997</v>
      </c>
      <c r="X9" s="166">
        <f t="shared" ca="1" si="7"/>
        <v>3</v>
      </c>
      <c r="Y9" s="91">
        <f t="shared" ca="1" si="51"/>
        <v>1.529223550315684E-2</v>
      </c>
      <c r="Z9" s="91">
        <f t="shared" ca="1" si="52"/>
        <v>9.5742543148176189E-3</v>
      </c>
      <c r="AA9" s="91">
        <f t="shared" ca="1" si="53"/>
        <v>4.4753020833420499E-3</v>
      </c>
      <c r="AB9" s="91">
        <f t="shared" ca="1" si="54"/>
        <v>1.0081960533352972E-2</v>
      </c>
      <c r="AC9" s="91">
        <f t="shared" ca="1" si="55"/>
        <v>2.1568880120421137E-2</v>
      </c>
      <c r="AD9" s="91">
        <f t="shared" ca="1" si="56"/>
        <v>3.4450348141511739E-2</v>
      </c>
      <c r="AE9" s="124">
        <v>6.291018345506201E-2</v>
      </c>
      <c r="AF9" s="191">
        <f t="shared" ca="1" si="57"/>
        <v>0.97504835928176414</v>
      </c>
      <c r="AG9" s="189">
        <f t="shared" ca="1" si="35"/>
        <v>1</v>
      </c>
      <c r="AH9" s="192">
        <f t="shared" ca="1" si="9"/>
        <v>0</v>
      </c>
      <c r="AI9" s="192">
        <f t="shared" ca="1" si="58"/>
        <v>0</v>
      </c>
      <c r="AJ9" s="192">
        <f t="shared" ca="1" si="10"/>
        <v>0</v>
      </c>
      <c r="AK9" s="192">
        <f t="shared" ca="1" si="59"/>
        <v>0</v>
      </c>
      <c r="AL9" s="191" t="str">
        <f t="shared" ca="1" si="60"/>
        <v/>
      </c>
      <c r="AM9" s="191" t="str">
        <f t="shared" ca="1" si="61"/>
        <v/>
      </c>
      <c r="AN9" s="191" t="str">
        <f t="shared" ca="1" si="62"/>
        <v/>
      </c>
      <c r="AO9" s="193" t="str">
        <f t="shared" ca="1" si="63"/>
        <v/>
      </c>
      <c r="AP9" s="194" t="str">
        <f t="shared" ca="1" si="36"/>
        <v/>
      </c>
      <c r="AQ9" s="194" t="str">
        <f t="shared" ca="1" si="37"/>
        <v/>
      </c>
      <c r="AR9" s="195">
        <f ca="1">IF(AH9,_xll.xASN(AL9,Strike1,AE9,AP9,0,N9,0,P9,Q9,IF(OptControl=4,0,1),0),0)</f>
        <v>0</v>
      </c>
      <c r="AS9" s="196">
        <f ca="1">IF(AH9,_xll.xASN(AL9,Strike1,AE9,AP9,0,N9,0,P9,Q9,IF(OptControl=4,0,1),1),0)</f>
        <v>0</v>
      </c>
      <c r="AT9" s="196">
        <f ca="1">IF(AH9,_xll.xASN(AL9,Strike1,AE9,AP9,0,N9,0,P9,Q9,IF(OptControl=4,0,1),2),0)</f>
        <v>0</v>
      </c>
      <c r="AU9" s="196">
        <f ca="1">IF(AH9,_xll.xASN(AL9,Strike1,AE9,AP9,0,N9,0,P9,Q9,IF(OptControl=4,0,1),3)/100,0)</f>
        <v>0</v>
      </c>
      <c r="AV9" s="196">
        <f ca="1">IF(AH9,_xll.xASN(AL9,Strike1,AE9,AP9,0,N9,0,P9-DaysForThetaCalculation/365.25,Q9-DaysForThetaCalculation/365.25,IF(OptControl=4,0,1),0)-_xll.xASN(AL9,Strike1,AE9,AP9,0,N9,0,P9,Q9,IF(OptControl=4,0,1),0),0)</f>
        <v>0</v>
      </c>
      <c r="AW9" s="196">
        <f ca="1">IF(AH9,_xll.xASN(AL9,Strike2,AE9,AQ9,0,N9,0,P9,Q9,IF(OptControl=3,1,0),0),0)</f>
        <v>0</v>
      </c>
      <c r="AX9" s="196">
        <f ca="1">IF(AH9,_xll.xASN(AL9,Strike2,AE9,AQ9,0,N9,0,P9,Q9,IF(OptControl=3,1,0),1),0)</f>
        <v>0</v>
      </c>
      <c r="AY9" s="196">
        <f ca="1">IF(AH9,_xll.xASN(AL9,Strike2,AE9,AQ9,0,N9,0,P9,Q9,IF(OptControl=3,1,0),2),0)</f>
        <v>0</v>
      </c>
      <c r="AZ9" s="196">
        <f ca="1">IF(AH9,_xll.xASN(AL9,Strike2,AE9,AQ9,0,N9,0,P9,Q9,IF(OptControl=3,1,0),3)/100,0)</f>
        <v>0</v>
      </c>
      <c r="BA9" s="196">
        <f ca="1">IF(AH9,_xll.xASN(AL9,Strike2,AE9,AQ9,0,N9,0,P9-DaysForThetaCalculation/365.25,Q9-DaysForThetaCalculation/365.25,IF(OptControl=3,1,0),0)-_xll.xASN(AL9,Strike2,AE9,AQ9,0,N9,0,P9,Q9,IF(OptControl=3,1,0),0),0)</f>
        <v>0</v>
      </c>
      <c r="BB9" s="126" t="str">
        <f t="shared" ca="1" si="64"/>
        <v/>
      </c>
      <c r="BC9" s="191" t="str">
        <f t="shared" ca="1" si="65"/>
        <v/>
      </c>
      <c r="BD9" s="191" t="str">
        <f t="shared" ca="1" si="66"/>
        <v/>
      </c>
      <c r="BE9" s="190" t="str">
        <f t="shared" ca="1" si="67"/>
        <v/>
      </c>
      <c r="BF9" s="194" t="str">
        <f t="shared" ca="1" si="68"/>
        <v/>
      </c>
      <c r="BG9" s="194" t="str">
        <f t="shared" ca="1" si="69"/>
        <v/>
      </c>
      <c r="BH9" s="195">
        <f ca="1">IF(AH9,_xll.xEURO(BB9,Strike1,AE9,AE9,BF9,O9,IF(OptControl=4,0,1),0),0)</f>
        <v>0</v>
      </c>
      <c r="BI9" s="196">
        <f ca="1">IF(AH9,_xll.xEURO(BB9,Strike1,AE9,AE9,BF9,O9,IF(OptControl=4,0,1),1),0)</f>
        <v>0</v>
      </c>
      <c r="BJ9" s="196">
        <f ca="1">IF(AH9,_xll.xEURO(BB9,Strike1,AE9,AE9,BF9,O9,IF(OptControl=4,0,1),2),0)</f>
        <v>0</v>
      </c>
      <c r="BK9" s="196">
        <f ca="1">IF(AH9,_xll.xEURO(BB9,Strike1,AE9,AE9,BF9,O9,IF(OptControl=4,0,1),3)/100,0)</f>
        <v>0</v>
      </c>
      <c r="BL9" s="196">
        <f ca="1">IF(AH9,_xll.xEURO(BB9,Strike1,AE9,AE9,BF9,O9-DaysForThetaCalculation,IF(OptControl=4,0,1),0)-_xll.xEURO(BB9,Strike1,AE9,AE9,BF9,O9,IF(OptControl=4,0,1),0),0)</f>
        <v>0</v>
      </c>
      <c r="BM9" s="196">
        <f ca="1">IF(AH9,_xll.xEURO(BB9,Strike2,AE9,AE9,BG9,O9,IF(OptControl=3,1,0),0),0)</f>
        <v>0</v>
      </c>
      <c r="BN9" s="196">
        <f ca="1">IF(AH9,_xll.xEURO(BB9,Strike2,AE9,AE9,BG9,O9,IF(OptControl=3,1,0),1),0)</f>
        <v>0</v>
      </c>
      <c r="BO9" s="196">
        <f ca="1">IF(AH9,_xll.xEURO(BB9,Strike2,AE9,AE9,BG9,O9,IF(OptControl=3,1,0),2),0)</f>
        <v>0</v>
      </c>
      <c r="BP9" s="196">
        <f ca="1">IF(AH9,_xll.xEURO(BB9,Strike2,AE9,AE9,BG9,O9,IF(OptControl=3,1,0),3)/100,0)</f>
        <v>0</v>
      </c>
      <c r="BQ9" s="197">
        <f ca="1">IF(AH9,_xll.xEURO(BB9,Strike2,AE9,AE9,BG9,O9-DaysForThetaCalculation,IF(OptControl=3,1,0),0)-_xll.xEURO(BB9,Strike2,AE9,AE9,BG9,O9,IF(OptControl=3,1,0),0),0)</f>
        <v>0</v>
      </c>
      <c r="BR9" s="301"/>
      <c r="BS9" s="114">
        <v>33.957000000000001</v>
      </c>
      <c r="BT9" s="345">
        <f t="shared" si="11"/>
        <v>80.850000000000009</v>
      </c>
      <c r="BU9" s="345">
        <f t="shared" ca="1" si="38"/>
        <v>6.5333636363636458</v>
      </c>
      <c r="BV9" s="182">
        <v>0</v>
      </c>
      <c r="BW9" s="346">
        <f t="shared" ca="1" si="39"/>
        <v>6.5333636363636458</v>
      </c>
      <c r="BX9" s="372">
        <f t="shared" si="40"/>
        <v>80.850000000000009</v>
      </c>
      <c r="BY9" s="373">
        <f t="shared" si="41"/>
        <v>78.100000000000023</v>
      </c>
      <c r="BZ9" s="114">
        <v>30.387000000000004</v>
      </c>
      <c r="CA9" s="345">
        <f t="shared" si="12"/>
        <v>72.350000000000009</v>
      </c>
      <c r="CB9" s="345">
        <f t="shared" ca="1" si="13"/>
        <v>4.1183636363636431</v>
      </c>
      <c r="CC9" s="346">
        <f t="shared" ca="1" si="14"/>
        <v>4.1183636363636431</v>
      </c>
      <c r="CD9" s="345">
        <f t="shared" ca="1" si="15"/>
        <v>72.350000000000009</v>
      </c>
      <c r="CE9" s="347">
        <f t="shared" ca="1" si="70"/>
        <v>-5.7500000000000142</v>
      </c>
      <c r="CF9" s="114">
        <v>27.922000000000004</v>
      </c>
      <c r="CG9" s="345">
        <f t="shared" si="16"/>
        <v>66.480952380952388</v>
      </c>
      <c r="CH9" s="345">
        <f t="shared" ca="1" si="42"/>
        <v>1.5483636363636428</v>
      </c>
      <c r="CI9" s="182">
        <v>0</v>
      </c>
      <c r="CJ9" s="346">
        <f t="shared" ca="1" si="43"/>
        <v>1.5483636363636428</v>
      </c>
      <c r="CK9" s="372">
        <f t="shared" si="44"/>
        <v>66.480952380952388</v>
      </c>
      <c r="CL9" s="373">
        <f t="shared" si="45"/>
        <v>66.230952380952388</v>
      </c>
      <c r="CM9" s="114">
        <v>26.767000000000003</v>
      </c>
      <c r="CN9" s="345">
        <f t="shared" si="17"/>
        <v>63.730952380952388</v>
      </c>
      <c r="CO9" s="345">
        <f t="shared" ca="1" si="46"/>
        <v>0.49836363636364212</v>
      </c>
      <c r="CP9" s="346">
        <f t="shared" ca="1" si="18"/>
        <v>0.49836363636364212</v>
      </c>
      <c r="CQ9" s="345">
        <f t="shared" ca="1" si="19"/>
        <v>63.730952380952388</v>
      </c>
      <c r="CR9" s="347">
        <f t="shared" ca="1" si="71"/>
        <v>-2.5</v>
      </c>
      <c r="CS9" s="114">
        <v>28.069000000000003</v>
      </c>
      <c r="CT9" s="345">
        <f t="shared" si="20"/>
        <v>66.830952380952382</v>
      </c>
      <c r="CU9" s="345">
        <f t="shared" si="72"/>
        <v>0.59999999999999432</v>
      </c>
      <c r="CV9" s="346">
        <f t="shared" si="21"/>
        <v>0.59999999999999432</v>
      </c>
      <c r="CW9" s="347">
        <f t="shared" si="73"/>
        <v>66.830952380952382</v>
      </c>
      <c r="CX9" s="483">
        <v>0.36800000000000005</v>
      </c>
      <c r="CY9" s="190">
        <f t="shared" si="47"/>
        <v>2.5000000000008349E-4</v>
      </c>
      <c r="CZ9" s="352">
        <f t="shared" si="48"/>
        <v>2.5000000000008349E-4</v>
      </c>
      <c r="DA9" s="353">
        <f>MAIN!K9</f>
        <v>0.36800000000000005</v>
      </c>
      <c r="DB9" s="483">
        <v>0.315</v>
      </c>
      <c r="DC9" s="190">
        <f t="shared" si="49"/>
        <v>-5.2749999999999964E-2</v>
      </c>
      <c r="DD9" s="352">
        <f t="shared" si="50"/>
        <v>-5.2749999999999964E-2</v>
      </c>
      <c r="DE9" s="353">
        <f>MAIN!M9</f>
        <v>0.315</v>
      </c>
      <c r="DG9" s="341"/>
      <c r="DH9" s="114">
        <v>20.399999999999999</v>
      </c>
      <c r="DI9" s="126">
        <f t="shared" ca="1" si="74"/>
        <v>-5.8686363636363623</v>
      </c>
      <c r="DJ9" s="126">
        <f t="shared" ca="1" si="22"/>
        <v>-2</v>
      </c>
      <c r="DK9" s="356">
        <f t="shared" ca="1" si="23"/>
        <v>24.268636363636361</v>
      </c>
      <c r="DL9" s="114">
        <v>19.899999999999999</v>
      </c>
      <c r="DM9" s="126">
        <f t="shared" ca="1" si="75"/>
        <v>-6.3686363636363623</v>
      </c>
      <c r="DN9" s="126">
        <f t="shared" ca="1" si="24"/>
        <v>-3</v>
      </c>
      <c r="DO9" s="356">
        <f t="shared" ca="1" si="25"/>
        <v>23.268636363636361</v>
      </c>
      <c r="DP9" s="114">
        <v>20.239999999999998</v>
      </c>
      <c r="DQ9" s="126">
        <f t="shared" ca="1" si="76"/>
        <v>-6.0286363636363625</v>
      </c>
      <c r="DR9" s="126">
        <f t="shared" ca="1" si="26"/>
        <v>-6</v>
      </c>
      <c r="DS9" s="356">
        <f t="shared" ca="1" si="27"/>
        <v>20.268636363636361</v>
      </c>
      <c r="DT9" s="114">
        <v>19.3</v>
      </c>
      <c r="DU9" s="126">
        <f t="shared" ca="1" si="77"/>
        <v>-6.9686363636363602</v>
      </c>
      <c r="DV9" s="126">
        <f t="shared" ca="1" si="28"/>
        <v>-5</v>
      </c>
      <c r="DW9" s="356">
        <f t="shared" ca="1" si="29"/>
        <v>21.268636363636361</v>
      </c>
      <c r="DY9" s="250"/>
      <c r="DZ9" s="258" t="s">
        <v>163</v>
      </c>
      <c r="EA9" s="258"/>
      <c r="EB9" s="258"/>
      <c r="EC9" s="258"/>
      <c r="ED9" s="257"/>
      <c r="EE9" s="256" t="s">
        <v>160</v>
      </c>
      <c r="EF9" s="257"/>
    </row>
    <row r="10" spans="1:137" ht="13.8" thickBot="1" x14ac:dyDescent="0.3">
      <c r="A10" s="160">
        <v>720</v>
      </c>
      <c r="B10" s="163">
        <v>9.2285156249999993E-3</v>
      </c>
      <c r="C10" s="163">
        <v>5.0097656249999999E-3</v>
      </c>
      <c r="D10" s="163">
        <v>2.2412109374999999E-3</v>
      </c>
      <c r="E10" s="163">
        <v>5.0490000000000005E-3</v>
      </c>
      <c r="F10" s="163">
        <v>1.1286000000000001E-2</v>
      </c>
      <c r="G10" s="164">
        <v>2.0790000000000003E-2</v>
      </c>
      <c r="I10" s="136">
        <f t="shared" ca="1" si="30"/>
        <v>37104</v>
      </c>
      <c r="J10" s="130">
        <f t="shared" ca="1" si="31"/>
        <v>37092</v>
      </c>
      <c r="K10" s="106">
        <f t="shared" ca="1" si="32"/>
        <v>0.65217391304347827</v>
      </c>
      <c r="L10" s="133">
        <f t="shared" ca="1" si="0"/>
        <v>101</v>
      </c>
      <c r="M10" s="134">
        <f t="shared" ca="1" si="1"/>
        <v>8</v>
      </c>
      <c r="N10" s="103">
        <f t="shared" ca="1" si="2"/>
        <v>23</v>
      </c>
      <c r="O10" s="104">
        <f t="shared" ca="1" si="33"/>
        <v>144</v>
      </c>
      <c r="P10" s="105">
        <f t="shared" ca="1" si="3"/>
        <v>0.41067761806981518</v>
      </c>
      <c r="Q10" s="105">
        <f t="shared" ca="1" si="4"/>
        <v>0.49281314168377821</v>
      </c>
      <c r="R10" s="114">
        <v>26.45</v>
      </c>
      <c r="S10" s="198">
        <v>0</v>
      </c>
      <c r="T10" s="189">
        <f t="shared" si="34"/>
        <v>26.45</v>
      </c>
      <c r="U10" s="199">
        <f t="shared" ca="1" si="5"/>
        <v>25.69913043478261</v>
      </c>
      <c r="V10" s="379">
        <f t="shared" ca="1" si="6"/>
        <v>25.69913043478261</v>
      </c>
      <c r="W10" s="483">
        <v>0.34200000000000003</v>
      </c>
      <c r="X10" s="166">
        <f t="shared" ca="1" si="7"/>
        <v>3</v>
      </c>
      <c r="Y10" s="91">
        <f t="shared" ca="1" si="51"/>
        <v>1.4747216776304447E-2</v>
      </c>
      <c r="Z10" s="91">
        <f t="shared" ca="1" si="52"/>
        <v>9.1201286859239634E-3</v>
      </c>
      <c r="AA10" s="91">
        <f t="shared" ca="1" si="53"/>
        <v>4.2028976613179454E-3</v>
      </c>
      <c r="AB10" s="91">
        <f t="shared" ca="1" si="54"/>
        <v>9.4682878514170711E-3</v>
      </c>
      <c r="AC10" s="91">
        <f t="shared" ca="1" si="55"/>
        <v>2.0545825903649506E-2</v>
      </c>
      <c r="AD10" s="91">
        <f t="shared" ca="1" si="56"/>
        <v>3.322252995365868E-2</v>
      </c>
      <c r="AE10" s="124">
        <v>6.3686408975876005E-2</v>
      </c>
      <c r="AF10" s="191">
        <f t="shared" ca="1" si="57"/>
        <v>0.96957625545013215</v>
      </c>
      <c r="AG10" s="189">
        <f t="shared" ca="1" si="35"/>
        <v>1</v>
      </c>
      <c r="AH10" s="192">
        <f t="shared" ca="1" si="9"/>
        <v>0</v>
      </c>
      <c r="AI10" s="192">
        <f t="shared" ca="1" si="58"/>
        <v>0</v>
      </c>
      <c r="AJ10" s="192">
        <f t="shared" ca="1" si="10"/>
        <v>0</v>
      </c>
      <c r="AK10" s="192">
        <f t="shared" ca="1" si="59"/>
        <v>0</v>
      </c>
      <c r="AL10" s="191" t="str">
        <f t="shared" ca="1" si="60"/>
        <v/>
      </c>
      <c r="AM10" s="191" t="str">
        <f t="shared" ca="1" si="61"/>
        <v/>
      </c>
      <c r="AN10" s="191" t="str">
        <f t="shared" ca="1" si="62"/>
        <v/>
      </c>
      <c r="AO10" s="193" t="str">
        <f t="shared" ca="1" si="63"/>
        <v/>
      </c>
      <c r="AP10" s="194" t="str">
        <f t="shared" ca="1" si="36"/>
        <v/>
      </c>
      <c r="AQ10" s="194" t="str">
        <f t="shared" ca="1" si="37"/>
        <v/>
      </c>
      <c r="AR10" s="195">
        <f ca="1">IF(AH10,_xll.xASN(AL10,Strike1,AE10,AP10,0,N10,0,P10,Q10,IF(OptControl=4,0,1),0),0)</f>
        <v>0</v>
      </c>
      <c r="AS10" s="196">
        <f ca="1">IF(AH10,_xll.xASN(AL10,Strike1,AE10,AP10,0,N10,0,P10,Q10,IF(OptControl=4,0,1),1),0)</f>
        <v>0</v>
      </c>
      <c r="AT10" s="196">
        <f ca="1">IF(AH10,_xll.xASN(AL10,Strike1,AE10,AP10,0,N10,0,P10,Q10,IF(OptControl=4,0,1),2),0)</f>
        <v>0</v>
      </c>
      <c r="AU10" s="196">
        <f ca="1">IF(AH10,_xll.xASN(AL10,Strike1,AE10,AP10,0,N10,0,P10,Q10,IF(OptControl=4,0,1),3)/100,0)</f>
        <v>0</v>
      </c>
      <c r="AV10" s="196">
        <f ca="1">IF(AH10,_xll.xASN(AL10,Strike1,AE10,AP10,0,N10,0,P10-DaysForThetaCalculation/365.25,Q10-DaysForThetaCalculation/365.25,IF(OptControl=4,0,1),0)-_xll.xASN(AL10,Strike1,AE10,AP10,0,N10,0,P10,Q10,IF(OptControl=4,0,1),0),0)</f>
        <v>0</v>
      </c>
      <c r="AW10" s="196">
        <f ca="1">IF(AH10,_xll.xASN(AL10,Strike2,AE10,AQ10,0,N10,0,P10,Q10,IF(OptControl=3,1,0),0),0)</f>
        <v>0</v>
      </c>
      <c r="AX10" s="196">
        <f ca="1">IF(AH10,_xll.xASN(AL10,Strike2,AE10,AQ10,0,N10,0,P10,Q10,IF(OptControl=3,1,0),1),0)</f>
        <v>0</v>
      </c>
      <c r="AY10" s="196">
        <f ca="1">IF(AH10,_xll.xASN(AL10,Strike2,AE10,AQ10,0,N10,0,P10,Q10,IF(OptControl=3,1,0),2),0)</f>
        <v>0</v>
      </c>
      <c r="AZ10" s="196">
        <f ca="1">IF(AH10,_xll.xASN(AL10,Strike2,AE10,AQ10,0,N10,0,P10,Q10,IF(OptControl=3,1,0),3)/100,0)</f>
        <v>0</v>
      </c>
      <c r="BA10" s="196">
        <f ca="1">IF(AH10,_xll.xASN(AL10,Strike2,AE10,AQ10,0,N10,0,P10-DaysForThetaCalculation/365.25,Q10-DaysForThetaCalculation/365.25,IF(OptControl=3,1,0),0)-_xll.xASN(AL10,Strike2,AE10,AQ10,0,N10,0,P10,Q10,IF(OptControl=3,1,0),0),0)</f>
        <v>0</v>
      </c>
      <c r="BB10" s="126" t="str">
        <f t="shared" ca="1" si="64"/>
        <v/>
      </c>
      <c r="BC10" s="191" t="str">
        <f t="shared" ca="1" si="65"/>
        <v/>
      </c>
      <c r="BD10" s="191" t="str">
        <f t="shared" ca="1" si="66"/>
        <v/>
      </c>
      <c r="BE10" s="190" t="str">
        <f t="shared" ca="1" si="67"/>
        <v/>
      </c>
      <c r="BF10" s="194" t="str">
        <f t="shared" ca="1" si="68"/>
        <v/>
      </c>
      <c r="BG10" s="194" t="str">
        <f t="shared" ca="1" si="69"/>
        <v/>
      </c>
      <c r="BH10" s="195">
        <f ca="1">IF(AH10,_xll.xEURO(BB10,Strike1,AE10,AE10,BF10,O10,IF(OptControl=4,0,1),0),0)</f>
        <v>0</v>
      </c>
      <c r="BI10" s="196">
        <f ca="1">IF(AH10,_xll.xEURO(BB10,Strike1,AE10,AE10,BF10,O10,IF(OptControl=4,0,1),1),0)</f>
        <v>0</v>
      </c>
      <c r="BJ10" s="196">
        <f ca="1">IF(AH10,_xll.xEURO(BB10,Strike1,AE10,AE10,BF10,O10,IF(OptControl=4,0,1),2),0)</f>
        <v>0</v>
      </c>
      <c r="BK10" s="196">
        <f ca="1">IF(AH10,_xll.xEURO(BB10,Strike1,AE10,AE10,BF10,O10,IF(OptControl=4,0,1),3)/100,0)</f>
        <v>0</v>
      </c>
      <c r="BL10" s="196">
        <f ca="1">IF(AH10,_xll.xEURO(BB10,Strike1,AE10,AE10,BF10,O10-DaysForThetaCalculation,IF(OptControl=4,0,1),0)-_xll.xEURO(BB10,Strike1,AE10,AE10,BF10,O10,IF(OptControl=4,0,1),0),0)</f>
        <v>0</v>
      </c>
      <c r="BM10" s="196">
        <f ca="1">IF(AH10,_xll.xEURO(BB10,Strike2,AE10,AE10,BG10,O10,IF(OptControl=3,1,0),0),0)</f>
        <v>0</v>
      </c>
      <c r="BN10" s="196">
        <f ca="1">IF(AH10,_xll.xEURO(BB10,Strike2,AE10,AE10,BG10,O10,IF(OptControl=3,1,0),1),0)</f>
        <v>0</v>
      </c>
      <c r="BO10" s="196">
        <f ca="1">IF(AH10,_xll.xEURO(BB10,Strike2,AE10,AE10,BG10,O10,IF(OptControl=3,1,0),2),0)</f>
        <v>0</v>
      </c>
      <c r="BP10" s="196">
        <f ca="1">IF(AH10,_xll.xEURO(BB10,Strike2,AE10,AE10,BG10,O10,IF(OptControl=3,1,0),3)/100,0)</f>
        <v>0</v>
      </c>
      <c r="BQ10" s="197">
        <f ca="1">IF(AH10,_xll.xEURO(BB10,Strike2,AE10,AE10,BG10,O10-DaysForThetaCalculation,IF(OptControl=3,1,0),0)-_xll.xEURO(BB10,Strike2,AE10,AE10,BG10,O10,IF(OptControl=3,1,0),0),0)</f>
        <v>0</v>
      </c>
      <c r="BR10" s="301"/>
      <c r="BS10" s="114">
        <v>32.802000000000007</v>
      </c>
      <c r="BT10" s="345">
        <f t="shared" si="11"/>
        <v>78.100000000000023</v>
      </c>
      <c r="BU10" s="345">
        <f t="shared" ca="1" si="38"/>
        <v>6.0318695652173879</v>
      </c>
      <c r="BV10" s="182">
        <v>0</v>
      </c>
      <c r="BW10" s="346">
        <f t="shared" ca="1" si="39"/>
        <v>6.0318695652173879</v>
      </c>
      <c r="BX10" s="372">
        <f t="shared" si="40"/>
        <v>78.100000000000023</v>
      </c>
      <c r="BY10" s="373">
        <f t="shared" si="41"/>
        <v>75.55</v>
      </c>
      <c r="BZ10" s="114">
        <v>29.315999999999999</v>
      </c>
      <c r="CA10" s="345">
        <f t="shared" si="12"/>
        <v>69.8</v>
      </c>
      <c r="CB10" s="345">
        <f t="shared" ca="1" si="13"/>
        <v>3.6168695652173888</v>
      </c>
      <c r="CC10" s="346">
        <f t="shared" ca="1" si="14"/>
        <v>3.6168695652173888</v>
      </c>
      <c r="CD10" s="345">
        <f t="shared" ca="1" si="15"/>
        <v>69.8</v>
      </c>
      <c r="CE10" s="347">
        <f t="shared" ca="1" si="70"/>
        <v>-5.75</v>
      </c>
      <c r="CF10" s="114">
        <v>27.817000000000004</v>
      </c>
      <c r="CG10" s="345">
        <f t="shared" si="16"/>
        <v>66.230952380952388</v>
      </c>
      <c r="CH10" s="345">
        <f t="shared" ca="1" si="42"/>
        <v>2.2438695652173912</v>
      </c>
      <c r="CI10" s="182">
        <v>0</v>
      </c>
      <c r="CJ10" s="346">
        <f t="shared" ca="1" si="43"/>
        <v>2.2438695652173912</v>
      </c>
      <c r="CK10" s="372">
        <f t="shared" si="44"/>
        <v>66.230952380952388</v>
      </c>
      <c r="CL10" s="373">
        <f t="shared" si="45"/>
        <v>66.530952380952385</v>
      </c>
      <c r="CM10" s="114">
        <v>26.893000000000001</v>
      </c>
      <c r="CN10" s="345">
        <f t="shared" si="17"/>
        <v>64.030952380952385</v>
      </c>
      <c r="CO10" s="345">
        <f t="shared" ca="1" si="46"/>
        <v>1.1938695652173905</v>
      </c>
      <c r="CP10" s="346">
        <f t="shared" ca="1" si="18"/>
        <v>1.1938695652173905</v>
      </c>
      <c r="CQ10" s="345">
        <f t="shared" ca="1" si="19"/>
        <v>64.030952380952385</v>
      </c>
      <c r="CR10" s="347">
        <f t="shared" ca="1" si="71"/>
        <v>-2.5</v>
      </c>
      <c r="CS10" s="114">
        <v>28.195</v>
      </c>
      <c r="CT10" s="345">
        <f t="shared" si="20"/>
        <v>67.13095238095238</v>
      </c>
      <c r="CU10" s="345">
        <f t="shared" si="72"/>
        <v>0.59999999999999432</v>
      </c>
      <c r="CV10" s="346">
        <f t="shared" si="21"/>
        <v>0.59999999999999432</v>
      </c>
      <c r="CW10" s="347">
        <f t="shared" si="73"/>
        <v>67.13095238095238</v>
      </c>
      <c r="CX10" s="483">
        <v>0.35</v>
      </c>
      <c r="CY10" s="190">
        <f t="shared" si="47"/>
        <v>7.9999999999999516E-3</v>
      </c>
      <c r="CZ10" s="352">
        <f t="shared" si="48"/>
        <v>7.9999999999999516E-3</v>
      </c>
      <c r="DA10" s="353">
        <f>MAIN!K10</f>
        <v>0.35</v>
      </c>
      <c r="DB10" s="483">
        <v>0.30599999999999999</v>
      </c>
      <c r="DC10" s="190">
        <f t="shared" si="49"/>
        <v>-3.6000000000000032E-2</v>
      </c>
      <c r="DD10" s="352">
        <f t="shared" si="50"/>
        <v>-3.6000000000000032E-2</v>
      </c>
      <c r="DE10" s="353">
        <f>MAIN!M10</f>
        <v>0.30599999999999999</v>
      </c>
      <c r="DG10" s="341"/>
      <c r="DH10" s="114">
        <v>20.399999999999999</v>
      </c>
      <c r="DI10" s="126">
        <f t="shared" ca="1" si="74"/>
        <v>-5.2991304347826116</v>
      </c>
      <c r="DJ10" s="126">
        <f t="shared" ca="1" si="22"/>
        <v>-2</v>
      </c>
      <c r="DK10" s="356">
        <f t="shared" ca="1" si="23"/>
        <v>23.69913043478261</v>
      </c>
      <c r="DL10" s="114">
        <v>19.899999999999999</v>
      </c>
      <c r="DM10" s="126">
        <f t="shared" ca="1" si="75"/>
        <v>-5.7991304347826116</v>
      </c>
      <c r="DN10" s="126">
        <f t="shared" ca="1" si="24"/>
        <v>-3</v>
      </c>
      <c r="DO10" s="356">
        <f t="shared" ca="1" si="25"/>
        <v>22.69913043478261</v>
      </c>
      <c r="DP10" s="114">
        <v>19.722000000000001</v>
      </c>
      <c r="DQ10" s="126">
        <f t="shared" ca="1" si="76"/>
        <v>-5.9771304347826089</v>
      </c>
      <c r="DR10" s="126">
        <f t="shared" ca="1" si="26"/>
        <v>-6</v>
      </c>
      <c r="DS10" s="356">
        <f t="shared" ca="1" si="27"/>
        <v>19.69913043478261</v>
      </c>
      <c r="DT10" s="114">
        <v>19.3</v>
      </c>
      <c r="DU10" s="126">
        <f t="shared" ca="1" si="77"/>
        <v>-6.3991304347826095</v>
      </c>
      <c r="DV10" s="126">
        <f t="shared" ca="1" si="28"/>
        <v>-5</v>
      </c>
      <c r="DW10" s="356">
        <f t="shared" ca="1" si="29"/>
        <v>20.69913043478261</v>
      </c>
      <c r="DY10" s="74" t="s">
        <v>5</v>
      </c>
      <c r="DZ10" s="62" t="s">
        <v>164</v>
      </c>
      <c r="EA10" s="21"/>
      <c r="EB10" s="284" t="s">
        <v>165</v>
      </c>
      <c r="EC10" s="21"/>
      <c r="ED10" s="242" t="s">
        <v>144</v>
      </c>
      <c r="EE10" s="247" t="s">
        <v>140</v>
      </c>
      <c r="EF10" s="247" t="s">
        <v>167</v>
      </c>
    </row>
    <row r="11" spans="1:137" ht="13.8" thickBot="1" x14ac:dyDescent="0.3">
      <c r="I11" s="136">
        <f t="shared" ca="1" si="30"/>
        <v>37135</v>
      </c>
      <c r="J11" s="130">
        <f t="shared" ca="1" si="31"/>
        <v>37124</v>
      </c>
      <c r="K11" s="106">
        <f t="shared" ca="1" si="32"/>
        <v>0.7</v>
      </c>
      <c r="L11" s="133">
        <f t="shared" ca="1" si="0"/>
        <v>101</v>
      </c>
      <c r="M11" s="134">
        <f t="shared" ca="1" si="1"/>
        <v>9</v>
      </c>
      <c r="N11" s="103">
        <f t="shared" ca="1" si="2"/>
        <v>20</v>
      </c>
      <c r="O11" s="104">
        <f t="shared" ca="1" si="33"/>
        <v>177</v>
      </c>
      <c r="P11" s="105">
        <f t="shared" ca="1" si="3"/>
        <v>0.49555099247091033</v>
      </c>
      <c r="Q11" s="105">
        <f t="shared" ca="1" si="4"/>
        <v>0.57494866529774125</v>
      </c>
      <c r="R11" s="114">
        <v>25.88</v>
      </c>
      <c r="S11" s="198">
        <v>0</v>
      </c>
      <c r="T11" s="189">
        <f t="shared" si="34"/>
        <v>25.88</v>
      </c>
      <c r="U11" s="199">
        <f t="shared" ca="1" si="5"/>
        <v>25.228000000000002</v>
      </c>
      <c r="V11" s="379">
        <f t="shared" ca="1" si="6"/>
        <v>25.228000000000002</v>
      </c>
      <c r="W11" s="483">
        <v>0.32845000000000002</v>
      </c>
      <c r="X11" s="166">
        <f t="shared" ca="1" si="7"/>
        <v>4</v>
      </c>
      <c r="Y11" s="91">
        <f t="shared" ca="1" si="51"/>
        <v>1.4223866631478371E-2</v>
      </c>
      <c r="Z11" s="91">
        <f t="shared" ca="1" si="52"/>
        <v>8.6896547523093587E-3</v>
      </c>
      <c r="AA11" s="91">
        <f t="shared" ca="1" si="53"/>
        <v>3.9501781063233541E-3</v>
      </c>
      <c r="AB11" s="91">
        <f t="shared" ca="1" si="54"/>
        <v>8.8989612379252563E-3</v>
      </c>
      <c r="AC11" s="91">
        <f t="shared" ca="1" si="55"/>
        <v>1.9576054226002525E-2</v>
      </c>
      <c r="AD11" s="91">
        <f t="shared" ca="1" si="56"/>
        <v>3.2043526747394489E-2</v>
      </c>
      <c r="AE11" s="124">
        <v>6.4462634696531004E-2</v>
      </c>
      <c r="AF11" s="191">
        <f t="shared" ca="1" si="57"/>
        <v>0.96417935603488114</v>
      </c>
      <c r="AG11" s="189">
        <f t="shared" ca="1" si="35"/>
        <v>1</v>
      </c>
      <c r="AH11" s="192">
        <f t="shared" ca="1" si="9"/>
        <v>0</v>
      </c>
      <c r="AI11" s="192">
        <f t="shared" ca="1" si="58"/>
        <v>0</v>
      </c>
      <c r="AJ11" s="192">
        <f t="shared" ca="1" si="10"/>
        <v>0</v>
      </c>
      <c r="AK11" s="192">
        <f t="shared" ca="1" si="59"/>
        <v>0</v>
      </c>
      <c r="AL11" s="191" t="str">
        <f t="shared" ca="1" si="60"/>
        <v/>
      </c>
      <c r="AM11" s="191" t="str">
        <f t="shared" ca="1" si="61"/>
        <v/>
      </c>
      <c r="AN11" s="191" t="str">
        <f t="shared" ca="1" si="62"/>
        <v/>
      </c>
      <c r="AO11" s="193" t="str">
        <f t="shared" ca="1" si="63"/>
        <v/>
      </c>
      <c r="AP11" s="194" t="str">
        <f t="shared" ca="1" si="36"/>
        <v/>
      </c>
      <c r="AQ11" s="194" t="str">
        <f t="shared" ca="1" si="37"/>
        <v/>
      </c>
      <c r="AR11" s="195">
        <f ca="1">IF(AH11,_xll.xASN(AL11,Strike1,AE11,AP11,0,N11,0,P11,Q11,IF(OptControl=4,0,1),0),0)</f>
        <v>0</v>
      </c>
      <c r="AS11" s="196">
        <f ca="1">IF(AH11,_xll.xASN(AL11,Strike1,AE11,AP11,0,N11,0,P11,Q11,IF(OptControl=4,0,1),1),0)</f>
        <v>0</v>
      </c>
      <c r="AT11" s="196">
        <f ca="1">IF(AH11,_xll.xASN(AL11,Strike1,AE11,AP11,0,N11,0,P11,Q11,IF(OptControl=4,0,1),2),0)</f>
        <v>0</v>
      </c>
      <c r="AU11" s="196">
        <f ca="1">IF(AH11,_xll.xASN(AL11,Strike1,AE11,AP11,0,N11,0,P11,Q11,IF(OptControl=4,0,1),3)/100,0)</f>
        <v>0</v>
      </c>
      <c r="AV11" s="196">
        <f ca="1">IF(AH11,_xll.xASN(AL11,Strike1,AE11,AP11,0,N11,0,P11-DaysForThetaCalculation/365.25,Q11-DaysForThetaCalculation/365.25,IF(OptControl=4,0,1),0)-_xll.xASN(AL11,Strike1,AE11,AP11,0,N11,0,P11,Q11,IF(OptControl=4,0,1),0),0)</f>
        <v>0</v>
      </c>
      <c r="AW11" s="196">
        <f ca="1">IF(AH11,_xll.xASN(AL11,Strike2,AE11,AQ11,0,N11,0,P11,Q11,IF(OptControl=3,1,0),0),0)</f>
        <v>0</v>
      </c>
      <c r="AX11" s="196">
        <f ca="1">IF(AH11,_xll.xASN(AL11,Strike2,AE11,AQ11,0,N11,0,P11,Q11,IF(OptControl=3,1,0),1),0)</f>
        <v>0</v>
      </c>
      <c r="AY11" s="196">
        <f ca="1">IF(AH11,_xll.xASN(AL11,Strike2,AE11,AQ11,0,N11,0,P11,Q11,IF(OptControl=3,1,0),2),0)</f>
        <v>0</v>
      </c>
      <c r="AZ11" s="196">
        <f ca="1">IF(AH11,_xll.xASN(AL11,Strike2,AE11,AQ11,0,N11,0,P11,Q11,IF(OptControl=3,1,0),3)/100,0)</f>
        <v>0</v>
      </c>
      <c r="BA11" s="196">
        <f ca="1">IF(AH11,_xll.xASN(AL11,Strike2,AE11,AQ11,0,N11,0,P11-DaysForThetaCalculation/365.25,Q11-DaysForThetaCalculation/365.25,IF(OptControl=3,1,0),0)-_xll.xASN(AL11,Strike2,AE11,AQ11,0,N11,0,P11,Q11,IF(OptControl=3,1,0),0),0)</f>
        <v>0</v>
      </c>
      <c r="BB11" s="126" t="str">
        <f t="shared" ca="1" si="64"/>
        <v/>
      </c>
      <c r="BC11" s="191" t="str">
        <f t="shared" ca="1" si="65"/>
        <v/>
      </c>
      <c r="BD11" s="191" t="str">
        <f t="shared" ca="1" si="66"/>
        <v/>
      </c>
      <c r="BE11" s="190" t="str">
        <f t="shared" ca="1" si="67"/>
        <v/>
      </c>
      <c r="BF11" s="194" t="str">
        <f t="shared" ca="1" si="68"/>
        <v/>
      </c>
      <c r="BG11" s="194" t="str">
        <f t="shared" ca="1" si="69"/>
        <v/>
      </c>
      <c r="BH11" s="195">
        <f ca="1">IF(AH11,_xll.xEURO(BB11,Strike1,AE11,AE11,BF11,O11,IF(OptControl=4,0,1),0),0)</f>
        <v>0</v>
      </c>
      <c r="BI11" s="196">
        <f ca="1">IF(AH11,_xll.xEURO(BB11,Strike1,AE11,AE11,BF11,O11,IF(OptControl=4,0,1),1),0)</f>
        <v>0</v>
      </c>
      <c r="BJ11" s="196">
        <f ca="1">IF(AH11,_xll.xEURO(BB11,Strike1,AE11,AE11,BF11,O11,IF(OptControl=4,0,1),2),0)</f>
        <v>0</v>
      </c>
      <c r="BK11" s="196">
        <f ca="1">IF(AH11,_xll.xEURO(BB11,Strike1,AE11,AE11,BF11,O11,IF(OptControl=4,0,1),3)/100,0)</f>
        <v>0</v>
      </c>
      <c r="BL11" s="196">
        <f ca="1">IF(AH11,_xll.xEURO(BB11,Strike1,AE11,AE11,BF11,O11-DaysForThetaCalculation,IF(OptControl=4,0,1),0)-_xll.xEURO(BB11,Strike1,AE11,AE11,BF11,O11,IF(OptControl=4,0,1),0),0)</f>
        <v>0</v>
      </c>
      <c r="BM11" s="196">
        <f ca="1">IF(AH11,_xll.xEURO(BB11,Strike2,AE11,AE11,BG11,O11,IF(OptControl=3,1,0),0),0)</f>
        <v>0</v>
      </c>
      <c r="BN11" s="196">
        <f ca="1">IF(AH11,_xll.xEURO(BB11,Strike2,AE11,AE11,BG11,O11,IF(OptControl=3,1,0),1),0)</f>
        <v>0</v>
      </c>
      <c r="BO11" s="196">
        <f ca="1">IF(AH11,_xll.xEURO(BB11,Strike2,AE11,AE11,BG11,O11,IF(OptControl=3,1,0),2),0)</f>
        <v>0</v>
      </c>
      <c r="BP11" s="196">
        <f ca="1">IF(AH11,_xll.xEURO(BB11,Strike2,AE11,AE11,BG11,O11,IF(OptControl=3,1,0),3)/100,0)</f>
        <v>0</v>
      </c>
      <c r="BQ11" s="197">
        <f ca="1">IF(AH11,_xll.xEURO(BB11,Strike2,AE11,AE11,BG11,O11-DaysForThetaCalculation,IF(OptControl=3,1,0),0)-_xll.xEURO(BB11,Strike2,AE11,AE11,BG11,O11,IF(OptControl=3,1,0),0),0)</f>
        <v>0</v>
      </c>
      <c r="BR11" s="301"/>
      <c r="BS11" s="114">
        <v>31.730999999999998</v>
      </c>
      <c r="BT11" s="345">
        <f t="shared" si="11"/>
        <v>75.55</v>
      </c>
      <c r="BU11" s="345">
        <f t="shared" ca="1" si="38"/>
        <v>4.9490000000000016</v>
      </c>
      <c r="BV11" s="182">
        <v>0</v>
      </c>
      <c r="BW11" s="346">
        <f t="shared" ca="1" si="39"/>
        <v>4.9490000000000016</v>
      </c>
      <c r="BX11" s="372">
        <f t="shared" si="40"/>
        <v>75.55</v>
      </c>
      <c r="BY11" s="373">
        <f t="shared" si="41"/>
        <v>71.850000000000009</v>
      </c>
      <c r="BZ11" s="114">
        <v>27.762000000000004</v>
      </c>
      <c r="CA11" s="345">
        <f t="shared" si="12"/>
        <v>66.100000000000009</v>
      </c>
      <c r="CB11" s="345">
        <f t="shared" ca="1" si="13"/>
        <v>2.5340000000000025</v>
      </c>
      <c r="CC11" s="346">
        <f t="shared" ca="1" si="14"/>
        <v>2.5340000000000025</v>
      </c>
      <c r="CD11" s="345">
        <f t="shared" ca="1" si="15"/>
        <v>66.100000000000009</v>
      </c>
      <c r="CE11" s="347">
        <f t="shared" ca="1" si="70"/>
        <v>-5.75</v>
      </c>
      <c r="CF11" s="114">
        <v>27.943000000000001</v>
      </c>
      <c r="CG11" s="345">
        <f t="shared" si="16"/>
        <v>66.530952380952385</v>
      </c>
      <c r="CH11" s="345">
        <f t="shared" ca="1" si="42"/>
        <v>2.8410000000000011</v>
      </c>
      <c r="CI11" s="182">
        <v>0</v>
      </c>
      <c r="CJ11" s="346">
        <f t="shared" ca="1" si="43"/>
        <v>2.8410000000000011</v>
      </c>
      <c r="CK11" s="372">
        <f t="shared" si="44"/>
        <v>66.530952380952385</v>
      </c>
      <c r="CL11" s="373">
        <f t="shared" si="45"/>
        <v>66.830952380952382</v>
      </c>
      <c r="CM11" s="114">
        <v>27.019000000000002</v>
      </c>
      <c r="CN11" s="345">
        <f t="shared" si="17"/>
        <v>64.330952380952382</v>
      </c>
      <c r="CO11" s="345">
        <f t="shared" ca="1" si="46"/>
        <v>1.7910000000000004</v>
      </c>
      <c r="CP11" s="346">
        <f t="shared" ca="1" si="18"/>
        <v>1.7910000000000004</v>
      </c>
      <c r="CQ11" s="345">
        <f t="shared" ca="1" si="19"/>
        <v>64.330952380952382</v>
      </c>
      <c r="CR11" s="347">
        <f t="shared" ca="1" si="71"/>
        <v>-2.5</v>
      </c>
      <c r="CS11" s="114">
        <v>28.320999999999998</v>
      </c>
      <c r="CT11" s="345">
        <f t="shared" si="20"/>
        <v>67.430952380952377</v>
      </c>
      <c r="CU11" s="345">
        <f t="shared" si="72"/>
        <v>0.59999999999999432</v>
      </c>
      <c r="CV11" s="346">
        <f t="shared" si="21"/>
        <v>0.59999999999999432</v>
      </c>
      <c r="CW11" s="347">
        <f t="shared" si="73"/>
        <v>67.430952380952377</v>
      </c>
      <c r="CX11" s="483">
        <v>0.33600000000000002</v>
      </c>
      <c r="CY11" s="190">
        <f t="shared" si="47"/>
        <v>7.5500000000000012E-3</v>
      </c>
      <c r="CZ11" s="352">
        <f t="shared" si="48"/>
        <v>7.5500000000000012E-3</v>
      </c>
      <c r="DA11" s="353">
        <f>MAIN!K11</f>
        <v>0.33600000000000002</v>
      </c>
      <c r="DB11" s="483">
        <v>0.30299999999999999</v>
      </c>
      <c r="DC11" s="190">
        <f t="shared" si="49"/>
        <v>-2.5450000000000028E-2</v>
      </c>
      <c r="DD11" s="352">
        <f t="shared" si="50"/>
        <v>-2.5450000000000028E-2</v>
      </c>
      <c r="DE11" s="353">
        <f>MAIN!M11</f>
        <v>0.30299999999999999</v>
      </c>
      <c r="DG11" s="341"/>
      <c r="DH11" s="114">
        <v>20.399999999999999</v>
      </c>
      <c r="DI11" s="126">
        <f t="shared" ca="1" si="74"/>
        <v>-4.828000000000003</v>
      </c>
      <c r="DJ11" s="126">
        <f t="shared" ca="1" si="22"/>
        <v>-2</v>
      </c>
      <c r="DK11" s="356">
        <f t="shared" ca="1" si="23"/>
        <v>23.228000000000002</v>
      </c>
      <c r="DL11" s="114">
        <v>19.899999999999999</v>
      </c>
      <c r="DM11" s="126">
        <f t="shared" ca="1" si="75"/>
        <v>-5.328000000000003</v>
      </c>
      <c r="DN11" s="126">
        <f t="shared" ca="1" si="24"/>
        <v>-3</v>
      </c>
      <c r="DO11" s="356">
        <f t="shared" ca="1" si="25"/>
        <v>22.228000000000002</v>
      </c>
      <c r="DP11" s="114">
        <v>19.213000000000001</v>
      </c>
      <c r="DQ11" s="126">
        <f t="shared" ca="1" si="76"/>
        <v>-6.0150000000000006</v>
      </c>
      <c r="DR11" s="126">
        <f t="shared" ca="1" si="26"/>
        <v>-6</v>
      </c>
      <c r="DS11" s="356">
        <f t="shared" ca="1" si="27"/>
        <v>19.228000000000002</v>
      </c>
      <c r="DT11" s="114">
        <v>19.3</v>
      </c>
      <c r="DU11" s="126">
        <f t="shared" ca="1" si="77"/>
        <v>-5.9280000000000008</v>
      </c>
      <c r="DV11" s="126">
        <f t="shared" ca="1" si="28"/>
        <v>-5</v>
      </c>
      <c r="DW11" s="356">
        <f t="shared" ca="1" si="29"/>
        <v>20.228000000000002</v>
      </c>
      <c r="DY11" s="251"/>
      <c r="DZ11" s="236" t="s">
        <v>134</v>
      </c>
      <c r="EA11" s="249" t="s">
        <v>141</v>
      </c>
      <c r="EB11" s="78" t="s">
        <v>134</v>
      </c>
      <c r="EC11" s="249" t="s">
        <v>141</v>
      </c>
      <c r="ED11" s="252" t="s">
        <v>162</v>
      </c>
      <c r="EE11" s="251"/>
      <c r="EF11" s="251" t="s">
        <v>166</v>
      </c>
    </row>
    <row r="12" spans="1:137" x14ac:dyDescent="0.25">
      <c r="B12" s="395">
        <v>35916</v>
      </c>
      <c r="C12" s="398">
        <v>35906</v>
      </c>
      <c r="I12" s="136">
        <f t="shared" ca="1" si="30"/>
        <v>37165</v>
      </c>
      <c r="J12" s="130">
        <f t="shared" ca="1" si="31"/>
        <v>37154</v>
      </c>
      <c r="K12" s="106">
        <f t="shared" ca="1" si="32"/>
        <v>0.69565217391304346</v>
      </c>
      <c r="L12" s="133">
        <f t="shared" ca="1" si="0"/>
        <v>101</v>
      </c>
      <c r="M12" s="134">
        <f t="shared" ca="1" si="1"/>
        <v>10</v>
      </c>
      <c r="N12" s="103">
        <f t="shared" ca="1" si="2"/>
        <v>23</v>
      </c>
      <c r="O12" s="104">
        <f t="shared" ca="1" si="33"/>
        <v>205</v>
      </c>
      <c r="P12" s="105">
        <f t="shared" ca="1" si="3"/>
        <v>0.57768651608487342</v>
      </c>
      <c r="Q12" s="105">
        <f t="shared" ca="1" si="4"/>
        <v>0.65982203969883646</v>
      </c>
      <c r="R12" s="114">
        <v>25.36</v>
      </c>
      <c r="S12" s="198">
        <v>0</v>
      </c>
      <c r="T12" s="189">
        <f t="shared" si="34"/>
        <v>25.36</v>
      </c>
      <c r="U12" s="199">
        <f t="shared" ca="1" si="5"/>
        <v>24.795217391304348</v>
      </c>
      <c r="V12" s="379">
        <f t="shared" ca="1" si="6"/>
        <v>24.795217391304348</v>
      </c>
      <c r="W12" s="483">
        <v>0.31585000000000002</v>
      </c>
      <c r="X12" s="166">
        <f t="shared" ca="1" si="7"/>
        <v>4</v>
      </c>
      <c r="Y12" s="91">
        <f t="shared" ca="1" si="51"/>
        <v>1.3798147945283896E-2</v>
      </c>
      <c r="Z12" s="91">
        <f t="shared" ca="1" si="52"/>
        <v>8.3511398506441546E-3</v>
      </c>
      <c r="AA12" s="91">
        <f t="shared" ca="1" si="53"/>
        <v>3.8059669158999388E-3</v>
      </c>
      <c r="AB12" s="91">
        <f t="shared" ca="1" si="54"/>
        <v>8.5740822681393859E-3</v>
      </c>
      <c r="AC12" s="91">
        <f t="shared" ca="1" si="55"/>
        <v>1.8813447855531153E-2</v>
      </c>
      <c r="AD12" s="91">
        <f t="shared" ca="1" si="56"/>
        <v>3.1084467691135573E-2</v>
      </c>
      <c r="AE12" s="124">
        <v>6.5141357211940004E-2</v>
      </c>
      <c r="AF12" s="191">
        <f t="shared" ca="1" si="57"/>
        <v>0.95858545193851408</v>
      </c>
      <c r="AG12" s="189">
        <f t="shared" ca="1" si="35"/>
        <v>1</v>
      </c>
      <c r="AH12" s="192">
        <f t="shared" ca="1" si="9"/>
        <v>0</v>
      </c>
      <c r="AI12" s="192">
        <f t="shared" ca="1" si="58"/>
        <v>0</v>
      </c>
      <c r="AJ12" s="192">
        <f t="shared" ca="1" si="10"/>
        <v>0</v>
      </c>
      <c r="AK12" s="192">
        <f t="shared" ca="1" si="59"/>
        <v>0</v>
      </c>
      <c r="AL12" s="191" t="str">
        <f t="shared" ca="1" si="60"/>
        <v/>
      </c>
      <c r="AM12" s="191" t="str">
        <f t="shared" ca="1" si="61"/>
        <v/>
      </c>
      <c r="AN12" s="191" t="str">
        <f t="shared" ca="1" si="62"/>
        <v/>
      </c>
      <c r="AO12" s="193" t="str">
        <f t="shared" ca="1" si="63"/>
        <v/>
      </c>
      <c r="AP12" s="194" t="str">
        <f t="shared" ca="1" si="36"/>
        <v/>
      </c>
      <c r="AQ12" s="194" t="str">
        <f t="shared" ca="1" si="37"/>
        <v/>
      </c>
      <c r="AR12" s="195">
        <f ca="1">IF(AH12,_xll.xASN(AL12,Strike1,AE12,AP12,0,N12,0,P12,Q12,IF(OptControl=4,0,1),0),0)</f>
        <v>0</v>
      </c>
      <c r="AS12" s="196">
        <f ca="1">IF(AH12,_xll.xASN(AL12,Strike1,AE12,AP12,0,N12,0,P12,Q12,IF(OptControl=4,0,1),1),0)</f>
        <v>0</v>
      </c>
      <c r="AT12" s="196">
        <f ca="1">IF(AH12,_xll.xASN(AL12,Strike1,AE12,AP12,0,N12,0,P12,Q12,IF(OptControl=4,0,1),2),0)</f>
        <v>0</v>
      </c>
      <c r="AU12" s="196">
        <f ca="1">IF(AH12,_xll.xASN(AL12,Strike1,AE12,AP12,0,N12,0,P12,Q12,IF(OptControl=4,0,1),3)/100,0)</f>
        <v>0</v>
      </c>
      <c r="AV12" s="196">
        <f ca="1">IF(AH12,_xll.xASN(AL12,Strike1,AE12,AP12,0,N12,0,P12-DaysForThetaCalculation/365.25,Q12-DaysForThetaCalculation/365.25,IF(OptControl=4,0,1),0)-_xll.xASN(AL12,Strike1,AE12,AP12,0,N12,0,P12,Q12,IF(OptControl=4,0,1),0),0)</f>
        <v>0</v>
      </c>
      <c r="AW12" s="196">
        <f ca="1">IF(AH12,_xll.xASN(AL12,Strike2,AE12,AQ12,0,N12,0,P12,Q12,IF(OptControl=3,1,0),0),0)</f>
        <v>0</v>
      </c>
      <c r="AX12" s="196">
        <f ca="1">IF(AH12,_xll.xASN(AL12,Strike2,AE12,AQ12,0,N12,0,P12,Q12,IF(OptControl=3,1,0),1),0)</f>
        <v>0</v>
      </c>
      <c r="AY12" s="196">
        <f ca="1">IF(AH12,_xll.xASN(AL12,Strike2,AE12,AQ12,0,N12,0,P12,Q12,IF(OptControl=3,1,0),2),0)</f>
        <v>0</v>
      </c>
      <c r="AZ12" s="196">
        <f ca="1">IF(AH12,_xll.xASN(AL12,Strike2,AE12,AQ12,0,N12,0,P12,Q12,IF(OptControl=3,1,0),3)/100,0)</f>
        <v>0</v>
      </c>
      <c r="BA12" s="196">
        <f ca="1">IF(AH12,_xll.xASN(AL12,Strike2,AE12,AQ12,0,N12,0,P12-DaysForThetaCalculation/365.25,Q12-DaysForThetaCalculation/365.25,IF(OptControl=3,1,0),0)-_xll.xASN(AL12,Strike2,AE12,AQ12,0,N12,0,P12,Q12,IF(OptControl=3,1,0),0),0)</f>
        <v>0</v>
      </c>
      <c r="BB12" s="126" t="str">
        <f t="shared" ca="1" si="64"/>
        <v/>
      </c>
      <c r="BC12" s="191" t="str">
        <f t="shared" ca="1" si="65"/>
        <v/>
      </c>
      <c r="BD12" s="191" t="str">
        <f t="shared" ca="1" si="66"/>
        <v/>
      </c>
      <c r="BE12" s="190" t="str">
        <f t="shared" ca="1" si="67"/>
        <v/>
      </c>
      <c r="BF12" s="194" t="str">
        <f t="shared" ca="1" si="68"/>
        <v/>
      </c>
      <c r="BG12" s="194" t="str">
        <f t="shared" ca="1" si="69"/>
        <v/>
      </c>
      <c r="BH12" s="195">
        <f ca="1">IF(AH12,_xll.xEURO(BB12,Strike1,AE12,AE12,BF12,O12,IF(OptControl=4,0,1),0),0)</f>
        <v>0</v>
      </c>
      <c r="BI12" s="196">
        <f ca="1">IF(AH12,_xll.xEURO(BB12,Strike1,AE12,AE12,BF12,O12,IF(OptControl=4,0,1),1),0)</f>
        <v>0</v>
      </c>
      <c r="BJ12" s="196">
        <f ca="1">IF(AH12,_xll.xEURO(BB12,Strike1,AE12,AE12,BF12,O12,IF(OptControl=4,0,1),2),0)</f>
        <v>0</v>
      </c>
      <c r="BK12" s="196">
        <f ca="1">IF(AH12,_xll.xEURO(BB12,Strike1,AE12,AE12,BF12,O12,IF(OptControl=4,0,1),3)/100,0)</f>
        <v>0</v>
      </c>
      <c r="BL12" s="196">
        <f ca="1">IF(AH12,_xll.xEURO(BB12,Strike1,AE12,AE12,BF12,O12-DaysForThetaCalculation,IF(OptControl=4,0,1),0)-_xll.xEURO(BB12,Strike1,AE12,AE12,BF12,O12,IF(OptControl=4,0,1),0),0)</f>
        <v>0</v>
      </c>
      <c r="BM12" s="196">
        <f ca="1">IF(AH12,_xll.xEURO(BB12,Strike2,AE12,AE12,BG12,O12,IF(OptControl=3,1,0),0),0)</f>
        <v>0</v>
      </c>
      <c r="BN12" s="196">
        <f ca="1">IF(AH12,_xll.xEURO(BB12,Strike2,AE12,AE12,BG12,O12,IF(OptControl=3,1,0),1),0)</f>
        <v>0</v>
      </c>
      <c r="BO12" s="196">
        <f ca="1">IF(AH12,_xll.xEURO(BB12,Strike2,AE12,AE12,BG12,O12,IF(OptControl=3,1,0),2),0)</f>
        <v>0</v>
      </c>
      <c r="BP12" s="196">
        <f ca="1">IF(AH12,_xll.xEURO(BB12,Strike2,AE12,AE12,BG12,O12,IF(OptControl=3,1,0),3)/100,0)</f>
        <v>0</v>
      </c>
      <c r="BQ12" s="197">
        <f ca="1">IF(AH12,_xll.xEURO(BB12,Strike2,AE12,AE12,BG12,O12-DaysForThetaCalculation,IF(OptControl=3,1,0),0)-_xll.xEURO(BB12,Strike2,AE12,AE12,BG12,O12,IF(OptControl=3,1,0),0),0)</f>
        <v>0</v>
      </c>
      <c r="BR12" s="301"/>
      <c r="BS12" s="114">
        <v>30.177000000000003</v>
      </c>
      <c r="BT12" s="345">
        <f t="shared" si="11"/>
        <v>71.850000000000009</v>
      </c>
      <c r="BU12" s="345">
        <f t="shared" ca="1" si="38"/>
        <v>4.5417826086956552</v>
      </c>
      <c r="BV12" s="182">
        <v>0</v>
      </c>
      <c r="BW12" s="346">
        <f t="shared" ca="1" si="39"/>
        <v>4.5417826086956552</v>
      </c>
      <c r="BX12" s="372">
        <f t="shared" si="40"/>
        <v>71.850000000000009</v>
      </c>
      <c r="BY12" s="373">
        <f t="shared" si="41"/>
        <v>69.850000000000009</v>
      </c>
      <c r="BZ12" s="114">
        <v>27.027000000000005</v>
      </c>
      <c r="CA12" s="345">
        <f t="shared" si="12"/>
        <v>64.350000000000009</v>
      </c>
      <c r="CB12" s="345">
        <f t="shared" ca="1" si="13"/>
        <v>2.2317826086956565</v>
      </c>
      <c r="CC12" s="346">
        <f t="shared" ca="1" si="14"/>
        <v>2.2317826086956565</v>
      </c>
      <c r="CD12" s="345">
        <f t="shared" ca="1" si="15"/>
        <v>64.350000000000009</v>
      </c>
      <c r="CE12" s="347">
        <f t="shared" ca="1" si="70"/>
        <v>-5.5</v>
      </c>
      <c r="CF12" s="114">
        <v>28.069000000000003</v>
      </c>
      <c r="CG12" s="345">
        <f t="shared" si="16"/>
        <v>66.830952380952382</v>
      </c>
      <c r="CH12" s="345">
        <f t="shared" ca="1" si="42"/>
        <v>3.3997826086956522</v>
      </c>
      <c r="CI12" s="182">
        <v>0</v>
      </c>
      <c r="CJ12" s="346">
        <f t="shared" ca="1" si="43"/>
        <v>3.3997826086956522</v>
      </c>
      <c r="CK12" s="372">
        <f t="shared" si="44"/>
        <v>66.830952380952382</v>
      </c>
      <c r="CL12" s="373">
        <f t="shared" si="45"/>
        <v>67.13095238095238</v>
      </c>
      <c r="CM12" s="114">
        <v>26.998000000000001</v>
      </c>
      <c r="CN12" s="345">
        <f t="shared" si="17"/>
        <v>64.280952380952385</v>
      </c>
      <c r="CO12" s="345">
        <f t="shared" ca="1" si="46"/>
        <v>2.202782608695653</v>
      </c>
      <c r="CP12" s="346">
        <f t="shared" ca="1" si="18"/>
        <v>2.202782608695653</v>
      </c>
      <c r="CQ12" s="345">
        <f t="shared" ca="1" si="19"/>
        <v>64.280952380952385</v>
      </c>
      <c r="CR12" s="347">
        <f t="shared" ca="1" si="71"/>
        <v>-2.8499999999999943</v>
      </c>
      <c r="CS12" s="114">
        <v>28.447000000000003</v>
      </c>
      <c r="CT12" s="345">
        <f t="shared" si="20"/>
        <v>67.730952380952388</v>
      </c>
      <c r="CU12" s="345">
        <f t="shared" si="72"/>
        <v>0.60000000000000853</v>
      </c>
      <c r="CV12" s="346">
        <f t="shared" si="21"/>
        <v>0.60000000000000853</v>
      </c>
      <c r="CW12" s="347">
        <f t="shared" si="73"/>
        <v>67.730952380952388</v>
      </c>
      <c r="CX12" s="483">
        <v>0.316</v>
      </c>
      <c r="CY12" s="190">
        <f t="shared" si="47"/>
        <v>1.4999999999998348E-4</v>
      </c>
      <c r="CZ12" s="190">
        <f t="shared" ref="CZ12:CZ75" ca="1" si="78">VLOOKUP(1900+$L12,ProductSpreadTable,7)</f>
        <v>-0.03</v>
      </c>
      <c r="DA12" s="354">
        <f t="shared" ref="DA12:DA69" ca="1" si="79">$W12+CZ12</f>
        <v>0.28585000000000005</v>
      </c>
      <c r="DB12" s="483">
        <v>0.30400000000000005</v>
      </c>
      <c r="DC12" s="190">
        <f t="shared" si="49"/>
        <v>-1.1849999999999972E-2</v>
      </c>
      <c r="DD12" s="352">
        <f t="shared" si="50"/>
        <v>-1.1849999999999972E-2</v>
      </c>
      <c r="DE12" s="353">
        <f>MAIN!M12</f>
        <v>0.30400000000000005</v>
      </c>
      <c r="DG12" s="341"/>
      <c r="DH12" s="114">
        <v>20.64</v>
      </c>
      <c r="DI12" s="126">
        <f t="shared" ca="1" si="74"/>
        <v>-4.1552173913043475</v>
      </c>
      <c r="DJ12" s="126">
        <f t="shared" ca="1" si="22"/>
        <v>-2</v>
      </c>
      <c r="DK12" s="356">
        <f t="shared" ca="1" si="23"/>
        <v>22.795217391304348</v>
      </c>
      <c r="DL12" s="114">
        <v>19.54</v>
      </c>
      <c r="DM12" s="126">
        <f t="shared" ca="1" si="75"/>
        <v>-5.255217391304349</v>
      </c>
      <c r="DN12" s="126">
        <f t="shared" ca="1" si="24"/>
        <v>-3</v>
      </c>
      <c r="DO12" s="356">
        <f t="shared" ca="1" si="25"/>
        <v>21.795217391304348</v>
      </c>
      <c r="DP12" s="114">
        <v>18.54</v>
      </c>
      <c r="DQ12" s="126">
        <f t="shared" ca="1" si="76"/>
        <v>-6.255217391304349</v>
      </c>
      <c r="DR12" s="126">
        <f t="shared" ca="1" si="26"/>
        <v>-6</v>
      </c>
      <c r="DS12" s="356">
        <f t="shared" ca="1" si="27"/>
        <v>18.795217391304348</v>
      </c>
      <c r="DT12" s="114">
        <v>18.45</v>
      </c>
      <c r="DU12" s="126">
        <f t="shared" ca="1" si="77"/>
        <v>-6.3452173913043488</v>
      </c>
      <c r="DV12" s="126">
        <f t="shared" ca="1" si="28"/>
        <v>-5</v>
      </c>
      <c r="DW12" s="356">
        <f t="shared" ca="1" si="29"/>
        <v>19.795217391304348</v>
      </c>
      <c r="DY12" s="240">
        <v>1999</v>
      </c>
      <c r="DZ12" s="243">
        <v>0.15</v>
      </c>
      <c r="EA12" s="244">
        <v>0.15</v>
      </c>
      <c r="EB12" s="243">
        <v>0.15</v>
      </c>
      <c r="EC12" s="244">
        <v>0.15</v>
      </c>
      <c r="ED12" s="253">
        <v>0.15</v>
      </c>
      <c r="EE12" s="390">
        <v>-0.03</v>
      </c>
      <c r="EF12" s="390">
        <v>0.03</v>
      </c>
    </row>
    <row r="13" spans="1:137" x14ac:dyDescent="0.25">
      <c r="B13" s="396">
        <v>35947</v>
      </c>
      <c r="C13" s="399">
        <v>35934</v>
      </c>
      <c r="I13" s="136">
        <f t="shared" ca="1" si="30"/>
        <v>37196</v>
      </c>
      <c r="J13" s="130">
        <f t="shared" ca="1" si="31"/>
        <v>37186</v>
      </c>
      <c r="K13" s="106">
        <f t="shared" ca="1" si="32"/>
        <v>0.59090909090909094</v>
      </c>
      <c r="L13" s="133">
        <f t="shared" ca="1" si="0"/>
        <v>101</v>
      </c>
      <c r="M13" s="134">
        <f t="shared" ca="1" si="1"/>
        <v>11</v>
      </c>
      <c r="N13" s="103">
        <f t="shared" ca="1" si="2"/>
        <v>22</v>
      </c>
      <c r="O13" s="104">
        <f t="shared" ca="1" si="33"/>
        <v>236</v>
      </c>
      <c r="P13" s="105">
        <f t="shared" ca="1" si="3"/>
        <v>0.66255989048596853</v>
      </c>
      <c r="Q13" s="105">
        <f t="shared" ca="1" si="4"/>
        <v>0.7419575633127995</v>
      </c>
      <c r="R13" s="114">
        <v>24.92</v>
      </c>
      <c r="S13" s="198">
        <v>0</v>
      </c>
      <c r="T13" s="189">
        <f t="shared" si="34"/>
        <v>24.92</v>
      </c>
      <c r="U13" s="199">
        <f t="shared" ca="1" si="5"/>
        <v>24.354545454545452</v>
      </c>
      <c r="V13" s="379">
        <f t="shared" ca="1" si="6"/>
        <v>24.354545454545452</v>
      </c>
      <c r="W13" s="483">
        <v>0.30375000000000002</v>
      </c>
      <c r="X13" s="166">
        <f t="shared" ca="1" si="7"/>
        <v>4</v>
      </c>
      <c r="Y13" s="91">
        <f t="shared" ca="1" si="51"/>
        <v>1.337162002751857E-2</v>
      </c>
      <c r="Z13" s="91">
        <f t="shared" ca="1" si="52"/>
        <v>8.0151889661433436E-3</v>
      </c>
      <c r="AA13" s="91">
        <f t="shared" ca="1" si="53"/>
        <v>3.6624773789834782E-3</v>
      </c>
      <c r="AB13" s="91">
        <f t="shared" ca="1" si="54"/>
        <v>8.2508290393739862E-3</v>
      </c>
      <c r="AC13" s="91">
        <f t="shared" ca="1" si="55"/>
        <v>1.8056617702927741E-2</v>
      </c>
      <c r="AD13" s="91">
        <f t="shared" ca="1" si="56"/>
        <v>3.012358559799384E-2</v>
      </c>
      <c r="AE13" s="124">
        <v>6.5708622496214023E-2</v>
      </c>
      <c r="AF13" s="191">
        <f t="shared" ca="1" si="57"/>
        <v>0.95316309027872337</v>
      </c>
      <c r="AG13" s="189">
        <f t="shared" ca="1" si="35"/>
        <v>1</v>
      </c>
      <c r="AH13" s="192">
        <f t="shared" ca="1" si="9"/>
        <v>0</v>
      </c>
      <c r="AI13" s="192">
        <f t="shared" ca="1" si="58"/>
        <v>0</v>
      </c>
      <c r="AJ13" s="192">
        <f t="shared" ca="1" si="10"/>
        <v>0</v>
      </c>
      <c r="AK13" s="192">
        <f t="shared" ca="1" si="59"/>
        <v>0</v>
      </c>
      <c r="AL13" s="191" t="str">
        <f t="shared" ca="1" si="60"/>
        <v/>
      </c>
      <c r="AM13" s="191" t="str">
        <f t="shared" ca="1" si="61"/>
        <v/>
      </c>
      <c r="AN13" s="191" t="str">
        <f t="shared" ca="1" si="62"/>
        <v/>
      </c>
      <c r="AO13" s="193" t="str">
        <f t="shared" ca="1" si="63"/>
        <v/>
      </c>
      <c r="AP13" s="194" t="str">
        <f t="shared" ca="1" si="36"/>
        <v/>
      </c>
      <c r="AQ13" s="194" t="str">
        <f t="shared" ca="1" si="37"/>
        <v/>
      </c>
      <c r="AR13" s="195">
        <f ca="1">IF(AH13,_xll.xASN(AL13,Strike1,AE13,AP13,0,N13,0,P13,Q13,IF(OptControl=4,0,1),0),0)</f>
        <v>0</v>
      </c>
      <c r="AS13" s="196">
        <f ca="1">IF(AH13,_xll.xASN(AL13,Strike1,AE13,AP13,0,N13,0,P13,Q13,IF(OptControl=4,0,1),1),0)</f>
        <v>0</v>
      </c>
      <c r="AT13" s="196">
        <f ca="1">IF(AH13,_xll.xASN(AL13,Strike1,AE13,AP13,0,N13,0,P13,Q13,IF(OptControl=4,0,1),2),0)</f>
        <v>0</v>
      </c>
      <c r="AU13" s="196">
        <f ca="1">IF(AH13,_xll.xASN(AL13,Strike1,AE13,AP13,0,N13,0,P13,Q13,IF(OptControl=4,0,1),3)/100,0)</f>
        <v>0</v>
      </c>
      <c r="AV13" s="196">
        <f ca="1">IF(AH13,_xll.xASN(AL13,Strike1,AE13,AP13,0,N13,0,P13-DaysForThetaCalculation/365.25,Q13-DaysForThetaCalculation/365.25,IF(OptControl=4,0,1),0)-_xll.xASN(AL13,Strike1,AE13,AP13,0,N13,0,P13,Q13,IF(OptControl=4,0,1),0),0)</f>
        <v>0</v>
      </c>
      <c r="AW13" s="196">
        <f ca="1">IF(AH13,_xll.xASN(AL13,Strike2,AE13,AQ13,0,N13,0,P13,Q13,IF(OptControl=3,1,0),0),0)</f>
        <v>0</v>
      </c>
      <c r="AX13" s="196">
        <f ca="1">IF(AH13,_xll.xASN(AL13,Strike2,AE13,AQ13,0,N13,0,P13,Q13,IF(OptControl=3,1,0),1),0)</f>
        <v>0</v>
      </c>
      <c r="AY13" s="196">
        <f ca="1">IF(AH13,_xll.xASN(AL13,Strike2,AE13,AQ13,0,N13,0,P13,Q13,IF(OptControl=3,1,0),2),0)</f>
        <v>0</v>
      </c>
      <c r="AZ13" s="196">
        <f ca="1">IF(AH13,_xll.xASN(AL13,Strike2,AE13,AQ13,0,N13,0,P13,Q13,IF(OptControl=3,1,0),3)/100,0)</f>
        <v>0</v>
      </c>
      <c r="BA13" s="196">
        <f ca="1">IF(AH13,_xll.xASN(AL13,Strike2,AE13,AQ13,0,N13,0,P13-DaysForThetaCalculation/365.25,Q13-DaysForThetaCalculation/365.25,IF(OptControl=3,1,0),0)-_xll.xASN(AL13,Strike2,AE13,AQ13,0,N13,0,P13,Q13,IF(OptControl=3,1,0),0),0)</f>
        <v>0</v>
      </c>
      <c r="BB13" s="126" t="str">
        <f t="shared" ca="1" si="64"/>
        <v/>
      </c>
      <c r="BC13" s="191" t="str">
        <f t="shared" ca="1" si="65"/>
        <v/>
      </c>
      <c r="BD13" s="191" t="str">
        <f t="shared" ca="1" si="66"/>
        <v/>
      </c>
      <c r="BE13" s="190" t="str">
        <f t="shared" ca="1" si="67"/>
        <v/>
      </c>
      <c r="BF13" s="194" t="str">
        <f t="shared" ca="1" si="68"/>
        <v/>
      </c>
      <c r="BG13" s="194" t="str">
        <f t="shared" ca="1" si="69"/>
        <v/>
      </c>
      <c r="BH13" s="195">
        <f ca="1">IF(AH13,_xll.xEURO(BB13,Strike1,AE13,AE13,BF13,O13,IF(OptControl=4,0,1),0),0)</f>
        <v>0</v>
      </c>
      <c r="BI13" s="196">
        <f ca="1">IF(AH13,_xll.xEURO(BB13,Strike1,AE13,AE13,BF13,O13,IF(OptControl=4,0,1),1),0)</f>
        <v>0</v>
      </c>
      <c r="BJ13" s="196">
        <f ca="1">IF(AH13,_xll.xEURO(BB13,Strike1,AE13,AE13,BF13,O13,IF(OptControl=4,0,1),2),0)</f>
        <v>0</v>
      </c>
      <c r="BK13" s="196">
        <f ca="1">IF(AH13,_xll.xEURO(BB13,Strike1,AE13,AE13,BF13,O13,IF(OptControl=4,0,1),3)/100,0)</f>
        <v>0</v>
      </c>
      <c r="BL13" s="196">
        <f ca="1">IF(AH13,_xll.xEURO(BB13,Strike1,AE13,AE13,BF13,O13-DaysForThetaCalculation,IF(OptControl=4,0,1),0)-_xll.xEURO(BB13,Strike1,AE13,AE13,BF13,O13,IF(OptControl=4,0,1),0),0)</f>
        <v>0</v>
      </c>
      <c r="BM13" s="196">
        <f ca="1">IF(AH13,_xll.xEURO(BB13,Strike2,AE13,AE13,BG13,O13,IF(OptControl=3,1,0),0),0)</f>
        <v>0</v>
      </c>
      <c r="BN13" s="196">
        <f ca="1">IF(AH13,_xll.xEURO(BB13,Strike2,AE13,AE13,BG13,O13,IF(OptControl=3,1,0),1),0)</f>
        <v>0</v>
      </c>
      <c r="BO13" s="196">
        <f ca="1">IF(AH13,_xll.xEURO(BB13,Strike2,AE13,AE13,BG13,O13,IF(OptControl=3,1,0),2),0)</f>
        <v>0</v>
      </c>
      <c r="BP13" s="196">
        <f ca="1">IF(AH13,_xll.xEURO(BB13,Strike2,AE13,AE13,BG13,O13,IF(OptControl=3,1,0),3)/100,0)</f>
        <v>0</v>
      </c>
      <c r="BQ13" s="197">
        <f ca="1">IF(AH13,_xll.xEURO(BB13,Strike2,AE13,AE13,BG13,O13-DaysForThetaCalculation,IF(OptControl=3,1,0),0)-_xll.xEURO(BB13,Strike2,AE13,AE13,BG13,O13,IF(OptControl=3,1,0),0),0)</f>
        <v>0</v>
      </c>
      <c r="BR13" s="301"/>
      <c r="BS13" s="114">
        <v>29.337000000000003</v>
      </c>
      <c r="BT13" s="345">
        <f t="shared" si="11"/>
        <v>69.850000000000009</v>
      </c>
      <c r="BU13" s="345">
        <f t="shared" ca="1" si="38"/>
        <v>4.3944545454545505</v>
      </c>
      <c r="BV13" s="182">
        <v>0</v>
      </c>
      <c r="BW13" s="346">
        <f t="shared" ca="1" si="39"/>
        <v>4.3944545454545505</v>
      </c>
      <c r="BX13" s="372">
        <f t="shared" si="40"/>
        <v>69.850000000000009</v>
      </c>
      <c r="BY13" s="373">
        <f t="shared" si="41"/>
        <v>68.45</v>
      </c>
      <c r="BZ13" s="114">
        <v>26.439</v>
      </c>
      <c r="CA13" s="345">
        <f t="shared" si="12"/>
        <v>62.95</v>
      </c>
      <c r="CB13" s="345">
        <f t="shared" ca="1" si="13"/>
        <v>2.0844545454545482</v>
      </c>
      <c r="CC13" s="346">
        <f t="shared" ca="1" si="14"/>
        <v>2.0844545454545482</v>
      </c>
      <c r="CD13" s="345">
        <f t="shared" ca="1" si="15"/>
        <v>62.95</v>
      </c>
      <c r="CE13" s="347">
        <f t="shared" ca="1" si="70"/>
        <v>-5.5</v>
      </c>
      <c r="CF13" s="114">
        <v>28.195</v>
      </c>
      <c r="CG13" s="345">
        <f t="shared" si="16"/>
        <v>67.13095238095238</v>
      </c>
      <c r="CH13" s="345">
        <f t="shared" ca="1" si="42"/>
        <v>3.9664545454545461</v>
      </c>
      <c r="CI13" s="182">
        <v>0</v>
      </c>
      <c r="CJ13" s="346">
        <f t="shared" ca="1" si="43"/>
        <v>3.9664545454545461</v>
      </c>
      <c r="CK13" s="372">
        <f t="shared" si="44"/>
        <v>67.13095238095238</v>
      </c>
      <c r="CL13" s="373">
        <f t="shared" si="45"/>
        <v>67.430952380952377</v>
      </c>
      <c r="CM13" s="114">
        <v>27.124000000000002</v>
      </c>
      <c r="CN13" s="345">
        <f t="shared" si="17"/>
        <v>64.580952380952382</v>
      </c>
      <c r="CO13" s="345">
        <f t="shared" ca="1" si="46"/>
        <v>2.7694545454545505</v>
      </c>
      <c r="CP13" s="346">
        <f t="shared" ca="1" si="18"/>
        <v>2.7694545454545505</v>
      </c>
      <c r="CQ13" s="345">
        <f t="shared" ca="1" si="19"/>
        <v>64.580952380952382</v>
      </c>
      <c r="CR13" s="347">
        <f t="shared" ca="1" si="71"/>
        <v>-2.8499999999999943</v>
      </c>
      <c r="CS13" s="114">
        <v>28.573000000000004</v>
      </c>
      <c r="CT13" s="345">
        <f t="shared" si="20"/>
        <v>68.030952380952385</v>
      </c>
      <c r="CU13" s="345">
        <f t="shared" si="72"/>
        <v>0.60000000000000853</v>
      </c>
      <c r="CV13" s="346">
        <f t="shared" si="21"/>
        <v>0.60000000000000853</v>
      </c>
      <c r="CW13" s="347">
        <f t="shared" si="73"/>
        <v>68.030952380952385</v>
      </c>
      <c r="CX13" s="483">
        <v>0.30400000000000005</v>
      </c>
      <c r="CY13" s="190">
        <f t="shared" si="47"/>
        <v>2.5000000000002798E-4</v>
      </c>
      <c r="CZ13" s="190">
        <f t="shared" ca="1" si="78"/>
        <v>-0.03</v>
      </c>
      <c r="DA13" s="354">
        <f t="shared" ca="1" si="79"/>
        <v>0.27375000000000005</v>
      </c>
      <c r="DB13" s="483">
        <v>0.29600000000000004</v>
      </c>
      <c r="DC13" s="190">
        <f t="shared" si="49"/>
        <v>-7.7499999999999791E-3</v>
      </c>
      <c r="DD13" s="352">
        <f t="shared" si="50"/>
        <v>-7.7499999999999791E-3</v>
      </c>
      <c r="DE13" s="353">
        <f>MAIN!M13</f>
        <v>0.29600000000000004</v>
      </c>
      <c r="DG13" s="341"/>
      <c r="DH13" s="114">
        <v>20.204999999999998</v>
      </c>
      <c r="DI13" s="126">
        <f t="shared" ca="1" si="74"/>
        <v>-4.1495454545454535</v>
      </c>
      <c r="DJ13" s="126">
        <f t="shared" ca="1" si="22"/>
        <v>-2</v>
      </c>
      <c r="DK13" s="356">
        <f t="shared" ca="1" si="23"/>
        <v>22.354545454545452</v>
      </c>
      <c r="DL13" s="114">
        <v>19.105</v>
      </c>
      <c r="DM13" s="126">
        <f t="shared" ca="1" si="75"/>
        <v>-5.2495454545454514</v>
      </c>
      <c r="DN13" s="126">
        <f t="shared" ca="1" si="24"/>
        <v>-3</v>
      </c>
      <c r="DO13" s="356">
        <f t="shared" ca="1" si="25"/>
        <v>21.354545454545452</v>
      </c>
      <c r="DP13" s="114">
        <v>18.105</v>
      </c>
      <c r="DQ13" s="126">
        <f t="shared" ca="1" si="76"/>
        <v>-6.2495454545454514</v>
      </c>
      <c r="DR13" s="126">
        <f t="shared" ca="1" si="26"/>
        <v>-6</v>
      </c>
      <c r="DS13" s="356">
        <f t="shared" ca="1" si="27"/>
        <v>18.354545454545452</v>
      </c>
      <c r="DT13" s="114">
        <v>18.45</v>
      </c>
      <c r="DU13" s="126">
        <f t="shared" ca="1" si="77"/>
        <v>-5.9045454545454525</v>
      </c>
      <c r="DV13" s="126">
        <f t="shared" ca="1" si="28"/>
        <v>-5</v>
      </c>
      <c r="DW13" s="356">
        <f t="shared" ca="1" si="29"/>
        <v>19.354545454545452</v>
      </c>
      <c r="DY13" s="240">
        <v>2000</v>
      </c>
      <c r="DZ13" s="243">
        <v>0.15</v>
      </c>
      <c r="EA13" s="244">
        <v>0.15</v>
      </c>
      <c r="EB13" s="243">
        <v>0.15</v>
      </c>
      <c r="EC13" s="244">
        <v>0.15</v>
      </c>
      <c r="ED13" s="253">
        <v>0.15</v>
      </c>
      <c r="EE13" s="248">
        <v>-0.03</v>
      </c>
      <c r="EF13" s="248">
        <v>0.03</v>
      </c>
    </row>
    <row r="14" spans="1:137" x14ac:dyDescent="0.25">
      <c r="B14" s="396">
        <v>35977</v>
      </c>
      <c r="C14" s="399">
        <v>35968</v>
      </c>
      <c r="I14" s="136">
        <f t="shared" ca="1" si="30"/>
        <v>37226</v>
      </c>
      <c r="J14" s="130">
        <f t="shared" ca="1" si="31"/>
        <v>37214</v>
      </c>
      <c r="K14" s="106">
        <f t="shared" ca="1" si="32"/>
        <v>0.61904761904761907</v>
      </c>
      <c r="L14" s="133">
        <f t="shared" ca="1" si="0"/>
        <v>101</v>
      </c>
      <c r="M14" s="134">
        <f t="shared" ca="1" si="1"/>
        <v>12</v>
      </c>
      <c r="N14" s="103">
        <f t="shared" ca="1" si="2"/>
        <v>21</v>
      </c>
      <c r="O14" s="104">
        <f t="shared" ca="1" si="33"/>
        <v>268</v>
      </c>
      <c r="P14" s="105">
        <f t="shared" ca="1" si="3"/>
        <v>0.74469541409993156</v>
      </c>
      <c r="Q14" s="105">
        <f t="shared" ca="1" si="4"/>
        <v>0.8268309377138946</v>
      </c>
      <c r="R14" s="114">
        <v>24.51</v>
      </c>
      <c r="S14" s="198">
        <v>0</v>
      </c>
      <c r="T14" s="189">
        <f t="shared" si="34"/>
        <v>24.51</v>
      </c>
      <c r="U14" s="199">
        <f t="shared" ca="1" si="5"/>
        <v>23.99285714285714</v>
      </c>
      <c r="V14" s="379">
        <f t="shared" ca="1" si="6"/>
        <v>23.99285714285714</v>
      </c>
      <c r="W14" s="483">
        <v>0.29479543392510205</v>
      </c>
      <c r="X14" s="166">
        <f t="shared" ca="1" si="7"/>
        <v>4</v>
      </c>
      <c r="Y14" s="91">
        <f t="shared" ca="1" si="51"/>
        <v>1.2971408983792322E-2</v>
      </c>
      <c r="Z14" s="91">
        <f t="shared" ca="1" si="52"/>
        <v>7.7029486088401973E-3</v>
      </c>
      <c r="AA14" s="91">
        <f t="shared" ca="1" si="53"/>
        <v>3.5287694274669266E-3</v>
      </c>
      <c r="AB14" s="91">
        <f t="shared" ca="1" si="54"/>
        <v>7.9496117661974949E-3</v>
      </c>
      <c r="AC14" s="91">
        <f t="shared" ca="1" si="55"/>
        <v>1.7353202625995209E-2</v>
      </c>
      <c r="AD14" s="91">
        <f t="shared" ca="1" si="56"/>
        <v>2.9221990158687341E-2</v>
      </c>
      <c r="AE14" s="124">
        <v>6.6257589001871023E-2</v>
      </c>
      <c r="AF14" s="191">
        <f t="shared" ca="1" si="57"/>
        <v>0.94753072004438443</v>
      </c>
      <c r="AG14" s="189">
        <f t="shared" ca="1" si="35"/>
        <v>1</v>
      </c>
      <c r="AH14" s="192">
        <f t="shared" ca="1" si="9"/>
        <v>0</v>
      </c>
      <c r="AI14" s="192">
        <f t="shared" ca="1" si="58"/>
        <v>0</v>
      </c>
      <c r="AJ14" s="192">
        <f t="shared" ca="1" si="10"/>
        <v>0</v>
      </c>
      <c r="AK14" s="192">
        <f t="shared" ca="1" si="59"/>
        <v>0</v>
      </c>
      <c r="AL14" s="191" t="str">
        <f t="shared" ca="1" si="60"/>
        <v/>
      </c>
      <c r="AM14" s="191" t="str">
        <f t="shared" ca="1" si="61"/>
        <v/>
      </c>
      <c r="AN14" s="191" t="str">
        <f t="shared" ca="1" si="62"/>
        <v/>
      </c>
      <c r="AO14" s="193" t="str">
        <f t="shared" ca="1" si="63"/>
        <v/>
      </c>
      <c r="AP14" s="194" t="str">
        <f t="shared" ca="1" si="36"/>
        <v/>
      </c>
      <c r="AQ14" s="194" t="str">
        <f t="shared" ca="1" si="37"/>
        <v/>
      </c>
      <c r="AR14" s="195">
        <f ca="1">IF(AH14,_xll.xASN(AL14,Strike1,AE14,AP14,0,N14,0,P14,Q14,IF(OptControl=4,0,1),0),0)</f>
        <v>0</v>
      </c>
      <c r="AS14" s="196">
        <f ca="1">IF(AH14,_xll.xASN(AL14,Strike1,AE14,AP14,0,N14,0,P14,Q14,IF(OptControl=4,0,1),1),0)</f>
        <v>0</v>
      </c>
      <c r="AT14" s="196">
        <f ca="1">IF(AH14,_xll.xASN(AL14,Strike1,AE14,AP14,0,N14,0,P14,Q14,IF(OptControl=4,0,1),2),0)</f>
        <v>0</v>
      </c>
      <c r="AU14" s="196">
        <f ca="1">IF(AH14,_xll.xASN(AL14,Strike1,AE14,AP14,0,N14,0,P14,Q14,IF(OptControl=4,0,1),3)/100,0)</f>
        <v>0</v>
      </c>
      <c r="AV14" s="196">
        <f ca="1">IF(AH14,_xll.xASN(AL14,Strike1,AE14,AP14,0,N14,0,P14-DaysForThetaCalculation/365.25,Q14-DaysForThetaCalculation/365.25,IF(OptControl=4,0,1),0)-_xll.xASN(AL14,Strike1,AE14,AP14,0,N14,0,P14,Q14,IF(OptControl=4,0,1),0),0)</f>
        <v>0</v>
      </c>
      <c r="AW14" s="196">
        <f ca="1">IF(AH14,_xll.xASN(AL14,Strike2,AE14,AQ14,0,N14,0,P14,Q14,IF(OptControl=3,1,0),0),0)</f>
        <v>0</v>
      </c>
      <c r="AX14" s="196">
        <f ca="1">IF(AH14,_xll.xASN(AL14,Strike2,AE14,AQ14,0,N14,0,P14,Q14,IF(OptControl=3,1,0),1),0)</f>
        <v>0</v>
      </c>
      <c r="AY14" s="196">
        <f ca="1">IF(AH14,_xll.xASN(AL14,Strike2,AE14,AQ14,0,N14,0,P14,Q14,IF(OptControl=3,1,0),2),0)</f>
        <v>0</v>
      </c>
      <c r="AZ14" s="196">
        <f ca="1">IF(AH14,_xll.xASN(AL14,Strike2,AE14,AQ14,0,N14,0,P14,Q14,IF(OptControl=3,1,0),3)/100,0)</f>
        <v>0</v>
      </c>
      <c r="BA14" s="196">
        <f ca="1">IF(AH14,_xll.xASN(AL14,Strike2,AE14,AQ14,0,N14,0,P14-DaysForThetaCalculation/365.25,Q14-DaysForThetaCalculation/365.25,IF(OptControl=3,1,0),0)-_xll.xASN(AL14,Strike2,AE14,AQ14,0,N14,0,P14,Q14,IF(OptControl=3,1,0),0),0)</f>
        <v>0</v>
      </c>
      <c r="BB14" s="126" t="str">
        <f t="shared" ca="1" si="64"/>
        <v/>
      </c>
      <c r="BC14" s="191" t="str">
        <f t="shared" ca="1" si="65"/>
        <v/>
      </c>
      <c r="BD14" s="191" t="str">
        <f t="shared" ca="1" si="66"/>
        <v/>
      </c>
      <c r="BE14" s="190" t="str">
        <f t="shared" ca="1" si="67"/>
        <v/>
      </c>
      <c r="BF14" s="194" t="str">
        <f t="shared" ca="1" si="68"/>
        <v/>
      </c>
      <c r="BG14" s="194" t="str">
        <f t="shared" ca="1" si="69"/>
        <v/>
      </c>
      <c r="BH14" s="195">
        <f ca="1">IF(AH14,_xll.xEURO(BB14,Strike1,AE14,AE14,BF14,O14,IF(OptControl=4,0,1),0),0)</f>
        <v>0</v>
      </c>
      <c r="BI14" s="196">
        <f ca="1">IF(AH14,_xll.xEURO(BB14,Strike1,AE14,AE14,BF14,O14,IF(OptControl=4,0,1),1),0)</f>
        <v>0</v>
      </c>
      <c r="BJ14" s="196">
        <f ca="1">IF(AH14,_xll.xEURO(BB14,Strike1,AE14,AE14,BF14,O14,IF(OptControl=4,0,1),2),0)</f>
        <v>0</v>
      </c>
      <c r="BK14" s="196">
        <f ca="1">IF(AH14,_xll.xEURO(BB14,Strike1,AE14,AE14,BF14,O14,IF(OptControl=4,0,1),3)/100,0)</f>
        <v>0</v>
      </c>
      <c r="BL14" s="196">
        <f ca="1">IF(AH14,_xll.xEURO(BB14,Strike1,AE14,AE14,BF14,O14-DaysForThetaCalculation,IF(OptControl=4,0,1),0)-_xll.xEURO(BB14,Strike1,AE14,AE14,BF14,O14,IF(OptControl=4,0,1),0),0)</f>
        <v>0</v>
      </c>
      <c r="BM14" s="196">
        <f ca="1">IF(AH14,_xll.xEURO(BB14,Strike2,AE14,AE14,BG14,O14,IF(OptControl=3,1,0),0),0)</f>
        <v>0</v>
      </c>
      <c r="BN14" s="196">
        <f ca="1">IF(AH14,_xll.xEURO(BB14,Strike2,AE14,AE14,BG14,O14,IF(OptControl=3,1,0),1),0)</f>
        <v>0</v>
      </c>
      <c r="BO14" s="196">
        <f ca="1">IF(AH14,_xll.xEURO(BB14,Strike2,AE14,AE14,BG14,O14,IF(OptControl=3,1,0),2),0)</f>
        <v>0</v>
      </c>
      <c r="BP14" s="196">
        <f ca="1">IF(AH14,_xll.xEURO(BB14,Strike2,AE14,AE14,BG14,O14,IF(OptControl=3,1,0),3)/100,0)</f>
        <v>0</v>
      </c>
      <c r="BQ14" s="197">
        <f ca="1">IF(AH14,_xll.xEURO(BB14,Strike2,AE14,AE14,BG14,O14-DaysForThetaCalculation,IF(OptControl=3,1,0),0)-_xll.xEURO(BB14,Strike2,AE14,AE14,BG14,O14,IF(OptControl=3,1,0),0),0)</f>
        <v>0</v>
      </c>
      <c r="BR14" s="301"/>
      <c r="BS14" s="114">
        <v>28.749000000000002</v>
      </c>
      <c r="BT14" s="345">
        <f t="shared" si="11"/>
        <v>68.45</v>
      </c>
      <c r="BU14" s="345">
        <f t="shared" ca="1" si="38"/>
        <v>4.5671428571428585</v>
      </c>
      <c r="BV14" s="182">
        <v>0</v>
      </c>
      <c r="BW14" s="346">
        <f t="shared" ca="1" si="39"/>
        <v>4.5671428571428585</v>
      </c>
      <c r="BX14" s="372">
        <f t="shared" si="40"/>
        <v>68.45</v>
      </c>
      <c r="BY14" s="373">
        <f t="shared" si="41"/>
        <v>68</v>
      </c>
      <c r="BZ14" s="114">
        <v>26.25</v>
      </c>
      <c r="CA14" s="345">
        <f t="shared" si="12"/>
        <v>62.5</v>
      </c>
      <c r="CB14" s="345">
        <f t="shared" ca="1" si="13"/>
        <v>2.2571428571428598</v>
      </c>
      <c r="CC14" s="346">
        <f t="shared" ca="1" si="14"/>
        <v>2.2571428571428598</v>
      </c>
      <c r="CD14" s="345">
        <f t="shared" ca="1" si="15"/>
        <v>62.5</v>
      </c>
      <c r="CE14" s="347">
        <f t="shared" ca="1" si="70"/>
        <v>-5.5</v>
      </c>
      <c r="CF14" s="114">
        <v>28.320999999999998</v>
      </c>
      <c r="CG14" s="345">
        <f t="shared" si="16"/>
        <v>67.430952380952377</v>
      </c>
      <c r="CH14" s="345">
        <f t="shared" ca="1" si="42"/>
        <v>4.3281428571428577</v>
      </c>
      <c r="CI14" s="182">
        <v>0</v>
      </c>
      <c r="CJ14" s="346">
        <f t="shared" ca="1" si="43"/>
        <v>4.3281428571428577</v>
      </c>
      <c r="CK14" s="372">
        <f t="shared" si="44"/>
        <v>67.430952380952377</v>
      </c>
      <c r="CL14" s="373">
        <f t="shared" si="45"/>
        <v>67.430952380952377</v>
      </c>
      <c r="CM14" s="114">
        <v>27.124000000000002</v>
      </c>
      <c r="CN14" s="345">
        <f t="shared" si="17"/>
        <v>64.580952380952382</v>
      </c>
      <c r="CO14" s="345">
        <f t="shared" ca="1" si="46"/>
        <v>3.1311428571428621</v>
      </c>
      <c r="CP14" s="346">
        <f t="shared" ca="1" si="18"/>
        <v>3.1311428571428621</v>
      </c>
      <c r="CQ14" s="345">
        <f t="shared" ca="1" si="19"/>
        <v>64.580952380952382</v>
      </c>
      <c r="CR14" s="347">
        <f t="shared" ca="1" si="71"/>
        <v>-2.8499999999999943</v>
      </c>
      <c r="CS14" s="114">
        <v>28.573000000000004</v>
      </c>
      <c r="CT14" s="345">
        <f t="shared" si="20"/>
        <v>68.030952380952385</v>
      </c>
      <c r="CU14" s="345">
        <f t="shared" si="72"/>
        <v>0.60000000000000853</v>
      </c>
      <c r="CV14" s="346">
        <f t="shared" si="21"/>
        <v>0.60000000000000853</v>
      </c>
      <c r="CW14" s="347">
        <f t="shared" si="73"/>
        <v>68.030952380952385</v>
      </c>
      <c r="CX14" s="483">
        <v>0.29499999999999998</v>
      </c>
      <c r="CY14" s="190">
        <f t="shared" si="47"/>
        <v>2.0456607489793832E-4</v>
      </c>
      <c r="CZ14" s="190">
        <f t="shared" ca="1" si="78"/>
        <v>-0.03</v>
      </c>
      <c r="DA14" s="354">
        <f t="shared" ca="1" si="79"/>
        <v>0.26479543392510208</v>
      </c>
      <c r="DB14" s="483">
        <v>0.29300000000000004</v>
      </c>
      <c r="DC14" s="190">
        <f t="shared" si="49"/>
        <v>-1.7954339251020079E-3</v>
      </c>
      <c r="DD14" s="352">
        <f t="shared" si="50"/>
        <v>-1.7954339251020079E-3</v>
      </c>
      <c r="DE14" s="353">
        <f>MAIN!M14</f>
        <v>0.29300000000000004</v>
      </c>
      <c r="DG14" s="341"/>
      <c r="DH14" s="114">
        <v>19.854000000000003</v>
      </c>
      <c r="DI14" s="126">
        <f t="shared" ca="1" si="74"/>
        <v>-4.1388571428571375</v>
      </c>
      <c r="DJ14" s="126">
        <f t="shared" ca="1" si="22"/>
        <v>-2</v>
      </c>
      <c r="DK14" s="356">
        <f t="shared" ca="1" si="23"/>
        <v>21.99285714285714</v>
      </c>
      <c r="DL14" s="114">
        <v>18.754000000000001</v>
      </c>
      <c r="DM14" s="126">
        <f t="shared" ca="1" si="75"/>
        <v>-5.2388571428571389</v>
      </c>
      <c r="DN14" s="126">
        <f t="shared" ca="1" si="24"/>
        <v>-3</v>
      </c>
      <c r="DO14" s="356">
        <f t="shared" ca="1" si="25"/>
        <v>20.99285714285714</v>
      </c>
      <c r="DP14" s="114">
        <v>17.754000000000001</v>
      </c>
      <c r="DQ14" s="126">
        <f t="shared" ca="1" si="76"/>
        <v>-6.2388571428571389</v>
      </c>
      <c r="DR14" s="126">
        <f t="shared" ca="1" si="26"/>
        <v>-6</v>
      </c>
      <c r="DS14" s="356">
        <f t="shared" ca="1" si="27"/>
        <v>17.99285714285714</v>
      </c>
      <c r="DT14" s="114">
        <v>18.45</v>
      </c>
      <c r="DU14" s="126">
        <f t="shared" ca="1" si="77"/>
        <v>-5.5428571428571409</v>
      </c>
      <c r="DV14" s="126">
        <f t="shared" ca="1" si="28"/>
        <v>-5</v>
      </c>
      <c r="DW14" s="356">
        <f t="shared" ca="1" si="29"/>
        <v>18.99285714285714</v>
      </c>
      <c r="DY14" s="240">
        <v>2001</v>
      </c>
      <c r="DZ14" s="243">
        <v>0.15</v>
      </c>
      <c r="EA14" s="244">
        <v>0.15</v>
      </c>
      <c r="EB14" s="243">
        <v>0.15</v>
      </c>
      <c r="EC14" s="244">
        <v>0.15</v>
      </c>
      <c r="ED14" s="253">
        <v>0.15</v>
      </c>
      <c r="EE14" s="248">
        <v>-0.03</v>
      </c>
      <c r="EF14" s="248">
        <v>0.03</v>
      </c>
    </row>
    <row r="15" spans="1:137" x14ac:dyDescent="0.25">
      <c r="B15" s="396">
        <v>36008</v>
      </c>
      <c r="C15" s="399">
        <v>35997</v>
      </c>
      <c r="I15" s="136">
        <f t="shared" ca="1" si="30"/>
        <v>37257</v>
      </c>
      <c r="J15" s="130">
        <f t="shared" ca="1" si="31"/>
        <v>37244</v>
      </c>
      <c r="K15" s="106">
        <f t="shared" ca="1" si="32"/>
        <v>0.69565217391304346</v>
      </c>
      <c r="L15" s="133">
        <f t="shared" ca="1" si="0"/>
        <v>102</v>
      </c>
      <c r="M15" s="134">
        <f t="shared" ca="1" si="1"/>
        <v>1</v>
      </c>
      <c r="N15" s="103">
        <f t="shared" ca="1" si="2"/>
        <v>23</v>
      </c>
      <c r="O15" s="104">
        <f t="shared" ca="1" si="33"/>
        <v>297</v>
      </c>
      <c r="P15" s="105">
        <f t="shared" ca="1" si="3"/>
        <v>0.82956878850102667</v>
      </c>
      <c r="Q15" s="105">
        <f t="shared" ca="1" si="4"/>
        <v>0.9117043121149897</v>
      </c>
      <c r="R15" s="114">
        <v>24.13</v>
      </c>
      <c r="S15" s="198">
        <v>0</v>
      </c>
      <c r="T15" s="189">
        <f t="shared" si="34"/>
        <v>24.13</v>
      </c>
      <c r="U15" s="199">
        <f t="shared" ca="1" si="5"/>
        <v>23.666521739130435</v>
      </c>
      <c r="V15" s="379">
        <f t="shared" ca="1" si="6"/>
        <v>23.666521739130435</v>
      </c>
      <c r="W15" s="483">
        <v>0.28603815778956299</v>
      </c>
      <c r="X15" s="166">
        <f t="shared" ca="1" si="7"/>
        <v>4</v>
      </c>
      <c r="Y15" s="91">
        <f t="shared" ca="1" si="51"/>
        <v>1.2570437194949423E-2</v>
      </c>
      <c r="Z15" s="91">
        <f t="shared" ca="1" si="52"/>
        <v>7.3930732571294349E-3</v>
      </c>
      <c r="AA15" s="91">
        <f t="shared" ca="1" si="53"/>
        <v>3.3957305697414732E-3</v>
      </c>
      <c r="AB15" s="91">
        <f t="shared" ca="1" si="54"/>
        <v>7.6499018275135913E-3</v>
      </c>
      <c r="AC15" s="91">
        <f t="shared" ca="1" si="55"/>
        <v>1.6655115433661199E-2</v>
      </c>
      <c r="AD15" s="91">
        <f t="shared" ca="1" si="56"/>
        <v>2.8318680912782068E-2</v>
      </c>
      <c r="AE15" s="124">
        <v>6.6788288216497002E-2</v>
      </c>
      <c r="AF15" s="191">
        <f t="shared" ca="1" si="57"/>
        <v>0.94186196549366286</v>
      </c>
      <c r="AG15" s="189">
        <f t="shared" ca="1" si="35"/>
        <v>1</v>
      </c>
      <c r="AH15" s="192">
        <f t="shared" ca="1" si="9"/>
        <v>0</v>
      </c>
      <c r="AI15" s="192">
        <f t="shared" ca="1" si="58"/>
        <v>0</v>
      </c>
      <c r="AJ15" s="192">
        <f t="shared" ca="1" si="10"/>
        <v>0</v>
      </c>
      <c r="AK15" s="192">
        <f t="shared" ca="1" si="59"/>
        <v>0</v>
      </c>
      <c r="AL15" s="191" t="str">
        <f t="shared" ca="1" si="60"/>
        <v/>
      </c>
      <c r="AM15" s="191" t="str">
        <f t="shared" ca="1" si="61"/>
        <v/>
      </c>
      <c r="AN15" s="191" t="str">
        <f t="shared" ca="1" si="62"/>
        <v/>
      </c>
      <c r="AO15" s="193" t="str">
        <f t="shared" ca="1" si="63"/>
        <v/>
      </c>
      <c r="AP15" s="194" t="str">
        <f t="shared" ca="1" si="36"/>
        <v/>
      </c>
      <c r="AQ15" s="194" t="str">
        <f t="shared" ca="1" si="37"/>
        <v/>
      </c>
      <c r="AR15" s="195">
        <f ca="1">IF(AH15,_xll.xASN(AL15,Strike1,AE15,AP15,0,N15,0,P15,Q15,IF(OptControl=4,0,1),0),0)</f>
        <v>0</v>
      </c>
      <c r="AS15" s="196">
        <f ca="1">IF(AH15,_xll.xASN(AL15,Strike1,AE15,AP15,0,N15,0,P15,Q15,IF(OptControl=4,0,1),1),0)</f>
        <v>0</v>
      </c>
      <c r="AT15" s="196">
        <f ca="1">IF(AH15,_xll.xASN(AL15,Strike1,AE15,AP15,0,N15,0,P15,Q15,IF(OptControl=4,0,1),2),0)</f>
        <v>0</v>
      </c>
      <c r="AU15" s="196">
        <f ca="1">IF(AH15,_xll.xASN(AL15,Strike1,AE15,AP15,0,N15,0,P15,Q15,IF(OptControl=4,0,1),3)/100,0)</f>
        <v>0</v>
      </c>
      <c r="AV15" s="196">
        <f ca="1">IF(AH15,_xll.xASN(AL15,Strike1,AE15,AP15,0,N15,0,P15-DaysForThetaCalculation/365.25,Q15-DaysForThetaCalculation/365.25,IF(OptControl=4,0,1),0)-_xll.xASN(AL15,Strike1,AE15,AP15,0,N15,0,P15,Q15,IF(OptControl=4,0,1),0),0)</f>
        <v>0</v>
      </c>
      <c r="AW15" s="196">
        <f ca="1">IF(AH15,_xll.xASN(AL15,Strike2,AE15,AQ15,0,N15,0,P15,Q15,IF(OptControl=3,1,0),0),0)</f>
        <v>0</v>
      </c>
      <c r="AX15" s="196">
        <f ca="1">IF(AH15,_xll.xASN(AL15,Strike2,AE15,AQ15,0,N15,0,P15,Q15,IF(OptControl=3,1,0),1),0)</f>
        <v>0</v>
      </c>
      <c r="AY15" s="196">
        <f ca="1">IF(AH15,_xll.xASN(AL15,Strike2,AE15,AQ15,0,N15,0,P15,Q15,IF(OptControl=3,1,0),2),0)</f>
        <v>0</v>
      </c>
      <c r="AZ15" s="196">
        <f ca="1">IF(AH15,_xll.xASN(AL15,Strike2,AE15,AQ15,0,N15,0,P15,Q15,IF(OptControl=3,1,0),3)/100,0)</f>
        <v>0</v>
      </c>
      <c r="BA15" s="196">
        <f ca="1">IF(AH15,_xll.xASN(AL15,Strike2,AE15,AQ15,0,N15,0,P15-DaysForThetaCalculation/365.25,Q15-DaysForThetaCalculation/365.25,IF(OptControl=3,1,0),0)-_xll.xASN(AL15,Strike2,AE15,AQ15,0,N15,0,P15,Q15,IF(OptControl=3,1,0),0),0)</f>
        <v>0</v>
      </c>
      <c r="BB15" s="126" t="str">
        <f t="shared" ca="1" si="64"/>
        <v/>
      </c>
      <c r="BC15" s="191" t="str">
        <f t="shared" ca="1" si="65"/>
        <v/>
      </c>
      <c r="BD15" s="191" t="str">
        <f t="shared" ca="1" si="66"/>
        <v/>
      </c>
      <c r="BE15" s="190" t="str">
        <f t="shared" ca="1" si="67"/>
        <v/>
      </c>
      <c r="BF15" s="194" t="str">
        <f t="shared" ca="1" si="68"/>
        <v/>
      </c>
      <c r="BG15" s="194" t="str">
        <f t="shared" ca="1" si="69"/>
        <v/>
      </c>
      <c r="BH15" s="195">
        <f ca="1">IF(AH15,_xll.xEURO(BB15,Strike1,AE15,AE15,BF15,O15,IF(OptControl=4,0,1),0),0)</f>
        <v>0</v>
      </c>
      <c r="BI15" s="196">
        <f ca="1">IF(AH15,_xll.xEURO(BB15,Strike1,AE15,AE15,BF15,O15,IF(OptControl=4,0,1),1),0)</f>
        <v>0</v>
      </c>
      <c r="BJ15" s="196">
        <f ca="1">IF(AH15,_xll.xEURO(BB15,Strike1,AE15,AE15,BF15,O15,IF(OptControl=4,0,1),2),0)</f>
        <v>0</v>
      </c>
      <c r="BK15" s="196">
        <f ca="1">IF(AH15,_xll.xEURO(BB15,Strike1,AE15,AE15,BF15,O15,IF(OptControl=4,0,1),3)/100,0)</f>
        <v>0</v>
      </c>
      <c r="BL15" s="196">
        <f ca="1">IF(AH15,_xll.xEURO(BB15,Strike1,AE15,AE15,BF15,O15-DaysForThetaCalculation,IF(OptControl=4,0,1),0)-_xll.xEURO(BB15,Strike1,AE15,AE15,BF15,O15,IF(OptControl=4,0,1),0),0)</f>
        <v>0</v>
      </c>
      <c r="BM15" s="196">
        <f ca="1">IF(AH15,_xll.xEURO(BB15,Strike2,AE15,AE15,BG15,O15,IF(OptControl=3,1,0),0),0)</f>
        <v>0</v>
      </c>
      <c r="BN15" s="196">
        <f ca="1">IF(AH15,_xll.xEURO(BB15,Strike2,AE15,AE15,BG15,O15,IF(OptControl=3,1,0),1),0)</f>
        <v>0</v>
      </c>
      <c r="BO15" s="196">
        <f ca="1">IF(AH15,_xll.xEURO(BB15,Strike2,AE15,AE15,BG15,O15,IF(OptControl=3,1,0),2),0)</f>
        <v>0</v>
      </c>
      <c r="BP15" s="196">
        <f ca="1">IF(AH15,_xll.xEURO(BB15,Strike2,AE15,AE15,BG15,O15,IF(OptControl=3,1,0),3)/100,0)</f>
        <v>0</v>
      </c>
      <c r="BQ15" s="197">
        <f ca="1">IF(AH15,_xll.xEURO(BB15,Strike2,AE15,AE15,BG15,O15-DaysForThetaCalculation,IF(OptControl=3,1,0),0)-_xll.xEURO(BB15,Strike2,AE15,AE15,BG15,O15,IF(OptControl=3,1,0),0),0)</f>
        <v>0</v>
      </c>
      <c r="BR15" s="301"/>
      <c r="BS15" s="114">
        <v>28.56</v>
      </c>
      <c r="BT15" s="345">
        <f t="shared" si="11"/>
        <v>68</v>
      </c>
      <c r="BU15" s="345">
        <f t="shared" ca="1" si="38"/>
        <v>4.8094782608695645</v>
      </c>
      <c r="BV15" s="182">
        <v>0</v>
      </c>
      <c r="BW15" s="346">
        <f t="shared" ca="1" si="39"/>
        <v>4.8094782608695645</v>
      </c>
      <c r="BX15" s="372">
        <f t="shared" si="40"/>
        <v>68</v>
      </c>
      <c r="BY15" s="373">
        <f t="shared" si="41"/>
        <v>67.8</v>
      </c>
      <c r="BZ15" s="114">
        <v>26.964000000000002</v>
      </c>
      <c r="CA15" s="345">
        <f t="shared" si="12"/>
        <v>64.2</v>
      </c>
      <c r="CB15" s="345">
        <f t="shared" ca="1" si="13"/>
        <v>3.2974782608695676</v>
      </c>
      <c r="CC15" s="346">
        <f t="shared" ca="1" si="14"/>
        <v>3.2974782608695676</v>
      </c>
      <c r="CD15" s="345">
        <f t="shared" ca="1" si="15"/>
        <v>64.2</v>
      </c>
      <c r="CE15" s="347">
        <f t="shared" ca="1" si="70"/>
        <v>-3.5999999999999943</v>
      </c>
      <c r="CF15" s="114">
        <v>28.320999999999998</v>
      </c>
      <c r="CG15" s="345">
        <f t="shared" si="16"/>
        <v>67.430952380952377</v>
      </c>
      <c r="CH15" s="345">
        <f t="shared" ca="1" si="42"/>
        <v>4.1294782608695648</v>
      </c>
      <c r="CI15" s="182">
        <v>0</v>
      </c>
      <c r="CJ15" s="346">
        <f t="shared" ca="1" si="43"/>
        <v>4.1294782608695648</v>
      </c>
      <c r="CK15" s="372">
        <f t="shared" si="44"/>
        <v>67.430952380952377</v>
      </c>
      <c r="CL15" s="373">
        <f t="shared" si="45"/>
        <v>66.180952380952377</v>
      </c>
      <c r="CM15" s="114">
        <v>26.683000000000003</v>
      </c>
      <c r="CN15" s="345">
        <f t="shared" si="17"/>
        <v>63.530952380952385</v>
      </c>
      <c r="CO15" s="345">
        <f t="shared" ca="1" si="46"/>
        <v>3.0164782608695688</v>
      </c>
      <c r="CP15" s="346">
        <f t="shared" ca="1" si="18"/>
        <v>3.0164782608695688</v>
      </c>
      <c r="CQ15" s="345">
        <f t="shared" ca="1" si="19"/>
        <v>63.530952380952385</v>
      </c>
      <c r="CR15" s="347">
        <f t="shared" ca="1" si="71"/>
        <v>-2.6499999999999915</v>
      </c>
      <c r="CS15" s="114">
        <v>28.048000000000002</v>
      </c>
      <c r="CT15" s="345">
        <f t="shared" si="20"/>
        <v>66.780952380952385</v>
      </c>
      <c r="CU15" s="345">
        <f t="shared" si="72"/>
        <v>0.60000000000000853</v>
      </c>
      <c r="CV15" s="346">
        <f t="shared" si="21"/>
        <v>0.60000000000000853</v>
      </c>
      <c r="CW15" s="347">
        <f t="shared" si="73"/>
        <v>66.780952380952385</v>
      </c>
      <c r="CX15" s="483">
        <v>0.28600000000000003</v>
      </c>
      <c r="CY15" s="190">
        <f t="shared" si="47"/>
        <v>-3.8157789562953681E-5</v>
      </c>
      <c r="CZ15" s="190">
        <f t="shared" ca="1" si="78"/>
        <v>-0.03</v>
      </c>
      <c r="DA15" s="354">
        <f t="shared" ca="1" si="79"/>
        <v>0.25603815778956296</v>
      </c>
      <c r="DB15" s="483">
        <v>0.30599999999999999</v>
      </c>
      <c r="DC15" s="190">
        <f t="shared" si="49"/>
        <v>1.9961842210437009E-2</v>
      </c>
      <c r="DD15" s="352">
        <f t="shared" si="50"/>
        <v>1.9961842210437009E-2</v>
      </c>
      <c r="DE15" s="353">
        <f>MAIN!M15</f>
        <v>0.30599999999999999</v>
      </c>
      <c r="DG15" s="341"/>
      <c r="DH15" s="114">
        <v>19.512</v>
      </c>
      <c r="DI15" s="126">
        <f t="shared" ca="1" si="74"/>
        <v>-4.1545217391304341</v>
      </c>
      <c r="DJ15" s="126">
        <f t="shared" ca="1" si="22"/>
        <v>-2</v>
      </c>
      <c r="DK15" s="356">
        <f t="shared" ca="1" si="23"/>
        <v>21.666521739130435</v>
      </c>
      <c r="DL15" s="114">
        <v>18.412000000000003</v>
      </c>
      <c r="DM15" s="126">
        <f t="shared" ca="1" si="75"/>
        <v>-5.254521739130432</v>
      </c>
      <c r="DN15" s="126">
        <f t="shared" ca="1" si="24"/>
        <v>-3</v>
      </c>
      <c r="DO15" s="356">
        <f t="shared" ca="1" si="25"/>
        <v>20.666521739130435</v>
      </c>
      <c r="DP15" s="114">
        <v>17.662000000000003</v>
      </c>
      <c r="DQ15" s="126">
        <f t="shared" ca="1" si="76"/>
        <v>-6.004521739130432</v>
      </c>
      <c r="DR15" s="126">
        <f t="shared" ca="1" si="26"/>
        <v>-6</v>
      </c>
      <c r="DS15" s="356">
        <f t="shared" ca="1" si="27"/>
        <v>17.666521739130435</v>
      </c>
      <c r="DT15" s="114">
        <v>18.212</v>
      </c>
      <c r="DU15" s="126">
        <f t="shared" ca="1" si="77"/>
        <v>-5.4545217391304348</v>
      </c>
      <c r="DV15" s="126">
        <f t="shared" ca="1" si="28"/>
        <v>-5</v>
      </c>
      <c r="DW15" s="356">
        <f t="shared" ca="1" si="29"/>
        <v>18.666521739130435</v>
      </c>
      <c r="DY15" s="240">
        <v>2002</v>
      </c>
      <c r="DZ15" s="243">
        <v>0.15</v>
      </c>
      <c r="EA15" s="244">
        <v>0.15</v>
      </c>
      <c r="EB15" s="243">
        <v>0.15</v>
      </c>
      <c r="EC15" s="244">
        <v>0.15</v>
      </c>
      <c r="ED15" s="253">
        <v>0.15</v>
      </c>
      <c r="EE15" s="248">
        <v>-0.03</v>
      </c>
      <c r="EF15" s="248">
        <v>0.03</v>
      </c>
    </row>
    <row r="16" spans="1:137" x14ac:dyDescent="0.25">
      <c r="B16" s="396">
        <v>36039</v>
      </c>
      <c r="C16" s="399">
        <v>36027</v>
      </c>
      <c r="I16" s="136">
        <f t="shared" ca="1" si="30"/>
        <v>37288</v>
      </c>
      <c r="J16" s="130">
        <f t="shared" ca="1" si="31"/>
        <v>37278</v>
      </c>
      <c r="K16" s="106">
        <f t="shared" ca="1" si="32"/>
        <v>0.7</v>
      </c>
      <c r="L16" s="133">
        <f t="shared" ca="1" si="0"/>
        <v>102</v>
      </c>
      <c r="M16" s="134">
        <f t="shared" ca="1" si="1"/>
        <v>2</v>
      </c>
      <c r="N16" s="103">
        <f t="shared" ca="1" si="2"/>
        <v>20</v>
      </c>
      <c r="O16" s="104">
        <f t="shared" ca="1" si="33"/>
        <v>330</v>
      </c>
      <c r="P16" s="105">
        <f t="shared" ca="1" si="3"/>
        <v>0.91444216290212188</v>
      </c>
      <c r="Q16" s="105">
        <f t="shared" ca="1" si="4"/>
        <v>0.9883641341546886</v>
      </c>
      <c r="R16" s="114">
        <v>23.77</v>
      </c>
      <c r="S16" s="198">
        <v>0</v>
      </c>
      <c r="T16" s="189">
        <f t="shared" si="34"/>
        <v>23.77</v>
      </c>
      <c r="U16" s="199">
        <f t="shared" ca="1" si="5"/>
        <v>23.328000000000003</v>
      </c>
      <c r="V16" s="379">
        <f t="shared" ca="1" si="6"/>
        <v>23.328000000000003</v>
      </c>
      <c r="W16" s="483">
        <v>0.27854701128025605</v>
      </c>
      <c r="X16" s="166">
        <f t="shared" ca="1" si="7"/>
        <v>4</v>
      </c>
      <c r="Y16" s="91">
        <f t="shared" ca="1" si="51"/>
        <v>1.2181860233503374E-2</v>
      </c>
      <c r="Z16" s="91">
        <f t="shared" ca="1" si="52"/>
        <v>7.0956636167292348E-3</v>
      </c>
      <c r="AA16" s="91">
        <f t="shared" ca="1" si="53"/>
        <v>3.2677074371940769E-3</v>
      </c>
      <c r="AB16" s="91">
        <f t="shared" ca="1" si="54"/>
        <v>7.3614913145108153E-3</v>
      </c>
      <c r="AC16" s="91">
        <f t="shared" ca="1" si="55"/>
        <v>1.5985110995767621E-2</v>
      </c>
      <c r="AD16" s="91">
        <f t="shared" ca="1" si="56"/>
        <v>2.7443294734036398E-2</v>
      </c>
      <c r="AE16" s="124">
        <v>6.7261090906033008E-2</v>
      </c>
      <c r="AF16" s="191">
        <f t="shared" ca="1" si="57"/>
        <v>0.93670672092997065</v>
      </c>
      <c r="AG16" s="189">
        <f t="shared" ca="1" si="35"/>
        <v>1</v>
      </c>
      <c r="AH16" s="192">
        <f t="shared" ca="1" si="9"/>
        <v>0</v>
      </c>
      <c r="AI16" s="192">
        <f t="shared" ca="1" si="58"/>
        <v>0</v>
      </c>
      <c r="AJ16" s="192">
        <f t="shared" ca="1" si="10"/>
        <v>0</v>
      </c>
      <c r="AK16" s="192">
        <f t="shared" ca="1" si="59"/>
        <v>0</v>
      </c>
      <c r="AL16" s="191" t="str">
        <f t="shared" ca="1" si="60"/>
        <v/>
      </c>
      <c r="AM16" s="191" t="str">
        <f t="shared" ca="1" si="61"/>
        <v/>
      </c>
      <c r="AN16" s="191" t="str">
        <f t="shared" ca="1" si="62"/>
        <v/>
      </c>
      <c r="AO16" s="193" t="str">
        <f t="shared" ca="1" si="63"/>
        <v/>
      </c>
      <c r="AP16" s="194" t="str">
        <f t="shared" ca="1" si="36"/>
        <v/>
      </c>
      <c r="AQ16" s="194" t="str">
        <f t="shared" ca="1" si="37"/>
        <v/>
      </c>
      <c r="AR16" s="195">
        <f ca="1">IF(AH16,_xll.xASN(AL16,Strike1,AE16,AP16,0,N16,0,P16,Q16,IF(OptControl=4,0,1),0),0)</f>
        <v>0</v>
      </c>
      <c r="AS16" s="196">
        <f ca="1">IF(AH16,_xll.xASN(AL16,Strike1,AE16,AP16,0,N16,0,P16,Q16,IF(OptControl=4,0,1),1),0)</f>
        <v>0</v>
      </c>
      <c r="AT16" s="196">
        <f ca="1">IF(AH16,_xll.xASN(AL16,Strike1,AE16,AP16,0,N16,0,P16,Q16,IF(OptControl=4,0,1),2),0)</f>
        <v>0</v>
      </c>
      <c r="AU16" s="196">
        <f ca="1">IF(AH16,_xll.xASN(AL16,Strike1,AE16,AP16,0,N16,0,P16,Q16,IF(OptControl=4,0,1),3)/100,0)</f>
        <v>0</v>
      </c>
      <c r="AV16" s="196">
        <f ca="1">IF(AH16,_xll.xASN(AL16,Strike1,AE16,AP16,0,N16,0,P16-DaysForThetaCalculation/365.25,Q16-DaysForThetaCalculation/365.25,IF(OptControl=4,0,1),0)-_xll.xASN(AL16,Strike1,AE16,AP16,0,N16,0,P16,Q16,IF(OptControl=4,0,1),0),0)</f>
        <v>0</v>
      </c>
      <c r="AW16" s="196">
        <f ca="1">IF(AH16,_xll.xASN(AL16,Strike2,AE16,AQ16,0,N16,0,P16,Q16,IF(OptControl=3,1,0),0),0)</f>
        <v>0</v>
      </c>
      <c r="AX16" s="196">
        <f ca="1">IF(AH16,_xll.xASN(AL16,Strike2,AE16,AQ16,0,N16,0,P16,Q16,IF(OptControl=3,1,0),1),0)</f>
        <v>0</v>
      </c>
      <c r="AY16" s="196">
        <f ca="1">IF(AH16,_xll.xASN(AL16,Strike2,AE16,AQ16,0,N16,0,P16,Q16,IF(OptControl=3,1,0),2),0)</f>
        <v>0</v>
      </c>
      <c r="AZ16" s="196">
        <f ca="1">IF(AH16,_xll.xASN(AL16,Strike2,AE16,AQ16,0,N16,0,P16,Q16,IF(OptControl=3,1,0),3)/100,0)</f>
        <v>0</v>
      </c>
      <c r="BA16" s="196">
        <f ca="1">IF(AH16,_xll.xASN(AL16,Strike2,AE16,AQ16,0,N16,0,P16-DaysForThetaCalculation/365.25,Q16-DaysForThetaCalculation/365.25,IF(OptControl=3,1,0),0)-_xll.xASN(AL16,Strike2,AE16,AQ16,0,N16,0,P16,Q16,IF(OptControl=3,1,0),0),0)</f>
        <v>0</v>
      </c>
      <c r="BB16" s="126" t="str">
        <f t="shared" ca="1" si="64"/>
        <v/>
      </c>
      <c r="BC16" s="191" t="str">
        <f t="shared" ca="1" si="65"/>
        <v/>
      </c>
      <c r="BD16" s="191" t="str">
        <f t="shared" ca="1" si="66"/>
        <v/>
      </c>
      <c r="BE16" s="190" t="str">
        <f t="shared" ca="1" si="67"/>
        <v/>
      </c>
      <c r="BF16" s="194" t="str">
        <f t="shared" ca="1" si="68"/>
        <v/>
      </c>
      <c r="BG16" s="194" t="str">
        <f t="shared" ca="1" si="69"/>
        <v/>
      </c>
      <c r="BH16" s="195">
        <f ca="1">IF(AH16,_xll.xEURO(BB16,Strike1,AE16,AE16,BF16,O16,IF(OptControl=4,0,1),0),0)</f>
        <v>0</v>
      </c>
      <c r="BI16" s="196">
        <f ca="1">IF(AH16,_xll.xEURO(BB16,Strike1,AE16,AE16,BF16,O16,IF(OptControl=4,0,1),1),0)</f>
        <v>0</v>
      </c>
      <c r="BJ16" s="196">
        <f ca="1">IF(AH16,_xll.xEURO(BB16,Strike1,AE16,AE16,BF16,O16,IF(OptControl=4,0,1),2),0)</f>
        <v>0</v>
      </c>
      <c r="BK16" s="196">
        <f ca="1">IF(AH16,_xll.xEURO(BB16,Strike1,AE16,AE16,BF16,O16,IF(OptControl=4,0,1),3)/100,0)</f>
        <v>0</v>
      </c>
      <c r="BL16" s="196">
        <f ca="1">IF(AH16,_xll.xEURO(BB16,Strike1,AE16,AE16,BF16,O16-DaysForThetaCalculation,IF(OptControl=4,0,1),0)-_xll.xEURO(BB16,Strike1,AE16,AE16,BF16,O16,IF(OptControl=4,0,1),0),0)</f>
        <v>0</v>
      </c>
      <c r="BM16" s="196">
        <f ca="1">IF(AH16,_xll.xEURO(BB16,Strike2,AE16,AE16,BG16,O16,IF(OptControl=3,1,0),0),0)</f>
        <v>0</v>
      </c>
      <c r="BN16" s="196">
        <f ca="1">IF(AH16,_xll.xEURO(BB16,Strike2,AE16,AE16,BG16,O16,IF(OptControl=3,1,0),1),0)</f>
        <v>0</v>
      </c>
      <c r="BO16" s="196">
        <f ca="1">IF(AH16,_xll.xEURO(BB16,Strike2,AE16,AE16,BG16,O16,IF(OptControl=3,1,0),2),0)</f>
        <v>0</v>
      </c>
      <c r="BP16" s="196">
        <f ca="1">IF(AH16,_xll.xEURO(BB16,Strike2,AE16,AE16,BG16,O16,IF(OptControl=3,1,0),3)/100,0)</f>
        <v>0</v>
      </c>
      <c r="BQ16" s="197">
        <f ca="1">IF(AH16,_xll.xEURO(BB16,Strike2,AE16,AE16,BG16,O16-DaysForThetaCalculation,IF(OptControl=3,1,0),0)-_xll.xEURO(BB16,Strike2,AE16,AE16,BG16,O16,IF(OptControl=3,1,0),0),0)</f>
        <v>0</v>
      </c>
      <c r="BR16" s="301"/>
      <c r="BS16" s="114">
        <v>28.475999999999999</v>
      </c>
      <c r="BT16" s="345">
        <f t="shared" si="11"/>
        <v>67.8</v>
      </c>
      <c r="BU16" s="345">
        <f t="shared" ca="1" si="38"/>
        <v>5.1899999999999977</v>
      </c>
      <c r="BV16" s="182">
        <v>0</v>
      </c>
      <c r="BW16" s="346">
        <f t="shared" ca="1" si="39"/>
        <v>5.1899999999999977</v>
      </c>
      <c r="BX16" s="372">
        <f t="shared" si="40"/>
        <v>67.8</v>
      </c>
      <c r="BY16" s="373">
        <f t="shared" si="41"/>
        <v>67.900000000000006</v>
      </c>
      <c r="BZ16" s="114">
        <v>26.96</v>
      </c>
      <c r="CA16" s="345">
        <f t="shared" si="12"/>
        <v>64.19047619047619</v>
      </c>
      <c r="CB16" s="345">
        <f t="shared" ca="1" si="13"/>
        <v>3.6319999999999979</v>
      </c>
      <c r="CC16" s="346">
        <f t="shared" ca="1" si="14"/>
        <v>3.6319999999999979</v>
      </c>
      <c r="CD16" s="345">
        <f t="shared" ca="1" si="15"/>
        <v>64.19047619047619</v>
      </c>
      <c r="CE16" s="347">
        <f t="shared" ca="1" si="70"/>
        <v>-3.7095238095238159</v>
      </c>
      <c r="CF16" s="114">
        <v>27.795999999999999</v>
      </c>
      <c r="CG16" s="345">
        <f t="shared" si="16"/>
        <v>66.180952380952377</v>
      </c>
      <c r="CH16" s="345">
        <f t="shared" ca="1" si="42"/>
        <v>3.4179999999999957</v>
      </c>
      <c r="CI16" s="182">
        <v>0</v>
      </c>
      <c r="CJ16" s="346">
        <f t="shared" ca="1" si="43"/>
        <v>3.4179999999999957</v>
      </c>
      <c r="CK16" s="372">
        <f t="shared" si="44"/>
        <v>66.180952380952377</v>
      </c>
      <c r="CL16" s="373">
        <f t="shared" si="45"/>
        <v>63.680952380952377</v>
      </c>
      <c r="CM16" s="114">
        <v>25.633000000000003</v>
      </c>
      <c r="CN16" s="345">
        <f t="shared" si="17"/>
        <v>61.030952380952385</v>
      </c>
      <c r="CO16" s="345">
        <f t="shared" ca="1" si="46"/>
        <v>2.3049999999999997</v>
      </c>
      <c r="CP16" s="346">
        <f t="shared" ca="1" si="18"/>
        <v>2.3049999999999997</v>
      </c>
      <c r="CQ16" s="345">
        <f t="shared" ca="1" si="19"/>
        <v>61.030952380952385</v>
      </c>
      <c r="CR16" s="347">
        <f t="shared" ca="1" si="71"/>
        <v>-2.6499999999999915</v>
      </c>
      <c r="CS16" s="114">
        <v>26.998000000000001</v>
      </c>
      <c r="CT16" s="345">
        <f t="shared" si="20"/>
        <v>64.280952380952385</v>
      </c>
      <c r="CU16" s="345">
        <f t="shared" si="72"/>
        <v>0.60000000000000853</v>
      </c>
      <c r="CV16" s="346">
        <f t="shared" si="21"/>
        <v>0.60000000000000853</v>
      </c>
      <c r="CW16" s="347">
        <f t="shared" si="73"/>
        <v>64.280952380952385</v>
      </c>
      <c r="CX16" s="483">
        <v>0.27900000000000003</v>
      </c>
      <c r="CY16" s="190">
        <f t="shared" si="47"/>
        <v>4.5298871974397414E-4</v>
      </c>
      <c r="CZ16" s="190">
        <f t="shared" ca="1" si="78"/>
        <v>-0.03</v>
      </c>
      <c r="DA16" s="354">
        <f t="shared" ca="1" si="79"/>
        <v>0.24854701128025605</v>
      </c>
      <c r="DB16" s="483">
        <v>0.30900000000000005</v>
      </c>
      <c r="DC16" s="190">
        <f t="shared" si="49"/>
        <v>3.0452988719744001E-2</v>
      </c>
      <c r="DD16" s="352">
        <f t="shared" si="50"/>
        <v>3.0452988719744001E-2</v>
      </c>
      <c r="DE16" s="353">
        <f>MAIN!M16</f>
        <v>0.30900000000000005</v>
      </c>
      <c r="DG16" s="341"/>
      <c r="DH16" s="114">
        <v>19.178000000000001</v>
      </c>
      <c r="DI16" s="126">
        <f t="shared" ca="1" si="74"/>
        <v>-4.1500000000000021</v>
      </c>
      <c r="DJ16" s="126">
        <f t="shared" ca="1" si="22"/>
        <v>-2</v>
      </c>
      <c r="DK16" s="356">
        <f t="shared" ca="1" si="23"/>
        <v>21.328000000000003</v>
      </c>
      <c r="DL16" s="114">
        <v>18.077999999999999</v>
      </c>
      <c r="DM16" s="126">
        <f t="shared" ca="1" si="75"/>
        <v>-5.2500000000000036</v>
      </c>
      <c r="DN16" s="126">
        <f t="shared" ca="1" si="24"/>
        <v>-3</v>
      </c>
      <c r="DO16" s="356">
        <f t="shared" ca="1" si="25"/>
        <v>20.328000000000003</v>
      </c>
      <c r="DP16" s="114">
        <v>17.327999999999999</v>
      </c>
      <c r="DQ16" s="126">
        <f t="shared" ca="1" si="76"/>
        <v>-6.0000000000000036</v>
      </c>
      <c r="DR16" s="126">
        <f t="shared" ca="1" si="26"/>
        <v>-6</v>
      </c>
      <c r="DS16" s="356">
        <f t="shared" ca="1" si="27"/>
        <v>17.328000000000003</v>
      </c>
      <c r="DT16" s="114">
        <v>17.878</v>
      </c>
      <c r="DU16" s="126">
        <f t="shared" ca="1" si="77"/>
        <v>-5.4500000000000028</v>
      </c>
      <c r="DV16" s="126">
        <f t="shared" ca="1" si="28"/>
        <v>-5</v>
      </c>
      <c r="DW16" s="356">
        <f t="shared" ca="1" si="29"/>
        <v>18.328000000000003</v>
      </c>
      <c r="DY16" s="240">
        <v>2003</v>
      </c>
      <c r="DZ16" s="243">
        <v>0.15</v>
      </c>
      <c r="EA16" s="244">
        <v>0.15</v>
      </c>
      <c r="EB16" s="243">
        <v>0.15</v>
      </c>
      <c r="EC16" s="244">
        <v>0.15</v>
      </c>
      <c r="ED16" s="253">
        <v>0.15</v>
      </c>
      <c r="EE16" s="248">
        <v>-0.03</v>
      </c>
      <c r="EF16" s="248">
        <v>0.03</v>
      </c>
    </row>
    <row r="17" spans="1:137" x14ac:dyDescent="0.25">
      <c r="B17" s="396">
        <v>36069</v>
      </c>
      <c r="C17" s="399">
        <v>36060</v>
      </c>
      <c r="I17" s="136">
        <f t="shared" ca="1" si="30"/>
        <v>37316</v>
      </c>
      <c r="J17" s="130">
        <f t="shared" ca="1" si="31"/>
        <v>37307</v>
      </c>
      <c r="K17" s="106">
        <f t="shared" ca="1" si="32"/>
        <v>0.66666666666666663</v>
      </c>
      <c r="L17" s="133">
        <f t="shared" ca="1" si="0"/>
        <v>102</v>
      </c>
      <c r="M17" s="134">
        <f t="shared" ca="1" si="1"/>
        <v>3</v>
      </c>
      <c r="N17" s="103">
        <f t="shared" ca="1" si="2"/>
        <v>21</v>
      </c>
      <c r="O17" s="104">
        <f t="shared" ca="1" si="33"/>
        <v>358</v>
      </c>
      <c r="P17" s="105">
        <f t="shared" ca="1" si="3"/>
        <v>0.99110198494182067</v>
      </c>
      <c r="Q17" s="105">
        <f t="shared" ca="1" si="4"/>
        <v>1.0732375085557837</v>
      </c>
      <c r="R17" s="114">
        <v>23.43</v>
      </c>
      <c r="S17" s="198">
        <v>0</v>
      </c>
      <c r="T17" s="189">
        <f t="shared" si="34"/>
        <v>23.43</v>
      </c>
      <c r="U17" s="199">
        <f t="shared" ca="1" si="5"/>
        <v>22.98</v>
      </c>
      <c r="V17" s="379">
        <f t="shared" ca="1" si="6"/>
        <v>22.98</v>
      </c>
      <c r="W17" s="483">
        <v>0.27260328702099706</v>
      </c>
      <c r="X17" s="166">
        <f t="shared" ca="1" si="7"/>
        <v>5</v>
      </c>
      <c r="Y17" s="91">
        <f t="shared" ca="1" si="51"/>
        <v>1.1848679797737493E-2</v>
      </c>
      <c r="Z17" s="91">
        <f t="shared" ca="1" si="52"/>
        <v>6.8435332099270859E-3</v>
      </c>
      <c r="AA17" s="91">
        <f t="shared" ca="1" si="53"/>
        <v>3.1580066535153327E-3</v>
      </c>
      <c r="AB17" s="91">
        <f t="shared" ca="1" si="54"/>
        <v>7.1143573890393406E-3</v>
      </c>
      <c r="AC17" s="91">
        <f t="shared" ca="1" si="55"/>
        <v>1.5417111615323732E-2</v>
      </c>
      <c r="AD17" s="91">
        <f t="shared" ca="1" si="56"/>
        <v>2.6692705848343018E-2</v>
      </c>
      <c r="AE17" s="124">
        <v>6.7688138560199035E-2</v>
      </c>
      <c r="AF17" s="191">
        <f t="shared" ca="1" si="57"/>
        <v>0.93104916767120938</v>
      </c>
      <c r="AG17" s="189">
        <f t="shared" ca="1" si="35"/>
        <v>1</v>
      </c>
      <c r="AH17" s="192">
        <f t="shared" ca="1" si="9"/>
        <v>0</v>
      </c>
      <c r="AI17" s="192">
        <f t="shared" ca="1" si="58"/>
        <v>0</v>
      </c>
      <c r="AJ17" s="192">
        <f t="shared" ca="1" si="10"/>
        <v>0</v>
      </c>
      <c r="AK17" s="192">
        <f t="shared" ca="1" si="59"/>
        <v>0</v>
      </c>
      <c r="AL17" s="191" t="str">
        <f t="shared" ca="1" si="60"/>
        <v/>
      </c>
      <c r="AM17" s="191" t="str">
        <f t="shared" ca="1" si="61"/>
        <v/>
      </c>
      <c r="AN17" s="191" t="str">
        <f t="shared" ca="1" si="62"/>
        <v/>
      </c>
      <c r="AO17" s="193" t="str">
        <f t="shared" ca="1" si="63"/>
        <v/>
      </c>
      <c r="AP17" s="194" t="str">
        <f t="shared" ca="1" si="36"/>
        <v/>
      </c>
      <c r="AQ17" s="194" t="str">
        <f t="shared" ca="1" si="37"/>
        <v/>
      </c>
      <c r="AR17" s="195">
        <f ca="1">IF(AH17,_xll.xASN(AL17,Strike1,AE17,AP17,0,N17,0,P17,Q17,IF(OptControl=4,0,1),0),0)</f>
        <v>0</v>
      </c>
      <c r="AS17" s="196">
        <f ca="1">IF(AH17,_xll.xASN(AL17,Strike1,AE17,AP17,0,N17,0,P17,Q17,IF(OptControl=4,0,1),1),0)</f>
        <v>0</v>
      </c>
      <c r="AT17" s="196">
        <f ca="1">IF(AH17,_xll.xASN(AL17,Strike1,AE17,AP17,0,N17,0,P17,Q17,IF(OptControl=4,0,1),2),0)</f>
        <v>0</v>
      </c>
      <c r="AU17" s="196">
        <f ca="1">IF(AH17,_xll.xASN(AL17,Strike1,AE17,AP17,0,N17,0,P17,Q17,IF(OptControl=4,0,1),3)/100,0)</f>
        <v>0</v>
      </c>
      <c r="AV17" s="196">
        <f ca="1">IF(AH17,_xll.xASN(AL17,Strike1,AE17,AP17,0,N17,0,P17-DaysForThetaCalculation/365.25,Q17-DaysForThetaCalculation/365.25,IF(OptControl=4,0,1),0)-_xll.xASN(AL17,Strike1,AE17,AP17,0,N17,0,P17,Q17,IF(OptControl=4,0,1),0),0)</f>
        <v>0</v>
      </c>
      <c r="AW17" s="196">
        <f ca="1">IF(AH17,_xll.xASN(AL17,Strike2,AE17,AQ17,0,N17,0,P17,Q17,IF(OptControl=3,1,0),0),0)</f>
        <v>0</v>
      </c>
      <c r="AX17" s="196">
        <f ca="1">IF(AH17,_xll.xASN(AL17,Strike2,AE17,AQ17,0,N17,0,P17,Q17,IF(OptControl=3,1,0),1),0)</f>
        <v>0</v>
      </c>
      <c r="AY17" s="196">
        <f ca="1">IF(AH17,_xll.xASN(AL17,Strike2,AE17,AQ17,0,N17,0,P17,Q17,IF(OptControl=3,1,0),2),0)</f>
        <v>0</v>
      </c>
      <c r="AZ17" s="196">
        <f ca="1">IF(AH17,_xll.xASN(AL17,Strike2,AE17,AQ17,0,N17,0,P17,Q17,IF(OptControl=3,1,0),3)/100,0)</f>
        <v>0</v>
      </c>
      <c r="BA17" s="196">
        <f ca="1">IF(AH17,_xll.xASN(AL17,Strike2,AE17,AQ17,0,N17,0,P17-DaysForThetaCalculation/365.25,Q17-DaysForThetaCalculation/365.25,IF(OptControl=3,1,0),0)-_xll.xASN(AL17,Strike2,AE17,AQ17,0,N17,0,P17,Q17,IF(OptControl=3,1,0),0),0)</f>
        <v>0</v>
      </c>
      <c r="BB17" s="126" t="str">
        <f t="shared" ca="1" si="64"/>
        <v/>
      </c>
      <c r="BC17" s="191" t="str">
        <f t="shared" ca="1" si="65"/>
        <v/>
      </c>
      <c r="BD17" s="191" t="str">
        <f t="shared" ca="1" si="66"/>
        <v/>
      </c>
      <c r="BE17" s="190" t="str">
        <f t="shared" ca="1" si="67"/>
        <v/>
      </c>
      <c r="BF17" s="194" t="str">
        <f t="shared" ca="1" si="68"/>
        <v/>
      </c>
      <c r="BG17" s="194" t="str">
        <f t="shared" ca="1" si="69"/>
        <v/>
      </c>
      <c r="BH17" s="195">
        <f ca="1">IF(AH17,_xll.xEURO(BB17,Strike1,AE17,AE17,BF17,O17,IF(OptControl=4,0,1),0),0)</f>
        <v>0</v>
      </c>
      <c r="BI17" s="196">
        <f ca="1">IF(AH17,_xll.xEURO(BB17,Strike1,AE17,AE17,BF17,O17,IF(OptControl=4,0,1),1),0)</f>
        <v>0</v>
      </c>
      <c r="BJ17" s="196">
        <f ca="1">IF(AH17,_xll.xEURO(BB17,Strike1,AE17,AE17,BF17,O17,IF(OptControl=4,0,1),2),0)</f>
        <v>0</v>
      </c>
      <c r="BK17" s="196">
        <f ca="1">IF(AH17,_xll.xEURO(BB17,Strike1,AE17,AE17,BF17,O17,IF(OptControl=4,0,1),3)/100,0)</f>
        <v>0</v>
      </c>
      <c r="BL17" s="196">
        <f ca="1">IF(AH17,_xll.xEURO(BB17,Strike1,AE17,AE17,BF17,O17-DaysForThetaCalculation,IF(OptControl=4,0,1),0)-_xll.xEURO(BB17,Strike1,AE17,AE17,BF17,O17,IF(OptControl=4,0,1),0),0)</f>
        <v>0</v>
      </c>
      <c r="BM17" s="196">
        <f ca="1">IF(AH17,_xll.xEURO(BB17,Strike2,AE17,AE17,BG17,O17,IF(OptControl=3,1,0),0),0)</f>
        <v>0</v>
      </c>
      <c r="BN17" s="196">
        <f ca="1">IF(AH17,_xll.xEURO(BB17,Strike2,AE17,AE17,BG17,O17,IF(OptControl=3,1,0),1),0)</f>
        <v>0</v>
      </c>
      <c r="BO17" s="196">
        <f ca="1">IF(AH17,_xll.xEURO(BB17,Strike2,AE17,AE17,BG17,O17,IF(OptControl=3,1,0),2),0)</f>
        <v>0</v>
      </c>
      <c r="BP17" s="196">
        <f ca="1">IF(AH17,_xll.xEURO(BB17,Strike2,AE17,AE17,BG17,O17,IF(OptControl=3,1,0),3)/100,0)</f>
        <v>0</v>
      </c>
      <c r="BQ17" s="197">
        <f ca="1">IF(AH17,_xll.xEURO(BB17,Strike2,AE17,AE17,BG17,O17-DaysForThetaCalculation,IF(OptControl=3,1,0),0)-_xll.xEURO(BB17,Strike2,AE17,AE17,BG17,O17,IF(OptControl=3,1,0),0),0)</f>
        <v>0</v>
      </c>
      <c r="BR17" s="301"/>
      <c r="BS17" s="114">
        <v>28.518000000000001</v>
      </c>
      <c r="BT17" s="345">
        <f t="shared" si="11"/>
        <v>67.900000000000006</v>
      </c>
      <c r="BU17" s="345">
        <f t="shared" ca="1" si="38"/>
        <v>9.5779999999999994</v>
      </c>
      <c r="BV17" s="182">
        <v>0</v>
      </c>
      <c r="BW17" s="345">
        <f ca="1">BW5+VLOOKUP(1900+$L17,ProductSpreadTable,2)</f>
        <v>9.256000000000002</v>
      </c>
      <c r="BX17" s="372">
        <f t="shared" si="40"/>
        <v>67.900000000000006</v>
      </c>
      <c r="BY17" s="373">
        <f t="shared" ca="1" si="41"/>
        <v>76.75238095238096</v>
      </c>
      <c r="BZ17" s="114">
        <v>28.778000000000002</v>
      </c>
      <c r="CA17" s="345">
        <f t="shared" si="12"/>
        <v>68.519047619047626</v>
      </c>
      <c r="CB17" s="345">
        <f t="shared" ca="1" si="13"/>
        <v>5.7980000000000018</v>
      </c>
      <c r="CC17" s="346">
        <f t="shared" ca="1" si="14"/>
        <v>5.7980000000000018</v>
      </c>
      <c r="CD17" s="345">
        <f t="shared" ca="1" si="15"/>
        <v>68.519047619047626</v>
      </c>
      <c r="CE17" s="347">
        <f t="shared" ca="1" si="70"/>
        <v>-8.2333333333333343</v>
      </c>
      <c r="CF17" s="114">
        <v>26.745999999999999</v>
      </c>
      <c r="CG17" s="345">
        <f t="shared" si="16"/>
        <v>63.680952380952377</v>
      </c>
      <c r="CH17" s="345">
        <f t="shared" ca="1" si="42"/>
        <v>2.7789999999999999</v>
      </c>
      <c r="CI17" s="182">
        <v>0</v>
      </c>
      <c r="CJ17" s="346">
        <f t="shared" ca="1" si="43"/>
        <v>2.7789999999999999</v>
      </c>
      <c r="CK17" s="372">
        <f t="shared" si="44"/>
        <v>63.680952380952377</v>
      </c>
      <c r="CL17" s="373">
        <f t="shared" si="45"/>
        <v>61.330952380952382</v>
      </c>
      <c r="CM17" s="114">
        <v>24.646000000000001</v>
      </c>
      <c r="CN17" s="345">
        <f t="shared" si="17"/>
        <v>58.680952380952377</v>
      </c>
      <c r="CO17" s="345">
        <f t="shared" ca="1" si="46"/>
        <v>1.6660000000000004</v>
      </c>
      <c r="CP17" s="346">
        <f t="shared" ca="1" si="18"/>
        <v>1.6660000000000004</v>
      </c>
      <c r="CQ17" s="345">
        <f t="shared" ca="1" si="19"/>
        <v>58.680952380952377</v>
      </c>
      <c r="CR17" s="347">
        <f t="shared" ca="1" si="71"/>
        <v>-2.6500000000000057</v>
      </c>
      <c r="CS17" s="114">
        <v>26.010999999999999</v>
      </c>
      <c r="CT17" s="345">
        <f t="shared" si="20"/>
        <v>61.930952380952377</v>
      </c>
      <c r="CU17" s="345">
        <f t="shared" si="72"/>
        <v>0.59999999999999432</v>
      </c>
      <c r="CV17" s="346">
        <f t="shared" si="21"/>
        <v>0.59999999999999432</v>
      </c>
      <c r="CW17" s="347">
        <f t="shared" si="73"/>
        <v>61.930952380952377</v>
      </c>
      <c r="CX17" s="483">
        <v>0.27300000000000002</v>
      </c>
      <c r="CY17" s="190">
        <f t="shared" si="47"/>
        <v>3.9671297900295555E-4</v>
      </c>
      <c r="CZ17" s="190">
        <f t="shared" ca="1" si="78"/>
        <v>-0.03</v>
      </c>
      <c r="DA17" s="354">
        <f t="shared" ca="1" si="79"/>
        <v>0.24260328702099707</v>
      </c>
      <c r="DB17" s="483">
        <v>0.28900000000000003</v>
      </c>
      <c r="DC17" s="190">
        <f t="shared" si="49"/>
        <v>1.639671297900297E-2</v>
      </c>
      <c r="DD17" s="352">
        <f t="shared" si="50"/>
        <v>1.639671297900297E-2</v>
      </c>
      <c r="DE17" s="353">
        <f>MAIN!M17</f>
        <v>0.28900000000000003</v>
      </c>
      <c r="DG17" s="341"/>
      <c r="DH17" s="114">
        <v>18.82</v>
      </c>
      <c r="DI17" s="126">
        <f t="shared" ca="1" si="74"/>
        <v>-4.16</v>
      </c>
      <c r="DJ17" s="126">
        <f t="shared" ca="1" si="22"/>
        <v>-2</v>
      </c>
      <c r="DK17" s="356">
        <f t="shared" ca="1" si="23"/>
        <v>20.98</v>
      </c>
      <c r="DL17" s="114">
        <v>17.72</v>
      </c>
      <c r="DM17" s="126">
        <f t="shared" ca="1" si="75"/>
        <v>-5.2600000000000016</v>
      </c>
      <c r="DN17" s="126">
        <f t="shared" ca="1" si="24"/>
        <v>-3</v>
      </c>
      <c r="DO17" s="356">
        <f t="shared" ca="1" si="25"/>
        <v>19.98</v>
      </c>
      <c r="DP17" s="114">
        <v>16.97</v>
      </c>
      <c r="DQ17" s="126">
        <f t="shared" ca="1" si="76"/>
        <v>-6.0100000000000016</v>
      </c>
      <c r="DR17" s="126">
        <f t="shared" ca="1" si="26"/>
        <v>-6</v>
      </c>
      <c r="DS17" s="356">
        <f t="shared" ca="1" si="27"/>
        <v>16.98</v>
      </c>
      <c r="DT17" s="114">
        <v>17.52</v>
      </c>
      <c r="DU17" s="126">
        <f t="shared" ca="1" si="77"/>
        <v>-5.4600000000000009</v>
      </c>
      <c r="DV17" s="126">
        <f t="shared" ca="1" si="28"/>
        <v>-5</v>
      </c>
      <c r="DW17" s="356">
        <f t="shared" ca="1" si="29"/>
        <v>17.98</v>
      </c>
      <c r="DY17" s="240">
        <v>2004</v>
      </c>
      <c r="DZ17" s="243">
        <v>0.15</v>
      </c>
      <c r="EA17" s="244">
        <v>0.15</v>
      </c>
      <c r="EB17" s="243">
        <v>0.15</v>
      </c>
      <c r="EC17" s="244">
        <v>0.15</v>
      </c>
      <c r="ED17" s="253">
        <v>0.15</v>
      </c>
      <c r="EE17" s="248">
        <v>-0.03</v>
      </c>
      <c r="EF17" s="248">
        <v>0.03</v>
      </c>
    </row>
    <row r="18" spans="1:137" x14ac:dyDescent="0.25">
      <c r="B18" s="396">
        <v>36100</v>
      </c>
      <c r="C18" s="399">
        <v>36088</v>
      </c>
      <c r="I18" s="136">
        <f t="shared" ca="1" si="30"/>
        <v>37347</v>
      </c>
      <c r="J18" s="130">
        <f t="shared" ca="1" si="31"/>
        <v>37335</v>
      </c>
      <c r="K18" s="106">
        <f t="shared" ca="1" si="32"/>
        <v>0.68181818181818177</v>
      </c>
      <c r="L18" s="133">
        <f t="shared" ca="1" si="0"/>
        <v>102</v>
      </c>
      <c r="M18" s="134">
        <f t="shared" ca="1" si="1"/>
        <v>4</v>
      </c>
      <c r="N18" s="103">
        <f t="shared" ca="1" si="2"/>
        <v>22</v>
      </c>
      <c r="O18" s="104">
        <f t="shared" ca="1" si="33"/>
        <v>387</v>
      </c>
      <c r="P18" s="105">
        <f t="shared" ca="1" si="3"/>
        <v>1.0759753593429158</v>
      </c>
      <c r="Q18" s="105">
        <f t="shared" ca="1" si="4"/>
        <v>1.1553730321697468</v>
      </c>
      <c r="R18" s="114">
        <v>23.09</v>
      </c>
      <c r="S18" s="198">
        <v>0</v>
      </c>
      <c r="T18" s="189">
        <f t="shared" si="34"/>
        <v>23.09</v>
      </c>
      <c r="U18" s="199">
        <f t="shared" ca="1" si="5"/>
        <v>22.670909090909092</v>
      </c>
      <c r="V18" s="379">
        <f t="shared" ca="1" si="6"/>
        <v>22.670909090909092</v>
      </c>
      <c r="W18" s="483">
        <v>0.2653117291034261</v>
      </c>
      <c r="X18" s="166">
        <f t="shared" ca="1" si="7"/>
        <v>5</v>
      </c>
      <c r="Y18" s="91">
        <f t="shared" ca="1" si="51"/>
        <v>1.1595017584248222E-2</v>
      </c>
      <c r="Z18" s="91">
        <f t="shared" ca="1" si="52"/>
        <v>6.6611673603557053E-3</v>
      </c>
      <c r="AA18" s="91">
        <f t="shared" ca="1" si="53"/>
        <v>3.0656095539034643E-3</v>
      </c>
      <c r="AB18" s="91">
        <f t="shared" ca="1" si="54"/>
        <v>6.9062052030337264E-3</v>
      </c>
      <c r="AC18" s="91">
        <f t="shared" ca="1" si="55"/>
        <v>1.5006277829409328E-2</v>
      </c>
      <c r="AD18" s="91">
        <f t="shared" ca="1" si="56"/>
        <v>2.6121255613794386E-2</v>
      </c>
      <c r="AE18" s="124">
        <v>6.8108366225075004E-2</v>
      </c>
      <c r="AF18" s="191">
        <f t="shared" ca="1" si="57"/>
        <v>0.92553774859573235</v>
      </c>
      <c r="AG18" s="189">
        <f t="shared" ca="1" si="35"/>
        <v>1</v>
      </c>
      <c r="AH18" s="192">
        <f t="shared" ca="1" si="9"/>
        <v>0</v>
      </c>
      <c r="AI18" s="192">
        <f t="shared" ca="1" si="58"/>
        <v>0</v>
      </c>
      <c r="AJ18" s="192">
        <f t="shared" ca="1" si="10"/>
        <v>0</v>
      </c>
      <c r="AK18" s="192">
        <f t="shared" ca="1" si="59"/>
        <v>0</v>
      </c>
      <c r="AL18" s="191" t="str">
        <f t="shared" ca="1" si="60"/>
        <v/>
      </c>
      <c r="AM18" s="191" t="str">
        <f t="shared" ca="1" si="61"/>
        <v/>
      </c>
      <c r="AN18" s="191" t="str">
        <f t="shared" ca="1" si="62"/>
        <v/>
      </c>
      <c r="AO18" s="193" t="str">
        <f t="shared" ca="1" si="63"/>
        <v/>
      </c>
      <c r="AP18" s="194" t="str">
        <f t="shared" ca="1" si="36"/>
        <v/>
      </c>
      <c r="AQ18" s="194" t="str">
        <f t="shared" ca="1" si="37"/>
        <v/>
      </c>
      <c r="AR18" s="195">
        <f ca="1">IF(AH18,_xll.xASN(AL18,Strike1,AE18,AP18,0,N18,0,P18,Q18,IF(OptControl=4,0,1),0),0)</f>
        <v>0</v>
      </c>
      <c r="AS18" s="196">
        <f ca="1">IF(AH18,_xll.xASN(AL18,Strike1,AE18,AP18,0,N18,0,P18,Q18,IF(OptControl=4,0,1),1),0)</f>
        <v>0</v>
      </c>
      <c r="AT18" s="196">
        <f ca="1">IF(AH18,_xll.xASN(AL18,Strike1,AE18,AP18,0,N18,0,P18,Q18,IF(OptControl=4,0,1),2),0)</f>
        <v>0</v>
      </c>
      <c r="AU18" s="196">
        <f ca="1">IF(AH18,_xll.xASN(AL18,Strike1,AE18,AP18,0,N18,0,P18,Q18,IF(OptControl=4,0,1),3)/100,0)</f>
        <v>0</v>
      </c>
      <c r="AV18" s="196">
        <f ca="1">IF(AH18,_xll.xASN(AL18,Strike1,AE18,AP18,0,N18,0,P18-DaysForThetaCalculation/365.25,Q18-DaysForThetaCalculation/365.25,IF(OptControl=4,0,1),0)-_xll.xASN(AL18,Strike1,AE18,AP18,0,N18,0,P18,Q18,IF(OptControl=4,0,1),0),0)</f>
        <v>0</v>
      </c>
      <c r="AW18" s="196">
        <f ca="1">IF(AH18,_xll.xASN(AL18,Strike2,AE18,AQ18,0,N18,0,P18,Q18,IF(OptControl=3,1,0),0),0)</f>
        <v>0</v>
      </c>
      <c r="AX18" s="196">
        <f ca="1">IF(AH18,_xll.xASN(AL18,Strike2,AE18,AQ18,0,N18,0,P18,Q18,IF(OptControl=3,1,0),1),0)</f>
        <v>0</v>
      </c>
      <c r="AY18" s="196">
        <f ca="1">IF(AH18,_xll.xASN(AL18,Strike2,AE18,AQ18,0,N18,0,P18,Q18,IF(OptControl=3,1,0),2),0)</f>
        <v>0</v>
      </c>
      <c r="AZ18" s="196">
        <f ca="1">IF(AH18,_xll.xASN(AL18,Strike2,AE18,AQ18,0,N18,0,P18,Q18,IF(OptControl=3,1,0),3)/100,0)</f>
        <v>0</v>
      </c>
      <c r="BA18" s="196">
        <f ca="1">IF(AH18,_xll.xASN(AL18,Strike2,AE18,AQ18,0,N18,0,P18-DaysForThetaCalculation/365.25,Q18-DaysForThetaCalculation/365.25,IF(OptControl=3,1,0),0)-_xll.xASN(AL18,Strike2,AE18,AQ18,0,N18,0,P18,Q18,IF(OptControl=3,1,0),0),0)</f>
        <v>0</v>
      </c>
      <c r="BB18" s="126" t="str">
        <f t="shared" ca="1" si="64"/>
        <v/>
      </c>
      <c r="BC18" s="191" t="str">
        <f t="shared" ca="1" si="65"/>
        <v/>
      </c>
      <c r="BD18" s="191" t="str">
        <f t="shared" ca="1" si="66"/>
        <v/>
      </c>
      <c r="BE18" s="190" t="str">
        <f t="shared" ca="1" si="67"/>
        <v/>
      </c>
      <c r="BF18" s="194" t="str">
        <f t="shared" ca="1" si="68"/>
        <v/>
      </c>
      <c r="BG18" s="194" t="str">
        <f t="shared" ca="1" si="69"/>
        <v/>
      </c>
      <c r="BH18" s="195">
        <f ca="1">IF(AH18,_xll.xEURO(BB18,Strike1,AE18,AE18,BF18,O18,IF(OptControl=4,0,1),0),0)</f>
        <v>0</v>
      </c>
      <c r="BI18" s="196">
        <f ca="1">IF(AH18,_xll.xEURO(BB18,Strike1,AE18,AE18,BF18,O18,IF(OptControl=4,0,1),1),0)</f>
        <v>0</v>
      </c>
      <c r="BJ18" s="196">
        <f ca="1">IF(AH18,_xll.xEURO(BB18,Strike1,AE18,AE18,BF18,O18,IF(OptControl=4,0,1),2),0)</f>
        <v>0</v>
      </c>
      <c r="BK18" s="196">
        <f ca="1">IF(AH18,_xll.xEURO(BB18,Strike1,AE18,AE18,BF18,O18,IF(OptControl=4,0,1),3)/100,0)</f>
        <v>0</v>
      </c>
      <c r="BL18" s="196">
        <f ca="1">IF(AH18,_xll.xEURO(BB18,Strike1,AE18,AE18,BF18,O18-DaysForThetaCalculation,IF(OptControl=4,0,1),0)-_xll.xEURO(BB18,Strike1,AE18,AE18,BF18,O18,IF(OptControl=4,0,1),0),0)</f>
        <v>0</v>
      </c>
      <c r="BM18" s="196">
        <f ca="1">IF(AH18,_xll.xEURO(BB18,Strike2,AE18,AE18,BG18,O18,IF(OptControl=3,1,0),0),0)</f>
        <v>0</v>
      </c>
      <c r="BN18" s="196">
        <f ca="1">IF(AH18,_xll.xEURO(BB18,Strike2,AE18,AE18,BG18,O18,IF(OptControl=3,1,0),1),0)</f>
        <v>0</v>
      </c>
      <c r="BO18" s="196">
        <f ca="1">IF(AH18,_xll.xEURO(BB18,Strike2,AE18,AE18,BG18,O18,IF(OptControl=3,1,0),2),0)</f>
        <v>0</v>
      </c>
      <c r="BP18" s="196">
        <f ca="1">IF(AH18,_xll.xEURO(BB18,Strike2,AE18,AE18,BG18,O18,IF(OptControl=3,1,0),3)/100,0)</f>
        <v>0</v>
      </c>
      <c r="BQ18" s="197">
        <f ca="1">IF(AH18,_xll.xEURO(BB18,Strike2,AE18,AE18,BG18,O18-DaysForThetaCalculation,IF(OptControl=3,1,0),0)-_xll.xEURO(BB18,Strike2,AE18,AE18,BG18,O18,IF(OptControl=3,1,0),0),0)</f>
        <v>0</v>
      </c>
      <c r="BR18" s="301"/>
      <c r="BS18" s="114">
        <v>32.558</v>
      </c>
      <c r="BT18" s="345">
        <f t="shared" si="11"/>
        <v>77.519047619047626</v>
      </c>
      <c r="BU18" s="345">
        <f t="shared" ca="1" si="38"/>
        <v>8.0940909090909088</v>
      </c>
      <c r="BV18" s="73"/>
      <c r="BW18" s="345">
        <f t="shared" ref="BW18:BW81" ca="1" si="80">BW6+VLOOKUP(1900+$L18,ProductSpreadTable,2)</f>
        <v>8.1957142857142866</v>
      </c>
      <c r="BX18" s="345">
        <f ca="1">($V17+BW17)*100/42</f>
        <v>76.75238095238096</v>
      </c>
      <c r="BY18" s="373">
        <f t="shared" ca="1" si="41"/>
        <v>73.491960420531854</v>
      </c>
      <c r="BZ18" s="114">
        <v>28.875</v>
      </c>
      <c r="CA18" s="345">
        <f t="shared" si="12"/>
        <v>68.75</v>
      </c>
      <c r="CB18" s="345">
        <f t="shared" ca="1" si="13"/>
        <v>6.2040909090909082</v>
      </c>
      <c r="CC18" s="345">
        <f t="shared" ref="CC18:CC81" ca="1" si="81">CC6+VLOOKUP(1900+$L18,ProductSpreadTable,3)</f>
        <v>5.5707142857142866</v>
      </c>
      <c r="CD18" s="345">
        <f t="shared" ca="1" si="15"/>
        <v>67.241960420531854</v>
      </c>
      <c r="CE18" s="347">
        <f t="shared" ca="1" si="70"/>
        <v>-6.25</v>
      </c>
      <c r="CF18" s="114">
        <v>25.759</v>
      </c>
      <c r="CG18" s="345">
        <f t="shared" si="16"/>
        <v>61.330952380952382</v>
      </c>
      <c r="CH18" s="345">
        <f t="shared" ca="1" si="42"/>
        <v>2.2270909090909115</v>
      </c>
      <c r="CI18" s="182">
        <v>0</v>
      </c>
      <c r="CJ18" s="346">
        <f t="shared" ca="1" si="43"/>
        <v>2.2270909090909115</v>
      </c>
      <c r="CK18" s="372">
        <f t="shared" si="44"/>
        <v>61.330952380952382</v>
      </c>
      <c r="CL18" s="373">
        <f t="shared" si="45"/>
        <v>59.280952380952385</v>
      </c>
      <c r="CM18" s="114">
        <v>23.974</v>
      </c>
      <c r="CN18" s="345">
        <f t="shared" si="17"/>
        <v>57.080952380952382</v>
      </c>
      <c r="CO18" s="345">
        <f t="shared" ca="1" si="46"/>
        <v>1.3030909090909084</v>
      </c>
      <c r="CP18" s="346">
        <f t="shared" ca="1" si="18"/>
        <v>1.3030909090909084</v>
      </c>
      <c r="CQ18" s="345">
        <f t="shared" ca="1" si="19"/>
        <v>57.080952380952382</v>
      </c>
      <c r="CR18" s="347">
        <f t="shared" ca="1" si="71"/>
        <v>-2.2000000000000028</v>
      </c>
      <c r="CS18" s="114">
        <v>25.15</v>
      </c>
      <c r="CT18" s="345">
        <f t="shared" si="20"/>
        <v>59.88095238095238</v>
      </c>
      <c r="CU18" s="345">
        <f t="shared" si="72"/>
        <v>0.59999999999999432</v>
      </c>
      <c r="CV18" s="346">
        <f t="shared" si="21"/>
        <v>0.59999999999999432</v>
      </c>
      <c r="CW18" s="347">
        <f t="shared" si="73"/>
        <v>59.88095238095238</v>
      </c>
      <c r="CX18" s="483">
        <v>0.26500000000000001</v>
      </c>
      <c r="CY18" s="190">
        <f t="shared" si="47"/>
        <v>-3.1172910342608384E-4</v>
      </c>
      <c r="CZ18" s="190">
        <f t="shared" ca="1" si="78"/>
        <v>-0.03</v>
      </c>
      <c r="DA18" s="354">
        <f t="shared" ca="1" si="79"/>
        <v>0.2353117291034261</v>
      </c>
      <c r="DB18" s="483">
        <v>0.26500000000000001</v>
      </c>
      <c r="DC18" s="190">
        <f t="shared" si="49"/>
        <v>-3.1172910342608384E-4</v>
      </c>
      <c r="DD18" s="190">
        <f t="shared" ref="DD18:DD75" ca="1" si="82">VLOOKUP(1900+$L18,ProductSpreadTable,8)</f>
        <v>0.03</v>
      </c>
      <c r="DE18" s="354">
        <f t="shared" ref="DE18:DE69" ca="1" si="83">$W18+DD18</f>
        <v>0.29531172910342607</v>
      </c>
      <c r="DG18" s="341"/>
      <c r="DH18" s="114">
        <v>18.53</v>
      </c>
      <c r="DI18" s="126">
        <f t="shared" ca="1" si="74"/>
        <v>-4.1409090909090907</v>
      </c>
      <c r="DJ18" s="126">
        <f t="shared" ca="1" si="22"/>
        <v>-2</v>
      </c>
      <c r="DK18" s="356">
        <f t="shared" ca="1" si="23"/>
        <v>20.670909090909092</v>
      </c>
      <c r="DL18" s="114">
        <v>17.43</v>
      </c>
      <c r="DM18" s="126">
        <f t="shared" ca="1" si="75"/>
        <v>-5.2409090909090921</v>
      </c>
      <c r="DN18" s="126">
        <f t="shared" ca="1" si="24"/>
        <v>-3</v>
      </c>
      <c r="DO18" s="356">
        <f t="shared" ca="1" si="25"/>
        <v>19.670909090909092</v>
      </c>
      <c r="DP18" s="114">
        <v>16.68</v>
      </c>
      <c r="DQ18" s="126">
        <f t="shared" ca="1" si="76"/>
        <v>-5.9909090909090921</v>
      </c>
      <c r="DR18" s="126">
        <f t="shared" ca="1" si="26"/>
        <v>-6</v>
      </c>
      <c r="DS18" s="356">
        <f t="shared" ca="1" si="27"/>
        <v>16.670909090909092</v>
      </c>
      <c r="DT18" s="114">
        <v>17.329999999999998</v>
      </c>
      <c r="DU18" s="126">
        <f t="shared" ca="1" si="77"/>
        <v>-5.3409090909090935</v>
      </c>
      <c r="DV18" s="126">
        <f t="shared" ca="1" si="28"/>
        <v>-5</v>
      </c>
      <c r="DW18" s="356">
        <f t="shared" ca="1" si="29"/>
        <v>17.670909090909092</v>
      </c>
      <c r="DY18" s="240">
        <v>2005</v>
      </c>
      <c r="DZ18" s="243">
        <v>0.15</v>
      </c>
      <c r="EA18" s="244">
        <v>0.15</v>
      </c>
      <c r="EB18" s="243">
        <v>0.15</v>
      </c>
      <c r="EC18" s="244">
        <v>0.15</v>
      </c>
      <c r="ED18" s="253">
        <v>0.15</v>
      </c>
      <c r="EE18" s="248">
        <v>-0.03</v>
      </c>
      <c r="EF18" s="248">
        <v>0.03</v>
      </c>
    </row>
    <row r="19" spans="1:137" x14ac:dyDescent="0.25">
      <c r="B19" s="396">
        <v>36130</v>
      </c>
      <c r="C19" s="399">
        <v>36119</v>
      </c>
      <c r="I19" s="136">
        <f t="shared" ca="1" si="30"/>
        <v>37377</v>
      </c>
      <c r="J19" s="130">
        <f t="shared" ca="1" si="31"/>
        <v>37366</v>
      </c>
      <c r="K19" s="106">
        <f t="shared" ca="1" si="32"/>
        <v>0.69565217391304346</v>
      </c>
      <c r="L19" s="133">
        <f t="shared" ca="1" si="0"/>
        <v>102</v>
      </c>
      <c r="M19" s="134">
        <f t="shared" ca="1" si="1"/>
        <v>5</v>
      </c>
      <c r="N19" s="103">
        <f t="shared" ca="1" si="2"/>
        <v>23</v>
      </c>
      <c r="O19" s="104">
        <f t="shared" ca="1" si="33"/>
        <v>417</v>
      </c>
      <c r="P19" s="105">
        <f t="shared" ca="1" si="3"/>
        <v>1.1581108829568789</v>
      </c>
      <c r="Q19" s="105">
        <f t="shared" ca="1" si="4"/>
        <v>1.2402464065708418</v>
      </c>
      <c r="R19" s="114">
        <v>22.76</v>
      </c>
      <c r="S19" s="198">
        <v>0</v>
      </c>
      <c r="T19" s="189">
        <f t="shared" si="34"/>
        <v>22.76</v>
      </c>
      <c r="U19" s="199">
        <f t="shared" ca="1" si="5"/>
        <v>22.403913043478262</v>
      </c>
      <c r="V19" s="379">
        <f t="shared" ca="1" si="6"/>
        <v>22.403913043478262</v>
      </c>
      <c r="W19" s="483">
        <v>0.25771285015807005</v>
      </c>
      <c r="X19" s="166">
        <f t="shared" ca="1" si="7"/>
        <v>5</v>
      </c>
      <c r="Y19" s="91">
        <f t="shared" ca="1" si="51"/>
        <v>1.1354709800141773E-2</v>
      </c>
      <c r="Z19" s="91">
        <f t="shared" ca="1" si="52"/>
        <v>6.4893126669010627E-3</v>
      </c>
      <c r="AA19" s="91">
        <f t="shared" ca="1" si="53"/>
        <v>2.9787677791843028E-3</v>
      </c>
      <c r="AB19" s="91">
        <f t="shared" ca="1" si="54"/>
        <v>6.7105680529464017E-3</v>
      </c>
      <c r="AC19" s="91">
        <f t="shared" ca="1" si="55"/>
        <v>1.461912357599472E-2</v>
      </c>
      <c r="AD19" s="91">
        <f t="shared" ca="1" si="56"/>
        <v>2.5579890237759383E-2</v>
      </c>
      <c r="AE19" s="124">
        <v>6.8423496142904008E-2</v>
      </c>
      <c r="AF19" s="191">
        <f t="shared" ca="1" si="57"/>
        <v>0.91994385458937489</v>
      </c>
      <c r="AG19" s="189">
        <f t="shared" ca="1" si="35"/>
        <v>1</v>
      </c>
      <c r="AH19" s="192">
        <f t="shared" ca="1" si="9"/>
        <v>0</v>
      </c>
      <c r="AI19" s="192">
        <f t="shared" ca="1" si="58"/>
        <v>0</v>
      </c>
      <c r="AJ19" s="192">
        <f t="shared" ca="1" si="10"/>
        <v>0</v>
      </c>
      <c r="AK19" s="192">
        <f t="shared" ca="1" si="59"/>
        <v>0</v>
      </c>
      <c r="AL19" s="191" t="str">
        <f t="shared" ca="1" si="60"/>
        <v/>
      </c>
      <c r="AM19" s="191" t="str">
        <f t="shared" ca="1" si="61"/>
        <v/>
      </c>
      <c r="AN19" s="191" t="str">
        <f t="shared" ca="1" si="62"/>
        <v/>
      </c>
      <c r="AO19" s="193" t="str">
        <f t="shared" ca="1" si="63"/>
        <v/>
      </c>
      <c r="AP19" s="194" t="str">
        <f t="shared" ca="1" si="36"/>
        <v/>
      </c>
      <c r="AQ19" s="194" t="str">
        <f t="shared" ca="1" si="37"/>
        <v/>
      </c>
      <c r="AR19" s="195">
        <f ca="1">IF(AH19,_xll.xASN(AL19,Strike1,AE19,AP19,0,N19,0,P19,Q19,IF(OptControl=4,0,1),0),0)</f>
        <v>0</v>
      </c>
      <c r="AS19" s="196">
        <f ca="1">IF(AH19,_xll.xASN(AL19,Strike1,AE19,AP19,0,N19,0,P19,Q19,IF(OptControl=4,0,1),1),0)</f>
        <v>0</v>
      </c>
      <c r="AT19" s="196">
        <f ca="1">IF(AH19,_xll.xASN(AL19,Strike1,AE19,AP19,0,N19,0,P19,Q19,IF(OptControl=4,0,1),2),0)</f>
        <v>0</v>
      </c>
      <c r="AU19" s="196">
        <f ca="1">IF(AH19,_xll.xASN(AL19,Strike1,AE19,AP19,0,N19,0,P19,Q19,IF(OptControl=4,0,1),3)/100,0)</f>
        <v>0</v>
      </c>
      <c r="AV19" s="196">
        <f ca="1">IF(AH19,_xll.xASN(AL19,Strike1,AE19,AP19,0,N19,0,P19-DaysForThetaCalculation/365.25,Q19-DaysForThetaCalculation/365.25,IF(OptControl=4,0,1),0)-_xll.xASN(AL19,Strike1,AE19,AP19,0,N19,0,P19,Q19,IF(OptControl=4,0,1),0),0)</f>
        <v>0</v>
      </c>
      <c r="AW19" s="196">
        <f ca="1">IF(AH19,_xll.xASN(AL19,Strike2,AE19,AQ19,0,N19,0,P19,Q19,IF(OptControl=3,1,0),0),0)</f>
        <v>0</v>
      </c>
      <c r="AX19" s="196">
        <f ca="1">IF(AH19,_xll.xASN(AL19,Strike2,AE19,AQ19,0,N19,0,P19,Q19,IF(OptControl=3,1,0),1),0)</f>
        <v>0</v>
      </c>
      <c r="AY19" s="196">
        <f ca="1">IF(AH19,_xll.xASN(AL19,Strike2,AE19,AQ19,0,N19,0,P19,Q19,IF(OptControl=3,1,0),2),0)</f>
        <v>0</v>
      </c>
      <c r="AZ19" s="196">
        <f ca="1">IF(AH19,_xll.xASN(AL19,Strike2,AE19,AQ19,0,N19,0,P19,Q19,IF(OptControl=3,1,0),3)/100,0)</f>
        <v>0</v>
      </c>
      <c r="BA19" s="196">
        <f ca="1">IF(AH19,_xll.xASN(AL19,Strike2,AE19,AQ19,0,N19,0,P19-DaysForThetaCalculation/365.25,Q19-DaysForThetaCalculation/365.25,IF(OptControl=3,1,0),0)-_xll.xASN(AL19,Strike2,AE19,AQ19,0,N19,0,P19,Q19,IF(OptControl=3,1,0),0),0)</f>
        <v>0</v>
      </c>
      <c r="BB19" s="126" t="str">
        <f t="shared" ca="1" si="64"/>
        <v/>
      </c>
      <c r="BC19" s="191" t="str">
        <f t="shared" ca="1" si="65"/>
        <v/>
      </c>
      <c r="BD19" s="191" t="str">
        <f t="shared" ca="1" si="66"/>
        <v/>
      </c>
      <c r="BE19" s="190" t="str">
        <f t="shared" ca="1" si="67"/>
        <v/>
      </c>
      <c r="BF19" s="194" t="str">
        <f t="shared" ca="1" si="68"/>
        <v/>
      </c>
      <c r="BG19" s="194" t="str">
        <f t="shared" ca="1" si="69"/>
        <v/>
      </c>
      <c r="BH19" s="195">
        <f ca="1">IF(AH19,_xll.xEURO(BB19,Strike1,AE19,AE19,BF19,O19,IF(OptControl=4,0,1),0),0)</f>
        <v>0</v>
      </c>
      <c r="BI19" s="196">
        <f ca="1">IF(AH19,_xll.xEURO(BB19,Strike1,AE19,AE19,BF19,O19,IF(OptControl=4,0,1),1),0)</f>
        <v>0</v>
      </c>
      <c r="BJ19" s="196">
        <f ca="1">IF(AH19,_xll.xEURO(BB19,Strike1,AE19,AE19,BF19,O19,IF(OptControl=4,0,1),2),0)</f>
        <v>0</v>
      </c>
      <c r="BK19" s="196">
        <f ca="1">IF(AH19,_xll.xEURO(BB19,Strike1,AE19,AE19,BF19,O19,IF(OptControl=4,0,1),3)/100,0)</f>
        <v>0</v>
      </c>
      <c r="BL19" s="196">
        <f ca="1">IF(AH19,_xll.xEURO(BB19,Strike1,AE19,AE19,BF19,O19-DaysForThetaCalculation,IF(OptControl=4,0,1),0)-_xll.xEURO(BB19,Strike1,AE19,AE19,BF19,O19,IF(OptControl=4,0,1),0),0)</f>
        <v>0</v>
      </c>
      <c r="BM19" s="196">
        <f ca="1">IF(AH19,_xll.xEURO(BB19,Strike2,AE19,AE19,BG19,O19,IF(OptControl=3,1,0),0),0)</f>
        <v>0</v>
      </c>
      <c r="BN19" s="196">
        <f ca="1">IF(AH19,_xll.xEURO(BB19,Strike2,AE19,AE19,BG19,O19,IF(OptControl=3,1,0),1),0)</f>
        <v>0</v>
      </c>
      <c r="BO19" s="196">
        <f ca="1">IF(AH19,_xll.xEURO(BB19,Strike2,AE19,AE19,BG19,O19,IF(OptControl=3,1,0),2),0)</f>
        <v>0</v>
      </c>
      <c r="BP19" s="196">
        <f ca="1">IF(AH19,_xll.xEURO(BB19,Strike2,AE19,AE19,BG19,O19,IF(OptControl=3,1,0),3)/100,0)</f>
        <v>0</v>
      </c>
      <c r="BQ19" s="197">
        <f ca="1">IF(AH19,_xll.xEURO(BB19,Strike2,AE19,AE19,BG19,O19-DaysForThetaCalculation,IF(OptControl=3,1,0),0)-_xll.xEURO(BB19,Strike2,AE19,AE19,BG19,O19,IF(OptControl=3,1,0),0),0)</f>
        <v>0</v>
      </c>
      <c r="BR19" s="301"/>
      <c r="BS19" s="114">
        <v>30.765000000000001</v>
      </c>
      <c r="BT19" s="345">
        <f t="shared" si="11"/>
        <v>73.25</v>
      </c>
      <c r="BU19" s="345">
        <f t="shared" ref="BU19:BU82" ca="1" si="84">BS20-$U19</f>
        <v>7.52508695652174</v>
      </c>
      <c r="BV19" s="73"/>
      <c r="BW19" s="345">
        <f t="shared" ca="1" si="80"/>
        <v>7.703913043478261</v>
      </c>
      <c r="BX19" s="345">
        <f t="shared" ref="BX19:BX82" ca="1" si="85">($V18+BW18)*100/42</f>
        <v>73.491960420531854</v>
      </c>
      <c r="BY19" s="373">
        <f t="shared" ca="1" si="41"/>
        <v>71.685300207039333</v>
      </c>
      <c r="BZ19" s="114">
        <v>28.039000000000001</v>
      </c>
      <c r="CA19" s="345">
        <f t="shared" si="12"/>
        <v>66.759523809523813</v>
      </c>
      <c r="CB19" s="345">
        <f t="shared" ref="CB19:CB82" ca="1" si="86">BZ19-$U19</f>
        <v>5.6350869565217394</v>
      </c>
      <c r="CC19" s="345">
        <f t="shared" ca="1" si="81"/>
        <v>5.078913043478261</v>
      </c>
      <c r="CD19" s="345">
        <f t="shared" ca="1" si="15"/>
        <v>65.435300207039333</v>
      </c>
      <c r="CE19" s="347">
        <f t="shared" ca="1" si="70"/>
        <v>-6.25</v>
      </c>
      <c r="CF19" s="114">
        <v>24.898000000000003</v>
      </c>
      <c r="CG19" s="345">
        <f t="shared" si="16"/>
        <v>59.280952380952385</v>
      </c>
      <c r="CH19" s="345">
        <f t="shared" ca="1" si="42"/>
        <v>1.822086956521737</v>
      </c>
      <c r="CI19" s="182">
        <v>0</v>
      </c>
      <c r="CJ19" s="346">
        <f t="shared" ca="1" si="43"/>
        <v>1.822086956521737</v>
      </c>
      <c r="CK19" s="372">
        <f t="shared" si="44"/>
        <v>59.280952380952385</v>
      </c>
      <c r="CL19" s="373">
        <f t="shared" si="45"/>
        <v>57.680952380952377</v>
      </c>
      <c r="CM19" s="114">
        <v>23.302000000000003</v>
      </c>
      <c r="CN19" s="345">
        <f t="shared" si="17"/>
        <v>55.480952380952388</v>
      </c>
      <c r="CO19" s="345">
        <f t="shared" ca="1" si="46"/>
        <v>0.89808695652174109</v>
      </c>
      <c r="CP19" s="346">
        <f t="shared" ca="1" si="18"/>
        <v>0.89808695652174109</v>
      </c>
      <c r="CQ19" s="345">
        <f t="shared" ca="1" si="19"/>
        <v>55.480952380952388</v>
      </c>
      <c r="CR19" s="347">
        <f t="shared" ca="1" si="71"/>
        <v>-2.1999999999999886</v>
      </c>
      <c r="CS19" s="114">
        <v>24.478000000000002</v>
      </c>
      <c r="CT19" s="345">
        <f t="shared" si="20"/>
        <v>58.280952380952385</v>
      </c>
      <c r="CU19" s="345">
        <f t="shared" si="72"/>
        <v>0.60000000000000853</v>
      </c>
      <c r="CV19" s="346">
        <f t="shared" si="21"/>
        <v>0.60000000000000853</v>
      </c>
      <c r="CW19" s="347">
        <f t="shared" si="73"/>
        <v>58.280952380952385</v>
      </c>
      <c r="CX19" s="483">
        <v>0.25800000000000001</v>
      </c>
      <c r="CY19" s="190">
        <f t="shared" si="47"/>
        <v>2.8714984192995674E-4</v>
      </c>
      <c r="CZ19" s="190">
        <f t="shared" ca="1" si="78"/>
        <v>-0.03</v>
      </c>
      <c r="DA19" s="354">
        <f t="shared" ca="1" si="79"/>
        <v>0.22771285015807005</v>
      </c>
      <c r="DB19" s="483">
        <v>0.25800000000000001</v>
      </c>
      <c r="DC19" s="190">
        <f t="shared" si="49"/>
        <v>2.8714984192995674E-4</v>
      </c>
      <c r="DD19" s="190">
        <f t="shared" ca="1" si="82"/>
        <v>0.03</v>
      </c>
      <c r="DE19" s="354">
        <f t="shared" ca="1" si="83"/>
        <v>0.28771285015807002</v>
      </c>
      <c r="DG19" s="341"/>
      <c r="DH19" s="114">
        <v>18.254000000000001</v>
      </c>
      <c r="DI19" s="126">
        <f t="shared" ca="1" si="74"/>
        <v>-4.1499130434782607</v>
      </c>
      <c r="DJ19" s="126">
        <f t="shared" ca="1" si="22"/>
        <v>-2</v>
      </c>
      <c r="DK19" s="356">
        <f t="shared" ca="1" si="23"/>
        <v>20.403913043478262</v>
      </c>
      <c r="DL19" s="114">
        <v>17.154</v>
      </c>
      <c r="DM19" s="126">
        <f t="shared" ca="1" si="75"/>
        <v>-5.2499130434782622</v>
      </c>
      <c r="DN19" s="126">
        <f t="shared" ca="1" si="24"/>
        <v>-3</v>
      </c>
      <c r="DO19" s="356">
        <f t="shared" ca="1" si="25"/>
        <v>19.403913043478262</v>
      </c>
      <c r="DP19" s="114">
        <v>16.404</v>
      </c>
      <c r="DQ19" s="126">
        <f t="shared" ca="1" si="76"/>
        <v>-5.9999130434782622</v>
      </c>
      <c r="DR19" s="126">
        <f t="shared" ca="1" si="26"/>
        <v>-6</v>
      </c>
      <c r="DS19" s="356">
        <f t="shared" ca="1" si="27"/>
        <v>16.403913043478262</v>
      </c>
      <c r="DT19" s="114">
        <v>17.054000000000002</v>
      </c>
      <c r="DU19" s="126">
        <f t="shared" ca="1" si="77"/>
        <v>-5.34991304347826</v>
      </c>
      <c r="DV19" s="126">
        <f t="shared" ca="1" si="28"/>
        <v>-5</v>
      </c>
      <c r="DW19" s="356">
        <f t="shared" ca="1" si="29"/>
        <v>17.403913043478262</v>
      </c>
      <c r="DY19" s="240">
        <v>2006</v>
      </c>
      <c r="DZ19" s="243">
        <v>0.15</v>
      </c>
      <c r="EA19" s="244">
        <v>0.15</v>
      </c>
      <c r="EB19" s="243">
        <v>0.15</v>
      </c>
      <c r="EC19" s="244">
        <v>0.15</v>
      </c>
      <c r="ED19" s="253">
        <v>0.15</v>
      </c>
      <c r="EE19" s="248">
        <v>-0.03</v>
      </c>
      <c r="EF19" s="248">
        <v>0.03</v>
      </c>
    </row>
    <row r="20" spans="1:137" x14ac:dyDescent="0.25">
      <c r="B20" s="396">
        <v>36161</v>
      </c>
      <c r="C20" s="399">
        <v>36150</v>
      </c>
      <c r="I20" s="136">
        <f t="shared" ca="1" si="30"/>
        <v>37408</v>
      </c>
      <c r="J20" s="130">
        <f t="shared" ca="1" si="31"/>
        <v>37398</v>
      </c>
      <c r="K20" s="106">
        <f t="shared" ca="1" si="32"/>
        <v>0.7</v>
      </c>
      <c r="L20" s="133">
        <f t="shared" ca="1" si="0"/>
        <v>102</v>
      </c>
      <c r="M20" s="134">
        <f t="shared" ca="1" si="1"/>
        <v>6</v>
      </c>
      <c r="N20" s="103">
        <f t="shared" ca="1" si="2"/>
        <v>20</v>
      </c>
      <c r="O20" s="104">
        <f t="shared" ca="1" si="33"/>
        <v>450</v>
      </c>
      <c r="P20" s="105">
        <f t="shared" ca="1" si="3"/>
        <v>1.2429842573579739</v>
      </c>
      <c r="Q20" s="105">
        <f t="shared" ca="1" si="4"/>
        <v>1.322381930184805</v>
      </c>
      <c r="R20" s="114">
        <v>22.48</v>
      </c>
      <c r="S20" s="198">
        <v>0</v>
      </c>
      <c r="T20" s="189">
        <f t="shared" si="34"/>
        <v>22.48</v>
      </c>
      <c r="U20" s="199">
        <f t="shared" ca="1" si="5"/>
        <v>22.161000000000001</v>
      </c>
      <c r="V20" s="379">
        <f t="shared" ca="1" si="6"/>
        <v>22.161000000000001</v>
      </c>
      <c r="W20" s="483">
        <v>0.25142659422797697</v>
      </c>
      <c r="X20" s="166">
        <f t="shared" ca="1" si="7"/>
        <v>5</v>
      </c>
      <c r="Y20" s="91">
        <f t="shared" ca="1" si="51"/>
        <v>1.1111622733008572E-2</v>
      </c>
      <c r="Z20" s="91">
        <f t="shared" ca="1" si="52"/>
        <v>6.3163860540927713E-3</v>
      </c>
      <c r="AA20" s="91">
        <f t="shared" ca="1" si="53"/>
        <v>2.891614858557125E-3</v>
      </c>
      <c r="AB20" s="91">
        <f t="shared" ca="1" si="54"/>
        <v>6.5142299533574918E-3</v>
      </c>
      <c r="AC20" s="91">
        <f t="shared" ca="1" si="55"/>
        <v>1.4229554502660191E-2</v>
      </c>
      <c r="AD20" s="91">
        <f t="shared" ca="1" si="56"/>
        <v>2.5032263692921709E-2</v>
      </c>
      <c r="AE20" s="124">
        <v>6.8749130425851013E-2</v>
      </c>
      <c r="AF20" s="191">
        <f t="shared" ca="1" si="57"/>
        <v>0.91449344740144323</v>
      </c>
      <c r="AG20" s="189">
        <f t="shared" ca="1" si="35"/>
        <v>1</v>
      </c>
      <c r="AH20" s="192">
        <f t="shared" ca="1" si="9"/>
        <v>0</v>
      </c>
      <c r="AI20" s="192">
        <f t="shared" ca="1" si="58"/>
        <v>0</v>
      </c>
      <c r="AJ20" s="192">
        <f t="shared" ca="1" si="10"/>
        <v>0</v>
      </c>
      <c r="AK20" s="192">
        <f t="shared" ca="1" si="59"/>
        <v>0</v>
      </c>
      <c r="AL20" s="191" t="str">
        <f t="shared" ca="1" si="60"/>
        <v/>
      </c>
      <c r="AM20" s="191" t="str">
        <f t="shared" ca="1" si="61"/>
        <v/>
      </c>
      <c r="AN20" s="191" t="str">
        <f t="shared" ca="1" si="62"/>
        <v/>
      </c>
      <c r="AO20" s="193" t="str">
        <f t="shared" ca="1" si="63"/>
        <v/>
      </c>
      <c r="AP20" s="194" t="str">
        <f t="shared" ca="1" si="36"/>
        <v/>
      </c>
      <c r="AQ20" s="194" t="str">
        <f t="shared" ca="1" si="37"/>
        <v/>
      </c>
      <c r="AR20" s="195">
        <f ca="1">IF(AH20,_xll.xASN(AL20,Strike1,AE20,AP20,0,N20,0,P20,Q20,IF(OptControl=4,0,1),0),0)</f>
        <v>0</v>
      </c>
      <c r="AS20" s="196">
        <f ca="1">IF(AH20,_xll.xASN(AL20,Strike1,AE20,AP20,0,N20,0,P20,Q20,IF(OptControl=4,0,1),1),0)</f>
        <v>0</v>
      </c>
      <c r="AT20" s="196">
        <f ca="1">IF(AH20,_xll.xASN(AL20,Strike1,AE20,AP20,0,N20,0,P20,Q20,IF(OptControl=4,0,1),2),0)</f>
        <v>0</v>
      </c>
      <c r="AU20" s="196">
        <f ca="1">IF(AH20,_xll.xASN(AL20,Strike1,AE20,AP20,0,N20,0,P20,Q20,IF(OptControl=4,0,1),3)/100,0)</f>
        <v>0</v>
      </c>
      <c r="AV20" s="196">
        <f ca="1">IF(AH20,_xll.xASN(AL20,Strike1,AE20,AP20,0,N20,0,P20-DaysForThetaCalculation/365.25,Q20-DaysForThetaCalculation/365.25,IF(OptControl=4,0,1),0)-_xll.xASN(AL20,Strike1,AE20,AP20,0,N20,0,P20,Q20,IF(OptControl=4,0,1),0),0)</f>
        <v>0</v>
      </c>
      <c r="AW20" s="196">
        <f ca="1">IF(AH20,_xll.xASN(AL20,Strike2,AE20,AQ20,0,N20,0,P20,Q20,IF(OptControl=3,1,0),0),0)</f>
        <v>0</v>
      </c>
      <c r="AX20" s="196">
        <f ca="1">IF(AH20,_xll.xASN(AL20,Strike2,AE20,AQ20,0,N20,0,P20,Q20,IF(OptControl=3,1,0),1),0)</f>
        <v>0</v>
      </c>
      <c r="AY20" s="196">
        <f ca="1">IF(AH20,_xll.xASN(AL20,Strike2,AE20,AQ20,0,N20,0,P20,Q20,IF(OptControl=3,1,0),2),0)</f>
        <v>0</v>
      </c>
      <c r="AZ20" s="196">
        <f ca="1">IF(AH20,_xll.xASN(AL20,Strike2,AE20,AQ20,0,N20,0,P20,Q20,IF(OptControl=3,1,0),3)/100,0)</f>
        <v>0</v>
      </c>
      <c r="BA20" s="196">
        <f ca="1">IF(AH20,_xll.xASN(AL20,Strike2,AE20,AQ20,0,N20,0,P20-DaysForThetaCalculation/365.25,Q20-DaysForThetaCalculation/365.25,IF(OptControl=3,1,0),0)-_xll.xASN(AL20,Strike2,AE20,AQ20,0,N20,0,P20,Q20,IF(OptControl=3,1,0),0),0)</f>
        <v>0</v>
      </c>
      <c r="BB20" s="126" t="str">
        <f t="shared" ca="1" si="64"/>
        <v/>
      </c>
      <c r="BC20" s="191" t="str">
        <f t="shared" ca="1" si="65"/>
        <v/>
      </c>
      <c r="BD20" s="191" t="str">
        <f t="shared" ca="1" si="66"/>
        <v/>
      </c>
      <c r="BE20" s="190" t="str">
        <f t="shared" ca="1" si="67"/>
        <v/>
      </c>
      <c r="BF20" s="194" t="str">
        <f t="shared" ca="1" si="68"/>
        <v/>
      </c>
      <c r="BG20" s="194" t="str">
        <f t="shared" ca="1" si="69"/>
        <v/>
      </c>
      <c r="BH20" s="195">
        <f ca="1">IF(AH20,_xll.xEURO(BB20,Strike1,AE20,AE20,BF20,O20,IF(OptControl=4,0,1),0),0)</f>
        <v>0</v>
      </c>
      <c r="BI20" s="196">
        <f ca="1">IF(AH20,_xll.xEURO(BB20,Strike1,AE20,AE20,BF20,O20,IF(OptControl=4,0,1),1),0)</f>
        <v>0</v>
      </c>
      <c r="BJ20" s="196">
        <f ca="1">IF(AH20,_xll.xEURO(BB20,Strike1,AE20,AE20,BF20,O20,IF(OptControl=4,0,1),2),0)</f>
        <v>0</v>
      </c>
      <c r="BK20" s="196">
        <f ca="1">IF(AH20,_xll.xEURO(BB20,Strike1,AE20,AE20,BF20,O20,IF(OptControl=4,0,1),3)/100,0)</f>
        <v>0</v>
      </c>
      <c r="BL20" s="196">
        <f ca="1">IF(AH20,_xll.xEURO(BB20,Strike1,AE20,AE20,BF20,O20-DaysForThetaCalculation,IF(OptControl=4,0,1),0)-_xll.xEURO(BB20,Strike1,AE20,AE20,BF20,O20,IF(OptControl=4,0,1),0),0)</f>
        <v>0</v>
      </c>
      <c r="BM20" s="196">
        <f ca="1">IF(AH20,_xll.xEURO(BB20,Strike2,AE20,AE20,BG20,O20,IF(OptControl=3,1,0),0),0)</f>
        <v>0</v>
      </c>
      <c r="BN20" s="196">
        <f ca="1">IF(AH20,_xll.xEURO(BB20,Strike2,AE20,AE20,BG20,O20,IF(OptControl=3,1,0),1),0)</f>
        <v>0</v>
      </c>
      <c r="BO20" s="196">
        <f ca="1">IF(AH20,_xll.xEURO(BB20,Strike2,AE20,AE20,BG20,O20,IF(OptControl=3,1,0),2),0)</f>
        <v>0</v>
      </c>
      <c r="BP20" s="196">
        <f ca="1">IF(AH20,_xll.xEURO(BB20,Strike2,AE20,AE20,BG20,O20,IF(OptControl=3,1,0),3)/100,0)</f>
        <v>0</v>
      </c>
      <c r="BQ20" s="197">
        <f ca="1">IF(AH20,_xll.xEURO(BB20,Strike2,AE20,AE20,BG20,O20-DaysForThetaCalculation,IF(OptControl=3,1,0),0)-_xll.xEURO(BB20,Strike2,AE20,AE20,BG20,O20,IF(OptControl=3,1,0),0),0)</f>
        <v>0</v>
      </c>
      <c r="BR20" s="301"/>
      <c r="BS20" s="114">
        <v>29.929000000000002</v>
      </c>
      <c r="BT20" s="345">
        <f t="shared" si="11"/>
        <v>71.259523809523813</v>
      </c>
      <c r="BU20" s="345">
        <f t="shared" ca="1" si="84"/>
        <v>7.088000000000001</v>
      </c>
      <c r="BV20" s="73"/>
      <c r="BW20" s="345">
        <f t="shared" ca="1" si="80"/>
        <v>7.2236666666666682</v>
      </c>
      <c r="BX20" s="345">
        <f t="shared" ca="1" si="85"/>
        <v>71.685300207039333</v>
      </c>
      <c r="BY20" s="373">
        <f t="shared" ca="1" si="41"/>
        <v>69.963492063492069</v>
      </c>
      <c r="BZ20" s="114">
        <v>27.359000000000002</v>
      </c>
      <c r="CA20" s="345">
        <f t="shared" si="12"/>
        <v>65.140476190476193</v>
      </c>
      <c r="CB20" s="345">
        <f t="shared" ca="1" si="86"/>
        <v>5.1980000000000004</v>
      </c>
      <c r="CC20" s="345">
        <f t="shared" ca="1" si="81"/>
        <v>4.5986666666666718</v>
      </c>
      <c r="CD20" s="345">
        <f t="shared" ca="1" si="15"/>
        <v>63.713492063492083</v>
      </c>
      <c r="CE20" s="347">
        <f t="shared" ca="1" si="70"/>
        <v>-6.2499999999999858</v>
      </c>
      <c r="CF20" s="114">
        <v>24.225999999999999</v>
      </c>
      <c r="CG20" s="345">
        <f t="shared" si="16"/>
        <v>57.680952380952377</v>
      </c>
      <c r="CH20" s="345">
        <f t="shared" ca="1" si="42"/>
        <v>1.897000000000002</v>
      </c>
      <c r="CI20" s="182">
        <v>0</v>
      </c>
      <c r="CJ20" s="346">
        <f t="shared" ca="1" si="43"/>
        <v>1.897000000000002</v>
      </c>
      <c r="CK20" s="372">
        <f t="shared" si="44"/>
        <v>57.680952380952377</v>
      </c>
      <c r="CL20" s="373">
        <f t="shared" si="45"/>
        <v>57.280952380952385</v>
      </c>
      <c r="CM20" s="114">
        <v>23.134</v>
      </c>
      <c r="CN20" s="345">
        <f t="shared" si="17"/>
        <v>55.080952380952382</v>
      </c>
      <c r="CO20" s="345">
        <f t="shared" ca="1" si="46"/>
        <v>0.97299999999999898</v>
      </c>
      <c r="CP20" s="346">
        <f t="shared" ca="1" si="18"/>
        <v>0.97299999999999898</v>
      </c>
      <c r="CQ20" s="345">
        <f t="shared" ca="1" si="19"/>
        <v>55.080952380952382</v>
      </c>
      <c r="CR20" s="347">
        <f t="shared" ca="1" si="71"/>
        <v>-2.2000000000000028</v>
      </c>
      <c r="CS20" s="114">
        <v>24.31</v>
      </c>
      <c r="CT20" s="345">
        <f t="shared" si="20"/>
        <v>57.88095238095238</v>
      </c>
      <c r="CU20" s="345">
        <f t="shared" si="72"/>
        <v>0.59999999999999432</v>
      </c>
      <c r="CV20" s="346">
        <f t="shared" si="21"/>
        <v>0.59999999999999432</v>
      </c>
      <c r="CW20" s="347">
        <f t="shared" si="73"/>
        <v>57.88095238095238</v>
      </c>
      <c r="CX20" s="483">
        <v>0.251</v>
      </c>
      <c r="CY20" s="190">
        <f t="shared" si="47"/>
        <v>-4.26594227976973E-4</v>
      </c>
      <c r="CZ20" s="190">
        <f t="shared" ca="1" si="78"/>
        <v>-0.03</v>
      </c>
      <c r="DA20" s="354">
        <f t="shared" ca="1" si="79"/>
        <v>0.22142659422797697</v>
      </c>
      <c r="DB20" s="483">
        <v>0.251</v>
      </c>
      <c r="DC20" s="190">
        <f t="shared" si="49"/>
        <v>-4.26594227976973E-4</v>
      </c>
      <c r="DD20" s="190">
        <f t="shared" ca="1" si="82"/>
        <v>0.03</v>
      </c>
      <c r="DE20" s="354">
        <f t="shared" ca="1" si="83"/>
        <v>0.281426594227977</v>
      </c>
      <c r="DG20" s="341"/>
      <c r="DH20" s="114">
        <v>18.003</v>
      </c>
      <c r="DI20" s="126">
        <f t="shared" ca="1" si="74"/>
        <v>-4.1580000000000013</v>
      </c>
      <c r="DJ20" s="126">
        <f t="shared" ca="1" si="22"/>
        <v>-2</v>
      </c>
      <c r="DK20" s="356">
        <f t="shared" ca="1" si="23"/>
        <v>20.161000000000001</v>
      </c>
      <c r="DL20" s="114">
        <v>16.902999999999999</v>
      </c>
      <c r="DM20" s="126">
        <f t="shared" ca="1" si="75"/>
        <v>-5.2580000000000027</v>
      </c>
      <c r="DN20" s="126">
        <f t="shared" ca="1" si="24"/>
        <v>-3</v>
      </c>
      <c r="DO20" s="356">
        <f t="shared" ca="1" si="25"/>
        <v>19.161000000000001</v>
      </c>
      <c r="DP20" s="114">
        <v>16.152999999999999</v>
      </c>
      <c r="DQ20" s="126">
        <f t="shared" ca="1" si="76"/>
        <v>-6.0080000000000027</v>
      </c>
      <c r="DR20" s="126">
        <f t="shared" ca="1" si="26"/>
        <v>-6</v>
      </c>
      <c r="DS20" s="356">
        <f t="shared" ca="1" si="27"/>
        <v>16.161000000000001</v>
      </c>
      <c r="DT20" s="114">
        <v>16.803000000000001</v>
      </c>
      <c r="DU20" s="126">
        <f t="shared" ca="1" si="77"/>
        <v>-5.3580000000000005</v>
      </c>
      <c r="DV20" s="126">
        <f t="shared" ca="1" si="28"/>
        <v>-5</v>
      </c>
      <c r="DW20" s="356">
        <f t="shared" ca="1" si="29"/>
        <v>17.161000000000001</v>
      </c>
      <c r="DY20" s="240">
        <v>2007</v>
      </c>
      <c r="DZ20" s="243">
        <v>0.15</v>
      </c>
      <c r="EA20" s="244">
        <v>0.15</v>
      </c>
      <c r="EB20" s="243">
        <v>0.15</v>
      </c>
      <c r="EC20" s="244">
        <v>0.15</v>
      </c>
      <c r="ED20" s="253">
        <v>0.15</v>
      </c>
      <c r="EE20" s="248">
        <v>-0.03</v>
      </c>
      <c r="EF20" s="248">
        <v>0.03</v>
      </c>
    </row>
    <row r="21" spans="1:137" x14ac:dyDescent="0.25">
      <c r="B21" s="396">
        <v>36192</v>
      </c>
      <c r="C21" s="399">
        <v>36180</v>
      </c>
      <c r="I21" s="136">
        <f t="shared" ca="1" si="30"/>
        <v>37438</v>
      </c>
      <c r="J21" s="130">
        <f t="shared" ca="1" si="31"/>
        <v>37427</v>
      </c>
      <c r="K21" s="106">
        <f t="shared" ca="1" si="32"/>
        <v>0.65217391304347827</v>
      </c>
      <c r="L21" s="133">
        <f t="shared" ca="1" si="0"/>
        <v>102</v>
      </c>
      <c r="M21" s="134">
        <f t="shared" ca="1" si="1"/>
        <v>7</v>
      </c>
      <c r="N21" s="103">
        <f t="shared" ca="1" si="2"/>
        <v>23</v>
      </c>
      <c r="O21" s="104">
        <f t="shared" ca="1" si="33"/>
        <v>478</v>
      </c>
      <c r="P21" s="105">
        <f t="shared" ca="1" si="3"/>
        <v>1.3251197809719371</v>
      </c>
      <c r="Q21" s="105">
        <f t="shared" ca="1" si="4"/>
        <v>1.4072553045859</v>
      </c>
      <c r="R21" s="114">
        <v>22.23</v>
      </c>
      <c r="S21" s="198">
        <v>0</v>
      </c>
      <c r="T21" s="189">
        <f t="shared" si="34"/>
        <v>22.23</v>
      </c>
      <c r="U21" s="199">
        <f t="shared" ca="1" si="5"/>
        <v>21.926956521739129</v>
      </c>
      <c r="V21" s="379">
        <f t="shared" ca="1" si="6"/>
        <v>21.926956521739129</v>
      </c>
      <c r="W21" s="483">
        <v>0.24897358882236401</v>
      </c>
      <c r="X21" s="166">
        <f t="shared" ca="1" si="7"/>
        <v>5</v>
      </c>
      <c r="Y21" s="91">
        <f t="shared" ca="1" si="51"/>
        <v>1.088133335074635E-2</v>
      </c>
      <c r="Z21" s="91">
        <f t="shared" ca="1" si="52"/>
        <v>6.1534265410909395E-3</v>
      </c>
      <c r="AA21" s="91">
        <f t="shared" ca="1" si="53"/>
        <v>2.8097019594399979E-3</v>
      </c>
      <c r="AB21" s="91">
        <f t="shared" ca="1" si="54"/>
        <v>6.3296965742264269E-3</v>
      </c>
      <c r="AC21" s="91">
        <f t="shared" ca="1" si="55"/>
        <v>1.3862439311769666E-2</v>
      </c>
      <c r="AD21" s="91">
        <f t="shared" ca="1" si="56"/>
        <v>2.4513467772561377E-2</v>
      </c>
      <c r="AE21" s="124">
        <v>6.9043165017869987E-2</v>
      </c>
      <c r="AF21" s="191">
        <f t="shared" ca="1" si="57"/>
        <v>0.90889845403242076</v>
      </c>
      <c r="AG21" s="189">
        <f t="shared" ca="1" si="35"/>
        <v>1</v>
      </c>
      <c r="AH21" s="192">
        <f t="shared" ca="1" si="9"/>
        <v>0</v>
      </c>
      <c r="AI21" s="192">
        <f t="shared" ref="AI21:AI36" ca="1" si="87">AH21*AF21</f>
        <v>0</v>
      </c>
      <c r="AJ21" s="192">
        <f t="shared" ca="1" si="10"/>
        <v>0</v>
      </c>
      <c r="AK21" s="192">
        <f t="shared" ref="AK21:AK36" ca="1" si="88">AJ21*AF21</f>
        <v>0</v>
      </c>
      <c r="AL21" s="191" t="str">
        <f t="shared" ca="1" si="60"/>
        <v/>
      </c>
      <c r="AM21" s="191" t="str">
        <f t="shared" ca="1" si="61"/>
        <v/>
      </c>
      <c r="AN21" s="191" t="str">
        <f t="shared" ca="1" si="62"/>
        <v/>
      </c>
      <c r="AO21" s="193" t="str">
        <f t="shared" ca="1" si="63"/>
        <v/>
      </c>
      <c r="AP21" s="194" t="str">
        <f t="shared" ca="1" si="36"/>
        <v/>
      </c>
      <c r="AQ21" s="194" t="str">
        <f t="shared" ca="1" si="37"/>
        <v/>
      </c>
      <c r="AR21" s="195">
        <f ca="1">IF(AH21,_xll.xASN(AL21,Strike1,AE21,AP21,0,N21,0,P21,Q21,IF(OptControl=4,0,1),0),0)</f>
        <v>0</v>
      </c>
      <c r="AS21" s="196">
        <f ca="1">IF(AH21,_xll.xASN(AL21,Strike1,AE21,AP21,0,N21,0,P21,Q21,IF(OptControl=4,0,1),1),0)</f>
        <v>0</v>
      </c>
      <c r="AT21" s="196">
        <f ca="1">IF(AH21,_xll.xASN(AL21,Strike1,AE21,AP21,0,N21,0,P21,Q21,IF(OptControl=4,0,1),2),0)</f>
        <v>0</v>
      </c>
      <c r="AU21" s="196">
        <f ca="1">IF(AH21,_xll.xASN(AL21,Strike1,AE21,AP21,0,N21,0,P21,Q21,IF(OptControl=4,0,1),3)/100,0)</f>
        <v>0</v>
      </c>
      <c r="AV21" s="196">
        <f ca="1">IF(AH21,_xll.xASN(AL21,Strike1,AE21,AP21,0,N21,0,P21-DaysForThetaCalculation/365.25,Q21-DaysForThetaCalculation/365.25,IF(OptControl=4,0,1),0)-_xll.xASN(AL21,Strike1,AE21,AP21,0,N21,0,P21,Q21,IF(OptControl=4,0,1),0),0)</f>
        <v>0</v>
      </c>
      <c r="AW21" s="196">
        <f ca="1">IF(AH21,_xll.xASN(AL21,Strike2,AE21,AQ21,0,N21,0,P21,Q21,IF(OptControl=3,1,0),0),0)</f>
        <v>0</v>
      </c>
      <c r="AX21" s="196">
        <f ca="1">IF(AH21,_xll.xASN(AL21,Strike2,AE21,AQ21,0,N21,0,P21,Q21,IF(OptControl=3,1,0),1),0)</f>
        <v>0</v>
      </c>
      <c r="AY21" s="196">
        <f ca="1">IF(AH21,_xll.xASN(AL21,Strike2,AE21,AQ21,0,N21,0,P21,Q21,IF(OptControl=3,1,0),2),0)</f>
        <v>0</v>
      </c>
      <c r="AZ21" s="196">
        <f ca="1">IF(AH21,_xll.xASN(AL21,Strike2,AE21,AQ21,0,N21,0,P21,Q21,IF(OptControl=3,1,0),3)/100,0)</f>
        <v>0</v>
      </c>
      <c r="BA21" s="196">
        <f ca="1">IF(AH21,_xll.xASN(AL21,Strike2,AE21,AQ21,0,N21,0,P21-DaysForThetaCalculation/365.25,Q21-DaysForThetaCalculation/365.25,IF(OptControl=3,1,0),0)-_xll.xASN(AL21,Strike2,AE21,AQ21,0,N21,0,P21,Q21,IF(OptControl=3,1,0),0),0)</f>
        <v>0</v>
      </c>
      <c r="BB21" s="126" t="str">
        <f t="shared" ca="1" si="64"/>
        <v/>
      </c>
      <c r="BC21" s="191" t="str">
        <f t="shared" ca="1" si="65"/>
        <v/>
      </c>
      <c r="BD21" s="191" t="str">
        <f t="shared" ca="1" si="66"/>
        <v/>
      </c>
      <c r="BE21" s="190" t="str">
        <f t="shared" ca="1" si="67"/>
        <v/>
      </c>
      <c r="BF21" s="194" t="str">
        <f t="shared" ca="1" si="68"/>
        <v/>
      </c>
      <c r="BG21" s="194" t="str">
        <f t="shared" ca="1" si="69"/>
        <v/>
      </c>
      <c r="BH21" s="195">
        <f ca="1">IF(AH21,_xll.xEURO(BB21,Strike1,AE21,AE21,BF21,O21,IF(OptControl=4,0,1),0),0)</f>
        <v>0</v>
      </c>
      <c r="BI21" s="196">
        <f ca="1">IF(AH21,_xll.xEURO(BB21,Strike1,AE21,AE21,BF21,O21,IF(OptControl=4,0,1),1),0)</f>
        <v>0</v>
      </c>
      <c r="BJ21" s="196">
        <f ca="1">IF(AH21,_xll.xEURO(BB21,Strike1,AE21,AE21,BF21,O21,IF(OptControl=4,0,1),2),0)</f>
        <v>0</v>
      </c>
      <c r="BK21" s="196">
        <f ca="1">IF(AH21,_xll.xEURO(BB21,Strike1,AE21,AE21,BF21,O21,IF(OptControl=4,0,1),3)/100,0)</f>
        <v>0</v>
      </c>
      <c r="BL21" s="196">
        <f ca="1">IF(AH21,_xll.xEURO(BB21,Strike1,AE21,AE21,BF21,O21-DaysForThetaCalculation,IF(OptControl=4,0,1),0)-_xll.xEURO(BB21,Strike1,AE21,AE21,BF21,O21,IF(OptControl=4,0,1),0),0)</f>
        <v>0</v>
      </c>
      <c r="BM21" s="196">
        <f ca="1">IF(AH21,_xll.xEURO(BB21,Strike2,AE21,AE21,BG21,O21,IF(OptControl=3,1,0),0),0)</f>
        <v>0</v>
      </c>
      <c r="BN21" s="196">
        <f ca="1">IF(AH21,_xll.xEURO(BB21,Strike2,AE21,AE21,BG21,O21,IF(OptControl=3,1,0),1),0)</f>
        <v>0</v>
      </c>
      <c r="BO21" s="196">
        <f ca="1">IF(AH21,_xll.xEURO(BB21,Strike2,AE21,AE21,BG21,O21,IF(OptControl=3,1,0),2),0)</f>
        <v>0</v>
      </c>
      <c r="BP21" s="196">
        <f ca="1">IF(AH21,_xll.xEURO(BB21,Strike2,AE21,AE21,BG21,O21,IF(OptControl=3,1,0),3)/100,0)</f>
        <v>0</v>
      </c>
      <c r="BQ21" s="197">
        <f ca="1">IF(AH21,_xll.xEURO(BB21,Strike2,AE21,AE21,BG21,O21-DaysForThetaCalculation,IF(OptControl=3,1,0),0)-_xll.xEURO(BB21,Strike2,AE21,AE21,BG21,O21,IF(OptControl=3,1,0),0),0)</f>
        <v>0</v>
      </c>
      <c r="BR21" s="301"/>
      <c r="BS21" s="114">
        <v>29.249000000000002</v>
      </c>
      <c r="BT21" s="345">
        <f t="shared" si="11"/>
        <v>69.640476190476193</v>
      </c>
      <c r="BU21" s="345">
        <f t="shared" ca="1" si="84"/>
        <v>6.5660434782608732</v>
      </c>
      <c r="BV21" s="73"/>
      <c r="BW21" s="345">
        <f t="shared" ca="1" si="80"/>
        <v>6.6833636363636462</v>
      </c>
      <c r="BX21" s="345">
        <f t="shared" ca="1" si="85"/>
        <v>69.963492063492069</v>
      </c>
      <c r="BY21" s="373">
        <f t="shared" ca="1" si="41"/>
        <v>68.11980990024469</v>
      </c>
      <c r="BZ21" s="114">
        <v>26.603000000000002</v>
      </c>
      <c r="CA21" s="345">
        <f t="shared" si="12"/>
        <v>63.340476190476195</v>
      </c>
      <c r="CB21" s="345">
        <f t="shared" ca="1" si="86"/>
        <v>4.6760434782608726</v>
      </c>
      <c r="CC21" s="345">
        <f t="shared" ca="1" si="81"/>
        <v>4.2683636363636435</v>
      </c>
      <c r="CD21" s="345">
        <f t="shared" ca="1" si="15"/>
        <v>62.369809900244697</v>
      </c>
      <c r="CE21" s="347">
        <f t="shared" ca="1" si="70"/>
        <v>-5.7499999999999929</v>
      </c>
      <c r="CF21" s="114">
        <v>24.058000000000003</v>
      </c>
      <c r="CG21" s="345">
        <f t="shared" si="16"/>
        <v>57.280952380952385</v>
      </c>
      <c r="CH21" s="345">
        <f t="shared" ca="1" si="42"/>
        <v>2.2360434782608749</v>
      </c>
      <c r="CI21" s="182">
        <v>0</v>
      </c>
      <c r="CJ21" s="346">
        <f t="shared" ca="1" si="43"/>
        <v>2.2360434782608749</v>
      </c>
      <c r="CK21" s="372">
        <f t="shared" si="44"/>
        <v>57.280952380952385</v>
      </c>
      <c r="CL21" s="373">
        <f t="shared" si="45"/>
        <v>57.530952380952385</v>
      </c>
      <c r="CM21" s="114">
        <v>23.239000000000001</v>
      </c>
      <c r="CN21" s="345">
        <f t="shared" si="17"/>
        <v>55.330952380952382</v>
      </c>
      <c r="CO21" s="345">
        <f t="shared" ca="1" si="46"/>
        <v>1.3120434782608719</v>
      </c>
      <c r="CP21" s="346">
        <f t="shared" ca="1" si="18"/>
        <v>1.3120434782608719</v>
      </c>
      <c r="CQ21" s="345">
        <f t="shared" ca="1" si="19"/>
        <v>55.330952380952382</v>
      </c>
      <c r="CR21" s="347">
        <f t="shared" ca="1" si="71"/>
        <v>-2.2000000000000028</v>
      </c>
      <c r="CS21" s="114">
        <v>24.414999999999999</v>
      </c>
      <c r="CT21" s="345">
        <f t="shared" si="20"/>
        <v>58.13095238095238</v>
      </c>
      <c r="CU21" s="345">
        <f t="shared" si="72"/>
        <v>0.59999999999999432</v>
      </c>
      <c r="CV21" s="346">
        <f t="shared" si="21"/>
        <v>0.59999999999999432</v>
      </c>
      <c r="CW21" s="347">
        <f t="shared" si="73"/>
        <v>58.13095238095238</v>
      </c>
      <c r="CX21" s="483">
        <v>0.24900000000000003</v>
      </c>
      <c r="CY21" s="190">
        <f t="shared" si="47"/>
        <v>2.6411177636020966E-5</v>
      </c>
      <c r="CZ21" s="190">
        <f t="shared" ca="1" si="78"/>
        <v>-0.03</v>
      </c>
      <c r="DA21" s="354">
        <f t="shared" ca="1" si="79"/>
        <v>0.21897358882236401</v>
      </c>
      <c r="DB21" s="483">
        <v>0.24900000000000003</v>
      </c>
      <c r="DC21" s="190">
        <f t="shared" si="49"/>
        <v>2.6411177636020966E-5</v>
      </c>
      <c r="DD21" s="190">
        <f t="shared" ca="1" si="82"/>
        <v>0.03</v>
      </c>
      <c r="DE21" s="354">
        <f t="shared" ca="1" si="83"/>
        <v>0.278973588822364</v>
      </c>
      <c r="DG21" s="341"/>
      <c r="DH21" s="114">
        <v>17.78</v>
      </c>
      <c r="DI21" s="126">
        <f t="shared" ca="1" si="74"/>
        <v>-4.1469565217391278</v>
      </c>
      <c r="DJ21" s="126">
        <f t="shared" ca="1" si="22"/>
        <v>-2</v>
      </c>
      <c r="DK21" s="356">
        <f t="shared" ca="1" si="23"/>
        <v>19.926956521739129</v>
      </c>
      <c r="DL21" s="114">
        <v>16.68</v>
      </c>
      <c r="DM21" s="126">
        <f t="shared" ca="1" si="75"/>
        <v>-5.2469565217391292</v>
      </c>
      <c r="DN21" s="126">
        <f t="shared" ca="1" si="24"/>
        <v>-3</v>
      </c>
      <c r="DO21" s="356">
        <f t="shared" ca="1" si="25"/>
        <v>18.926956521739129</v>
      </c>
      <c r="DP21" s="114">
        <v>15.93</v>
      </c>
      <c r="DQ21" s="126">
        <f t="shared" ca="1" si="76"/>
        <v>-5.9969565217391292</v>
      </c>
      <c r="DR21" s="126">
        <f t="shared" ca="1" si="26"/>
        <v>-6</v>
      </c>
      <c r="DS21" s="356">
        <f t="shared" ca="1" si="27"/>
        <v>15.926956521739129</v>
      </c>
      <c r="DT21" s="114">
        <v>16.73</v>
      </c>
      <c r="DU21" s="126">
        <f t="shared" ca="1" si="77"/>
        <v>-5.1969565217391285</v>
      </c>
      <c r="DV21" s="126">
        <f t="shared" ca="1" si="28"/>
        <v>-5</v>
      </c>
      <c r="DW21" s="356">
        <f t="shared" ca="1" si="29"/>
        <v>16.926956521739129</v>
      </c>
      <c r="DY21" s="240">
        <v>2008</v>
      </c>
      <c r="DZ21" s="243">
        <v>0.15</v>
      </c>
      <c r="EA21" s="244">
        <v>0.15</v>
      </c>
      <c r="EB21" s="243">
        <v>0.15</v>
      </c>
      <c r="EC21" s="244">
        <v>0.15</v>
      </c>
      <c r="ED21" s="253">
        <v>0.15</v>
      </c>
      <c r="EE21" s="248">
        <v>-0.03</v>
      </c>
      <c r="EF21" s="248">
        <v>0.03</v>
      </c>
    </row>
    <row r="22" spans="1:137" x14ac:dyDescent="0.25">
      <c r="B22" s="396">
        <v>36220</v>
      </c>
      <c r="C22" s="399">
        <v>36213</v>
      </c>
      <c r="I22" s="136">
        <f t="shared" ca="1" si="30"/>
        <v>37469</v>
      </c>
      <c r="J22" s="130">
        <f t="shared" ca="1" si="31"/>
        <v>37457</v>
      </c>
      <c r="K22" s="106">
        <f t="shared" ca="1" si="32"/>
        <v>0.68181818181818177</v>
      </c>
      <c r="L22" s="133">
        <f t="shared" ca="1" si="0"/>
        <v>102</v>
      </c>
      <c r="M22" s="134">
        <f t="shared" ca="1" si="1"/>
        <v>8</v>
      </c>
      <c r="N22" s="103">
        <f t="shared" ca="1" si="2"/>
        <v>22</v>
      </c>
      <c r="O22" s="104">
        <f t="shared" ca="1" si="33"/>
        <v>509</v>
      </c>
      <c r="P22" s="105">
        <f t="shared" ca="1" si="3"/>
        <v>1.4099931553730323</v>
      </c>
      <c r="Q22" s="105">
        <f t="shared" ca="1" si="4"/>
        <v>1.4921286789869952</v>
      </c>
      <c r="R22" s="114">
        <v>22</v>
      </c>
      <c r="S22" s="198">
        <v>0</v>
      </c>
      <c r="T22" s="189">
        <f t="shared" si="34"/>
        <v>22</v>
      </c>
      <c r="U22" s="199">
        <f t="shared" ca="1" si="5"/>
        <v>21.729545454545455</v>
      </c>
      <c r="V22" s="379">
        <f t="shared" ca="1" si="6"/>
        <v>21.729545454545455</v>
      </c>
      <c r="W22" s="483">
        <v>0.24475687482315503</v>
      </c>
      <c r="X22" s="166">
        <f t="shared" ca="1" si="7"/>
        <v>5</v>
      </c>
      <c r="Y22" s="91">
        <f t="shared" ca="1" si="51"/>
        <v>1.0648380553423561E-2</v>
      </c>
      <c r="Z22" s="91">
        <f t="shared" ca="1" si="52"/>
        <v>5.9894505911659308E-3</v>
      </c>
      <c r="AA22" s="91">
        <f t="shared" ca="1" si="53"/>
        <v>2.7274955741123869E-3</v>
      </c>
      <c r="AB22" s="91">
        <f t="shared" ca="1" si="54"/>
        <v>6.1445020293603887E-3</v>
      </c>
      <c r="AC22" s="91">
        <f t="shared" ca="1" si="55"/>
        <v>1.3493034291778611E-2</v>
      </c>
      <c r="AD22" s="91">
        <f t="shared" ca="1" si="56"/>
        <v>2.3988671710752599E-2</v>
      </c>
      <c r="AE22" s="124">
        <v>6.9307120196115013E-2</v>
      </c>
      <c r="AF22" s="191">
        <f t="shared" ca="1" si="57"/>
        <v>0.90333334631138584</v>
      </c>
      <c r="AG22" s="189">
        <f t="shared" ca="1" si="35"/>
        <v>1</v>
      </c>
      <c r="AH22" s="192">
        <f t="shared" ca="1" si="9"/>
        <v>0</v>
      </c>
      <c r="AI22" s="192">
        <f t="shared" ca="1" si="87"/>
        <v>0</v>
      </c>
      <c r="AJ22" s="192">
        <f t="shared" ca="1" si="10"/>
        <v>0</v>
      </c>
      <c r="AK22" s="192">
        <f t="shared" ca="1" si="88"/>
        <v>0</v>
      </c>
      <c r="AL22" s="191" t="str">
        <f t="shared" ca="1" si="60"/>
        <v/>
      </c>
      <c r="AM22" s="191" t="str">
        <f t="shared" ca="1" si="61"/>
        <v/>
      </c>
      <c r="AN22" s="191" t="str">
        <f t="shared" ca="1" si="62"/>
        <v/>
      </c>
      <c r="AO22" s="193" t="str">
        <f t="shared" ca="1" si="63"/>
        <v/>
      </c>
      <c r="AP22" s="194" t="str">
        <f t="shared" ca="1" si="36"/>
        <v/>
      </c>
      <c r="AQ22" s="194" t="str">
        <f t="shared" ca="1" si="37"/>
        <v/>
      </c>
      <c r="AR22" s="195">
        <f ca="1">IF(AH22,_xll.xASN(AL22,Strike1,AE22,AP22,0,N22,0,P22,Q22,IF(OptControl=4,0,1),0),0)</f>
        <v>0</v>
      </c>
      <c r="AS22" s="196">
        <f ca="1">IF(AH22,_xll.xASN(AL22,Strike1,AE22,AP22,0,N22,0,P22,Q22,IF(OptControl=4,0,1),1),0)</f>
        <v>0</v>
      </c>
      <c r="AT22" s="196">
        <f ca="1">IF(AH22,_xll.xASN(AL22,Strike1,AE22,AP22,0,N22,0,P22,Q22,IF(OptControl=4,0,1),2),0)</f>
        <v>0</v>
      </c>
      <c r="AU22" s="196">
        <f ca="1">IF(AH22,_xll.xASN(AL22,Strike1,AE22,AP22,0,N22,0,P22,Q22,IF(OptControl=4,0,1),3)/100,0)</f>
        <v>0</v>
      </c>
      <c r="AV22" s="196">
        <f ca="1">IF(AH22,_xll.xASN(AL22,Strike1,AE22,AP22,0,N22,0,P22-DaysForThetaCalculation/365.25,Q22-DaysForThetaCalculation/365.25,IF(OptControl=4,0,1),0)-_xll.xASN(AL22,Strike1,AE22,AP22,0,N22,0,P22,Q22,IF(OptControl=4,0,1),0),0)</f>
        <v>0</v>
      </c>
      <c r="AW22" s="196">
        <f ca="1">IF(AH22,_xll.xASN(AL22,Strike2,AE22,AQ22,0,N22,0,P22,Q22,IF(OptControl=3,1,0),0),0)</f>
        <v>0</v>
      </c>
      <c r="AX22" s="196">
        <f ca="1">IF(AH22,_xll.xASN(AL22,Strike2,AE22,AQ22,0,N22,0,P22,Q22,IF(OptControl=3,1,0),1),0)</f>
        <v>0</v>
      </c>
      <c r="AY22" s="196">
        <f ca="1">IF(AH22,_xll.xASN(AL22,Strike2,AE22,AQ22,0,N22,0,P22,Q22,IF(OptControl=3,1,0),2),0)</f>
        <v>0</v>
      </c>
      <c r="AZ22" s="196">
        <f ca="1">IF(AH22,_xll.xASN(AL22,Strike2,AE22,AQ22,0,N22,0,P22,Q22,IF(OptControl=3,1,0),3)/100,0)</f>
        <v>0</v>
      </c>
      <c r="BA22" s="196">
        <f ca="1">IF(AH22,_xll.xASN(AL22,Strike2,AE22,AQ22,0,N22,0,P22-DaysForThetaCalculation/365.25,Q22-DaysForThetaCalculation/365.25,IF(OptControl=3,1,0),0)-_xll.xASN(AL22,Strike2,AE22,AQ22,0,N22,0,P22,Q22,IF(OptControl=3,1,0),0),0)</f>
        <v>0</v>
      </c>
      <c r="BB22" s="126" t="str">
        <f t="shared" ca="1" si="64"/>
        <v/>
      </c>
      <c r="BC22" s="191" t="str">
        <f t="shared" ca="1" si="65"/>
        <v/>
      </c>
      <c r="BD22" s="191" t="str">
        <f t="shared" ca="1" si="66"/>
        <v/>
      </c>
      <c r="BE22" s="190" t="str">
        <f t="shared" ca="1" si="67"/>
        <v/>
      </c>
      <c r="BF22" s="194" t="str">
        <f t="shared" ca="1" si="68"/>
        <v/>
      </c>
      <c r="BG22" s="194" t="str">
        <f t="shared" ca="1" si="69"/>
        <v/>
      </c>
      <c r="BH22" s="195">
        <f ca="1">IF(AH22,_xll.xEURO(BB22,Strike1,AE22,AE22,BF22,O22,IF(OptControl=4,0,1),0),0)</f>
        <v>0</v>
      </c>
      <c r="BI22" s="196">
        <f ca="1">IF(AH22,_xll.xEURO(BB22,Strike1,AE22,AE22,BF22,O22,IF(OptControl=4,0,1),1),0)</f>
        <v>0</v>
      </c>
      <c r="BJ22" s="196">
        <f ca="1">IF(AH22,_xll.xEURO(BB22,Strike1,AE22,AE22,BF22,O22,IF(OptControl=4,0,1),2),0)</f>
        <v>0</v>
      </c>
      <c r="BK22" s="196">
        <f ca="1">IF(AH22,_xll.xEURO(BB22,Strike1,AE22,AE22,BF22,O22,IF(OptControl=4,0,1),3)/100,0)</f>
        <v>0</v>
      </c>
      <c r="BL22" s="196">
        <f ca="1">IF(AH22,_xll.xEURO(BB22,Strike1,AE22,AE22,BF22,O22-DaysForThetaCalculation,IF(OptControl=4,0,1),0)-_xll.xEURO(BB22,Strike1,AE22,AE22,BF22,O22,IF(OptControl=4,0,1),0),0)</f>
        <v>0</v>
      </c>
      <c r="BM22" s="196">
        <f ca="1">IF(AH22,_xll.xEURO(BB22,Strike2,AE22,AE22,BG22,O22,IF(OptControl=3,1,0),0),0)</f>
        <v>0</v>
      </c>
      <c r="BN22" s="196">
        <f ca="1">IF(AH22,_xll.xEURO(BB22,Strike2,AE22,AE22,BG22,O22,IF(OptControl=3,1,0),1),0)</f>
        <v>0</v>
      </c>
      <c r="BO22" s="196">
        <f ca="1">IF(AH22,_xll.xEURO(BB22,Strike2,AE22,AE22,BG22,O22,IF(OptControl=3,1,0),2),0)</f>
        <v>0</v>
      </c>
      <c r="BP22" s="196">
        <f ca="1">IF(AH22,_xll.xEURO(BB22,Strike2,AE22,AE22,BG22,O22,IF(OptControl=3,1,0),3)/100,0)</f>
        <v>0</v>
      </c>
      <c r="BQ22" s="197">
        <f ca="1">IF(AH22,_xll.xEURO(BB22,Strike2,AE22,AE22,BG22,O22-DaysForThetaCalculation,IF(OptControl=3,1,0),0)-_xll.xEURO(BB22,Strike2,AE22,AE22,BG22,O22,IF(OptControl=3,1,0),0),0)</f>
        <v>0</v>
      </c>
      <c r="BR22" s="301"/>
      <c r="BS22" s="114">
        <v>28.493000000000002</v>
      </c>
      <c r="BT22" s="345">
        <f t="shared" si="11"/>
        <v>67.840476190476195</v>
      </c>
      <c r="BU22" s="345">
        <f t="shared" ca="1" si="84"/>
        <v>6.0034545454545487</v>
      </c>
      <c r="BV22" s="73"/>
      <c r="BW22" s="345">
        <f t="shared" ca="1" si="80"/>
        <v>6.1818695652173883</v>
      </c>
      <c r="BX22" s="345">
        <f t="shared" ca="1" si="85"/>
        <v>68.11980990024469</v>
      </c>
      <c r="BY22" s="373">
        <f t="shared" ca="1" si="41"/>
        <v>66.455750047054394</v>
      </c>
      <c r="BZ22" s="114">
        <v>25.843000000000004</v>
      </c>
      <c r="CA22" s="345">
        <f t="shared" si="12"/>
        <v>61.530952380952385</v>
      </c>
      <c r="CB22" s="345">
        <f t="shared" ca="1" si="86"/>
        <v>4.1134545454545481</v>
      </c>
      <c r="CC22" s="345">
        <f t="shared" ca="1" si="81"/>
        <v>3.7668695652173887</v>
      </c>
      <c r="CD22" s="345">
        <f t="shared" ca="1" si="15"/>
        <v>60.705750047054394</v>
      </c>
      <c r="CE22" s="347">
        <f t="shared" ca="1" si="70"/>
        <v>-5.75</v>
      </c>
      <c r="CF22" s="114">
        <v>24.163000000000004</v>
      </c>
      <c r="CG22" s="345">
        <f t="shared" si="16"/>
        <v>57.530952380952385</v>
      </c>
      <c r="CH22" s="345">
        <f t="shared" ca="1" si="42"/>
        <v>2.6434545454545457</v>
      </c>
      <c r="CI22" s="182">
        <v>0</v>
      </c>
      <c r="CJ22" s="346">
        <f t="shared" ca="1" si="43"/>
        <v>2.6434545454545457</v>
      </c>
      <c r="CK22" s="372">
        <f t="shared" si="44"/>
        <v>57.530952380952385</v>
      </c>
      <c r="CL22" s="373">
        <f t="shared" si="45"/>
        <v>58.030952380952385</v>
      </c>
      <c r="CM22" s="114">
        <v>23.449000000000002</v>
      </c>
      <c r="CN22" s="345">
        <f t="shared" si="17"/>
        <v>55.830952380952382</v>
      </c>
      <c r="CO22" s="345">
        <f t="shared" ca="1" si="46"/>
        <v>1.7194545454545462</v>
      </c>
      <c r="CP22" s="346">
        <f t="shared" ca="1" si="18"/>
        <v>1.7194545454545462</v>
      </c>
      <c r="CQ22" s="345">
        <f t="shared" ca="1" si="19"/>
        <v>55.830952380952382</v>
      </c>
      <c r="CR22" s="347">
        <f t="shared" ca="1" si="71"/>
        <v>-2.2000000000000028</v>
      </c>
      <c r="CS22" s="114">
        <v>24.625</v>
      </c>
      <c r="CT22" s="345">
        <f t="shared" si="20"/>
        <v>58.63095238095238</v>
      </c>
      <c r="CU22" s="345">
        <f t="shared" si="72"/>
        <v>0.59999999999999432</v>
      </c>
      <c r="CV22" s="346">
        <f t="shared" si="21"/>
        <v>0.59999999999999432</v>
      </c>
      <c r="CW22" s="347">
        <f t="shared" si="73"/>
        <v>58.63095238095238</v>
      </c>
      <c r="CX22" s="483">
        <v>0.245</v>
      </c>
      <c r="CY22" s="190">
        <f t="shared" si="47"/>
        <v>2.4312517684496604E-4</v>
      </c>
      <c r="CZ22" s="190">
        <f t="shared" ca="1" si="78"/>
        <v>-0.03</v>
      </c>
      <c r="DA22" s="354">
        <f t="shared" ca="1" si="79"/>
        <v>0.21475687482315503</v>
      </c>
      <c r="DB22" s="483">
        <v>0.245</v>
      </c>
      <c r="DC22" s="190">
        <f t="shared" si="49"/>
        <v>2.4312517684496604E-4</v>
      </c>
      <c r="DD22" s="190">
        <f t="shared" ca="1" si="82"/>
        <v>0.03</v>
      </c>
      <c r="DE22" s="354">
        <f t="shared" ca="1" si="83"/>
        <v>0.27475687482315503</v>
      </c>
      <c r="DG22" s="341"/>
      <c r="DH22" s="114">
        <v>17.574000000000002</v>
      </c>
      <c r="DI22" s="126">
        <f t="shared" ca="1" si="74"/>
        <v>-4.1555454545454538</v>
      </c>
      <c r="DJ22" s="126">
        <f t="shared" ca="1" si="22"/>
        <v>-2</v>
      </c>
      <c r="DK22" s="356">
        <f t="shared" ca="1" si="23"/>
        <v>19.729545454545455</v>
      </c>
      <c r="DL22" s="114">
        <v>16.474</v>
      </c>
      <c r="DM22" s="126">
        <f t="shared" ca="1" si="75"/>
        <v>-5.2555454545454552</v>
      </c>
      <c r="DN22" s="126">
        <f t="shared" ca="1" si="24"/>
        <v>-3</v>
      </c>
      <c r="DO22" s="356">
        <f t="shared" ca="1" si="25"/>
        <v>18.729545454545455</v>
      </c>
      <c r="DP22" s="114">
        <v>15.724000000000002</v>
      </c>
      <c r="DQ22" s="126">
        <f t="shared" ca="1" si="76"/>
        <v>-6.0055454545454534</v>
      </c>
      <c r="DR22" s="126">
        <f t="shared" ca="1" si="26"/>
        <v>-6</v>
      </c>
      <c r="DS22" s="356">
        <f t="shared" ca="1" si="27"/>
        <v>15.729545454545455</v>
      </c>
      <c r="DT22" s="114">
        <v>16.524000000000001</v>
      </c>
      <c r="DU22" s="126">
        <f t="shared" ca="1" si="77"/>
        <v>-5.2055454545454545</v>
      </c>
      <c r="DV22" s="126">
        <f t="shared" ca="1" si="28"/>
        <v>-5</v>
      </c>
      <c r="DW22" s="356">
        <f t="shared" ca="1" si="29"/>
        <v>16.729545454545455</v>
      </c>
      <c r="DY22" s="240">
        <v>2009</v>
      </c>
      <c r="DZ22" s="243">
        <v>0.15</v>
      </c>
      <c r="EA22" s="244">
        <v>0.15</v>
      </c>
      <c r="EB22" s="243">
        <v>0.15</v>
      </c>
      <c r="EC22" s="244">
        <v>0.15</v>
      </c>
      <c r="ED22" s="253">
        <v>0.15</v>
      </c>
      <c r="EE22" s="248">
        <v>-0.03</v>
      </c>
      <c r="EF22" s="248">
        <v>0.03</v>
      </c>
    </row>
    <row r="23" spans="1:137" x14ac:dyDescent="0.25">
      <c r="B23" s="396">
        <v>36251</v>
      </c>
      <c r="C23" s="399">
        <v>36241</v>
      </c>
      <c r="I23" s="136">
        <f t="shared" ca="1" si="30"/>
        <v>37500</v>
      </c>
      <c r="J23" s="130">
        <f t="shared" ca="1" si="31"/>
        <v>37489</v>
      </c>
      <c r="K23" s="106">
        <f t="shared" ca="1" si="32"/>
        <v>0.7142857142857143</v>
      </c>
      <c r="L23" s="133">
        <f t="shared" ca="1" si="0"/>
        <v>102</v>
      </c>
      <c r="M23" s="134">
        <f t="shared" ca="1" si="1"/>
        <v>9</v>
      </c>
      <c r="N23" s="103">
        <f t="shared" ca="1" si="2"/>
        <v>21</v>
      </c>
      <c r="O23" s="104">
        <f t="shared" ca="1" si="33"/>
        <v>541</v>
      </c>
      <c r="P23" s="105">
        <f t="shared" ca="1" si="3"/>
        <v>1.4948665297741273</v>
      </c>
      <c r="Q23" s="105">
        <f t="shared" ca="1" si="4"/>
        <v>1.5742642026009583</v>
      </c>
      <c r="R23" s="114">
        <v>21.79</v>
      </c>
      <c r="S23" s="198">
        <v>0</v>
      </c>
      <c r="T23" s="189">
        <f t="shared" si="34"/>
        <v>21.79</v>
      </c>
      <c r="U23" s="199">
        <f t="shared" ca="1" si="5"/>
        <v>21.545714285714286</v>
      </c>
      <c r="V23" s="379">
        <f t="shared" ca="1" si="6"/>
        <v>21.545714285714286</v>
      </c>
      <c r="W23" s="483">
        <v>0.24141401765002005</v>
      </c>
      <c r="X23" s="166">
        <f t="shared" ca="1" si="7"/>
        <v>5</v>
      </c>
      <c r="Y23" s="91">
        <f t="shared" ca="1" si="51"/>
        <v>1.0420414921187185E-2</v>
      </c>
      <c r="Z23" s="91">
        <f t="shared" ca="1" si="52"/>
        <v>5.8298442574172523E-3</v>
      </c>
      <c r="AA23" s="91">
        <f t="shared" ca="1" si="53"/>
        <v>2.6476943868755992E-3</v>
      </c>
      <c r="AB23" s="91">
        <f t="shared" ca="1" si="54"/>
        <v>5.9647259147533509E-3</v>
      </c>
      <c r="AC23" s="91">
        <f t="shared" ca="1" si="55"/>
        <v>1.3133473143109579E-2</v>
      </c>
      <c r="AD23" s="91">
        <f t="shared" ca="1" si="56"/>
        <v>2.3475110734450501E-2</v>
      </c>
      <c r="AE23" s="124">
        <v>6.9571075397404009E-2</v>
      </c>
      <c r="AF23" s="191">
        <f t="shared" ca="1" si="57"/>
        <v>0.89793158892992364</v>
      </c>
      <c r="AG23" s="189">
        <f t="shared" ca="1" si="35"/>
        <v>1</v>
      </c>
      <c r="AH23" s="192">
        <f t="shared" ca="1" si="9"/>
        <v>0</v>
      </c>
      <c r="AI23" s="192">
        <f t="shared" ca="1" si="87"/>
        <v>0</v>
      </c>
      <c r="AJ23" s="192">
        <f t="shared" ca="1" si="10"/>
        <v>0</v>
      </c>
      <c r="AK23" s="192">
        <f t="shared" ca="1" si="88"/>
        <v>0</v>
      </c>
      <c r="AL23" s="191" t="str">
        <f t="shared" ca="1" si="60"/>
        <v/>
      </c>
      <c r="AM23" s="191" t="str">
        <f t="shared" ca="1" si="61"/>
        <v/>
      </c>
      <c r="AN23" s="191" t="str">
        <f t="shared" ca="1" si="62"/>
        <v/>
      </c>
      <c r="AO23" s="193" t="str">
        <f t="shared" ca="1" si="63"/>
        <v/>
      </c>
      <c r="AP23" s="194" t="str">
        <f t="shared" ca="1" si="36"/>
        <v/>
      </c>
      <c r="AQ23" s="194" t="str">
        <f t="shared" ca="1" si="37"/>
        <v/>
      </c>
      <c r="AR23" s="195">
        <f ca="1">IF(AH23,_xll.xASN(AL23,Strike1,AE23,AP23,0,N23,0,P23,Q23,IF(OptControl=4,0,1),0),0)</f>
        <v>0</v>
      </c>
      <c r="AS23" s="196">
        <f ca="1">IF(AH23,_xll.xASN(AL23,Strike1,AE23,AP23,0,N23,0,P23,Q23,IF(OptControl=4,0,1),1),0)</f>
        <v>0</v>
      </c>
      <c r="AT23" s="196">
        <f ca="1">IF(AH23,_xll.xASN(AL23,Strike1,AE23,AP23,0,N23,0,P23,Q23,IF(OptControl=4,0,1),2),0)</f>
        <v>0</v>
      </c>
      <c r="AU23" s="196">
        <f ca="1">IF(AH23,_xll.xASN(AL23,Strike1,AE23,AP23,0,N23,0,P23,Q23,IF(OptControl=4,0,1),3)/100,0)</f>
        <v>0</v>
      </c>
      <c r="AV23" s="196">
        <f ca="1">IF(AH23,_xll.xASN(AL23,Strike1,AE23,AP23,0,N23,0,P23-DaysForThetaCalculation/365.25,Q23-DaysForThetaCalculation/365.25,IF(OptControl=4,0,1),0)-_xll.xASN(AL23,Strike1,AE23,AP23,0,N23,0,P23,Q23,IF(OptControl=4,0,1),0),0)</f>
        <v>0</v>
      </c>
      <c r="AW23" s="196">
        <f ca="1">IF(AH23,_xll.xASN(AL23,Strike2,AE23,AQ23,0,N23,0,P23,Q23,IF(OptControl=3,1,0),0),0)</f>
        <v>0</v>
      </c>
      <c r="AX23" s="196">
        <f ca="1">IF(AH23,_xll.xASN(AL23,Strike2,AE23,AQ23,0,N23,0,P23,Q23,IF(OptControl=3,1,0),1),0)</f>
        <v>0</v>
      </c>
      <c r="AY23" s="196">
        <f ca="1">IF(AH23,_xll.xASN(AL23,Strike2,AE23,AQ23,0,N23,0,P23,Q23,IF(OptControl=3,1,0),2),0)</f>
        <v>0</v>
      </c>
      <c r="AZ23" s="196">
        <f ca="1">IF(AH23,_xll.xASN(AL23,Strike2,AE23,AQ23,0,N23,0,P23,Q23,IF(OptControl=3,1,0),3)/100,0)</f>
        <v>0</v>
      </c>
      <c r="BA23" s="196">
        <f ca="1">IF(AH23,_xll.xASN(AL23,Strike2,AE23,AQ23,0,N23,0,P23-DaysForThetaCalculation/365.25,Q23-DaysForThetaCalculation/365.25,IF(OptControl=3,1,0),0)-_xll.xASN(AL23,Strike2,AE23,AQ23,0,N23,0,P23,Q23,IF(OptControl=3,1,0),0),0)</f>
        <v>0</v>
      </c>
      <c r="BB23" s="126" t="str">
        <f t="shared" ca="1" si="64"/>
        <v/>
      </c>
      <c r="BC23" s="191" t="str">
        <f t="shared" ca="1" si="65"/>
        <v/>
      </c>
      <c r="BD23" s="191" t="str">
        <f t="shared" ca="1" si="66"/>
        <v/>
      </c>
      <c r="BE23" s="190" t="str">
        <f t="shared" ca="1" si="67"/>
        <v/>
      </c>
      <c r="BF23" s="194" t="str">
        <f t="shared" ca="1" si="68"/>
        <v/>
      </c>
      <c r="BG23" s="194" t="str">
        <f t="shared" ca="1" si="69"/>
        <v/>
      </c>
      <c r="BH23" s="195">
        <f ca="1">IF(AH23,_xll.xEURO(BB23,Strike1,AE23,AE23,BF23,O23,IF(OptControl=4,0,1),0),0)</f>
        <v>0</v>
      </c>
      <c r="BI23" s="196">
        <f ca="1">IF(AH23,_xll.xEURO(BB23,Strike1,AE23,AE23,BF23,O23,IF(OptControl=4,0,1),1),0)</f>
        <v>0</v>
      </c>
      <c r="BJ23" s="196">
        <f ca="1">IF(AH23,_xll.xEURO(BB23,Strike1,AE23,AE23,BF23,O23,IF(OptControl=4,0,1),2),0)</f>
        <v>0</v>
      </c>
      <c r="BK23" s="196">
        <f ca="1">IF(AH23,_xll.xEURO(BB23,Strike1,AE23,AE23,BF23,O23,IF(OptControl=4,0,1),3)/100,0)</f>
        <v>0</v>
      </c>
      <c r="BL23" s="196">
        <f ca="1">IF(AH23,_xll.xEURO(BB23,Strike1,AE23,AE23,BF23,O23-DaysForThetaCalculation,IF(OptControl=4,0,1),0)-_xll.xEURO(BB23,Strike1,AE23,AE23,BF23,O23,IF(OptControl=4,0,1),0),0)</f>
        <v>0</v>
      </c>
      <c r="BM23" s="196">
        <f ca="1">IF(AH23,_xll.xEURO(BB23,Strike2,AE23,AE23,BG23,O23,IF(OptControl=3,1,0),0),0)</f>
        <v>0</v>
      </c>
      <c r="BN23" s="196">
        <f ca="1">IF(AH23,_xll.xEURO(BB23,Strike2,AE23,AE23,BG23,O23,IF(OptControl=3,1,0),1),0)</f>
        <v>0</v>
      </c>
      <c r="BO23" s="196">
        <f ca="1">IF(AH23,_xll.xEURO(BB23,Strike2,AE23,AE23,BG23,O23,IF(OptControl=3,1,0),2),0)</f>
        <v>0</v>
      </c>
      <c r="BP23" s="196">
        <f ca="1">IF(AH23,_xll.xEURO(BB23,Strike2,AE23,AE23,BG23,O23,IF(OptControl=3,1,0),3)/100,0)</f>
        <v>0</v>
      </c>
      <c r="BQ23" s="197">
        <f ca="1">IF(AH23,_xll.xEURO(BB23,Strike2,AE23,AE23,BG23,O23-DaysForThetaCalculation,IF(OptControl=3,1,0),0)-_xll.xEURO(BB23,Strike2,AE23,AE23,BG23,O23,IF(OptControl=3,1,0),0),0)</f>
        <v>0</v>
      </c>
      <c r="BR23" s="301"/>
      <c r="BS23" s="114">
        <v>27.733000000000004</v>
      </c>
      <c r="BT23" s="345">
        <f t="shared" si="11"/>
        <v>66.030952380952385</v>
      </c>
      <c r="BU23" s="345">
        <f t="shared" ca="1" si="84"/>
        <v>4.960285714285714</v>
      </c>
      <c r="BV23" s="73"/>
      <c r="BW23" s="345">
        <f t="shared" ca="1" si="80"/>
        <v>5.099000000000002</v>
      </c>
      <c r="BX23" s="345">
        <f t="shared" ca="1" si="85"/>
        <v>66.455750047054394</v>
      </c>
      <c r="BY23" s="373">
        <f t="shared" ca="1" si="41"/>
        <v>63.439795918367345</v>
      </c>
      <c r="BZ23" s="114">
        <v>24.616</v>
      </c>
      <c r="CA23" s="345">
        <f t="shared" si="12"/>
        <v>58.609523809523807</v>
      </c>
      <c r="CB23" s="345">
        <f t="shared" ca="1" si="86"/>
        <v>3.0702857142857134</v>
      </c>
      <c r="CC23" s="345">
        <f t="shared" ca="1" si="81"/>
        <v>2.6840000000000024</v>
      </c>
      <c r="CD23" s="345">
        <f t="shared" ca="1" si="15"/>
        <v>57.689795918367345</v>
      </c>
      <c r="CE23" s="347">
        <f t="shared" ca="1" si="70"/>
        <v>-5.75</v>
      </c>
      <c r="CF23" s="114">
        <v>24.373000000000001</v>
      </c>
      <c r="CG23" s="345">
        <f t="shared" si="16"/>
        <v>58.030952380952385</v>
      </c>
      <c r="CH23" s="345">
        <f t="shared" ca="1" si="42"/>
        <v>3.284285714285712</v>
      </c>
      <c r="CI23" s="182">
        <v>0</v>
      </c>
      <c r="CJ23" s="345">
        <f ca="1">CJ11+VLOOKUP(1900+$L23,ProductSpreadTable,4)</f>
        <v>2.991000000000001</v>
      </c>
      <c r="CK23" s="372">
        <f t="shared" si="44"/>
        <v>58.030952380952385</v>
      </c>
      <c r="CL23" s="373">
        <f t="shared" ca="1" si="45"/>
        <v>58.420748299319733</v>
      </c>
      <c r="CM23" s="114">
        <v>23.725999999999999</v>
      </c>
      <c r="CN23" s="345">
        <f t="shared" si="17"/>
        <v>56.490476190476187</v>
      </c>
      <c r="CO23" s="345">
        <f t="shared" ca="1" si="46"/>
        <v>2.1802857142857128</v>
      </c>
      <c r="CP23" s="346">
        <f t="shared" ca="1" si="18"/>
        <v>2.1802857142857128</v>
      </c>
      <c r="CQ23" s="345">
        <f t="shared" ca="1" si="19"/>
        <v>56.490476190476187</v>
      </c>
      <c r="CR23" s="347">
        <f t="shared" ca="1" si="71"/>
        <v>-1.9302721088435462</v>
      </c>
      <c r="CS23" s="114">
        <v>25.082000000000004</v>
      </c>
      <c r="CT23" s="345">
        <f t="shared" si="20"/>
        <v>59.719047619047629</v>
      </c>
      <c r="CU23" s="345">
        <f t="shared" si="72"/>
        <v>0.60000000000000853</v>
      </c>
      <c r="CV23" s="346">
        <f t="shared" si="21"/>
        <v>0.60000000000000853</v>
      </c>
      <c r="CW23" s="347">
        <f t="shared" ca="1" si="73"/>
        <v>59.020748299319742</v>
      </c>
      <c r="CX23" s="483">
        <v>0.24100000000000002</v>
      </c>
      <c r="CY23" s="190">
        <f t="shared" si="47"/>
        <v>-4.1401765002002655E-4</v>
      </c>
      <c r="CZ23" s="190">
        <f t="shared" ca="1" si="78"/>
        <v>-0.03</v>
      </c>
      <c r="DA23" s="354">
        <f t="shared" ca="1" si="79"/>
        <v>0.21141401765002005</v>
      </c>
      <c r="DB23" s="483">
        <v>0.24100000000000002</v>
      </c>
      <c r="DC23" s="190">
        <f t="shared" si="49"/>
        <v>-4.1401765002002655E-4</v>
      </c>
      <c r="DD23" s="190">
        <f t="shared" ca="1" si="82"/>
        <v>0.03</v>
      </c>
      <c r="DE23" s="354">
        <f t="shared" ca="1" si="83"/>
        <v>0.27141401765002005</v>
      </c>
      <c r="DG23" s="341"/>
      <c r="DH23" s="114">
        <v>17.393000000000001</v>
      </c>
      <c r="DI23" s="126">
        <f t="shared" ca="1" si="74"/>
        <v>-4.1527142857142856</v>
      </c>
      <c r="DJ23" s="126">
        <f t="shared" ca="1" si="22"/>
        <v>-2</v>
      </c>
      <c r="DK23" s="356">
        <f t="shared" ca="1" si="23"/>
        <v>19.545714285714286</v>
      </c>
      <c r="DL23" s="114">
        <v>16.292999999999999</v>
      </c>
      <c r="DM23" s="126">
        <f t="shared" ca="1" si="75"/>
        <v>-5.252714285714287</v>
      </c>
      <c r="DN23" s="126">
        <f t="shared" ca="1" si="24"/>
        <v>-3</v>
      </c>
      <c r="DO23" s="356">
        <f t="shared" ca="1" si="25"/>
        <v>18.545714285714286</v>
      </c>
      <c r="DP23" s="114">
        <v>15.542999999999999</v>
      </c>
      <c r="DQ23" s="126">
        <f t="shared" ca="1" si="76"/>
        <v>-6.002714285714287</v>
      </c>
      <c r="DR23" s="126">
        <f t="shared" ca="1" si="26"/>
        <v>-6</v>
      </c>
      <c r="DS23" s="356">
        <f t="shared" ca="1" si="27"/>
        <v>15.545714285714286</v>
      </c>
      <c r="DT23" s="114">
        <v>16.343</v>
      </c>
      <c r="DU23" s="126">
        <f t="shared" ca="1" si="77"/>
        <v>-5.2027142857142863</v>
      </c>
      <c r="DV23" s="126">
        <f t="shared" ca="1" si="28"/>
        <v>-5</v>
      </c>
      <c r="DW23" s="356">
        <f t="shared" ca="1" si="29"/>
        <v>16.545714285714286</v>
      </c>
      <c r="DY23" s="240">
        <v>2010</v>
      </c>
      <c r="DZ23" s="243">
        <v>0.15</v>
      </c>
      <c r="EA23" s="244">
        <v>0.15</v>
      </c>
      <c r="EB23" s="243">
        <v>0.15</v>
      </c>
      <c r="EC23" s="244">
        <v>0.15</v>
      </c>
      <c r="ED23" s="253">
        <v>0.15</v>
      </c>
      <c r="EE23" s="248">
        <v>-0.03</v>
      </c>
      <c r="EF23" s="248">
        <v>0.03</v>
      </c>
    </row>
    <row r="24" spans="1:137" x14ac:dyDescent="0.25">
      <c r="B24" s="396">
        <v>36281</v>
      </c>
      <c r="C24" s="399">
        <v>36270</v>
      </c>
      <c r="I24" s="136">
        <f t="shared" ca="1" si="30"/>
        <v>37530</v>
      </c>
      <c r="J24" s="130">
        <f t="shared" ca="1" si="31"/>
        <v>37519</v>
      </c>
      <c r="K24" s="106">
        <f t="shared" ca="1" si="32"/>
        <v>0.69565217391304346</v>
      </c>
      <c r="L24" s="133">
        <f t="shared" ca="1" si="0"/>
        <v>102</v>
      </c>
      <c r="M24" s="134">
        <f t="shared" ca="1" si="1"/>
        <v>10</v>
      </c>
      <c r="N24" s="103">
        <f t="shared" ca="1" si="2"/>
        <v>23</v>
      </c>
      <c r="O24" s="104">
        <f t="shared" ca="1" si="33"/>
        <v>570</v>
      </c>
      <c r="P24" s="105">
        <f t="shared" ca="1" si="3"/>
        <v>1.5770020533880904</v>
      </c>
      <c r="Q24" s="105">
        <f t="shared" ca="1" si="4"/>
        <v>1.6591375770020533</v>
      </c>
      <c r="R24" s="114">
        <v>21.6</v>
      </c>
      <c r="S24" s="198">
        <v>0</v>
      </c>
      <c r="T24" s="189">
        <f t="shared" si="34"/>
        <v>21.6</v>
      </c>
      <c r="U24" s="199">
        <f t="shared" ca="1" si="5"/>
        <v>21.358260869565218</v>
      </c>
      <c r="V24" s="379">
        <f t="shared" ca="1" si="6"/>
        <v>21.358260869565218</v>
      </c>
      <c r="W24" s="483">
        <v>0.23704281792315299</v>
      </c>
      <c r="X24" s="166">
        <f t="shared" ca="1" si="7"/>
        <v>5</v>
      </c>
      <c r="Y24" s="91">
        <f t="shared" ca="1" si="51"/>
        <v>1.020445088310051E-2</v>
      </c>
      <c r="Z24" s="91">
        <f t="shared" ca="1" si="52"/>
        <v>5.6794372726431553E-3</v>
      </c>
      <c r="AA24" s="91">
        <f t="shared" ca="1" si="53"/>
        <v>2.5726912022145066E-3</v>
      </c>
      <c r="AB24" s="91">
        <f t="shared" ca="1" si="54"/>
        <v>5.7957587403488402E-3</v>
      </c>
      <c r="AC24" s="91">
        <f t="shared" ca="1" si="55"/>
        <v>1.2794636287810496E-2</v>
      </c>
      <c r="AD24" s="91">
        <f t="shared" ca="1" si="56"/>
        <v>2.298858694944883E-2</v>
      </c>
      <c r="AE24" s="124">
        <v>6.9805835369684002E-2</v>
      </c>
      <c r="AF24" s="191">
        <f t="shared" ca="1" si="57"/>
        <v>0.89239882515409452</v>
      </c>
      <c r="AG24" s="189">
        <f t="shared" ca="1" si="35"/>
        <v>1</v>
      </c>
      <c r="AH24" s="192">
        <f t="shared" ca="1" si="9"/>
        <v>0</v>
      </c>
      <c r="AI24" s="192">
        <f t="shared" ca="1" si="87"/>
        <v>0</v>
      </c>
      <c r="AJ24" s="192">
        <f t="shared" ca="1" si="10"/>
        <v>0</v>
      </c>
      <c r="AK24" s="192">
        <f t="shared" ca="1" si="88"/>
        <v>0</v>
      </c>
      <c r="AL24" s="191" t="str">
        <f t="shared" ca="1" si="60"/>
        <v/>
      </c>
      <c r="AM24" s="191" t="str">
        <f t="shared" ca="1" si="61"/>
        <v/>
      </c>
      <c r="AN24" s="191" t="str">
        <f t="shared" ca="1" si="62"/>
        <v/>
      </c>
      <c r="AO24" s="193" t="str">
        <f t="shared" ca="1" si="63"/>
        <v/>
      </c>
      <c r="AP24" s="194" t="str">
        <f t="shared" ca="1" si="36"/>
        <v/>
      </c>
      <c r="AQ24" s="194" t="str">
        <f t="shared" ca="1" si="37"/>
        <v/>
      </c>
      <c r="AR24" s="195">
        <f ca="1">IF(AH24,_xll.xASN(AL24,Strike1,AE24,AP24,0,N24,0,P24,Q24,IF(OptControl=4,0,1),0),0)</f>
        <v>0</v>
      </c>
      <c r="AS24" s="196">
        <f ca="1">IF(AH24,_xll.xASN(AL24,Strike1,AE24,AP24,0,N24,0,P24,Q24,IF(OptControl=4,0,1),1),0)</f>
        <v>0</v>
      </c>
      <c r="AT24" s="196">
        <f ca="1">IF(AH24,_xll.xASN(AL24,Strike1,AE24,AP24,0,N24,0,P24,Q24,IF(OptControl=4,0,1),2),0)</f>
        <v>0</v>
      </c>
      <c r="AU24" s="196">
        <f ca="1">IF(AH24,_xll.xASN(AL24,Strike1,AE24,AP24,0,N24,0,P24,Q24,IF(OptControl=4,0,1),3)/100,0)</f>
        <v>0</v>
      </c>
      <c r="AV24" s="196">
        <f ca="1">IF(AH24,_xll.xASN(AL24,Strike1,AE24,AP24,0,N24,0,P24-DaysForThetaCalculation/365.25,Q24-DaysForThetaCalculation/365.25,IF(OptControl=4,0,1),0)-_xll.xASN(AL24,Strike1,AE24,AP24,0,N24,0,P24,Q24,IF(OptControl=4,0,1),0),0)</f>
        <v>0</v>
      </c>
      <c r="AW24" s="196">
        <f ca="1">IF(AH24,_xll.xASN(AL24,Strike2,AE24,AQ24,0,N24,0,P24,Q24,IF(OptControl=3,1,0),0),0)</f>
        <v>0</v>
      </c>
      <c r="AX24" s="196">
        <f ca="1">IF(AH24,_xll.xASN(AL24,Strike2,AE24,AQ24,0,N24,0,P24,Q24,IF(OptControl=3,1,0),1),0)</f>
        <v>0</v>
      </c>
      <c r="AY24" s="196">
        <f ca="1">IF(AH24,_xll.xASN(AL24,Strike2,AE24,AQ24,0,N24,0,P24,Q24,IF(OptControl=3,1,0),2),0)</f>
        <v>0</v>
      </c>
      <c r="AZ24" s="196">
        <f ca="1">IF(AH24,_xll.xASN(AL24,Strike2,AE24,AQ24,0,N24,0,P24,Q24,IF(OptControl=3,1,0),3)/100,0)</f>
        <v>0</v>
      </c>
      <c r="BA24" s="196">
        <f ca="1">IF(AH24,_xll.xASN(AL24,Strike2,AE24,AQ24,0,N24,0,P24-DaysForThetaCalculation/365.25,Q24-DaysForThetaCalculation/365.25,IF(OptControl=3,1,0),0)-_xll.xASN(AL24,Strike2,AE24,AQ24,0,N24,0,P24,Q24,IF(OptControl=3,1,0),0),0)</f>
        <v>0</v>
      </c>
      <c r="BB24" s="126" t="str">
        <f t="shared" ca="1" si="64"/>
        <v/>
      </c>
      <c r="BC24" s="191" t="str">
        <f t="shared" ca="1" si="65"/>
        <v/>
      </c>
      <c r="BD24" s="191" t="str">
        <f t="shared" ca="1" si="66"/>
        <v/>
      </c>
      <c r="BE24" s="190" t="str">
        <f t="shared" ca="1" si="67"/>
        <v/>
      </c>
      <c r="BF24" s="194" t="str">
        <f t="shared" ca="1" si="68"/>
        <v/>
      </c>
      <c r="BG24" s="194" t="str">
        <f t="shared" ca="1" si="69"/>
        <v/>
      </c>
      <c r="BH24" s="195">
        <f ca="1">IF(AH24,_xll.xEURO(BB24,Strike1,AE24,AE24,BF24,O24,IF(OptControl=4,0,1),0),0)</f>
        <v>0</v>
      </c>
      <c r="BI24" s="196">
        <f ca="1">IF(AH24,_xll.xEURO(BB24,Strike1,AE24,AE24,BF24,O24,IF(OptControl=4,0,1),1),0)</f>
        <v>0</v>
      </c>
      <c r="BJ24" s="196">
        <f ca="1">IF(AH24,_xll.xEURO(BB24,Strike1,AE24,AE24,BF24,O24,IF(OptControl=4,0,1),2),0)</f>
        <v>0</v>
      </c>
      <c r="BK24" s="196">
        <f ca="1">IF(AH24,_xll.xEURO(BB24,Strike1,AE24,AE24,BF24,O24,IF(OptControl=4,0,1),3)/100,0)</f>
        <v>0</v>
      </c>
      <c r="BL24" s="196">
        <f ca="1">IF(AH24,_xll.xEURO(BB24,Strike1,AE24,AE24,BF24,O24-DaysForThetaCalculation,IF(OptControl=4,0,1),0)-_xll.xEURO(BB24,Strike1,AE24,AE24,BF24,O24,IF(OptControl=4,0,1),0),0)</f>
        <v>0</v>
      </c>
      <c r="BM24" s="196">
        <f ca="1">IF(AH24,_xll.xEURO(BB24,Strike2,AE24,AE24,BG24,O24,IF(OptControl=3,1,0),0),0)</f>
        <v>0</v>
      </c>
      <c r="BN24" s="196">
        <f ca="1">IF(AH24,_xll.xEURO(BB24,Strike2,AE24,AE24,BG24,O24,IF(OptControl=3,1,0),1),0)</f>
        <v>0</v>
      </c>
      <c r="BO24" s="196">
        <f ca="1">IF(AH24,_xll.xEURO(BB24,Strike2,AE24,AE24,BG24,O24,IF(OptControl=3,1,0),2),0)</f>
        <v>0</v>
      </c>
      <c r="BP24" s="196">
        <f ca="1">IF(AH24,_xll.xEURO(BB24,Strike2,AE24,AE24,BG24,O24,IF(OptControl=3,1,0),3)/100,0)</f>
        <v>0</v>
      </c>
      <c r="BQ24" s="197">
        <f ca="1">IF(AH24,_xll.xEURO(BB24,Strike2,AE24,AE24,BG24,O24-DaysForThetaCalculation,IF(OptControl=3,1,0),0)-_xll.xEURO(BB24,Strike2,AE24,AE24,BG24,O24,IF(OptControl=3,1,0),0),0)</f>
        <v>0</v>
      </c>
      <c r="BR24" s="301"/>
      <c r="BS24" s="114">
        <v>26.506</v>
      </c>
      <c r="BT24" s="345">
        <f t="shared" si="11"/>
        <v>63.109523809523807</v>
      </c>
      <c r="BU24" s="345">
        <f t="shared" ca="1" si="84"/>
        <v>4.5477391304347812</v>
      </c>
      <c r="BV24" s="73"/>
      <c r="BW24" s="345">
        <f t="shared" ca="1" si="80"/>
        <v>4.6917826086956556</v>
      </c>
      <c r="BX24" s="345">
        <f t="shared" ca="1" si="85"/>
        <v>63.439795918367345</v>
      </c>
      <c r="BY24" s="373">
        <f t="shared" ca="1" si="41"/>
        <v>62.023913043478281</v>
      </c>
      <c r="BZ24" s="114">
        <v>22.495000000000001</v>
      </c>
      <c r="CA24" s="345">
        <f t="shared" si="12"/>
        <v>53.55952380952381</v>
      </c>
      <c r="CB24" s="345">
        <f t="shared" ca="1" si="86"/>
        <v>1.1367391304347834</v>
      </c>
      <c r="CC24" s="345">
        <f t="shared" ca="1" si="81"/>
        <v>2.3817826086956564</v>
      </c>
      <c r="CD24" s="345">
        <f t="shared" ca="1" si="15"/>
        <v>56.523913043478267</v>
      </c>
      <c r="CE24" s="347">
        <f t="shared" ca="1" si="70"/>
        <v>-5.5000000000000142</v>
      </c>
      <c r="CF24" s="114">
        <v>24.83</v>
      </c>
      <c r="CG24" s="345">
        <f t="shared" si="16"/>
        <v>59.11904761904762</v>
      </c>
      <c r="CH24" s="345">
        <f t="shared" ca="1" si="42"/>
        <v>3.8417391304347817</v>
      </c>
      <c r="CI24" s="73"/>
      <c r="CJ24" s="345">
        <f t="shared" ref="CJ24:CJ87" ca="1" si="89">CJ12+VLOOKUP(1900+$L24,ProductSpreadTable,4)</f>
        <v>3.5497826086956521</v>
      </c>
      <c r="CK24" s="345">
        <f t="shared" ref="CK24:CK81" ca="1" si="90">($V23+CJ23)*100/42</f>
        <v>58.420748299319733</v>
      </c>
      <c r="CL24" s="373">
        <f t="shared" ca="1" si="45"/>
        <v>59.304865424430645</v>
      </c>
      <c r="CM24" s="114">
        <v>23.86</v>
      </c>
      <c r="CN24" s="345">
        <f t="shared" si="17"/>
        <v>56.80952380952381</v>
      </c>
      <c r="CO24" s="345">
        <f t="shared" ca="1" si="46"/>
        <v>2.5017391304347818</v>
      </c>
      <c r="CP24" s="345">
        <f ca="1">CP12+VLOOKUP(1900+$L24,ProductSpreadTable,5)</f>
        <v>2.3527826086956529</v>
      </c>
      <c r="CQ24" s="345">
        <f t="shared" ca="1" si="19"/>
        <v>56.454865424430636</v>
      </c>
      <c r="CR24" s="347">
        <f t="shared" ca="1" si="71"/>
        <v>-2.8500000000000085</v>
      </c>
      <c r="CS24" s="114">
        <v>25.452000000000002</v>
      </c>
      <c r="CT24" s="345">
        <f t="shared" si="20"/>
        <v>60.600000000000009</v>
      </c>
      <c r="CU24" s="345">
        <f t="shared" si="72"/>
        <v>0.60000000000000853</v>
      </c>
      <c r="CV24" s="345">
        <f t="shared" ref="CV24:CV87" ca="1" si="91">CV12+VLOOKUP(1900+$L24,ProductSpreadTable,6)</f>
        <v>0.75000000000000855</v>
      </c>
      <c r="CW24" s="347">
        <f t="shared" ca="1" si="73"/>
        <v>60.054865424430652</v>
      </c>
      <c r="CX24" s="483">
        <v>0.23699999999999999</v>
      </c>
      <c r="CY24" s="190">
        <f t="shared" si="47"/>
        <v>-4.2817923152999038E-5</v>
      </c>
      <c r="CZ24" s="190">
        <f t="shared" ca="1" si="78"/>
        <v>-0.03</v>
      </c>
      <c r="DA24" s="354">
        <f t="shared" ca="1" si="79"/>
        <v>0.20704281792315299</v>
      </c>
      <c r="DB24" s="483">
        <v>0.23699999999999999</v>
      </c>
      <c r="DC24" s="190">
        <f t="shared" si="49"/>
        <v>-4.2817923152999038E-5</v>
      </c>
      <c r="DD24" s="190">
        <f t="shared" ca="1" si="82"/>
        <v>0.03</v>
      </c>
      <c r="DE24" s="354">
        <f t="shared" ca="1" si="83"/>
        <v>0.26704281792315299</v>
      </c>
      <c r="DG24" s="341"/>
      <c r="DH24" s="114">
        <v>17.207999999999998</v>
      </c>
      <c r="DI24" s="126">
        <f t="shared" ca="1" si="74"/>
        <v>-4.1502608695652192</v>
      </c>
      <c r="DJ24" s="126">
        <f t="shared" ca="1" si="22"/>
        <v>-2</v>
      </c>
      <c r="DK24" s="356">
        <f t="shared" ca="1" si="23"/>
        <v>19.358260869565218</v>
      </c>
      <c r="DL24" s="114">
        <v>16.108000000000001</v>
      </c>
      <c r="DM24" s="126">
        <f t="shared" ca="1" si="75"/>
        <v>-5.2502608695652171</v>
      </c>
      <c r="DN24" s="126">
        <f t="shared" ca="1" si="24"/>
        <v>-3</v>
      </c>
      <c r="DO24" s="356">
        <f t="shared" ca="1" si="25"/>
        <v>18.358260869565218</v>
      </c>
      <c r="DP24" s="114">
        <v>15.358000000000001</v>
      </c>
      <c r="DQ24" s="126">
        <f t="shared" ca="1" si="76"/>
        <v>-6.0002608695652171</v>
      </c>
      <c r="DR24" s="126">
        <f t="shared" ca="1" si="26"/>
        <v>-6</v>
      </c>
      <c r="DS24" s="356">
        <f t="shared" ca="1" si="27"/>
        <v>15.358260869565218</v>
      </c>
      <c r="DT24" s="114">
        <v>16.158000000000001</v>
      </c>
      <c r="DU24" s="126">
        <f t="shared" ca="1" si="77"/>
        <v>-5.2002608695652164</v>
      </c>
      <c r="DV24" s="126">
        <f t="shared" ca="1" si="28"/>
        <v>-5</v>
      </c>
      <c r="DW24" s="356">
        <f t="shared" ca="1" si="29"/>
        <v>16.358260869565218</v>
      </c>
      <c r="DY24" s="240">
        <v>2011</v>
      </c>
      <c r="DZ24" s="243">
        <v>0.15</v>
      </c>
      <c r="EA24" s="244">
        <v>0.15</v>
      </c>
      <c r="EB24" s="243">
        <v>0.15</v>
      </c>
      <c r="EC24" s="244">
        <v>0.15</v>
      </c>
      <c r="ED24" s="253">
        <v>0.15</v>
      </c>
      <c r="EE24" s="248">
        <v>-0.03</v>
      </c>
      <c r="EF24" s="248">
        <v>0.03</v>
      </c>
    </row>
    <row r="25" spans="1:137" x14ac:dyDescent="0.25">
      <c r="B25" s="396">
        <v>36312</v>
      </c>
      <c r="C25" s="399">
        <v>36300</v>
      </c>
      <c r="I25" s="136">
        <f t="shared" ca="1" si="30"/>
        <v>37561</v>
      </c>
      <c r="J25" s="130">
        <f t="shared" ca="1" si="31"/>
        <v>37551</v>
      </c>
      <c r="K25" s="106">
        <f t="shared" ca="1" si="32"/>
        <v>0.61904761904761907</v>
      </c>
      <c r="L25" s="133">
        <f t="shared" ca="1" si="0"/>
        <v>102</v>
      </c>
      <c r="M25" s="134">
        <f t="shared" ca="1" si="1"/>
        <v>11</v>
      </c>
      <c r="N25" s="103">
        <f t="shared" ca="1" si="2"/>
        <v>21</v>
      </c>
      <c r="O25" s="104">
        <f t="shared" ca="1" si="33"/>
        <v>603</v>
      </c>
      <c r="P25" s="105">
        <f t="shared" ca="1" si="3"/>
        <v>1.6618754277891854</v>
      </c>
      <c r="Q25" s="105">
        <f t="shared" ca="1" si="4"/>
        <v>1.7412731006160165</v>
      </c>
      <c r="R25" s="114">
        <v>21.41</v>
      </c>
      <c r="S25" s="198">
        <v>0</v>
      </c>
      <c r="T25" s="189">
        <f t="shared" si="34"/>
        <v>21.41</v>
      </c>
      <c r="U25" s="199">
        <f t="shared" ca="1" si="5"/>
        <v>21.175238095238093</v>
      </c>
      <c r="V25" s="379">
        <f t="shared" ca="1" si="6"/>
        <v>21.175238095238093</v>
      </c>
      <c r="W25" s="483">
        <v>0.23363456251915007</v>
      </c>
      <c r="X25" s="166">
        <f t="shared" ca="1" si="7"/>
        <v>5</v>
      </c>
      <c r="Y25" s="91">
        <f t="shared" ca="1" si="51"/>
        <v>9.985989109921007E-3</v>
      </c>
      <c r="Z25" s="91">
        <f t="shared" ca="1" si="52"/>
        <v>5.5280921455660307E-3</v>
      </c>
      <c r="AA25" s="91">
        <f t="shared" ca="1" si="53"/>
        <v>2.4974192881996992E-3</v>
      </c>
      <c r="AB25" s="91">
        <f t="shared" ca="1" si="54"/>
        <v>5.6261861724562828E-3</v>
      </c>
      <c r="AC25" s="91">
        <f t="shared" ca="1" si="55"/>
        <v>1.2453685985531147E-2</v>
      </c>
      <c r="AD25" s="91">
        <f t="shared" ca="1" si="56"/>
        <v>2.2496436266830046E-2</v>
      </c>
      <c r="AE25" s="124">
        <v>7.0014436980022993E-2</v>
      </c>
      <c r="AF25" s="191">
        <f t="shared" ca="1" si="57"/>
        <v>0.88707224927210571</v>
      </c>
      <c r="AG25" s="189">
        <f t="shared" ca="1" si="35"/>
        <v>1</v>
      </c>
      <c r="AH25" s="192">
        <f t="shared" ca="1" si="9"/>
        <v>0</v>
      </c>
      <c r="AI25" s="192">
        <f t="shared" ca="1" si="87"/>
        <v>0</v>
      </c>
      <c r="AJ25" s="192">
        <f t="shared" ca="1" si="10"/>
        <v>0</v>
      </c>
      <c r="AK25" s="192">
        <f t="shared" ca="1" si="88"/>
        <v>0</v>
      </c>
      <c r="AL25" s="191" t="str">
        <f t="shared" ca="1" si="60"/>
        <v/>
      </c>
      <c r="AM25" s="191" t="str">
        <f t="shared" ca="1" si="61"/>
        <v/>
      </c>
      <c r="AN25" s="191" t="str">
        <f t="shared" ca="1" si="62"/>
        <v/>
      </c>
      <c r="AO25" s="193" t="str">
        <f t="shared" ca="1" si="63"/>
        <v/>
      </c>
      <c r="AP25" s="194" t="str">
        <f t="shared" ca="1" si="36"/>
        <v/>
      </c>
      <c r="AQ25" s="194" t="str">
        <f t="shared" ca="1" si="37"/>
        <v/>
      </c>
      <c r="AR25" s="195">
        <f ca="1">IF(AH25,_xll.xASN(AL25,Strike1,AE25,AP25,0,N25,0,P25,Q25,IF(OptControl=4,0,1),0),0)</f>
        <v>0</v>
      </c>
      <c r="AS25" s="196">
        <f ca="1">IF(AH25,_xll.xASN(AL25,Strike1,AE25,AP25,0,N25,0,P25,Q25,IF(OptControl=4,0,1),1),0)</f>
        <v>0</v>
      </c>
      <c r="AT25" s="196">
        <f ca="1">IF(AH25,_xll.xASN(AL25,Strike1,AE25,AP25,0,N25,0,P25,Q25,IF(OptControl=4,0,1),2),0)</f>
        <v>0</v>
      </c>
      <c r="AU25" s="196">
        <f ca="1">IF(AH25,_xll.xASN(AL25,Strike1,AE25,AP25,0,N25,0,P25,Q25,IF(OptControl=4,0,1),3)/100,0)</f>
        <v>0</v>
      </c>
      <c r="AV25" s="196">
        <f ca="1">IF(AH25,_xll.xASN(AL25,Strike1,AE25,AP25,0,N25,0,P25-DaysForThetaCalculation/365.25,Q25-DaysForThetaCalculation/365.25,IF(OptControl=4,0,1),0)-_xll.xASN(AL25,Strike1,AE25,AP25,0,N25,0,P25,Q25,IF(OptControl=4,0,1),0),0)</f>
        <v>0</v>
      </c>
      <c r="AW25" s="196">
        <f ca="1">IF(AH25,_xll.xASN(AL25,Strike2,AE25,AQ25,0,N25,0,P25,Q25,IF(OptControl=3,1,0),0),0)</f>
        <v>0</v>
      </c>
      <c r="AX25" s="196">
        <f ca="1">IF(AH25,_xll.xASN(AL25,Strike2,AE25,AQ25,0,N25,0,P25,Q25,IF(OptControl=3,1,0),1),0)</f>
        <v>0</v>
      </c>
      <c r="AY25" s="196">
        <f ca="1">IF(AH25,_xll.xASN(AL25,Strike2,AE25,AQ25,0,N25,0,P25,Q25,IF(OptControl=3,1,0),2),0)</f>
        <v>0</v>
      </c>
      <c r="AZ25" s="196">
        <f ca="1">IF(AH25,_xll.xASN(AL25,Strike2,AE25,AQ25,0,N25,0,P25,Q25,IF(OptControl=3,1,0),3)/100,0)</f>
        <v>0</v>
      </c>
      <c r="BA25" s="196">
        <f ca="1">IF(AH25,_xll.xASN(AL25,Strike2,AE25,AQ25,0,N25,0,P25-DaysForThetaCalculation/365.25,Q25-DaysForThetaCalculation/365.25,IF(OptControl=3,1,0),0)-_xll.xASN(AL25,Strike2,AE25,AQ25,0,N25,0,P25,Q25,IF(OptControl=3,1,0),0),0)</f>
        <v>0</v>
      </c>
      <c r="BB25" s="126" t="str">
        <f t="shared" ca="1" si="64"/>
        <v/>
      </c>
      <c r="BC25" s="191" t="str">
        <f t="shared" ca="1" si="65"/>
        <v/>
      </c>
      <c r="BD25" s="191" t="str">
        <f t="shared" ca="1" si="66"/>
        <v/>
      </c>
      <c r="BE25" s="190" t="str">
        <f t="shared" ca="1" si="67"/>
        <v/>
      </c>
      <c r="BF25" s="194" t="str">
        <f t="shared" ca="1" si="68"/>
        <v/>
      </c>
      <c r="BG25" s="194" t="str">
        <f t="shared" ca="1" si="69"/>
        <v/>
      </c>
      <c r="BH25" s="195">
        <f ca="1">IF(AH25,_xll.xEURO(BB25,Strike1,AE25,AE25,BF25,O25,IF(OptControl=4,0,1),0),0)</f>
        <v>0</v>
      </c>
      <c r="BI25" s="196">
        <f ca="1">IF(AH25,_xll.xEURO(BB25,Strike1,AE25,AE25,BF25,O25,IF(OptControl=4,0,1),1),0)</f>
        <v>0</v>
      </c>
      <c r="BJ25" s="196">
        <f ca="1">IF(AH25,_xll.xEURO(BB25,Strike1,AE25,AE25,BF25,O25,IF(OptControl=4,0,1),2),0)</f>
        <v>0</v>
      </c>
      <c r="BK25" s="196">
        <f ca="1">IF(AH25,_xll.xEURO(BB25,Strike1,AE25,AE25,BF25,O25,IF(OptControl=4,0,1),3)/100,0)</f>
        <v>0</v>
      </c>
      <c r="BL25" s="196">
        <f ca="1">IF(AH25,_xll.xEURO(BB25,Strike1,AE25,AE25,BF25,O25-DaysForThetaCalculation,IF(OptControl=4,0,1),0)-_xll.xEURO(BB25,Strike1,AE25,AE25,BF25,O25,IF(OptControl=4,0,1),0),0)</f>
        <v>0</v>
      </c>
      <c r="BM25" s="196">
        <f ca="1">IF(AH25,_xll.xEURO(BB25,Strike2,AE25,AE25,BG25,O25,IF(OptControl=3,1,0),0),0)</f>
        <v>0</v>
      </c>
      <c r="BN25" s="196">
        <f ca="1">IF(AH25,_xll.xEURO(BB25,Strike2,AE25,AE25,BG25,O25,IF(OptControl=3,1,0),1),0)</f>
        <v>0</v>
      </c>
      <c r="BO25" s="196">
        <f ca="1">IF(AH25,_xll.xEURO(BB25,Strike2,AE25,AE25,BG25,O25,IF(OptControl=3,1,0),2),0)</f>
        <v>0</v>
      </c>
      <c r="BP25" s="196">
        <f ca="1">IF(AH25,_xll.xEURO(BB25,Strike2,AE25,AE25,BG25,O25,IF(OptControl=3,1,0),3)/100,0)</f>
        <v>0</v>
      </c>
      <c r="BQ25" s="197">
        <f ca="1">IF(AH25,_xll.xEURO(BB25,Strike2,AE25,AE25,BG25,O25-DaysForThetaCalculation,IF(OptControl=3,1,0),0)-_xll.xEURO(BB25,Strike2,AE25,AE25,BG25,O25,IF(OptControl=3,1,0),0),0)</f>
        <v>0</v>
      </c>
      <c r="BR25" s="301"/>
      <c r="BS25" s="114">
        <v>25.905999999999999</v>
      </c>
      <c r="BT25" s="345">
        <f t="shared" si="11"/>
        <v>61.680952380952377</v>
      </c>
      <c r="BU25" s="345">
        <f t="shared" ca="1" si="84"/>
        <v>4.3897619047619081</v>
      </c>
      <c r="BV25" s="73"/>
      <c r="BW25" s="345">
        <f t="shared" ca="1" si="80"/>
        <v>4.5444545454545509</v>
      </c>
      <c r="BX25" s="345">
        <f t="shared" ca="1" si="85"/>
        <v>62.023913043478281</v>
      </c>
      <c r="BY25" s="373">
        <f t="shared" ca="1" si="41"/>
        <v>61.237363430220576</v>
      </c>
      <c r="BZ25" s="114">
        <v>22.155000000000001</v>
      </c>
      <c r="CA25" s="345">
        <f t="shared" si="12"/>
        <v>52.75</v>
      </c>
      <c r="CB25" s="345">
        <f t="shared" ca="1" si="86"/>
        <v>0.97976190476190794</v>
      </c>
      <c r="CC25" s="345">
        <f t="shared" ca="1" si="81"/>
        <v>2.2344545454545481</v>
      </c>
      <c r="CD25" s="345">
        <f t="shared" ca="1" si="15"/>
        <v>55.737363430220569</v>
      </c>
      <c r="CE25" s="347">
        <f t="shared" ca="1" si="70"/>
        <v>-5.5000000000000071</v>
      </c>
      <c r="CF25" s="114">
        <v>25.2</v>
      </c>
      <c r="CG25" s="345">
        <f t="shared" si="16"/>
        <v>60</v>
      </c>
      <c r="CH25" s="345">
        <f t="shared" ca="1" si="42"/>
        <v>4.3987619047619084</v>
      </c>
      <c r="CI25" s="73"/>
      <c r="CJ25" s="345">
        <f t="shared" ca="1" si="89"/>
        <v>4.1164545454545465</v>
      </c>
      <c r="CK25" s="345">
        <f t="shared" ca="1" si="90"/>
        <v>59.304865424430645</v>
      </c>
      <c r="CL25" s="345">
        <f t="shared" ca="1" si="45"/>
        <v>60.218315811172943</v>
      </c>
      <c r="CM25" s="114">
        <v>24.23</v>
      </c>
      <c r="CN25" s="345">
        <f t="shared" si="17"/>
        <v>57.69047619047619</v>
      </c>
      <c r="CO25" s="345">
        <f t="shared" ca="1" si="46"/>
        <v>3.0547619047619072</v>
      </c>
      <c r="CP25" s="345">
        <f t="shared" ref="CP25:CP88" ca="1" si="92">CP13+VLOOKUP(1900+$L25,ProductSpreadTable,5)</f>
        <v>2.9194545454545504</v>
      </c>
      <c r="CQ25" s="345">
        <f t="shared" ca="1" si="19"/>
        <v>57.368315811172955</v>
      </c>
      <c r="CR25" s="347">
        <f t="shared" ca="1" si="71"/>
        <v>-2.8499999999999872</v>
      </c>
      <c r="CS25" s="114">
        <v>25.826000000000001</v>
      </c>
      <c r="CT25" s="345">
        <f t="shared" si="20"/>
        <v>61.490476190476187</v>
      </c>
      <c r="CU25" s="345">
        <f t="shared" si="72"/>
        <v>0.59999999999999432</v>
      </c>
      <c r="CV25" s="345">
        <f t="shared" ca="1" si="91"/>
        <v>0.75000000000000855</v>
      </c>
      <c r="CW25" s="347">
        <f t="shared" ca="1" si="73"/>
        <v>60.96831581117295</v>
      </c>
      <c r="CX25" s="483">
        <v>0.23400000000000001</v>
      </c>
      <c r="CY25" s="190">
        <f t="shared" si="47"/>
        <v>3.6543748084993943E-4</v>
      </c>
      <c r="CZ25" s="190">
        <f t="shared" ca="1" si="78"/>
        <v>-0.03</v>
      </c>
      <c r="DA25" s="354">
        <f t="shared" ca="1" si="79"/>
        <v>0.20363456251915008</v>
      </c>
      <c r="DB25" s="483">
        <v>0.23400000000000001</v>
      </c>
      <c r="DC25" s="190">
        <f t="shared" si="49"/>
        <v>3.6543748084993943E-4</v>
      </c>
      <c r="DD25" s="190">
        <f t="shared" ca="1" si="82"/>
        <v>0.03</v>
      </c>
      <c r="DE25" s="354">
        <f t="shared" ca="1" si="83"/>
        <v>0.26363456251915007</v>
      </c>
      <c r="DG25" s="341"/>
      <c r="DH25" s="114">
        <v>17.02</v>
      </c>
      <c r="DI25" s="126">
        <f t="shared" ca="1" si="74"/>
        <v>-4.1552380952380936</v>
      </c>
      <c r="DJ25" s="126">
        <f t="shared" ca="1" si="22"/>
        <v>-2</v>
      </c>
      <c r="DK25" s="356">
        <f t="shared" ca="1" si="23"/>
        <v>19.175238095238093</v>
      </c>
      <c r="DL25" s="114">
        <v>15.92</v>
      </c>
      <c r="DM25" s="126">
        <f t="shared" ca="1" si="75"/>
        <v>-5.2552380952380933</v>
      </c>
      <c r="DN25" s="126">
        <f t="shared" ca="1" si="24"/>
        <v>-3</v>
      </c>
      <c r="DO25" s="356">
        <f t="shared" ca="1" si="25"/>
        <v>18.175238095238093</v>
      </c>
      <c r="DP25" s="114">
        <v>15.17</v>
      </c>
      <c r="DQ25" s="126">
        <f t="shared" ca="1" si="76"/>
        <v>-6.0052380952380933</v>
      </c>
      <c r="DR25" s="126">
        <f t="shared" ca="1" si="26"/>
        <v>-6</v>
      </c>
      <c r="DS25" s="356">
        <f t="shared" ca="1" si="27"/>
        <v>15.175238095238093</v>
      </c>
      <c r="DT25" s="114">
        <v>15.97</v>
      </c>
      <c r="DU25" s="126">
        <f t="shared" ca="1" si="77"/>
        <v>-5.2052380952380926</v>
      </c>
      <c r="DV25" s="126">
        <f t="shared" ca="1" si="28"/>
        <v>-5</v>
      </c>
      <c r="DW25" s="356">
        <f t="shared" ca="1" si="29"/>
        <v>16.175238095238093</v>
      </c>
      <c r="DY25" s="240">
        <v>2012</v>
      </c>
      <c r="DZ25" s="243">
        <v>0.15</v>
      </c>
      <c r="EA25" s="244">
        <v>0.15</v>
      </c>
      <c r="EB25" s="243">
        <v>0.15</v>
      </c>
      <c r="EC25" s="244">
        <v>0.15</v>
      </c>
      <c r="ED25" s="253">
        <v>0.15</v>
      </c>
      <c r="EE25" s="248">
        <v>-0.03</v>
      </c>
      <c r="EF25" s="248">
        <v>0.03</v>
      </c>
    </row>
    <row r="26" spans="1:137" x14ac:dyDescent="0.25">
      <c r="B26" s="396">
        <v>36342</v>
      </c>
      <c r="C26" s="399">
        <v>36333</v>
      </c>
      <c r="I26" s="136">
        <f t="shared" ca="1" si="30"/>
        <v>37591</v>
      </c>
      <c r="J26" s="130">
        <f t="shared" ca="1" si="31"/>
        <v>37579</v>
      </c>
      <c r="K26" s="106">
        <f t="shared" ca="1" si="32"/>
        <v>0.63636363636363635</v>
      </c>
      <c r="L26" s="133">
        <f t="shared" ca="1" si="0"/>
        <v>102</v>
      </c>
      <c r="M26" s="134">
        <f t="shared" ca="1" si="1"/>
        <v>12</v>
      </c>
      <c r="N26" s="103">
        <f t="shared" ca="1" si="2"/>
        <v>22</v>
      </c>
      <c r="O26" s="104">
        <f t="shared" ca="1" si="33"/>
        <v>632</v>
      </c>
      <c r="P26" s="105">
        <f t="shared" ca="1" si="3"/>
        <v>1.7440109514031485</v>
      </c>
      <c r="Q26" s="105">
        <f t="shared" ca="1" si="4"/>
        <v>1.8261464750171115</v>
      </c>
      <c r="R26" s="114">
        <v>21.24</v>
      </c>
      <c r="S26" s="198">
        <v>0</v>
      </c>
      <c r="T26" s="189">
        <f t="shared" si="34"/>
        <v>21.24</v>
      </c>
      <c r="U26" s="199">
        <f t="shared" ca="1" si="5"/>
        <v>21.008181818181818</v>
      </c>
      <c r="V26" s="379">
        <f t="shared" ca="1" si="6"/>
        <v>21.008181818181818</v>
      </c>
      <c r="W26" s="483">
        <v>0.2311074360772761</v>
      </c>
      <c r="X26" s="166">
        <f t="shared" ca="1" si="7"/>
        <v>5</v>
      </c>
      <c r="Y26" s="91">
        <f t="shared" ca="1" si="51"/>
        <v>9.7790285859131569E-3</v>
      </c>
      <c r="Z26" s="91">
        <f t="shared" ca="1" si="52"/>
        <v>5.3854702101498158E-3</v>
      </c>
      <c r="AA26" s="91">
        <f t="shared" ca="1" si="53"/>
        <v>2.4266730566944593E-3</v>
      </c>
      <c r="AB26" s="91">
        <f t="shared" ca="1" si="54"/>
        <v>5.4668090621212808E-3</v>
      </c>
      <c r="AC26" s="91">
        <f t="shared" ca="1" si="55"/>
        <v>1.2132387289425499E-2</v>
      </c>
      <c r="AD26" s="91">
        <f t="shared" ca="1" si="56"/>
        <v>2.2030195598345161E-2</v>
      </c>
      <c r="AE26" s="124">
        <v>7.0216309519858008E-2</v>
      </c>
      <c r="AF26" s="191">
        <f t="shared" ca="1" si="57"/>
        <v>0.8815921690535794</v>
      </c>
      <c r="AG26" s="189">
        <f t="shared" ca="1" si="35"/>
        <v>1</v>
      </c>
      <c r="AH26" s="192">
        <f t="shared" ca="1" si="9"/>
        <v>0</v>
      </c>
      <c r="AI26" s="192">
        <f t="shared" ca="1" si="87"/>
        <v>0</v>
      </c>
      <c r="AJ26" s="192">
        <f t="shared" ca="1" si="10"/>
        <v>0</v>
      </c>
      <c r="AK26" s="192">
        <f t="shared" ca="1" si="88"/>
        <v>0</v>
      </c>
      <c r="AL26" s="191" t="str">
        <f t="shared" ca="1" si="60"/>
        <v/>
      </c>
      <c r="AM26" s="191" t="str">
        <f t="shared" ca="1" si="61"/>
        <v/>
      </c>
      <c r="AN26" s="191" t="str">
        <f t="shared" ca="1" si="62"/>
        <v/>
      </c>
      <c r="AO26" s="193" t="str">
        <f t="shared" ca="1" si="63"/>
        <v/>
      </c>
      <c r="AP26" s="194" t="str">
        <f t="shared" ca="1" si="36"/>
        <v/>
      </c>
      <c r="AQ26" s="194" t="str">
        <f t="shared" ca="1" si="37"/>
        <v/>
      </c>
      <c r="AR26" s="195">
        <f ca="1">IF(AH26,_xll.xASN(AL26,Strike1,AE26,AP26,0,N26,0,P26,Q26,IF(OptControl=4,0,1),0),0)</f>
        <v>0</v>
      </c>
      <c r="AS26" s="196">
        <f ca="1">IF(AH26,_xll.xASN(AL26,Strike1,AE26,AP26,0,N26,0,P26,Q26,IF(OptControl=4,0,1),1),0)</f>
        <v>0</v>
      </c>
      <c r="AT26" s="196">
        <f ca="1">IF(AH26,_xll.xASN(AL26,Strike1,AE26,AP26,0,N26,0,P26,Q26,IF(OptControl=4,0,1),2),0)</f>
        <v>0</v>
      </c>
      <c r="AU26" s="196">
        <f ca="1">IF(AH26,_xll.xASN(AL26,Strike1,AE26,AP26,0,N26,0,P26,Q26,IF(OptControl=4,0,1),3)/100,0)</f>
        <v>0</v>
      </c>
      <c r="AV26" s="196">
        <f ca="1">IF(AH26,_xll.xASN(AL26,Strike1,AE26,AP26,0,N26,0,P26-DaysForThetaCalculation/365.25,Q26-DaysForThetaCalculation/365.25,IF(OptControl=4,0,1),0)-_xll.xASN(AL26,Strike1,AE26,AP26,0,N26,0,P26,Q26,IF(OptControl=4,0,1),0),0)</f>
        <v>0</v>
      </c>
      <c r="AW26" s="196">
        <f ca="1">IF(AH26,_xll.xASN(AL26,Strike2,AE26,AQ26,0,N26,0,P26,Q26,IF(OptControl=3,1,0),0),0)</f>
        <v>0</v>
      </c>
      <c r="AX26" s="196">
        <f ca="1">IF(AH26,_xll.xASN(AL26,Strike2,AE26,AQ26,0,N26,0,P26,Q26,IF(OptControl=3,1,0),1),0)</f>
        <v>0</v>
      </c>
      <c r="AY26" s="196">
        <f ca="1">IF(AH26,_xll.xASN(AL26,Strike2,AE26,AQ26,0,N26,0,P26,Q26,IF(OptControl=3,1,0),2),0)</f>
        <v>0</v>
      </c>
      <c r="AZ26" s="196">
        <f ca="1">IF(AH26,_xll.xASN(AL26,Strike2,AE26,AQ26,0,N26,0,P26,Q26,IF(OptControl=3,1,0),3)/100,0)</f>
        <v>0</v>
      </c>
      <c r="BA26" s="196">
        <f ca="1">IF(AH26,_xll.xASN(AL26,Strike2,AE26,AQ26,0,N26,0,P26-DaysForThetaCalculation/365.25,Q26-DaysForThetaCalculation/365.25,IF(OptControl=3,1,0),0)-_xll.xASN(AL26,Strike2,AE26,AQ26,0,N26,0,P26,Q26,IF(OptControl=3,1,0),0),0)</f>
        <v>0</v>
      </c>
      <c r="BB26" s="126" t="str">
        <f t="shared" ca="1" si="64"/>
        <v/>
      </c>
      <c r="BC26" s="191" t="str">
        <f t="shared" ca="1" si="65"/>
        <v/>
      </c>
      <c r="BD26" s="191" t="str">
        <f t="shared" ca="1" si="66"/>
        <v/>
      </c>
      <c r="BE26" s="190" t="str">
        <f t="shared" ca="1" si="67"/>
        <v/>
      </c>
      <c r="BF26" s="194" t="str">
        <f t="shared" ca="1" si="68"/>
        <v/>
      </c>
      <c r="BG26" s="194" t="str">
        <f t="shared" ca="1" si="69"/>
        <v/>
      </c>
      <c r="BH26" s="195">
        <f ca="1">IF(AH26,_xll.xEURO(BB26,Strike1,AE26,AE26,BF26,O26,IF(OptControl=4,0,1),0),0)</f>
        <v>0</v>
      </c>
      <c r="BI26" s="196">
        <f ca="1">IF(AH26,_xll.xEURO(BB26,Strike1,AE26,AE26,BF26,O26,IF(OptControl=4,0,1),1),0)</f>
        <v>0</v>
      </c>
      <c r="BJ26" s="196">
        <f ca="1">IF(AH26,_xll.xEURO(BB26,Strike1,AE26,AE26,BF26,O26,IF(OptControl=4,0,1),2),0)</f>
        <v>0</v>
      </c>
      <c r="BK26" s="196">
        <f ca="1">IF(AH26,_xll.xEURO(BB26,Strike1,AE26,AE26,BF26,O26,IF(OptControl=4,0,1),3)/100,0)</f>
        <v>0</v>
      </c>
      <c r="BL26" s="196">
        <f ca="1">IF(AH26,_xll.xEURO(BB26,Strike1,AE26,AE26,BF26,O26-DaysForThetaCalculation,IF(OptControl=4,0,1),0)-_xll.xEURO(BB26,Strike1,AE26,AE26,BF26,O26,IF(OptControl=4,0,1),0),0)</f>
        <v>0</v>
      </c>
      <c r="BM26" s="196">
        <f ca="1">IF(AH26,_xll.xEURO(BB26,Strike2,AE26,AE26,BG26,O26,IF(OptControl=3,1,0),0),0)</f>
        <v>0</v>
      </c>
      <c r="BN26" s="196">
        <f ca="1">IF(AH26,_xll.xEURO(BB26,Strike2,AE26,AE26,BG26,O26,IF(OptControl=3,1,0),1),0)</f>
        <v>0</v>
      </c>
      <c r="BO26" s="196">
        <f ca="1">IF(AH26,_xll.xEURO(BB26,Strike2,AE26,AE26,BG26,O26,IF(OptControl=3,1,0),2),0)</f>
        <v>0</v>
      </c>
      <c r="BP26" s="196">
        <f ca="1">IF(AH26,_xll.xEURO(BB26,Strike2,AE26,AE26,BG26,O26,IF(OptControl=3,1,0),3)/100,0)</f>
        <v>0</v>
      </c>
      <c r="BQ26" s="197">
        <f ca="1">IF(AH26,_xll.xEURO(BB26,Strike2,AE26,AE26,BG26,O26-DaysForThetaCalculation,IF(OptControl=3,1,0),0)-_xll.xEURO(BB26,Strike2,AE26,AE26,BG26,O26,IF(OptControl=3,1,0),0),0)</f>
        <v>0</v>
      </c>
      <c r="BR26" s="301"/>
      <c r="BS26" s="114">
        <v>25.565000000000001</v>
      </c>
      <c r="BT26" s="345">
        <f t="shared" si="11"/>
        <v>60.86904761904762</v>
      </c>
      <c r="BU26" s="345">
        <f t="shared" ca="1" si="84"/>
        <v>4.5568181818181834</v>
      </c>
      <c r="BV26" s="73"/>
      <c r="BW26" s="345">
        <f t="shared" ca="1" si="80"/>
        <v>4.7171428571428589</v>
      </c>
      <c r="BX26" s="345">
        <f t="shared" ca="1" si="85"/>
        <v>61.237363430220576</v>
      </c>
      <c r="BY26" s="373">
        <f t="shared" ca="1" si="41"/>
        <v>61.250773036487331</v>
      </c>
      <c r="BZ26" s="114">
        <v>22.256</v>
      </c>
      <c r="CA26" s="345">
        <f t="shared" si="12"/>
        <v>52.990476190476187</v>
      </c>
      <c r="CB26" s="345">
        <f t="shared" ca="1" si="86"/>
        <v>1.2478181818181824</v>
      </c>
      <c r="CC26" s="345">
        <f t="shared" ca="1" si="81"/>
        <v>2.4071428571428597</v>
      </c>
      <c r="CD26" s="345">
        <f t="shared" ca="1" si="15"/>
        <v>55.750773036487331</v>
      </c>
      <c r="CE26" s="347">
        <f t="shared" ca="1" si="70"/>
        <v>-5.5</v>
      </c>
      <c r="CF26" s="114">
        <v>25.574000000000002</v>
      </c>
      <c r="CG26" s="345">
        <f t="shared" si="16"/>
        <v>60.890476190476193</v>
      </c>
      <c r="CH26" s="345">
        <f t="shared" ca="1" si="42"/>
        <v>4.7298181818181853</v>
      </c>
      <c r="CI26" s="73"/>
      <c r="CJ26" s="345">
        <f t="shared" ca="1" si="89"/>
        <v>4.4781428571428581</v>
      </c>
      <c r="CK26" s="345">
        <f t="shared" ca="1" si="90"/>
        <v>60.218315811172943</v>
      </c>
      <c r="CL26" s="345">
        <f t="shared" ca="1" si="45"/>
        <v>60.681725417439694</v>
      </c>
      <c r="CM26" s="114">
        <v>24.423000000000002</v>
      </c>
      <c r="CN26" s="345">
        <f t="shared" si="17"/>
        <v>58.150000000000006</v>
      </c>
      <c r="CO26" s="345">
        <f t="shared" ca="1" si="46"/>
        <v>3.414818181818184</v>
      </c>
      <c r="CP26" s="345">
        <f t="shared" ca="1" si="92"/>
        <v>3.281142857142862</v>
      </c>
      <c r="CQ26" s="345">
        <f t="shared" ca="1" si="19"/>
        <v>57.831725417439714</v>
      </c>
      <c r="CR26" s="347">
        <f t="shared" ca="1" si="71"/>
        <v>-2.8499999999999801</v>
      </c>
      <c r="CS26" s="114">
        <v>25.99</v>
      </c>
      <c r="CT26" s="345">
        <f t="shared" si="20"/>
        <v>61.88095238095238</v>
      </c>
      <c r="CU26" s="345">
        <f t="shared" si="72"/>
        <v>0.59999999999999432</v>
      </c>
      <c r="CV26" s="345">
        <f t="shared" ca="1" si="91"/>
        <v>0.75000000000000855</v>
      </c>
      <c r="CW26" s="347">
        <f t="shared" ca="1" si="73"/>
        <v>61.431725417439701</v>
      </c>
      <c r="CX26" s="483">
        <v>0.23100000000000001</v>
      </c>
      <c r="CY26" s="190">
        <f t="shared" si="47"/>
        <v>-1.0743607727609072E-4</v>
      </c>
      <c r="CZ26" s="190">
        <f t="shared" ca="1" si="78"/>
        <v>-0.03</v>
      </c>
      <c r="DA26" s="354">
        <f t="shared" ca="1" si="79"/>
        <v>0.2011074360772761</v>
      </c>
      <c r="DB26" s="483">
        <v>0.23100000000000001</v>
      </c>
      <c r="DC26" s="190">
        <f t="shared" si="49"/>
        <v>-1.0743607727609072E-4</v>
      </c>
      <c r="DD26" s="190">
        <f t="shared" ca="1" si="82"/>
        <v>0.03</v>
      </c>
      <c r="DE26" s="354">
        <f t="shared" ca="1" si="83"/>
        <v>0.2611074360772761</v>
      </c>
      <c r="DG26" s="341"/>
      <c r="DH26" s="114">
        <v>16.861000000000001</v>
      </c>
      <c r="DI26" s="126">
        <f t="shared" ca="1" si="74"/>
        <v>-4.1471818181818172</v>
      </c>
      <c r="DJ26" s="126">
        <f t="shared" ca="1" si="22"/>
        <v>-2</v>
      </c>
      <c r="DK26" s="356">
        <f t="shared" ca="1" si="23"/>
        <v>19.008181818181818</v>
      </c>
      <c r="DL26" s="114">
        <v>15.761000000000001</v>
      </c>
      <c r="DM26" s="126">
        <f t="shared" ca="1" si="75"/>
        <v>-5.2471818181818168</v>
      </c>
      <c r="DN26" s="126">
        <f t="shared" ca="1" si="24"/>
        <v>-3</v>
      </c>
      <c r="DO26" s="356">
        <f t="shared" ca="1" si="25"/>
        <v>18.008181818181818</v>
      </c>
      <c r="DP26" s="114">
        <v>15.011000000000001</v>
      </c>
      <c r="DQ26" s="126">
        <f t="shared" ca="1" si="76"/>
        <v>-5.9971818181818168</v>
      </c>
      <c r="DR26" s="126">
        <f t="shared" ca="1" si="26"/>
        <v>-6</v>
      </c>
      <c r="DS26" s="356">
        <f t="shared" ca="1" si="27"/>
        <v>15.008181818181818</v>
      </c>
      <c r="DT26" s="114">
        <v>15.811000000000002</v>
      </c>
      <c r="DU26" s="126">
        <f t="shared" ca="1" si="77"/>
        <v>-5.1971818181818161</v>
      </c>
      <c r="DV26" s="126">
        <f t="shared" ca="1" si="28"/>
        <v>-5</v>
      </c>
      <c r="DW26" s="356">
        <f t="shared" ca="1" si="29"/>
        <v>16.008181818181818</v>
      </c>
      <c r="DY26" s="240">
        <v>2013</v>
      </c>
      <c r="DZ26" s="243">
        <v>0.15</v>
      </c>
      <c r="EA26" s="244">
        <v>0.15</v>
      </c>
      <c r="EB26" s="243">
        <v>0.15</v>
      </c>
      <c r="EC26" s="244">
        <v>0.15</v>
      </c>
      <c r="ED26" s="253">
        <v>0.15</v>
      </c>
      <c r="EE26" s="248">
        <v>-0.03</v>
      </c>
      <c r="EF26" s="248">
        <v>0.03</v>
      </c>
    </row>
    <row r="27" spans="1:137" s="3" customFormat="1" x14ac:dyDescent="0.25">
      <c r="A27"/>
      <c r="B27" s="396">
        <v>36373</v>
      </c>
      <c r="C27" s="399">
        <v>36361</v>
      </c>
      <c r="D27"/>
      <c r="E27"/>
      <c r="F27"/>
      <c r="G27"/>
      <c r="I27" s="136">
        <f t="shared" ca="1" si="30"/>
        <v>37622</v>
      </c>
      <c r="J27" s="130">
        <f t="shared" ca="1" si="31"/>
        <v>37609</v>
      </c>
      <c r="K27" s="106">
        <f t="shared" ca="1" si="32"/>
        <v>0.69565217391304346</v>
      </c>
      <c r="L27" s="133">
        <f t="shared" ca="1" si="0"/>
        <v>103</v>
      </c>
      <c r="M27" s="134">
        <f t="shared" ca="1" si="1"/>
        <v>1</v>
      </c>
      <c r="N27" s="103">
        <f t="shared" ca="1" si="2"/>
        <v>23</v>
      </c>
      <c r="O27" s="104">
        <f t="shared" ca="1" si="33"/>
        <v>662</v>
      </c>
      <c r="P27" s="105">
        <f t="shared" ca="1" si="3"/>
        <v>1.8288843258042438</v>
      </c>
      <c r="Q27" s="105">
        <f t="shared" ca="1" si="4"/>
        <v>1.9110198494182067</v>
      </c>
      <c r="R27" s="114">
        <v>21.07</v>
      </c>
      <c r="S27" s="198">
        <v>0</v>
      </c>
      <c r="T27" s="189">
        <f t="shared" si="34"/>
        <v>21.07</v>
      </c>
      <c r="U27" s="199">
        <f t="shared" ca="1" si="5"/>
        <v>20.860434782608692</v>
      </c>
      <c r="V27" s="379">
        <f t="shared" ca="1" si="6"/>
        <v>20.860434782608692</v>
      </c>
      <c r="W27" s="483">
        <v>0.23035214886875705</v>
      </c>
      <c r="X27" s="166">
        <f t="shared" ca="1" si="7"/>
        <v>5</v>
      </c>
      <c r="Y27" s="91">
        <f t="shared" ca="1" si="51"/>
        <v>9.5696744570800615E-3</v>
      </c>
      <c r="Z27" s="91">
        <f t="shared" ca="1" si="52"/>
        <v>5.2419586905752963E-3</v>
      </c>
      <c r="AA27" s="91">
        <f t="shared" ca="1" si="53"/>
        <v>2.3556733480981397E-3</v>
      </c>
      <c r="AB27" s="91">
        <f t="shared" ca="1" si="54"/>
        <v>5.3068609185954871E-3</v>
      </c>
      <c r="AC27" s="91">
        <f t="shared" ca="1" si="55"/>
        <v>1.1809084538128024E-2</v>
      </c>
      <c r="AD27" s="91">
        <f t="shared" ca="1" si="56"/>
        <v>2.1558562616909978E-2</v>
      </c>
      <c r="AE27" s="124">
        <v>7.0414885023055998E-2</v>
      </c>
      <c r="AF27" s="191">
        <f t="shared" ca="1" si="57"/>
        <v>0.87612230177247663</v>
      </c>
      <c r="AG27" s="189">
        <f t="shared" ca="1" si="35"/>
        <v>1</v>
      </c>
      <c r="AH27" s="192">
        <f t="shared" ca="1" si="9"/>
        <v>0</v>
      </c>
      <c r="AI27" s="192">
        <f t="shared" ca="1" si="87"/>
        <v>0</v>
      </c>
      <c r="AJ27" s="192">
        <f t="shared" ca="1" si="10"/>
        <v>0</v>
      </c>
      <c r="AK27" s="192">
        <f t="shared" ca="1" si="88"/>
        <v>0</v>
      </c>
      <c r="AL27" s="191" t="str">
        <f t="shared" ca="1" si="60"/>
        <v/>
      </c>
      <c r="AM27" s="191" t="str">
        <f t="shared" ca="1" si="61"/>
        <v/>
      </c>
      <c r="AN27" s="191" t="str">
        <f t="shared" ca="1" si="62"/>
        <v/>
      </c>
      <c r="AO27" s="193" t="str">
        <f t="shared" ca="1" si="63"/>
        <v/>
      </c>
      <c r="AP27" s="194" t="str">
        <f t="shared" ca="1" si="36"/>
        <v/>
      </c>
      <c r="AQ27" s="194" t="str">
        <f t="shared" ca="1" si="37"/>
        <v/>
      </c>
      <c r="AR27" s="195">
        <f ca="1">IF(AH27,_xll.xASN(AL27,Strike1,AE27,AP27,0,N27,0,P27,Q27,IF(OptControl=4,0,1),0),0)</f>
        <v>0</v>
      </c>
      <c r="AS27" s="196">
        <f ca="1">IF(AH27,_xll.xASN(AL27,Strike1,AE27,AP27,0,N27,0,P27,Q27,IF(OptControl=4,0,1),1),0)</f>
        <v>0</v>
      </c>
      <c r="AT27" s="196">
        <f ca="1">IF(AH27,_xll.xASN(AL27,Strike1,AE27,AP27,0,N27,0,P27,Q27,IF(OptControl=4,0,1),2),0)</f>
        <v>0</v>
      </c>
      <c r="AU27" s="196">
        <f ca="1">IF(AH27,_xll.xASN(AL27,Strike1,AE27,AP27,0,N27,0,P27,Q27,IF(OptControl=4,0,1),3)/100,0)</f>
        <v>0</v>
      </c>
      <c r="AV27" s="196">
        <f ca="1">IF(AH27,_xll.xASN(AL27,Strike1,AE27,AP27,0,N27,0,P27-DaysForThetaCalculation/365.25,Q27-DaysForThetaCalculation/365.25,IF(OptControl=4,0,1),0)-_xll.xASN(AL27,Strike1,AE27,AP27,0,N27,0,P27,Q27,IF(OptControl=4,0,1),0),0)</f>
        <v>0</v>
      </c>
      <c r="AW27" s="196">
        <f ca="1">IF(AH27,_xll.xASN(AL27,Strike2,AE27,AQ27,0,N27,0,P27,Q27,IF(OptControl=3,1,0),0),0)</f>
        <v>0</v>
      </c>
      <c r="AX27" s="196">
        <f ca="1">IF(AH27,_xll.xASN(AL27,Strike2,AE27,AQ27,0,N27,0,P27,Q27,IF(OptControl=3,1,0),1),0)</f>
        <v>0</v>
      </c>
      <c r="AY27" s="196">
        <f ca="1">IF(AH27,_xll.xASN(AL27,Strike2,AE27,AQ27,0,N27,0,P27,Q27,IF(OptControl=3,1,0),2),0)</f>
        <v>0</v>
      </c>
      <c r="AZ27" s="196">
        <f ca="1">IF(AH27,_xll.xASN(AL27,Strike2,AE27,AQ27,0,N27,0,P27,Q27,IF(OptControl=3,1,0),3)/100,0)</f>
        <v>0</v>
      </c>
      <c r="BA27" s="196">
        <f ca="1">IF(AH27,_xll.xASN(AL27,Strike2,AE27,AQ27,0,N27,0,P27-DaysForThetaCalculation/365.25,Q27-DaysForThetaCalculation/365.25,IF(OptControl=3,1,0),0)-_xll.xASN(AL27,Strike2,AE27,AQ27,0,N27,0,P27,Q27,IF(OptControl=3,1,0),0),0)</f>
        <v>0</v>
      </c>
      <c r="BB27" s="126" t="str">
        <f t="shared" ca="1" si="64"/>
        <v/>
      </c>
      <c r="BC27" s="191" t="str">
        <f t="shared" ca="1" si="65"/>
        <v/>
      </c>
      <c r="BD27" s="191" t="str">
        <f t="shared" ca="1" si="66"/>
        <v/>
      </c>
      <c r="BE27" s="190" t="str">
        <f t="shared" ca="1" si="67"/>
        <v/>
      </c>
      <c r="BF27" s="194" t="str">
        <f t="shared" ca="1" si="68"/>
        <v/>
      </c>
      <c r="BG27" s="194" t="str">
        <f t="shared" ca="1" si="69"/>
        <v/>
      </c>
      <c r="BH27" s="195">
        <f ca="1">IF(AH27,_xll.xEURO(BB27,Strike1,AE27,AE27,BF27,O27,IF(OptControl=4,0,1),0),0)</f>
        <v>0</v>
      </c>
      <c r="BI27" s="196">
        <f ca="1">IF(AH27,_xll.xEURO(BB27,Strike1,AE27,AE27,BF27,O27,IF(OptControl=4,0,1),1),0)</f>
        <v>0</v>
      </c>
      <c r="BJ27" s="196">
        <f ca="1">IF(AH27,_xll.xEURO(BB27,Strike1,AE27,AE27,BF27,O27,IF(OptControl=4,0,1),2),0)</f>
        <v>0</v>
      </c>
      <c r="BK27" s="196">
        <f ca="1">IF(AH27,_xll.xEURO(BB27,Strike1,AE27,AE27,BF27,O27,IF(OptControl=4,0,1),3)/100,0)</f>
        <v>0</v>
      </c>
      <c r="BL27" s="196">
        <f ca="1">IF(AH27,_xll.xEURO(BB27,Strike1,AE27,AE27,BF27,O27-DaysForThetaCalculation,IF(OptControl=4,0,1),0)-_xll.xEURO(BB27,Strike1,AE27,AE27,BF27,O27,IF(OptControl=4,0,1),0),0)</f>
        <v>0</v>
      </c>
      <c r="BM27" s="196">
        <f ca="1">IF(AH27,_xll.xEURO(BB27,Strike2,AE27,AE27,BG27,O27,IF(OptControl=3,1,0),0),0)</f>
        <v>0</v>
      </c>
      <c r="BN27" s="196">
        <f ca="1">IF(AH27,_xll.xEURO(BB27,Strike2,AE27,AE27,BG27,O27,IF(OptControl=3,1,0),1),0)</f>
        <v>0</v>
      </c>
      <c r="BO27" s="196">
        <f ca="1">IF(AH27,_xll.xEURO(BB27,Strike2,AE27,AE27,BG27,O27,IF(OptControl=3,1,0),2),0)</f>
        <v>0</v>
      </c>
      <c r="BP27" s="196">
        <f ca="1">IF(AH27,_xll.xEURO(BB27,Strike2,AE27,AE27,BG27,O27,IF(OptControl=3,1,0),3)/100,0)</f>
        <v>0</v>
      </c>
      <c r="BQ27" s="197">
        <f ca="1">IF(AH27,_xll.xEURO(BB27,Strike2,AE27,AE27,BG27,O27-DaysForThetaCalculation,IF(OptControl=3,1,0),0)-_xll.xEURO(BB27,Strike2,AE27,AE27,BG27,O27,IF(OptControl=3,1,0),0),0)</f>
        <v>0</v>
      </c>
      <c r="BR27" s="301"/>
      <c r="BS27" s="114">
        <v>25.565000000000001</v>
      </c>
      <c r="BT27" s="345">
        <f t="shared" si="11"/>
        <v>60.86904761904762</v>
      </c>
      <c r="BU27" s="345">
        <f t="shared" ca="1" si="84"/>
        <v>5.5025652173913109</v>
      </c>
      <c r="BV27" s="73"/>
      <c r="BW27" s="345">
        <f t="shared" ca="1" si="80"/>
        <v>4.9594782608695649</v>
      </c>
      <c r="BX27" s="345">
        <f t="shared" ca="1" si="85"/>
        <v>61.250773036487331</v>
      </c>
      <c r="BY27" s="373">
        <f t="shared" ca="1" si="41"/>
        <v>61.475983436852999</v>
      </c>
      <c r="BZ27" s="114">
        <v>24.36</v>
      </c>
      <c r="CA27" s="345">
        <f t="shared" si="12"/>
        <v>58</v>
      </c>
      <c r="CB27" s="345">
        <f t="shared" ca="1" si="86"/>
        <v>3.4995652173913072</v>
      </c>
      <c r="CC27" s="345">
        <f t="shared" ca="1" si="81"/>
        <v>3.4474782608695675</v>
      </c>
      <c r="CD27" s="345">
        <f t="shared" ca="1" si="15"/>
        <v>57.875983436852991</v>
      </c>
      <c r="CE27" s="347">
        <f t="shared" ca="1" si="70"/>
        <v>-3.6000000000000085</v>
      </c>
      <c r="CF27" s="114">
        <v>25.738000000000003</v>
      </c>
      <c r="CG27" s="345">
        <f t="shared" si="16"/>
        <v>61.280952380952385</v>
      </c>
      <c r="CH27" s="345">
        <f t="shared" ca="1" si="42"/>
        <v>4.4315652173913094</v>
      </c>
      <c r="CI27" s="73"/>
      <c r="CJ27" s="345">
        <f t="shared" ca="1" si="89"/>
        <v>4.2794782608695652</v>
      </c>
      <c r="CK27" s="345">
        <f t="shared" ca="1" si="90"/>
        <v>60.681725417439694</v>
      </c>
      <c r="CL27" s="345">
        <f t="shared" ca="1" si="45"/>
        <v>59.856935817805379</v>
      </c>
      <c r="CM27" s="114">
        <v>24.007000000000005</v>
      </c>
      <c r="CN27" s="345">
        <f t="shared" si="17"/>
        <v>57.159523809523826</v>
      </c>
      <c r="CO27" s="345">
        <f t="shared" ca="1" si="46"/>
        <v>3.1465652173913128</v>
      </c>
      <c r="CP27" s="345">
        <f t="shared" ca="1" si="92"/>
        <v>3.1664782608695687</v>
      </c>
      <c r="CQ27" s="345">
        <f t="shared" ca="1" si="19"/>
        <v>57.206935817805388</v>
      </c>
      <c r="CR27" s="347">
        <f t="shared" ca="1" si="71"/>
        <v>-2.6499999999999915</v>
      </c>
      <c r="CS27" s="114">
        <v>25.544</v>
      </c>
      <c r="CT27" s="345">
        <f t="shared" si="20"/>
        <v>60.819047619047623</v>
      </c>
      <c r="CU27" s="345">
        <f t="shared" si="72"/>
        <v>0.59999999999999432</v>
      </c>
      <c r="CV27" s="345">
        <f t="shared" ca="1" si="91"/>
        <v>0.75000000000000855</v>
      </c>
      <c r="CW27" s="347">
        <f t="shared" ca="1" si="73"/>
        <v>60.606935817805386</v>
      </c>
      <c r="CX27" s="483">
        <v>0.23</v>
      </c>
      <c r="CY27" s="190">
        <f t="shared" si="47"/>
        <v>-3.5214886875703511E-4</v>
      </c>
      <c r="CZ27" s="190">
        <f t="shared" ca="1" si="78"/>
        <v>-0.03</v>
      </c>
      <c r="DA27" s="354">
        <f t="shared" ca="1" si="79"/>
        <v>0.20035214886875705</v>
      </c>
      <c r="DB27" s="483">
        <v>0.23</v>
      </c>
      <c r="DC27" s="190">
        <f t="shared" si="49"/>
        <v>-3.5214886875703511E-4</v>
      </c>
      <c r="DD27" s="190">
        <f t="shared" ca="1" si="82"/>
        <v>0.03</v>
      </c>
      <c r="DE27" s="354">
        <f t="shared" ca="1" si="83"/>
        <v>0.26035214886875702</v>
      </c>
      <c r="DF27"/>
      <c r="DG27" s="341"/>
      <c r="DH27" s="114">
        <v>17.609000000000002</v>
      </c>
      <c r="DI27" s="126">
        <f t="shared" ca="1" si="74"/>
        <v>-3.2514347826086905</v>
      </c>
      <c r="DJ27" s="126">
        <f t="shared" ca="1" si="22"/>
        <v>-2</v>
      </c>
      <c r="DK27" s="356">
        <f t="shared" ca="1" si="23"/>
        <v>18.860434782608692</v>
      </c>
      <c r="DL27" s="114">
        <v>15.609000000000002</v>
      </c>
      <c r="DM27" s="126">
        <f t="shared" ca="1" si="75"/>
        <v>-5.2514347826086905</v>
      </c>
      <c r="DN27" s="126">
        <f t="shared" ca="1" si="24"/>
        <v>-3</v>
      </c>
      <c r="DO27" s="356">
        <f t="shared" ca="1" si="25"/>
        <v>17.860434782608692</v>
      </c>
      <c r="DP27" s="114">
        <v>14.859000000000002</v>
      </c>
      <c r="DQ27" s="126">
        <f t="shared" ca="1" si="76"/>
        <v>-6.0014347826086905</v>
      </c>
      <c r="DR27" s="126">
        <f t="shared" ca="1" si="26"/>
        <v>-6</v>
      </c>
      <c r="DS27" s="356">
        <f t="shared" ca="1" si="27"/>
        <v>14.860434782608692</v>
      </c>
      <c r="DT27" s="114">
        <v>16.309000000000001</v>
      </c>
      <c r="DU27" s="126">
        <f t="shared" ca="1" si="77"/>
        <v>-4.5514347826086912</v>
      </c>
      <c r="DV27" s="126">
        <f t="shared" ca="1" si="28"/>
        <v>-5</v>
      </c>
      <c r="DW27" s="356">
        <f t="shared" ca="1" si="29"/>
        <v>15.860434782608692</v>
      </c>
      <c r="DX27"/>
      <c r="DY27" s="240">
        <v>2014</v>
      </c>
      <c r="DZ27" s="243">
        <v>0.15</v>
      </c>
      <c r="EA27" s="244">
        <v>0.15</v>
      </c>
      <c r="EB27" s="243">
        <v>0.15</v>
      </c>
      <c r="EC27" s="244">
        <v>0.15</v>
      </c>
      <c r="ED27" s="253">
        <v>0.15</v>
      </c>
      <c r="EE27" s="248">
        <v>-0.03</v>
      </c>
      <c r="EF27" s="248">
        <v>0.03</v>
      </c>
      <c r="EG27"/>
    </row>
    <row r="28" spans="1:137" s="1" customFormat="1" ht="13.8" thickBot="1" x14ac:dyDescent="0.3">
      <c r="A28"/>
      <c r="B28" s="396">
        <v>36404</v>
      </c>
      <c r="C28" s="399">
        <v>36392</v>
      </c>
      <c r="D28"/>
      <c r="E28"/>
      <c r="F28"/>
      <c r="G28"/>
      <c r="I28" s="136">
        <f t="shared" ca="1" si="30"/>
        <v>37653</v>
      </c>
      <c r="J28" s="130">
        <f t="shared" ca="1" si="31"/>
        <v>37643</v>
      </c>
      <c r="K28" s="106">
        <f t="shared" ca="1" si="32"/>
        <v>0.7</v>
      </c>
      <c r="L28" s="133">
        <f t="shared" ca="1" si="0"/>
        <v>103</v>
      </c>
      <c r="M28" s="134">
        <f t="shared" ca="1" si="1"/>
        <v>2</v>
      </c>
      <c r="N28" s="103">
        <f t="shared" ca="1" si="2"/>
        <v>20</v>
      </c>
      <c r="O28" s="104">
        <f t="shared" ca="1" si="33"/>
        <v>695</v>
      </c>
      <c r="P28" s="105">
        <f t="shared" ca="1" si="3"/>
        <v>1.9137577002053388</v>
      </c>
      <c r="Q28" s="105">
        <f t="shared" ca="1" si="4"/>
        <v>1.9876796714579055</v>
      </c>
      <c r="R28" s="114">
        <v>20.9</v>
      </c>
      <c r="S28" s="198">
        <v>0</v>
      </c>
      <c r="T28" s="189">
        <f t="shared" si="34"/>
        <v>20.9</v>
      </c>
      <c r="U28" s="199">
        <f t="shared" ca="1" si="5"/>
        <v>20.733999999999998</v>
      </c>
      <c r="V28" s="379">
        <f t="shared" ca="1" si="6"/>
        <v>20.733999999999998</v>
      </c>
      <c r="W28" s="483">
        <v>0.22890420231950104</v>
      </c>
      <c r="X28" s="166">
        <f t="shared" ca="1" si="7"/>
        <v>5</v>
      </c>
      <c r="Y28" s="91">
        <f t="shared" ca="1" si="51"/>
        <v>9.3648022817328768E-3</v>
      </c>
      <c r="Z28" s="91">
        <f t="shared" ca="1" si="52"/>
        <v>5.1022714529013156E-3</v>
      </c>
      <c r="AA28" s="91">
        <f t="shared" ca="1" si="53"/>
        <v>2.2867509521446766E-3</v>
      </c>
      <c r="AB28" s="91">
        <f t="shared" ca="1" si="54"/>
        <v>5.1515925449915258E-3</v>
      </c>
      <c r="AC28" s="91">
        <f t="shared" ca="1" si="55"/>
        <v>1.1494397129096084E-2</v>
      </c>
      <c r="AD28" s="91">
        <f t="shared" ca="1" si="56"/>
        <v>2.1097026580287833E-2</v>
      </c>
      <c r="AE28" s="124">
        <v>7.0599578197038021E-2</v>
      </c>
      <c r="AF28" s="191">
        <f t="shared" ca="1" si="57"/>
        <v>0.87117767401725843</v>
      </c>
      <c r="AG28" s="189">
        <f t="shared" ca="1" si="35"/>
        <v>1</v>
      </c>
      <c r="AH28" s="192">
        <f t="shared" ca="1" si="9"/>
        <v>0</v>
      </c>
      <c r="AI28" s="192">
        <f t="shared" ca="1" si="87"/>
        <v>0</v>
      </c>
      <c r="AJ28" s="192">
        <f t="shared" ca="1" si="10"/>
        <v>0</v>
      </c>
      <c r="AK28" s="192">
        <f t="shared" ca="1" si="88"/>
        <v>0</v>
      </c>
      <c r="AL28" s="191" t="str">
        <f t="shared" ca="1" si="60"/>
        <v/>
      </c>
      <c r="AM28" s="191" t="str">
        <f t="shared" ca="1" si="61"/>
        <v/>
      </c>
      <c r="AN28" s="191" t="str">
        <f t="shared" ca="1" si="62"/>
        <v/>
      </c>
      <c r="AO28" s="193" t="str">
        <f t="shared" ca="1" si="63"/>
        <v/>
      </c>
      <c r="AP28" s="194" t="str">
        <f t="shared" ca="1" si="36"/>
        <v/>
      </c>
      <c r="AQ28" s="194" t="str">
        <f t="shared" ca="1" si="37"/>
        <v/>
      </c>
      <c r="AR28" s="195">
        <f ca="1">IF(AH28,_xll.xASN(AL28,Strike1,AE28,AP28,0,N28,0,P28,Q28,IF(OptControl=4,0,1),0),0)</f>
        <v>0</v>
      </c>
      <c r="AS28" s="196">
        <f ca="1">IF(AH28,_xll.xASN(AL28,Strike1,AE28,AP28,0,N28,0,P28,Q28,IF(OptControl=4,0,1),1),0)</f>
        <v>0</v>
      </c>
      <c r="AT28" s="196">
        <f ca="1">IF(AH28,_xll.xASN(AL28,Strike1,AE28,AP28,0,N28,0,P28,Q28,IF(OptControl=4,0,1),2),0)</f>
        <v>0</v>
      </c>
      <c r="AU28" s="196">
        <f ca="1">IF(AH28,_xll.xASN(AL28,Strike1,AE28,AP28,0,N28,0,P28,Q28,IF(OptControl=4,0,1),3)/100,0)</f>
        <v>0</v>
      </c>
      <c r="AV28" s="196">
        <f ca="1">IF(AH28,_xll.xASN(AL28,Strike1,AE28,AP28,0,N28,0,P28-DaysForThetaCalculation/365.25,Q28-DaysForThetaCalculation/365.25,IF(OptControl=4,0,1),0)-_xll.xASN(AL28,Strike1,AE28,AP28,0,N28,0,P28,Q28,IF(OptControl=4,0,1),0),0)</f>
        <v>0</v>
      </c>
      <c r="AW28" s="196">
        <f ca="1">IF(AH28,_xll.xASN(AL28,Strike2,AE28,AQ28,0,N28,0,P28,Q28,IF(OptControl=3,1,0),0),0)</f>
        <v>0</v>
      </c>
      <c r="AX28" s="196">
        <f ca="1">IF(AH28,_xll.xASN(AL28,Strike2,AE28,AQ28,0,N28,0,P28,Q28,IF(OptControl=3,1,0),1),0)</f>
        <v>0</v>
      </c>
      <c r="AY28" s="196">
        <f ca="1">IF(AH28,_xll.xASN(AL28,Strike2,AE28,AQ28,0,N28,0,P28,Q28,IF(OptControl=3,1,0),2),0)</f>
        <v>0</v>
      </c>
      <c r="AZ28" s="196">
        <f ca="1">IF(AH28,_xll.xASN(AL28,Strike2,AE28,AQ28,0,N28,0,P28,Q28,IF(OptControl=3,1,0),3)/100,0)</f>
        <v>0</v>
      </c>
      <c r="BA28" s="196">
        <f ca="1">IF(AH28,_xll.xASN(AL28,Strike2,AE28,AQ28,0,N28,0,P28-DaysForThetaCalculation/365.25,Q28-DaysForThetaCalculation/365.25,IF(OptControl=3,1,0),0)-_xll.xASN(AL28,Strike2,AE28,AQ28,0,N28,0,P28,Q28,IF(OptControl=3,1,0),0),0)</f>
        <v>0</v>
      </c>
      <c r="BB28" s="126" t="str">
        <f t="shared" ca="1" si="64"/>
        <v/>
      </c>
      <c r="BC28" s="191" t="str">
        <f t="shared" ca="1" si="65"/>
        <v/>
      </c>
      <c r="BD28" s="191" t="str">
        <f t="shared" ca="1" si="66"/>
        <v/>
      </c>
      <c r="BE28" s="190" t="str">
        <f t="shared" ca="1" si="67"/>
        <v/>
      </c>
      <c r="BF28" s="194" t="str">
        <f t="shared" ca="1" si="68"/>
        <v/>
      </c>
      <c r="BG28" s="194" t="str">
        <f t="shared" ca="1" si="69"/>
        <v/>
      </c>
      <c r="BH28" s="195">
        <f ca="1">IF(AH28,_xll.xEURO(BB28,Strike1,AE28,AE28,BF28,O28,IF(OptControl=4,0,1),0),0)</f>
        <v>0</v>
      </c>
      <c r="BI28" s="196">
        <f ca="1">IF(AH28,_xll.xEURO(BB28,Strike1,AE28,AE28,BF28,O28,IF(OptControl=4,0,1),1),0)</f>
        <v>0</v>
      </c>
      <c r="BJ28" s="196">
        <f ca="1">IF(AH28,_xll.xEURO(BB28,Strike1,AE28,AE28,BF28,O28,IF(OptControl=4,0,1),2),0)</f>
        <v>0</v>
      </c>
      <c r="BK28" s="196">
        <f ca="1">IF(AH28,_xll.xEURO(BB28,Strike1,AE28,AE28,BF28,O28,IF(OptControl=4,0,1),3)/100,0)</f>
        <v>0</v>
      </c>
      <c r="BL28" s="196">
        <f ca="1">IF(AH28,_xll.xEURO(BB28,Strike1,AE28,AE28,BF28,O28-DaysForThetaCalculation,IF(OptControl=4,0,1),0)-_xll.xEURO(BB28,Strike1,AE28,AE28,BF28,O28,IF(OptControl=4,0,1),0),0)</f>
        <v>0</v>
      </c>
      <c r="BM28" s="196">
        <f ca="1">IF(AH28,_xll.xEURO(BB28,Strike2,AE28,AE28,BG28,O28,IF(OptControl=3,1,0),0),0)</f>
        <v>0</v>
      </c>
      <c r="BN28" s="196">
        <f ca="1">IF(AH28,_xll.xEURO(BB28,Strike2,AE28,AE28,BG28,O28,IF(OptControl=3,1,0),1),0)</f>
        <v>0</v>
      </c>
      <c r="BO28" s="196">
        <f ca="1">IF(AH28,_xll.xEURO(BB28,Strike2,AE28,AE28,BG28,O28,IF(OptControl=3,1,0),2),0)</f>
        <v>0</v>
      </c>
      <c r="BP28" s="196">
        <f ca="1">IF(AH28,_xll.xEURO(BB28,Strike2,AE28,AE28,BG28,O28,IF(OptControl=3,1,0),3)/100,0)</f>
        <v>0</v>
      </c>
      <c r="BQ28" s="197">
        <f ca="1">IF(AH28,_xll.xEURO(BB28,Strike2,AE28,AE28,BG28,O28-DaysForThetaCalculation,IF(OptControl=3,1,0),0)-_xll.xEURO(BB28,Strike2,AE28,AE28,BG28,O28,IF(OptControl=3,1,0),0),0)</f>
        <v>0</v>
      </c>
      <c r="BR28" s="301"/>
      <c r="BS28" s="114">
        <v>26.363000000000003</v>
      </c>
      <c r="BT28" s="345">
        <f t="shared" si="11"/>
        <v>62.769047619047626</v>
      </c>
      <c r="BU28" s="345">
        <f t="shared" ca="1" si="84"/>
        <v>5.8390000000000057</v>
      </c>
      <c r="BV28" s="73"/>
      <c r="BW28" s="345">
        <f t="shared" ca="1" si="80"/>
        <v>5.3399999999999981</v>
      </c>
      <c r="BX28" s="345">
        <f t="shared" ca="1" si="85"/>
        <v>61.475983436852999</v>
      </c>
      <c r="BY28" s="373">
        <f t="shared" ca="1" si="41"/>
        <v>62.080952380952375</v>
      </c>
      <c r="BZ28" s="114">
        <v>24.565999999999999</v>
      </c>
      <c r="CA28" s="345">
        <f t="shared" si="12"/>
        <v>58.490476190476187</v>
      </c>
      <c r="CB28" s="345">
        <f t="shared" ca="1" si="86"/>
        <v>3.8320000000000007</v>
      </c>
      <c r="CC28" s="345">
        <f t="shared" ca="1" si="81"/>
        <v>3.7819999999999978</v>
      </c>
      <c r="CD28" s="345">
        <f t="shared" ca="1" si="15"/>
        <v>58.371428571428559</v>
      </c>
      <c r="CE28" s="347">
        <f t="shared" ca="1" si="70"/>
        <v>-3.7095238095238159</v>
      </c>
      <c r="CF28" s="114">
        <v>25.292000000000002</v>
      </c>
      <c r="CG28" s="345">
        <f t="shared" si="16"/>
        <v>60.219047619047629</v>
      </c>
      <c r="CH28" s="345">
        <f t="shared" ca="1" si="42"/>
        <v>3.6930000000000049</v>
      </c>
      <c r="CI28" s="73"/>
      <c r="CJ28" s="345">
        <f t="shared" ca="1" si="89"/>
        <v>3.5679999999999956</v>
      </c>
      <c r="CK28" s="345">
        <f t="shared" ca="1" si="90"/>
        <v>59.856935817805379</v>
      </c>
      <c r="CL28" s="345">
        <f t="shared" ca="1" si="45"/>
        <v>57.861904761904746</v>
      </c>
      <c r="CM28" s="114">
        <v>23.167000000000002</v>
      </c>
      <c r="CN28" s="345">
        <f t="shared" si="17"/>
        <v>55.159523809523819</v>
      </c>
      <c r="CO28" s="345">
        <f t="shared" ca="1" si="46"/>
        <v>2.4330000000000034</v>
      </c>
      <c r="CP28" s="345">
        <f t="shared" ca="1" si="92"/>
        <v>2.4549999999999996</v>
      </c>
      <c r="CQ28" s="345">
        <f t="shared" ca="1" si="19"/>
        <v>55.211904761904755</v>
      </c>
      <c r="CR28" s="347">
        <f t="shared" ca="1" si="71"/>
        <v>-2.6499999999999915</v>
      </c>
      <c r="CS28" s="114">
        <v>24.679000000000002</v>
      </c>
      <c r="CT28" s="345">
        <f t="shared" si="20"/>
        <v>58.759523809523813</v>
      </c>
      <c r="CU28" s="345">
        <f t="shared" si="72"/>
        <v>0.59999999999999432</v>
      </c>
      <c r="CV28" s="345">
        <f t="shared" ca="1" si="91"/>
        <v>0.75000000000000855</v>
      </c>
      <c r="CW28" s="347">
        <f t="shared" ca="1" si="73"/>
        <v>58.611904761904754</v>
      </c>
      <c r="CX28" s="483">
        <v>0.22900000000000004</v>
      </c>
      <c r="CY28" s="190">
        <f t="shared" si="47"/>
        <v>9.579768049899906E-5</v>
      </c>
      <c r="CZ28" s="190">
        <f t="shared" ca="1" si="78"/>
        <v>-0.03</v>
      </c>
      <c r="DA28" s="354">
        <f t="shared" ca="1" si="79"/>
        <v>0.19890420231950104</v>
      </c>
      <c r="DB28" s="483">
        <v>0.22900000000000004</v>
      </c>
      <c r="DC28" s="190">
        <f t="shared" si="49"/>
        <v>9.579768049899906E-5</v>
      </c>
      <c r="DD28" s="190">
        <f t="shared" ca="1" si="82"/>
        <v>0.03</v>
      </c>
      <c r="DE28" s="354">
        <f t="shared" ca="1" si="83"/>
        <v>0.25890420231950106</v>
      </c>
      <c r="DF28"/>
      <c r="DG28" s="341"/>
      <c r="DH28" s="114">
        <v>17.484000000000002</v>
      </c>
      <c r="DI28" s="126">
        <f t="shared" ca="1" si="74"/>
        <v>-3.2499999999999964</v>
      </c>
      <c r="DJ28" s="126">
        <f t="shared" ca="1" si="22"/>
        <v>-2</v>
      </c>
      <c r="DK28" s="356">
        <f t="shared" ca="1" si="23"/>
        <v>18.733999999999998</v>
      </c>
      <c r="DL28" s="114">
        <v>15.484000000000002</v>
      </c>
      <c r="DM28" s="126">
        <f t="shared" ca="1" si="75"/>
        <v>-5.2499999999999964</v>
      </c>
      <c r="DN28" s="126">
        <f t="shared" ca="1" si="24"/>
        <v>-3</v>
      </c>
      <c r="DO28" s="356">
        <f t="shared" ca="1" si="25"/>
        <v>17.733999999999998</v>
      </c>
      <c r="DP28" s="114">
        <v>14.734000000000002</v>
      </c>
      <c r="DQ28" s="126">
        <f t="shared" ca="1" si="76"/>
        <v>-5.9999999999999964</v>
      </c>
      <c r="DR28" s="126">
        <f t="shared" ca="1" si="26"/>
        <v>-6</v>
      </c>
      <c r="DS28" s="356">
        <f t="shared" ca="1" si="27"/>
        <v>14.733999999999998</v>
      </c>
      <c r="DT28" s="114">
        <v>16.184000000000001</v>
      </c>
      <c r="DU28" s="126">
        <f t="shared" ca="1" si="77"/>
        <v>-4.5499999999999972</v>
      </c>
      <c r="DV28" s="126">
        <f t="shared" ca="1" si="28"/>
        <v>-5</v>
      </c>
      <c r="DW28" s="356">
        <f t="shared" ca="1" si="29"/>
        <v>15.733999999999998</v>
      </c>
      <c r="DX28"/>
      <c r="DY28" s="241">
        <v>2015</v>
      </c>
      <c r="DZ28" s="245">
        <v>0.15</v>
      </c>
      <c r="EA28" s="246">
        <v>0.15</v>
      </c>
      <c r="EB28" s="245">
        <v>0.15</v>
      </c>
      <c r="EC28" s="246">
        <v>0.15</v>
      </c>
      <c r="ED28" s="254">
        <v>0.15</v>
      </c>
      <c r="EE28" s="255">
        <v>-0.03</v>
      </c>
      <c r="EF28" s="255">
        <v>0.03</v>
      </c>
      <c r="EG28"/>
    </row>
    <row r="29" spans="1:137" s="1" customFormat="1" x14ac:dyDescent="0.25">
      <c r="A29"/>
      <c r="B29" s="396">
        <v>36434</v>
      </c>
      <c r="C29" s="399">
        <v>36424</v>
      </c>
      <c r="D29"/>
      <c r="E29"/>
      <c r="F29"/>
      <c r="G29"/>
      <c r="I29" s="136">
        <f t="shared" ca="1" si="30"/>
        <v>37681</v>
      </c>
      <c r="J29" s="130">
        <f t="shared" ca="1" si="31"/>
        <v>37672</v>
      </c>
      <c r="K29" s="106">
        <f t="shared" ca="1" si="32"/>
        <v>0.66666666666666663</v>
      </c>
      <c r="L29" s="133">
        <f t="shared" ca="1" si="0"/>
        <v>103</v>
      </c>
      <c r="M29" s="134">
        <f t="shared" ca="1" si="1"/>
        <v>3</v>
      </c>
      <c r="N29" s="103">
        <f t="shared" ca="1" si="2"/>
        <v>21</v>
      </c>
      <c r="O29" s="104">
        <f t="shared" ca="1" si="33"/>
        <v>723</v>
      </c>
      <c r="P29" s="105">
        <f t="shared" ca="1" si="3"/>
        <v>1.9904175222450375</v>
      </c>
      <c r="Q29" s="105">
        <f t="shared" ca="1" si="4"/>
        <v>2.0725530458590007</v>
      </c>
      <c r="R29" s="114">
        <v>20.77</v>
      </c>
      <c r="S29" s="198">
        <v>0</v>
      </c>
      <c r="T29" s="189">
        <f t="shared" si="34"/>
        <v>20.77</v>
      </c>
      <c r="U29" s="199">
        <f t="shared" ca="1" si="5"/>
        <v>20.613333333333333</v>
      </c>
      <c r="V29" s="379">
        <f t="shared" ca="1" si="6"/>
        <v>20.613333333333333</v>
      </c>
      <c r="W29" s="483">
        <v>0.22834294035069502</v>
      </c>
      <c r="X29" s="166" t="str">
        <f t="shared" ca="1" si="7"/>
        <v/>
      </c>
      <c r="Y29" s="91">
        <f t="shared" ca="1" si="51"/>
        <v>9.164316108064197E-3</v>
      </c>
      <c r="Z29" s="91">
        <f t="shared" ca="1" si="52"/>
        <v>4.9663065880121626E-3</v>
      </c>
      <c r="AA29" s="91">
        <f t="shared" ca="1" si="53"/>
        <v>2.219845090728059E-3</v>
      </c>
      <c r="AB29" s="91">
        <f t="shared" ca="1" si="54"/>
        <v>5.0008670203921697E-3</v>
      </c>
      <c r="AC29" s="91">
        <f t="shared" ca="1" si="55"/>
        <v>1.1188095481473806E-2</v>
      </c>
      <c r="AD29" s="91">
        <f t="shared" ca="1" si="56"/>
        <v>2.0645371328247022E-2</v>
      </c>
      <c r="AE29" s="124">
        <v>7.0766397847746007E-2</v>
      </c>
      <c r="AF29" s="191">
        <f t="shared" ca="1" si="57"/>
        <v>0.86577348820590894</v>
      </c>
      <c r="AG29" s="189">
        <f t="shared" ca="1" si="35"/>
        <v>1</v>
      </c>
      <c r="AH29" s="192">
        <f t="shared" ca="1" si="9"/>
        <v>0</v>
      </c>
      <c r="AI29" s="192">
        <f t="shared" ca="1" si="87"/>
        <v>0</v>
      </c>
      <c r="AJ29" s="192">
        <f t="shared" ca="1" si="10"/>
        <v>0</v>
      </c>
      <c r="AK29" s="192">
        <f t="shared" ca="1" si="88"/>
        <v>0</v>
      </c>
      <c r="AL29" s="191" t="str">
        <f t="shared" ca="1" si="60"/>
        <v/>
      </c>
      <c r="AM29" s="191" t="str">
        <f t="shared" ca="1" si="61"/>
        <v/>
      </c>
      <c r="AN29" s="191" t="str">
        <f t="shared" ca="1" si="62"/>
        <v/>
      </c>
      <c r="AO29" s="193" t="str">
        <f t="shared" ca="1" si="63"/>
        <v/>
      </c>
      <c r="AP29" s="194" t="str">
        <f t="shared" ca="1" si="36"/>
        <v/>
      </c>
      <c r="AQ29" s="194" t="str">
        <f t="shared" ca="1" si="37"/>
        <v/>
      </c>
      <c r="AR29" s="195">
        <f ca="1">IF(AH29,_xll.xASN(AL29,Strike1,AE29,AP29,0,N29,0,P29,Q29,IF(OptControl=4,0,1),0),0)</f>
        <v>0</v>
      </c>
      <c r="AS29" s="196">
        <f ca="1">IF(AH29,_xll.xASN(AL29,Strike1,AE29,AP29,0,N29,0,P29,Q29,IF(OptControl=4,0,1),1),0)</f>
        <v>0</v>
      </c>
      <c r="AT29" s="196">
        <f ca="1">IF(AH29,_xll.xASN(AL29,Strike1,AE29,AP29,0,N29,0,P29,Q29,IF(OptControl=4,0,1),2),0)</f>
        <v>0</v>
      </c>
      <c r="AU29" s="196">
        <f ca="1">IF(AH29,_xll.xASN(AL29,Strike1,AE29,AP29,0,N29,0,P29,Q29,IF(OptControl=4,0,1),3)/100,0)</f>
        <v>0</v>
      </c>
      <c r="AV29" s="196">
        <f ca="1">IF(AH29,_xll.xASN(AL29,Strike1,AE29,AP29,0,N29,0,P29-DaysForThetaCalculation/365.25,Q29-DaysForThetaCalculation/365.25,IF(OptControl=4,0,1),0)-_xll.xASN(AL29,Strike1,AE29,AP29,0,N29,0,P29,Q29,IF(OptControl=4,0,1),0),0)</f>
        <v>0</v>
      </c>
      <c r="AW29" s="196">
        <f ca="1">IF(AH29,_xll.xASN(AL29,Strike2,AE29,AQ29,0,N29,0,P29,Q29,IF(OptControl=3,1,0),0),0)</f>
        <v>0</v>
      </c>
      <c r="AX29" s="196">
        <f ca="1">IF(AH29,_xll.xASN(AL29,Strike2,AE29,AQ29,0,N29,0,P29,Q29,IF(OptControl=3,1,0),1),0)</f>
        <v>0</v>
      </c>
      <c r="AY29" s="196">
        <f ca="1">IF(AH29,_xll.xASN(AL29,Strike2,AE29,AQ29,0,N29,0,P29,Q29,IF(OptControl=3,1,0),2),0)</f>
        <v>0</v>
      </c>
      <c r="AZ29" s="196">
        <f ca="1">IF(AH29,_xll.xASN(AL29,Strike2,AE29,AQ29,0,N29,0,P29,Q29,IF(OptControl=3,1,0),3)/100,0)</f>
        <v>0</v>
      </c>
      <c r="BA29" s="196">
        <f ca="1">IF(AH29,_xll.xASN(AL29,Strike2,AE29,AQ29,0,N29,0,P29-DaysForThetaCalculation/365.25,Q29-DaysForThetaCalculation/365.25,IF(OptControl=3,1,0),0)-_xll.xASN(AL29,Strike2,AE29,AQ29,0,N29,0,P29,Q29,IF(OptControl=3,1,0),0),0)</f>
        <v>0</v>
      </c>
      <c r="BB29" s="126" t="str">
        <f t="shared" ca="1" si="64"/>
        <v/>
      </c>
      <c r="BC29" s="191" t="str">
        <f t="shared" ca="1" si="65"/>
        <v/>
      </c>
      <c r="BD29" s="191" t="str">
        <f t="shared" ca="1" si="66"/>
        <v/>
      </c>
      <c r="BE29" s="190" t="str">
        <f t="shared" ca="1" si="67"/>
        <v/>
      </c>
      <c r="BF29" s="194" t="str">
        <f t="shared" ca="1" si="68"/>
        <v/>
      </c>
      <c r="BG29" s="194" t="str">
        <f t="shared" ca="1" si="69"/>
        <v/>
      </c>
      <c r="BH29" s="195">
        <f ca="1">IF(AH29,_xll.xEURO(BB29,Strike1,AE29,AE29,BF29,O29,IF(OptControl=4,0,1),0),0)</f>
        <v>0</v>
      </c>
      <c r="BI29" s="196">
        <f ca="1">IF(AH29,_xll.xEURO(BB29,Strike1,AE29,AE29,BF29,O29,IF(OptControl=4,0,1),1),0)</f>
        <v>0</v>
      </c>
      <c r="BJ29" s="196">
        <f ca="1">IF(AH29,_xll.xEURO(BB29,Strike1,AE29,AE29,BF29,O29,IF(OptControl=4,0,1),2),0)</f>
        <v>0</v>
      </c>
      <c r="BK29" s="196">
        <f ca="1">IF(AH29,_xll.xEURO(BB29,Strike1,AE29,AE29,BF29,O29,IF(OptControl=4,0,1),3)/100,0)</f>
        <v>0</v>
      </c>
      <c r="BL29" s="196">
        <f ca="1">IF(AH29,_xll.xEURO(BB29,Strike1,AE29,AE29,BF29,O29-DaysForThetaCalculation,IF(OptControl=4,0,1),0)-_xll.xEURO(BB29,Strike1,AE29,AE29,BF29,O29,IF(OptControl=4,0,1),0),0)</f>
        <v>0</v>
      </c>
      <c r="BM29" s="196">
        <f ca="1">IF(AH29,_xll.xEURO(BB29,Strike2,AE29,AE29,BG29,O29,IF(OptControl=3,1,0),0),0)</f>
        <v>0</v>
      </c>
      <c r="BN29" s="196">
        <f ca="1">IF(AH29,_xll.xEURO(BB29,Strike2,AE29,AE29,BG29,O29,IF(OptControl=3,1,0),1),0)</f>
        <v>0</v>
      </c>
      <c r="BO29" s="196">
        <f ca="1">IF(AH29,_xll.xEURO(BB29,Strike2,AE29,AE29,BG29,O29,IF(OptControl=3,1,0),2),0)</f>
        <v>0</v>
      </c>
      <c r="BP29" s="196">
        <f ca="1">IF(AH29,_xll.xEURO(BB29,Strike2,AE29,AE29,BG29,O29,IF(OptControl=3,1,0),3)/100,0)</f>
        <v>0</v>
      </c>
      <c r="BQ29" s="197">
        <f ca="1">IF(AH29,_xll.xEURO(BB29,Strike2,AE29,AE29,BG29,O29-DaysForThetaCalculation,IF(OptControl=3,1,0),0)-_xll.xEURO(BB29,Strike2,AE29,AE29,BG29,O29,IF(OptControl=3,1,0),0),0)</f>
        <v>0</v>
      </c>
      <c r="BR29" s="301"/>
      <c r="BS29" s="114">
        <v>26.573000000000004</v>
      </c>
      <c r="BT29" s="345">
        <f t="shared" si="11"/>
        <v>63.269047619047626</v>
      </c>
      <c r="BU29" s="345">
        <f t="shared" ca="1" si="84"/>
        <v>9.5886666666666684</v>
      </c>
      <c r="BV29" s="73"/>
      <c r="BW29" s="345">
        <f t="shared" ca="1" si="80"/>
        <v>9.4060000000000024</v>
      </c>
      <c r="BX29" s="345">
        <f t="shared" ca="1" si="85"/>
        <v>62.080952380952375</v>
      </c>
      <c r="BY29" s="373">
        <f t="shared" ca="1" si="41"/>
        <v>71.474603174603175</v>
      </c>
      <c r="BZ29" s="114">
        <v>26.624000000000002</v>
      </c>
      <c r="CA29" s="345">
        <f t="shared" si="12"/>
        <v>63.390476190476193</v>
      </c>
      <c r="CB29" s="345">
        <f t="shared" ca="1" si="86"/>
        <v>6.010666666666669</v>
      </c>
      <c r="CC29" s="345">
        <f t="shared" ca="1" si="81"/>
        <v>5.9480000000000022</v>
      </c>
      <c r="CD29" s="345">
        <f t="shared" ca="1" si="15"/>
        <v>63.241269841269848</v>
      </c>
      <c r="CE29" s="347">
        <f t="shared" ca="1" si="70"/>
        <v>-8.2333333333333272</v>
      </c>
      <c r="CF29" s="114">
        <v>24.427000000000003</v>
      </c>
      <c r="CG29" s="345">
        <f t="shared" si="16"/>
        <v>58.159523809523819</v>
      </c>
      <c r="CH29" s="345">
        <f t="shared" ca="1" si="42"/>
        <v>3.0576666666666661</v>
      </c>
      <c r="CI29" s="73"/>
      <c r="CJ29" s="345">
        <f t="shared" ca="1" si="89"/>
        <v>2.9289999999999998</v>
      </c>
      <c r="CK29" s="345">
        <f t="shared" ca="1" si="90"/>
        <v>57.861904761904746</v>
      </c>
      <c r="CL29" s="345">
        <f t="shared" ca="1" si="45"/>
        <v>56.053174603174597</v>
      </c>
      <c r="CM29" s="114">
        <v>22.42</v>
      </c>
      <c r="CN29" s="345">
        <f t="shared" si="17"/>
        <v>53.38095238095238</v>
      </c>
      <c r="CO29" s="345">
        <f t="shared" ca="1" si="46"/>
        <v>1.8066666666666684</v>
      </c>
      <c r="CP29" s="345">
        <f t="shared" ca="1" si="92"/>
        <v>1.8160000000000003</v>
      </c>
      <c r="CQ29" s="345">
        <f t="shared" ca="1" si="19"/>
        <v>53.403174603174605</v>
      </c>
      <c r="CR29" s="347">
        <f t="shared" ca="1" si="71"/>
        <v>-2.6499999999999915</v>
      </c>
      <c r="CS29" s="114">
        <v>23.923000000000002</v>
      </c>
      <c r="CT29" s="345">
        <f t="shared" si="20"/>
        <v>56.959523809523816</v>
      </c>
      <c r="CU29" s="345">
        <f t="shared" si="72"/>
        <v>0.60000000000000853</v>
      </c>
      <c r="CV29" s="345">
        <f t="shared" ca="1" si="91"/>
        <v>0.74999999999999434</v>
      </c>
      <c r="CW29" s="347">
        <f t="shared" ca="1" si="73"/>
        <v>56.80317460317459</v>
      </c>
      <c r="CX29" s="483">
        <v>0.22800000000000001</v>
      </c>
      <c r="CY29" s="190">
        <f t="shared" si="47"/>
        <v>-3.4294035069501461E-4</v>
      </c>
      <c r="CZ29" s="190">
        <f t="shared" ca="1" si="78"/>
        <v>-0.03</v>
      </c>
      <c r="DA29" s="354">
        <f t="shared" ca="1" si="79"/>
        <v>0.19834294035069502</v>
      </c>
      <c r="DB29" s="483">
        <v>0.22800000000000001</v>
      </c>
      <c r="DC29" s="190">
        <f t="shared" si="49"/>
        <v>-3.4294035069501461E-4</v>
      </c>
      <c r="DD29" s="190">
        <f t="shared" ca="1" si="82"/>
        <v>0.03</v>
      </c>
      <c r="DE29" s="354">
        <f t="shared" ca="1" si="83"/>
        <v>0.25834294035069505</v>
      </c>
      <c r="DF29"/>
      <c r="DG29" s="341"/>
      <c r="DH29" s="114">
        <v>17.363</v>
      </c>
      <c r="DI29" s="126">
        <f t="shared" ca="1" si="74"/>
        <v>-3.2503333333333337</v>
      </c>
      <c r="DJ29" s="126">
        <f t="shared" ca="1" si="22"/>
        <v>-2</v>
      </c>
      <c r="DK29" s="356">
        <f t="shared" ca="1" si="23"/>
        <v>18.613333333333333</v>
      </c>
      <c r="DL29" s="114">
        <v>15.363</v>
      </c>
      <c r="DM29" s="126">
        <f t="shared" ca="1" si="75"/>
        <v>-5.2503333333333337</v>
      </c>
      <c r="DN29" s="126">
        <f t="shared" ca="1" si="24"/>
        <v>-3</v>
      </c>
      <c r="DO29" s="356">
        <f t="shared" ca="1" si="25"/>
        <v>17.613333333333333</v>
      </c>
      <c r="DP29" s="114">
        <v>14.613</v>
      </c>
      <c r="DQ29" s="126">
        <f t="shared" ca="1" si="76"/>
        <v>-6.0003333333333337</v>
      </c>
      <c r="DR29" s="126">
        <f t="shared" ca="1" si="26"/>
        <v>-6</v>
      </c>
      <c r="DS29" s="356">
        <f t="shared" ca="1" si="27"/>
        <v>14.613333333333333</v>
      </c>
      <c r="DT29" s="114">
        <v>16.062999999999999</v>
      </c>
      <c r="DU29" s="126">
        <f t="shared" ca="1" si="77"/>
        <v>-4.5503333333333345</v>
      </c>
      <c r="DV29" s="126">
        <f t="shared" ca="1" si="28"/>
        <v>-5</v>
      </c>
      <c r="DW29" s="356">
        <f t="shared" ca="1" si="29"/>
        <v>15.613333333333333</v>
      </c>
      <c r="DX29"/>
      <c r="DY29"/>
      <c r="DZ29"/>
      <c r="EA29"/>
      <c r="EB29"/>
      <c r="EC29"/>
      <c r="ED29"/>
      <c r="EE29"/>
      <c r="EF29"/>
      <c r="EG29"/>
    </row>
    <row r="30" spans="1:137" s="1" customFormat="1" x14ac:dyDescent="0.25">
      <c r="A30"/>
      <c r="B30" s="396">
        <v>36465</v>
      </c>
      <c r="C30" s="399">
        <v>36453</v>
      </c>
      <c r="D30"/>
      <c r="E30"/>
      <c r="F30"/>
      <c r="G30"/>
      <c r="I30" s="136">
        <f t="shared" ca="1" si="30"/>
        <v>37712</v>
      </c>
      <c r="J30" s="130">
        <f t="shared" ca="1" si="31"/>
        <v>37700</v>
      </c>
      <c r="K30" s="106">
        <f t="shared" ca="1" si="32"/>
        <v>0.63636363636363635</v>
      </c>
      <c r="L30" s="133">
        <f t="shared" ca="1" si="0"/>
        <v>103</v>
      </c>
      <c r="M30" s="134">
        <f t="shared" ca="1" si="1"/>
        <v>4</v>
      </c>
      <c r="N30" s="103">
        <f t="shared" ca="1" si="2"/>
        <v>22</v>
      </c>
      <c r="O30" s="104">
        <f t="shared" ca="1" si="33"/>
        <v>752</v>
      </c>
      <c r="P30" s="105">
        <f t="shared" ca="1" si="3"/>
        <v>2.0752908966461328</v>
      </c>
      <c r="Q30" s="105">
        <f t="shared" ca="1" si="4"/>
        <v>2.1546885694729636</v>
      </c>
      <c r="R30" s="114">
        <v>20.65</v>
      </c>
      <c r="S30" s="198">
        <v>0</v>
      </c>
      <c r="T30" s="189">
        <f t="shared" si="34"/>
        <v>20.65</v>
      </c>
      <c r="U30" s="199">
        <f t="shared" ca="1" si="5"/>
        <v>20.5</v>
      </c>
      <c r="V30" s="379">
        <f t="shared" ca="1" si="6"/>
        <v>20.5</v>
      </c>
      <c r="W30" s="483">
        <v>0.22683557677564103</v>
      </c>
      <c r="X30" s="166" t="str">
        <f t="shared" ca="1" si="7"/>
        <v/>
      </c>
      <c r="Y30" s="91">
        <f t="shared" ca="1" si="51"/>
        <v>8.9681220384488728E-3</v>
      </c>
      <c r="Z30" s="91">
        <f t="shared" ca="1" si="52"/>
        <v>4.8339649024569534E-3</v>
      </c>
      <c r="AA30" s="91">
        <f t="shared" ca="1" si="53"/>
        <v>2.1548967639908084E-3</v>
      </c>
      <c r="AB30" s="91">
        <f t="shared" ca="1" si="54"/>
        <v>4.8545514299184927E-3</v>
      </c>
      <c r="AC30" s="91">
        <f t="shared" ca="1" si="55"/>
        <v>1.0889956132255036E-2</v>
      </c>
      <c r="AD30" s="91">
        <f t="shared" ca="1" si="56"/>
        <v>2.0203385328217614E-2</v>
      </c>
      <c r="AE30" s="124">
        <v>7.0927168841762034E-2</v>
      </c>
      <c r="AF30" s="191">
        <f t="shared" ca="1" si="57"/>
        <v>0.86055436004816621</v>
      </c>
      <c r="AG30" s="189">
        <f t="shared" ca="1" si="35"/>
        <v>1</v>
      </c>
      <c r="AH30" s="192">
        <f t="shared" ca="1" si="9"/>
        <v>0</v>
      </c>
      <c r="AI30" s="192">
        <f t="shared" ca="1" si="87"/>
        <v>0</v>
      </c>
      <c r="AJ30" s="192">
        <f t="shared" ca="1" si="10"/>
        <v>0</v>
      </c>
      <c r="AK30" s="192">
        <f t="shared" ca="1" si="88"/>
        <v>0</v>
      </c>
      <c r="AL30" s="191" t="str">
        <f t="shared" ca="1" si="60"/>
        <v/>
      </c>
      <c r="AM30" s="191" t="str">
        <f t="shared" ca="1" si="61"/>
        <v/>
      </c>
      <c r="AN30" s="191" t="str">
        <f t="shared" ca="1" si="62"/>
        <v/>
      </c>
      <c r="AO30" s="193" t="str">
        <f t="shared" ca="1" si="63"/>
        <v/>
      </c>
      <c r="AP30" s="194" t="str">
        <f t="shared" ca="1" si="36"/>
        <v/>
      </c>
      <c r="AQ30" s="194" t="str">
        <f t="shared" ca="1" si="37"/>
        <v/>
      </c>
      <c r="AR30" s="195">
        <f ca="1">IF(AH30,_xll.xASN(AL30,Strike1,AE30,AP30,0,N30,0,P30,Q30,IF(OptControl=4,0,1),0),0)</f>
        <v>0</v>
      </c>
      <c r="AS30" s="196">
        <f ca="1">IF(AH30,_xll.xASN(AL30,Strike1,AE30,AP30,0,N30,0,P30,Q30,IF(OptControl=4,0,1),1),0)</f>
        <v>0</v>
      </c>
      <c r="AT30" s="196">
        <f ca="1">IF(AH30,_xll.xASN(AL30,Strike1,AE30,AP30,0,N30,0,P30,Q30,IF(OptControl=4,0,1),2),0)</f>
        <v>0</v>
      </c>
      <c r="AU30" s="196">
        <f ca="1">IF(AH30,_xll.xASN(AL30,Strike1,AE30,AP30,0,N30,0,P30,Q30,IF(OptControl=4,0,1),3)/100,0)</f>
        <v>0</v>
      </c>
      <c r="AV30" s="196">
        <f ca="1">IF(AH30,_xll.xASN(AL30,Strike1,AE30,AP30,0,N30,0,P30-DaysForThetaCalculation/365.25,Q30-DaysForThetaCalculation/365.25,IF(OptControl=4,0,1),0)-_xll.xASN(AL30,Strike1,AE30,AP30,0,N30,0,P30,Q30,IF(OptControl=4,0,1),0),0)</f>
        <v>0</v>
      </c>
      <c r="AW30" s="196">
        <f ca="1">IF(AH30,_xll.xASN(AL30,Strike2,AE30,AQ30,0,N30,0,P30,Q30,IF(OptControl=3,1,0),0),0)</f>
        <v>0</v>
      </c>
      <c r="AX30" s="196">
        <f ca="1">IF(AH30,_xll.xASN(AL30,Strike2,AE30,AQ30,0,N30,0,P30,Q30,IF(OptControl=3,1,0),1),0)</f>
        <v>0</v>
      </c>
      <c r="AY30" s="196">
        <f ca="1">IF(AH30,_xll.xASN(AL30,Strike2,AE30,AQ30,0,N30,0,P30,Q30,IF(OptControl=3,1,0),2),0)</f>
        <v>0</v>
      </c>
      <c r="AZ30" s="196">
        <f ca="1">IF(AH30,_xll.xASN(AL30,Strike2,AE30,AQ30,0,N30,0,P30,Q30,IF(OptControl=3,1,0),3)/100,0)</f>
        <v>0</v>
      </c>
      <c r="BA30" s="196">
        <f ca="1">IF(AH30,_xll.xASN(AL30,Strike2,AE30,AQ30,0,N30,0,P30-DaysForThetaCalculation/365.25,Q30-DaysForThetaCalculation/365.25,IF(OptControl=3,1,0),0)-_xll.xASN(AL30,Strike2,AE30,AQ30,0,N30,0,P30,Q30,IF(OptControl=3,1,0),0),0)</f>
        <v>0</v>
      </c>
      <c r="BB30" s="126" t="str">
        <f t="shared" ca="1" si="64"/>
        <v/>
      </c>
      <c r="BC30" s="191" t="str">
        <f t="shared" ca="1" si="65"/>
        <v/>
      </c>
      <c r="BD30" s="191" t="str">
        <f t="shared" ca="1" si="66"/>
        <v/>
      </c>
      <c r="BE30" s="190" t="str">
        <f t="shared" ca="1" si="67"/>
        <v/>
      </c>
      <c r="BF30" s="194" t="str">
        <f t="shared" ca="1" si="68"/>
        <v/>
      </c>
      <c r="BG30" s="194" t="str">
        <f t="shared" ca="1" si="69"/>
        <v/>
      </c>
      <c r="BH30" s="195">
        <f ca="1">IF(AH30,_xll.xEURO(BB30,Strike1,AE30,AE30,BF30,O30,IF(OptControl=4,0,1),0),0)</f>
        <v>0</v>
      </c>
      <c r="BI30" s="196">
        <f ca="1">IF(AH30,_xll.xEURO(BB30,Strike1,AE30,AE30,BF30,O30,IF(OptControl=4,0,1),1),0)</f>
        <v>0</v>
      </c>
      <c r="BJ30" s="196">
        <f ca="1">IF(AH30,_xll.xEURO(BB30,Strike1,AE30,AE30,BF30,O30,IF(OptControl=4,0,1),2),0)</f>
        <v>0</v>
      </c>
      <c r="BK30" s="196">
        <f ca="1">IF(AH30,_xll.xEURO(BB30,Strike1,AE30,AE30,BF30,O30,IF(OptControl=4,0,1),3)/100,0)</f>
        <v>0</v>
      </c>
      <c r="BL30" s="196">
        <f ca="1">IF(AH30,_xll.xEURO(BB30,Strike1,AE30,AE30,BF30,O30-DaysForThetaCalculation,IF(OptControl=4,0,1),0)-_xll.xEURO(BB30,Strike1,AE30,AE30,BF30,O30,IF(OptControl=4,0,1),0),0)</f>
        <v>0</v>
      </c>
      <c r="BM30" s="196">
        <f ca="1">IF(AH30,_xll.xEURO(BB30,Strike2,AE30,AE30,BG30,O30,IF(OptControl=3,1,0),0),0)</f>
        <v>0</v>
      </c>
      <c r="BN30" s="196">
        <f ca="1">IF(AH30,_xll.xEURO(BB30,Strike2,AE30,AE30,BG30,O30,IF(OptControl=3,1,0),1),0)</f>
        <v>0</v>
      </c>
      <c r="BO30" s="196">
        <f ca="1">IF(AH30,_xll.xEURO(BB30,Strike2,AE30,AE30,BG30,O30,IF(OptControl=3,1,0),2),0)</f>
        <v>0</v>
      </c>
      <c r="BP30" s="196">
        <f ca="1">IF(AH30,_xll.xEURO(BB30,Strike2,AE30,AE30,BG30,O30,IF(OptControl=3,1,0),3)/100,0)</f>
        <v>0</v>
      </c>
      <c r="BQ30" s="197">
        <f ca="1">IF(AH30,_xll.xEURO(BB30,Strike2,AE30,AE30,BG30,O30-DaysForThetaCalculation,IF(OptControl=3,1,0),0)-_xll.xEURO(BB30,Strike2,AE30,AE30,BG30,O30,IF(OptControl=3,1,0),0),0)</f>
        <v>0</v>
      </c>
      <c r="BR30" s="301"/>
      <c r="BS30" s="114">
        <v>30.202000000000002</v>
      </c>
      <c r="BT30" s="345">
        <f t="shared" si="11"/>
        <v>71.909523809523819</v>
      </c>
      <c r="BU30" s="345">
        <f t="shared" ca="1" si="84"/>
        <v>8.0940000000000012</v>
      </c>
      <c r="BV30" s="73"/>
      <c r="BW30" s="345">
        <f t="shared" ca="1" si="80"/>
        <v>8.345714285714287</v>
      </c>
      <c r="BX30" s="345">
        <f t="shared" ca="1" si="85"/>
        <v>71.474603174603175</v>
      </c>
      <c r="BY30" s="373">
        <f t="shared" ca="1" si="41"/>
        <v>68.680272108843539</v>
      </c>
      <c r="BZ30" s="114">
        <v>26.905000000000001</v>
      </c>
      <c r="CA30" s="345">
        <f t="shared" si="12"/>
        <v>64.05952380952381</v>
      </c>
      <c r="CB30" s="345">
        <f t="shared" ca="1" si="86"/>
        <v>6.4050000000000011</v>
      </c>
      <c r="CC30" s="345">
        <f t="shared" ca="1" si="81"/>
        <v>5.720714285714287</v>
      </c>
      <c r="CD30" s="345">
        <f t="shared" ca="1" si="15"/>
        <v>62.430272108843546</v>
      </c>
      <c r="CE30" s="347">
        <f t="shared" ca="1" si="70"/>
        <v>-6.2499999999999929</v>
      </c>
      <c r="CF30" s="114">
        <v>23.670999999999999</v>
      </c>
      <c r="CG30" s="345">
        <f t="shared" si="16"/>
        <v>56.359523809523807</v>
      </c>
      <c r="CH30" s="345">
        <f t="shared" ca="1" si="42"/>
        <v>2.4820000000000029</v>
      </c>
      <c r="CI30" s="73"/>
      <c r="CJ30" s="345">
        <f t="shared" ca="1" si="89"/>
        <v>2.3770909090909114</v>
      </c>
      <c r="CK30" s="345">
        <f t="shared" ca="1" si="90"/>
        <v>56.053174603174597</v>
      </c>
      <c r="CL30" s="345">
        <f t="shared" ca="1" si="45"/>
        <v>54.469264069264078</v>
      </c>
      <c r="CM30" s="114">
        <v>22.058000000000003</v>
      </c>
      <c r="CN30" s="345">
        <f t="shared" si="17"/>
        <v>52.519047619047626</v>
      </c>
      <c r="CO30" s="345">
        <f t="shared" ca="1" si="46"/>
        <v>1.5580000000000034</v>
      </c>
      <c r="CP30" s="345">
        <f t="shared" ca="1" si="92"/>
        <v>1.4530909090909083</v>
      </c>
      <c r="CQ30" s="345">
        <f t="shared" ca="1" si="19"/>
        <v>52.269264069264061</v>
      </c>
      <c r="CR30" s="347">
        <f t="shared" ca="1" si="71"/>
        <v>-2.2000000000000171</v>
      </c>
      <c r="CS30" s="114">
        <v>23.234000000000002</v>
      </c>
      <c r="CT30" s="345">
        <f t="shared" si="20"/>
        <v>55.319047619047623</v>
      </c>
      <c r="CU30" s="345">
        <f t="shared" si="72"/>
        <v>0.59999999999999432</v>
      </c>
      <c r="CV30" s="345">
        <f t="shared" ca="1" si="91"/>
        <v>0.74999999999999434</v>
      </c>
      <c r="CW30" s="347">
        <f t="shared" ca="1" si="73"/>
        <v>55.219264069264071</v>
      </c>
      <c r="CX30" s="483">
        <v>0.22700000000000001</v>
      </c>
      <c r="CY30" s="190">
        <f t="shared" si="47"/>
        <v>1.6442322435897272E-4</v>
      </c>
      <c r="CZ30" s="190">
        <f t="shared" ca="1" si="78"/>
        <v>-0.03</v>
      </c>
      <c r="DA30" s="354">
        <f t="shared" ca="1" si="79"/>
        <v>0.19683557677564104</v>
      </c>
      <c r="DB30" s="483">
        <v>0.22700000000000001</v>
      </c>
      <c r="DC30" s="190">
        <f t="shared" si="49"/>
        <v>1.6442322435897272E-4</v>
      </c>
      <c r="DD30" s="190">
        <f t="shared" ca="1" si="82"/>
        <v>0.03</v>
      </c>
      <c r="DE30" s="354">
        <f t="shared" ca="1" si="83"/>
        <v>0.25683557677564106</v>
      </c>
      <c r="DF30"/>
      <c r="DG30" s="341"/>
      <c r="DH30" s="114">
        <v>17.260000000000002</v>
      </c>
      <c r="DI30" s="126">
        <f t="shared" ca="1" si="74"/>
        <v>-3.2399999999999984</v>
      </c>
      <c r="DJ30" s="126">
        <f t="shared" ca="1" si="22"/>
        <v>-2</v>
      </c>
      <c r="DK30" s="356">
        <f t="shared" ca="1" si="23"/>
        <v>18.5</v>
      </c>
      <c r="DL30" s="114">
        <v>15.26</v>
      </c>
      <c r="DM30" s="126">
        <f t="shared" ca="1" si="75"/>
        <v>-5.24</v>
      </c>
      <c r="DN30" s="126">
        <f t="shared" ca="1" si="24"/>
        <v>-3</v>
      </c>
      <c r="DO30" s="356">
        <f t="shared" ca="1" si="25"/>
        <v>17.5</v>
      </c>
      <c r="DP30" s="114">
        <v>14.51</v>
      </c>
      <c r="DQ30" s="126">
        <f t="shared" ca="1" si="76"/>
        <v>-5.99</v>
      </c>
      <c r="DR30" s="126">
        <f t="shared" ca="1" si="26"/>
        <v>-6</v>
      </c>
      <c r="DS30" s="356">
        <f t="shared" ca="1" si="27"/>
        <v>14.5</v>
      </c>
      <c r="DT30" s="114">
        <v>16.059999999999999</v>
      </c>
      <c r="DU30" s="126">
        <f t="shared" ca="1" si="77"/>
        <v>-4.4400000000000013</v>
      </c>
      <c r="DV30" s="126">
        <f t="shared" ca="1" si="28"/>
        <v>-5</v>
      </c>
      <c r="DW30" s="356">
        <f t="shared" ca="1" si="29"/>
        <v>15.5</v>
      </c>
      <c r="DX30"/>
      <c r="ED30" s="288"/>
      <c r="EE30" s="288"/>
      <c r="EF30" s="288"/>
      <c r="EG30"/>
    </row>
    <row r="31" spans="1:137" ht="13.8" thickBot="1" x14ac:dyDescent="0.3">
      <c r="B31" s="396">
        <v>36495</v>
      </c>
      <c r="C31" s="399">
        <v>36483</v>
      </c>
      <c r="I31" s="136">
        <f t="shared" ca="1" si="30"/>
        <v>37742</v>
      </c>
      <c r="J31" s="130">
        <f t="shared" ca="1" si="31"/>
        <v>37731</v>
      </c>
      <c r="K31" s="106">
        <f t="shared" ca="1" si="32"/>
        <v>0.72727272727272729</v>
      </c>
      <c r="L31" s="133">
        <f t="shared" ca="1" si="0"/>
        <v>103</v>
      </c>
      <c r="M31" s="134">
        <f t="shared" ca="1" si="1"/>
        <v>5</v>
      </c>
      <c r="N31" s="103">
        <f t="shared" ca="1" si="2"/>
        <v>22</v>
      </c>
      <c r="O31" s="104">
        <f t="shared" ca="1" si="33"/>
        <v>782</v>
      </c>
      <c r="P31" s="105">
        <f t="shared" ca="1" si="3"/>
        <v>2.1574264202600957</v>
      </c>
      <c r="Q31" s="105">
        <f t="shared" ca="1" si="4"/>
        <v>2.239561943874059</v>
      </c>
      <c r="R31" s="114">
        <v>20.54</v>
      </c>
      <c r="S31" s="198">
        <v>0</v>
      </c>
      <c r="T31" s="189">
        <f t="shared" si="34"/>
        <v>20.54</v>
      </c>
      <c r="U31" s="199">
        <f t="shared" ca="1" si="5"/>
        <v>20.399999999999999</v>
      </c>
      <c r="V31" s="379">
        <f t="shared" ca="1" si="6"/>
        <v>20.399999999999999</v>
      </c>
      <c r="W31" s="483">
        <v>0.22607214847282908</v>
      </c>
      <c r="X31" s="166" t="str">
        <f t="shared" ca="1" si="7"/>
        <v/>
      </c>
      <c r="Y31" s="91">
        <f t="shared" ca="1" si="51"/>
        <v>8.7761281854671011E-3</v>
      </c>
      <c r="Z31" s="91">
        <f t="shared" ca="1" si="52"/>
        <v>4.7051498460828484E-3</v>
      </c>
      <c r="AA31" s="91">
        <f t="shared" ca="1" si="53"/>
        <v>2.0918486982959106E-3</v>
      </c>
      <c r="AB31" s="91">
        <f t="shared" ca="1" si="54"/>
        <v>4.7125167475210276E-3</v>
      </c>
      <c r="AC31" s="91">
        <f t="shared" ca="1" si="55"/>
        <v>1.0599761573255458E-2</v>
      </c>
      <c r="AD31" s="91">
        <f t="shared" ca="1" si="56"/>
        <v>1.977086157622027E-2</v>
      </c>
      <c r="AE31" s="124">
        <v>7.1047395459357038E-2</v>
      </c>
      <c r="AF31" s="191">
        <f t="shared" ca="1" si="57"/>
        <v>0.85525632249748296</v>
      </c>
      <c r="AG31" s="189">
        <f t="shared" ca="1" si="35"/>
        <v>1</v>
      </c>
      <c r="AH31" s="192">
        <f t="shared" ca="1" si="9"/>
        <v>0</v>
      </c>
      <c r="AI31" s="192">
        <f t="shared" ca="1" si="87"/>
        <v>0</v>
      </c>
      <c r="AJ31" s="192">
        <f t="shared" ca="1" si="10"/>
        <v>0</v>
      </c>
      <c r="AK31" s="192">
        <f t="shared" ca="1" si="88"/>
        <v>0</v>
      </c>
      <c r="AL31" s="191" t="str">
        <f t="shared" ca="1" si="60"/>
        <v/>
      </c>
      <c r="AM31" s="191" t="str">
        <f t="shared" ca="1" si="61"/>
        <v/>
      </c>
      <c r="AN31" s="191" t="str">
        <f t="shared" ca="1" si="62"/>
        <v/>
      </c>
      <c r="AO31" s="193" t="str">
        <f t="shared" ca="1" si="63"/>
        <v/>
      </c>
      <c r="AP31" s="194" t="str">
        <f t="shared" ca="1" si="36"/>
        <v/>
      </c>
      <c r="AQ31" s="194" t="str">
        <f t="shared" ca="1" si="37"/>
        <v/>
      </c>
      <c r="AR31" s="195">
        <f ca="1">IF(AH31,_xll.xASN(AL31,Strike1,AE31,AP31,0,N31,0,P31,Q31,IF(OptControl=4,0,1),0),0)</f>
        <v>0</v>
      </c>
      <c r="AS31" s="196">
        <f ca="1">IF(AH31,_xll.xASN(AL31,Strike1,AE31,AP31,0,N31,0,P31,Q31,IF(OptControl=4,0,1),1),0)</f>
        <v>0</v>
      </c>
      <c r="AT31" s="196">
        <f ca="1">IF(AH31,_xll.xASN(AL31,Strike1,AE31,AP31,0,N31,0,P31,Q31,IF(OptControl=4,0,1),2),0)</f>
        <v>0</v>
      </c>
      <c r="AU31" s="196">
        <f ca="1">IF(AH31,_xll.xASN(AL31,Strike1,AE31,AP31,0,N31,0,P31,Q31,IF(OptControl=4,0,1),3)/100,0)</f>
        <v>0</v>
      </c>
      <c r="AV31" s="196">
        <f ca="1">IF(AH31,_xll.xASN(AL31,Strike1,AE31,AP31,0,N31,0,P31-DaysForThetaCalculation/365.25,Q31-DaysForThetaCalculation/365.25,IF(OptControl=4,0,1),0)-_xll.xASN(AL31,Strike1,AE31,AP31,0,N31,0,P31,Q31,IF(OptControl=4,0,1),0),0)</f>
        <v>0</v>
      </c>
      <c r="AW31" s="196">
        <f ca="1">IF(AH31,_xll.xASN(AL31,Strike2,AE31,AQ31,0,N31,0,P31,Q31,IF(OptControl=3,1,0),0),0)</f>
        <v>0</v>
      </c>
      <c r="AX31" s="196">
        <f ca="1">IF(AH31,_xll.xASN(AL31,Strike2,AE31,AQ31,0,N31,0,P31,Q31,IF(OptControl=3,1,0),1),0)</f>
        <v>0</v>
      </c>
      <c r="AY31" s="196">
        <f ca="1">IF(AH31,_xll.xASN(AL31,Strike2,AE31,AQ31,0,N31,0,P31,Q31,IF(OptControl=3,1,0),2),0)</f>
        <v>0</v>
      </c>
      <c r="AZ31" s="196">
        <f ca="1">IF(AH31,_xll.xASN(AL31,Strike2,AE31,AQ31,0,N31,0,P31,Q31,IF(OptControl=3,1,0),3)/100,0)</f>
        <v>0</v>
      </c>
      <c r="BA31" s="196">
        <f ca="1">IF(AH31,_xll.xASN(AL31,Strike2,AE31,AQ31,0,N31,0,P31-DaysForThetaCalculation/365.25,Q31-DaysForThetaCalculation/365.25,IF(OptControl=3,1,0),0)-_xll.xASN(AL31,Strike2,AE31,AQ31,0,N31,0,P31,Q31,IF(OptControl=3,1,0),0),0)</f>
        <v>0</v>
      </c>
      <c r="BB31" s="126" t="str">
        <f t="shared" ca="1" si="64"/>
        <v/>
      </c>
      <c r="BC31" s="191" t="str">
        <f t="shared" ca="1" si="65"/>
        <v/>
      </c>
      <c r="BD31" s="191" t="str">
        <f t="shared" ca="1" si="66"/>
        <v/>
      </c>
      <c r="BE31" s="190" t="str">
        <f t="shared" ca="1" si="67"/>
        <v/>
      </c>
      <c r="BF31" s="194" t="str">
        <f t="shared" ca="1" si="68"/>
        <v/>
      </c>
      <c r="BG31" s="194" t="str">
        <f t="shared" ca="1" si="69"/>
        <v/>
      </c>
      <c r="BH31" s="195">
        <f ca="1">IF(AH31,_xll.xEURO(BB31,Strike1,AE31,AE31,BF31,O31,IF(OptControl=4,0,1),0),0)</f>
        <v>0</v>
      </c>
      <c r="BI31" s="196">
        <f ca="1">IF(AH31,_xll.xEURO(BB31,Strike1,AE31,AE31,BF31,O31,IF(OptControl=4,0,1),1),0)</f>
        <v>0</v>
      </c>
      <c r="BJ31" s="196">
        <f ca="1">IF(AH31,_xll.xEURO(BB31,Strike1,AE31,AE31,BF31,O31,IF(OptControl=4,0,1),2),0)</f>
        <v>0</v>
      </c>
      <c r="BK31" s="196">
        <f ca="1">IF(AH31,_xll.xEURO(BB31,Strike1,AE31,AE31,BF31,O31,IF(OptControl=4,0,1),3)/100,0)</f>
        <v>0</v>
      </c>
      <c r="BL31" s="196">
        <f ca="1">IF(AH31,_xll.xEURO(BB31,Strike1,AE31,AE31,BF31,O31-DaysForThetaCalculation,IF(OptControl=4,0,1),0)-_xll.xEURO(BB31,Strike1,AE31,AE31,BF31,O31,IF(OptControl=4,0,1),0),0)</f>
        <v>0</v>
      </c>
      <c r="BM31" s="196">
        <f ca="1">IF(AH31,_xll.xEURO(BB31,Strike2,AE31,AE31,BG31,O31,IF(OptControl=3,1,0),0),0)</f>
        <v>0</v>
      </c>
      <c r="BN31" s="196">
        <f ca="1">IF(AH31,_xll.xEURO(BB31,Strike2,AE31,AE31,BG31,O31,IF(OptControl=3,1,0),1),0)</f>
        <v>0</v>
      </c>
      <c r="BO31" s="196">
        <f ca="1">IF(AH31,_xll.xEURO(BB31,Strike2,AE31,AE31,BG31,O31,IF(OptControl=3,1,0),2),0)</f>
        <v>0</v>
      </c>
      <c r="BP31" s="196">
        <f ca="1">IF(AH31,_xll.xEURO(BB31,Strike2,AE31,AE31,BG31,O31,IF(OptControl=3,1,0),3)/100,0)</f>
        <v>0</v>
      </c>
      <c r="BQ31" s="197">
        <f ca="1">IF(AH31,_xll.xEURO(BB31,Strike2,AE31,AE31,BG31,O31-DaysForThetaCalculation,IF(OptControl=3,1,0),0)-_xll.xEURO(BB31,Strike2,AE31,AE31,BG31,O31,IF(OptControl=3,1,0),0),0)</f>
        <v>0</v>
      </c>
      <c r="BR31" s="301"/>
      <c r="BS31" s="114">
        <v>28.594000000000001</v>
      </c>
      <c r="BT31" s="345">
        <f t="shared" si="11"/>
        <v>68.080952380952382</v>
      </c>
      <c r="BU31" s="345">
        <f t="shared" ca="1" si="84"/>
        <v>7.517000000000003</v>
      </c>
      <c r="BV31" s="73"/>
      <c r="BW31" s="345">
        <f t="shared" ca="1" si="80"/>
        <v>7.8539130434782614</v>
      </c>
      <c r="BX31" s="345">
        <f t="shared" ca="1" si="85"/>
        <v>68.680272108843539</v>
      </c>
      <c r="BY31" s="373">
        <f t="shared" ca="1" si="41"/>
        <v>67.27122153209109</v>
      </c>
      <c r="BZ31" s="114">
        <v>26.229000000000003</v>
      </c>
      <c r="CA31" s="345">
        <f t="shared" si="12"/>
        <v>62.45</v>
      </c>
      <c r="CB31" s="345">
        <f t="shared" ca="1" si="86"/>
        <v>5.8290000000000042</v>
      </c>
      <c r="CC31" s="345">
        <f t="shared" ca="1" si="81"/>
        <v>5.2289130434782614</v>
      </c>
      <c r="CD31" s="345">
        <f t="shared" ca="1" si="15"/>
        <v>61.021221532091097</v>
      </c>
      <c r="CE31" s="347">
        <f t="shared" ca="1" si="70"/>
        <v>-6.2499999999999929</v>
      </c>
      <c r="CF31" s="114">
        <v>22.982000000000003</v>
      </c>
      <c r="CG31" s="345">
        <f t="shared" si="16"/>
        <v>54.719047619047629</v>
      </c>
      <c r="CH31" s="345">
        <f t="shared" ca="1" si="42"/>
        <v>2.083000000000002</v>
      </c>
      <c r="CI31" s="73"/>
      <c r="CJ31" s="345">
        <f t="shared" ca="1" si="89"/>
        <v>1.9720869565217369</v>
      </c>
      <c r="CK31" s="345">
        <f t="shared" ca="1" si="90"/>
        <v>54.469264069264078</v>
      </c>
      <c r="CL31" s="345">
        <f t="shared" ca="1" si="45"/>
        <v>53.266873706004127</v>
      </c>
      <c r="CM31" s="114">
        <v>21.545999999999999</v>
      </c>
      <c r="CN31" s="345">
        <f t="shared" si="17"/>
        <v>51.3</v>
      </c>
      <c r="CO31" s="345">
        <f t="shared" ca="1" si="46"/>
        <v>1.1460000000000008</v>
      </c>
      <c r="CP31" s="345">
        <f t="shared" ca="1" si="92"/>
        <v>1.048086956521741</v>
      </c>
      <c r="CQ31" s="345">
        <f t="shared" ca="1" si="19"/>
        <v>51.066873706004138</v>
      </c>
      <c r="CR31" s="347">
        <f t="shared" ca="1" si="71"/>
        <v>-2.1999999999999886</v>
      </c>
      <c r="CS31" s="114">
        <v>22.609000000000002</v>
      </c>
      <c r="CT31" s="345">
        <f t="shared" si="20"/>
        <v>53.830952380952382</v>
      </c>
      <c r="CU31" s="345">
        <f t="shared" si="72"/>
        <v>0.29999999999999716</v>
      </c>
      <c r="CV31" s="345">
        <f t="shared" ca="1" si="91"/>
        <v>0.75000000000000855</v>
      </c>
      <c r="CW31" s="347">
        <f t="shared" ca="1" si="73"/>
        <v>54.016873706004134</v>
      </c>
      <c r="CX31" s="483">
        <v>0.22600000000000001</v>
      </c>
      <c r="CY31" s="190">
        <f t="shared" si="47"/>
        <v>-7.2148472829075549E-5</v>
      </c>
      <c r="CZ31" s="190">
        <f t="shared" ca="1" si="78"/>
        <v>-0.03</v>
      </c>
      <c r="DA31" s="354">
        <f t="shared" ca="1" si="79"/>
        <v>0.19607214847282908</v>
      </c>
      <c r="DB31" s="483">
        <v>0.22600000000000001</v>
      </c>
      <c r="DC31" s="190">
        <f t="shared" si="49"/>
        <v>-7.2148472829075549E-5</v>
      </c>
      <c r="DD31" s="190">
        <f t="shared" ca="1" si="82"/>
        <v>0.03</v>
      </c>
      <c r="DE31" s="354">
        <f t="shared" ca="1" si="83"/>
        <v>0.25607214847282911</v>
      </c>
      <c r="DG31" s="341"/>
      <c r="DH31" s="114">
        <v>17.141999999999999</v>
      </c>
      <c r="DI31" s="126">
        <f t="shared" ca="1" si="74"/>
        <v>-3.2579999999999991</v>
      </c>
      <c r="DJ31" s="126">
        <f t="shared" ca="1" si="22"/>
        <v>-2</v>
      </c>
      <c r="DK31" s="356">
        <f t="shared" ca="1" si="23"/>
        <v>18.399999999999999</v>
      </c>
      <c r="DL31" s="114">
        <v>15.142000000000001</v>
      </c>
      <c r="DM31" s="126">
        <f t="shared" ca="1" si="75"/>
        <v>-5.2579999999999973</v>
      </c>
      <c r="DN31" s="126">
        <f t="shared" ca="1" si="24"/>
        <v>-3</v>
      </c>
      <c r="DO31" s="356">
        <f t="shared" ca="1" si="25"/>
        <v>17.399999999999999</v>
      </c>
      <c r="DP31" s="114">
        <v>14.392000000000001</v>
      </c>
      <c r="DQ31" s="126">
        <f t="shared" ca="1" si="76"/>
        <v>-6.0079999999999973</v>
      </c>
      <c r="DR31" s="126">
        <f t="shared" ca="1" si="26"/>
        <v>-6</v>
      </c>
      <c r="DS31" s="356">
        <f t="shared" ca="1" si="27"/>
        <v>14.399999999999999</v>
      </c>
      <c r="DT31" s="114">
        <v>15.942</v>
      </c>
      <c r="DU31" s="126">
        <f t="shared" ca="1" si="77"/>
        <v>-4.4579999999999984</v>
      </c>
      <c r="DV31" s="126">
        <f t="shared" ca="1" si="28"/>
        <v>-5</v>
      </c>
      <c r="DW31" s="356">
        <f t="shared" ca="1" si="29"/>
        <v>15.399999999999999</v>
      </c>
      <c r="ED31" s="288"/>
      <c r="EE31" s="288"/>
      <c r="EF31" s="288"/>
    </row>
    <row r="32" spans="1:137" x14ac:dyDescent="0.25">
      <c r="B32" s="396">
        <v>36526</v>
      </c>
      <c r="C32" s="399">
        <v>36515</v>
      </c>
      <c r="I32" s="136">
        <f t="shared" ca="1" si="30"/>
        <v>37773</v>
      </c>
      <c r="J32" s="130">
        <f t="shared" ca="1" si="31"/>
        <v>37763</v>
      </c>
      <c r="K32" s="106">
        <f t="shared" ca="1" si="32"/>
        <v>0.7142857142857143</v>
      </c>
      <c r="L32" s="133">
        <f t="shared" ca="1" si="0"/>
        <v>103</v>
      </c>
      <c r="M32" s="134">
        <f t="shared" ca="1" si="1"/>
        <v>6</v>
      </c>
      <c r="N32" s="103">
        <f t="shared" ca="1" si="2"/>
        <v>21</v>
      </c>
      <c r="O32" s="104">
        <f t="shared" ca="1" si="33"/>
        <v>814</v>
      </c>
      <c r="P32" s="105">
        <f t="shared" ca="1" si="3"/>
        <v>2.2422997946611911</v>
      </c>
      <c r="Q32" s="105">
        <f t="shared" ca="1" si="4"/>
        <v>2.321697467488022</v>
      </c>
      <c r="R32" s="114">
        <v>20.43</v>
      </c>
      <c r="S32" s="198">
        <v>0</v>
      </c>
      <c r="T32" s="189">
        <f t="shared" si="34"/>
        <v>20.43</v>
      </c>
      <c r="U32" s="199">
        <f t="shared" ca="1" si="5"/>
        <v>20.291428571428572</v>
      </c>
      <c r="V32" s="379">
        <f t="shared" ca="1" si="6"/>
        <v>20.291428571428572</v>
      </c>
      <c r="W32" s="483">
        <v>0.22332009498595004</v>
      </c>
      <c r="X32" s="166" t="str">
        <f t="shared" ca="1" si="7"/>
        <v/>
      </c>
      <c r="Y32" s="91">
        <f t="shared" ca="1" si="51"/>
        <v>8.5882446288689813E-3</v>
      </c>
      <c r="Z32" s="91">
        <f t="shared" ca="1" si="52"/>
        <v>4.5797674415966856E-3</v>
      </c>
      <c r="AA32" s="91">
        <f t="shared" ca="1" si="53"/>
        <v>2.0306452957209787E-3</v>
      </c>
      <c r="AB32" s="91">
        <f t="shared" ca="1" si="54"/>
        <v>4.5746377222002218E-3</v>
      </c>
      <c r="AC32" s="91">
        <f t="shared" ca="1" si="55"/>
        <v>1.0317300092429035E-2</v>
      </c>
      <c r="AD32" s="91">
        <f t="shared" ca="1" si="56"/>
        <v>1.9347597499916019E-2</v>
      </c>
      <c r="AE32" s="124">
        <v>7.1171629635889008E-2</v>
      </c>
      <c r="AF32" s="191">
        <f t="shared" ca="1" si="57"/>
        <v>0.85012927721427844</v>
      </c>
      <c r="AG32" s="189">
        <f t="shared" ca="1" si="35"/>
        <v>1</v>
      </c>
      <c r="AH32" s="192">
        <f t="shared" ca="1" si="9"/>
        <v>0</v>
      </c>
      <c r="AI32" s="192">
        <f t="shared" ca="1" si="87"/>
        <v>0</v>
      </c>
      <c r="AJ32" s="192">
        <f t="shared" ca="1" si="10"/>
        <v>0</v>
      </c>
      <c r="AK32" s="192">
        <f t="shared" ca="1" si="88"/>
        <v>0</v>
      </c>
      <c r="AL32" s="191" t="str">
        <f t="shared" ca="1" si="60"/>
        <v/>
      </c>
      <c r="AM32" s="191" t="str">
        <f t="shared" ca="1" si="61"/>
        <v/>
      </c>
      <c r="AN32" s="191" t="str">
        <f t="shared" ca="1" si="62"/>
        <v/>
      </c>
      <c r="AO32" s="193" t="str">
        <f t="shared" ca="1" si="63"/>
        <v/>
      </c>
      <c r="AP32" s="194" t="str">
        <f t="shared" ca="1" si="36"/>
        <v/>
      </c>
      <c r="AQ32" s="194" t="str">
        <f t="shared" ca="1" si="37"/>
        <v/>
      </c>
      <c r="AR32" s="195">
        <f ca="1">IF(AH32,_xll.xASN(AL32,Strike1,AE32,AP32,0,N32,0,P32,Q32,IF(OptControl=4,0,1),0),0)</f>
        <v>0</v>
      </c>
      <c r="AS32" s="196">
        <f ca="1">IF(AH32,_xll.xASN(AL32,Strike1,AE32,AP32,0,N32,0,P32,Q32,IF(OptControl=4,0,1),1),0)</f>
        <v>0</v>
      </c>
      <c r="AT32" s="196">
        <f ca="1">IF(AH32,_xll.xASN(AL32,Strike1,AE32,AP32,0,N32,0,P32,Q32,IF(OptControl=4,0,1),2),0)</f>
        <v>0</v>
      </c>
      <c r="AU32" s="196">
        <f ca="1">IF(AH32,_xll.xASN(AL32,Strike1,AE32,AP32,0,N32,0,P32,Q32,IF(OptControl=4,0,1),3)/100,0)</f>
        <v>0</v>
      </c>
      <c r="AV32" s="196">
        <f ca="1">IF(AH32,_xll.xASN(AL32,Strike1,AE32,AP32,0,N32,0,P32-DaysForThetaCalculation/365.25,Q32-DaysForThetaCalculation/365.25,IF(OptControl=4,0,1),0)-_xll.xASN(AL32,Strike1,AE32,AP32,0,N32,0,P32,Q32,IF(OptControl=4,0,1),0),0)</f>
        <v>0</v>
      </c>
      <c r="AW32" s="196">
        <f ca="1">IF(AH32,_xll.xASN(AL32,Strike2,AE32,AQ32,0,N32,0,P32,Q32,IF(OptControl=3,1,0),0),0)</f>
        <v>0</v>
      </c>
      <c r="AX32" s="196">
        <f ca="1">IF(AH32,_xll.xASN(AL32,Strike2,AE32,AQ32,0,N32,0,P32,Q32,IF(OptControl=3,1,0),1),0)</f>
        <v>0</v>
      </c>
      <c r="AY32" s="196">
        <f ca="1">IF(AH32,_xll.xASN(AL32,Strike2,AE32,AQ32,0,N32,0,P32,Q32,IF(OptControl=3,1,0),2),0)</f>
        <v>0</v>
      </c>
      <c r="AZ32" s="196">
        <f ca="1">IF(AH32,_xll.xASN(AL32,Strike2,AE32,AQ32,0,N32,0,P32,Q32,IF(OptControl=3,1,0),3)/100,0)</f>
        <v>0</v>
      </c>
      <c r="BA32" s="196">
        <f ca="1">IF(AH32,_xll.xASN(AL32,Strike2,AE32,AQ32,0,N32,0,P32-DaysForThetaCalculation/365.25,Q32-DaysForThetaCalculation/365.25,IF(OptControl=3,1,0),0)-_xll.xASN(AL32,Strike2,AE32,AQ32,0,N32,0,P32,Q32,IF(OptControl=3,1,0),0),0)</f>
        <v>0</v>
      </c>
      <c r="BB32" s="126" t="str">
        <f t="shared" ca="1" si="64"/>
        <v/>
      </c>
      <c r="BC32" s="191" t="str">
        <f t="shared" ca="1" si="65"/>
        <v/>
      </c>
      <c r="BD32" s="191" t="str">
        <f t="shared" ca="1" si="66"/>
        <v/>
      </c>
      <c r="BE32" s="190" t="str">
        <f t="shared" ca="1" si="67"/>
        <v/>
      </c>
      <c r="BF32" s="194" t="str">
        <f t="shared" ca="1" si="68"/>
        <v/>
      </c>
      <c r="BG32" s="194" t="str">
        <f t="shared" ca="1" si="69"/>
        <v/>
      </c>
      <c r="BH32" s="195">
        <f ca="1">IF(AH32,_xll.xEURO(BB32,Strike1,AE32,AE32,BF32,O32,IF(OptControl=4,0,1),0),0)</f>
        <v>0</v>
      </c>
      <c r="BI32" s="196">
        <f ca="1">IF(AH32,_xll.xEURO(BB32,Strike1,AE32,AE32,BF32,O32,IF(OptControl=4,0,1),1),0)</f>
        <v>0</v>
      </c>
      <c r="BJ32" s="196">
        <f ca="1">IF(AH32,_xll.xEURO(BB32,Strike1,AE32,AE32,BF32,O32,IF(OptControl=4,0,1),2),0)</f>
        <v>0</v>
      </c>
      <c r="BK32" s="196">
        <f ca="1">IF(AH32,_xll.xEURO(BB32,Strike1,AE32,AE32,BF32,O32,IF(OptControl=4,0,1),3)/100,0)</f>
        <v>0</v>
      </c>
      <c r="BL32" s="196">
        <f ca="1">IF(AH32,_xll.xEURO(BB32,Strike1,AE32,AE32,BF32,O32-DaysForThetaCalculation,IF(OptControl=4,0,1),0)-_xll.xEURO(BB32,Strike1,AE32,AE32,BF32,O32,IF(OptControl=4,0,1),0),0)</f>
        <v>0</v>
      </c>
      <c r="BM32" s="196">
        <f ca="1">IF(AH32,_xll.xEURO(BB32,Strike2,AE32,AE32,BG32,O32,IF(OptControl=3,1,0),0),0)</f>
        <v>0</v>
      </c>
      <c r="BN32" s="196">
        <f ca="1">IF(AH32,_xll.xEURO(BB32,Strike2,AE32,AE32,BG32,O32,IF(OptControl=3,1,0),1),0)</f>
        <v>0</v>
      </c>
      <c r="BO32" s="196">
        <f ca="1">IF(AH32,_xll.xEURO(BB32,Strike2,AE32,AE32,BG32,O32,IF(OptControl=3,1,0),2),0)</f>
        <v>0</v>
      </c>
      <c r="BP32" s="196">
        <f ca="1">IF(AH32,_xll.xEURO(BB32,Strike2,AE32,AE32,BG32,O32,IF(OptControl=3,1,0),3)/100,0)</f>
        <v>0</v>
      </c>
      <c r="BQ32" s="197">
        <f ca="1">IF(AH32,_xll.xEURO(BB32,Strike2,AE32,AE32,BG32,O32-DaysForThetaCalculation,IF(OptControl=3,1,0),0)-_xll.xEURO(BB32,Strike2,AE32,AE32,BG32,O32,IF(OptControl=3,1,0),0),0)</f>
        <v>0</v>
      </c>
      <c r="BR32" s="301"/>
      <c r="BS32" s="114">
        <v>27.917000000000002</v>
      </c>
      <c r="BT32" s="345">
        <f t="shared" si="11"/>
        <v>66.469047619047629</v>
      </c>
      <c r="BU32" s="345">
        <f t="shared" ca="1" si="84"/>
        <v>7.0925714285714285</v>
      </c>
      <c r="BV32" s="73"/>
      <c r="BW32" s="345">
        <f t="shared" ca="1" si="80"/>
        <v>7.3736666666666686</v>
      </c>
      <c r="BX32" s="345">
        <f t="shared" ca="1" si="85"/>
        <v>67.27122153209109</v>
      </c>
      <c r="BY32" s="373">
        <f t="shared" ca="1" si="41"/>
        <v>65.869274376417238</v>
      </c>
      <c r="BZ32" s="114">
        <v>25.695999999999998</v>
      </c>
      <c r="CA32" s="345">
        <f t="shared" si="12"/>
        <v>61.180952380952377</v>
      </c>
      <c r="CB32" s="345">
        <f t="shared" ca="1" si="86"/>
        <v>5.4045714285714261</v>
      </c>
      <c r="CC32" s="345">
        <f t="shared" ca="1" si="81"/>
        <v>4.7486666666666721</v>
      </c>
      <c r="CD32" s="345">
        <f t="shared" ca="1" si="15"/>
        <v>59.619274376417252</v>
      </c>
      <c r="CE32" s="347">
        <f t="shared" ca="1" si="70"/>
        <v>-6.2499999999999858</v>
      </c>
      <c r="CF32" s="114">
        <v>22.483000000000001</v>
      </c>
      <c r="CG32" s="345">
        <f t="shared" si="16"/>
        <v>53.530952380952385</v>
      </c>
      <c r="CH32" s="345">
        <f t="shared" ca="1" si="42"/>
        <v>2.1535714285714285</v>
      </c>
      <c r="CI32" s="73"/>
      <c r="CJ32" s="345">
        <f t="shared" ca="1" si="89"/>
        <v>2.0470000000000019</v>
      </c>
      <c r="CK32" s="345">
        <f t="shared" ca="1" si="90"/>
        <v>53.266873706004127</v>
      </c>
      <c r="CL32" s="345">
        <f t="shared" ca="1" si="45"/>
        <v>53.186734693877554</v>
      </c>
      <c r="CM32" s="114">
        <v>21.524999999999999</v>
      </c>
      <c r="CN32" s="345">
        <f t="shared" si="17"/>
        <v>51.25</v>
      </c>
      <c r="CO32" s="345">
        <f t="shared" ca="1" si="46"/>
        <v>1.2335714285714268</v>
      </c>
      <c r="CP32" s="345">
        <f t="shared" ca="1" si="92"/>
        <v>1.1229999999999989</v>
      </c>
      <c r="CQ32" s="345">
        <f t="shared" ca="1" si="19"/>
        <v>50.986734693877551</v>
      </c>
      <c r="CR32" s="347">
        <f t="shared" ca="1" si="71"/>
        <v>-2.2000000000000028</v>
      </c>
      <c r="CS32" s="114">
        <v>22.570999999999998</v>
      </c>
      <c r="CT32" s="345">
        <f t="shared" si="20"/>
        <v>53.740476190476187</v>
      </c>
      <c r="CU32" s="345">
        <f t="shared" si="72"/>
        <v>0.29999999999999716</v>
      </c>
      <c r="CV32" s="345">
        <f t="shared" ca="1" si="91"/>
        <v>0.74999999999999434</v>
      </c>
      <c r="CW32" s="347">
        <f t="shared" ca="1" si="73"/>
        <v>53.936734693877547</v>
      </c>
      <c r="CX32" s="483">
        <v>0.223</v>
      </c>
      <c r="CY32" s="190">
        <f t="shared" si="47"/>
        <v>-3.2009498595003683E-4</v>
      </c>
      <c r="CZ32" s="190">
        <f t="shared" ca="1" si="78"/>
        <v>-0.03</v>
      </c>
      <c r="DA32" s="354">
        <f t="shared" ca="1" si="79"/>
        <v>0.19332009498595004</v>
      </c>
      <c r="DB32" s="483">
        <v>0.223</v>
      </c>
      <c r="DC32" s="190">
        <f t="shared" si="49"/>
        <v>-3.2009498595003683E-4</v>
      </c>
      <c r="DD32" s="190">
        <f t="shared" ca="1" si="82"/>
        <v>0.03</v>
      </c>
      <c r="DE32" s="354">
        <f t="shared" ca="1" si="83"/>
        <v>0.25332009498595004</v>
      </c>
      <c r="DG32" s="341"/>
      <c r="DH32" s="114">
        <v>17.04</v>
      </c>
      <c r="DI32" s="126">
        <f t="shared" ca="1" si="74"/>
        <v>-3.2514285714285727</v>
      </c>
      <c r="DJ32" s="126">
        <f t="shared" ca="1" si="22"/>
        <v>-2</v>
      </c>
      <c r="DK32" s="356">
        <f t="shared" ca="1" si="23"/>
        <v>18.291428571428572</v>
      </c>
      <c r="DL32" s="114">
        <v>15.04</v>
      </c>
      <c r="DM32" s="126">
        <f t="shared" ca="1" si="75"/>
        <v>-5.2514285714285727</v>
      </c>
      <c r="DN32" s="126">
        <f t="shared" ca="1" si="24"/>
        <v>-3</v>
      </c>
      <c r="DO32" s="356">
        <f t="shared" ca="1" si="25"/>
        <v>17.291428571428572</v>
      </c>
      <c r="DP32" s="114">
        <v>14.29</v>
      </c>
      <c r="DQ32" s="126">
        <f t="shared" ca="1" si="76"/>
        <v>-6.0014285714285727</v>
      </c>
      <c r="DR32" s="126">
        <f t="shared" ca="1" si="26"/>
        <v>-6</v>
      </c>
      <c r="DS32" s="356">
        <f t="shared" ca="1" si="27"/>
        <v>14.291428571428572</v>
      </c>
      <c r="DT32" s="114">
        <v>15.84</v>
      </c>
      <c r="DU32" s="126">
        <f t="shared" ca="1" si="77"/>
        <v>-4.451428571428572</v>
      </c>
      <c r="DV32" s="126">
        <f t="shared" ca="1" si="28"/>
        <v>-5</v>
      </c>
      <c r="DW32" s="356">
        <f t="shared" ca="1" si="29"/>
        <v>15.291428571428572</v>
      </c>
      <c r="DY32" s="262" t="s">
        <v>172</v>
      </c>
      <c r="DZ32" s="263"/>
      <c r="EA32" s="263"/>
      <c r="EB32" s="263"/>
      <c r="EC32" s="293"/>
      <c r="ED32" s="277"/>
      <c r="EE32" s="277"/>
      <c r="EF32" s="277"/>
    </row>
    <row r="33" spans="2:136" x14ac:dyDescent="0.25">
      <c r="B33" s="396">
        <v>36557</v>
      </c>
      <c r="C33" s="399">
        <v>36545</v>
      </c>
      <c r="I33" s="136">
        <f t="shared" ca="1" si="30"/>
        <v>37803</v>
      </c>
      <c r="J33" s="130">
        <f t="shared" ca="1" si="31"/>
        <v>37792</v>
      </c>
      <c r="K33" s="106">
        <f t="shared" ca="1" si="32"/>
        <v>0.60869565217391308</v>
      </c>
      <c r="L33" s="133">
        <f t="shared" ca="1" si="0"/>
        <v>103</v>
      </c>
      <c r="M33" s="134">
        <f t="shared" ca="1" si="1"/>
        <v>7</v>
      </c>
      <c r="N33" s="103">
        <f t="shared" ca="1" si="2"/>
        <v>23</v>
      </c>
      <c r="O33" s="104">
        <f t="shared" ca="1" si="33"/>
        <v>843</v>
      </c>
      <c r="P33" s="105">
        <f t="shared" ca="1" si="3"/>
        <v>2.324435318275154</v>
      </c>
      <c r="Q33" s="105">
        <f t="shared" ca="1" si="4"/>
        <v>2.406570841889117</v>
      </c>
      <c r="R33" s="114">
        <v>20.32</v>
      </c>
      <c r="S33" s="198">
        <v>0</v>
      </c>
      <c r="T33" s="189">
        <f t="shared" si="34"/>
        <v>20.32</v>
      </c>
      <c r="U33" s="199">
        <f t="shared" ca="1" si="5"/>
        <v>20.180869565217392</v>
      </c>
      <c r="V33" s="379">
        <f t="shared" ca="1" si="6"/>
        <v>20.180869565217392</v>
      </c>
      <c r="W33" s="483">
        <v>0.2218705830103421</v>
      </c>
      <c r="X33" s="166" t="str">
        <f t="shared" ca="1" si="7"/>
        <v/>
      </c>
      <c r="Y33" s="91">
        <f t="shared" ca="1" si="51"/>
        <v>8.4043833734604011E-3</v>
      </c>
      <c r="Z33" s="91">
        <f t="shared" ca="1" si="52"/>
        <v>4.4577262160036503E-3</v>
      </c>
      <c r="AA33" s="91">
        <f t="shared" ca="1" si="53"/>
        <v>1.971232585030121E-3</v>
      </c>
      <c r="AB33" s="91">
        <f t="shared" ca="1" si="54"/>
        <v>4.4407927675558581E-3</v>
      </c>
      <c r="AC33" s="91">
        <f t="shared" ca="1" si="55"/>
        <v>1.0042365619413048E-2</v>
      </c>
      <c r="AD33" s="91">
        <f t="shared" ca="1" si="56"/>
        <v>1.8933394863731565E-2</v>
      </c>
      <c r="AE33" s="124">
        <v>7.1281437036359016E-2</v>
      </c>
      <c r="AF33" s="191">
        <f t="shared" ca="1" si="57"/>
        <v>0.84488259456705517</v>
      </c>
      <c r="AG33" s="189">
        <f t="shared" ca="1" si="35"/>
        <v>1</v>
      </c>
      <c r="AH33" s="192">
        <f t="shared" ca="1" si="9"/>
        <v>0</v>
      </c>
      <c r="AI33" s="192">
        <f t="shared" ca="1" si="87"/>
        <v>0</v>
      </c>
      <c r="AJ33" s="192">
        <f t="shared" ca="1" si="10"/>
        <v>0</v>
      </c>
      <c r="AK33" s="192">
        <f t="shared" ca="1" si="88"/>
        <v>0</v>
      </c>
      <c r="AL33" s="191" t="str">
        <f t="shared" ca="1" si="60"/>
        <v/>
      </c>
      <c r="AM33" s="191" t="str">
        <f t="shared" ca="1" si="61"/>
        <v/>
      </c>
      <c r="AN33" s="191" t="str">
        <f t="shared" ca="1" si="62"/>
        <v/>
      </c>
      <c r="AO33" s="193" t="str">
        <f t="shared" ca="1" si="63"/>
        <v/>
      </c>
      <c r="AP33" s="194" t="str">
        <f t="shared" ca="1" si="36"/>
        <v/>
      </c>
      <c r="AQ33" s="194" t="str">
        <f t="shared" ca="1" si="37"/>
        <v/>
      </c>
      <c r="AR33" s="195">
        <f ca="1">IF(AH33,_xll.xASN(AL33,Strike1,AE33,AP33,0,N33,0,P33,Q33,IF(OptControl=4,0,1),0),0)</f>
        <v>0</v>
      </c>
      <c r="AS33" s="196">
        <f ca="1">IF(AH33,_xll.xASN(AL33,Strike1,AE33,AP33,0,N33,0,P33,Q33,IF(OptControl=4,0,1),1),0)</f>
        <v>0</v>
      </c>
      <c r="AT33" s="196">
        <f ca="1">IF(AH33,_xll.xASN(AL33,Strike1,AE33,AP33,0,N33,0,P33,Q33,IF(OptControl=4,0,1),2),0)</f>
        <v>0</v>
      </c>
      <c r="AU33" s="196">
        <f ca="1">IF(AH33,_xll.xASN(AL33,Strike1,AE33,AP33,0,N33,0,P33,Q33,IF(OptControl=4,0,1),3)/100,0)</f>
        <v>0</v>
      </c>
      <c r="AV33" s="196">
        <f ca="1">IF(AH33,_xll.xASN(AL33,Strike1,AE33,AP33,0,N33,0,P33-DaysForThetaCalculation/365.25,Q33-DaysForThetaCalculation/365.25,IF(OptControl=4,0,1),0)-_xll.xASN(AL33,Strike1,AE33,AP33,0,N33,0,P33,Q33,IF(OptControl=4,0,1),0),0)</f>
        <v>0</v>
      </c>
      <c r="AW33" s="196">
        <f ca="1">IF(AH33,_xll.xASN(AL33,Strike2,AE33,AQ33,0,N33,0,P33,Q33,IF(OptControl=3,1,0),0),0)</f>
        <v>0</v>
      </c>
      <c r="AX33" s="196">
        <f ca="1">IF(AH33,_xll.xASN(AL33,Strike2,AE33,AQ33,0,N33,0,P33,Q33,IF(OptControl=3,1,0),1),0)</f>
        <v>0</v>
      </c>
      <c r="AY33" s="196">
        <f ca="1">IF(AH33,_xll.xASN(AL33,Strike2,AE33,AQ33,0,N33,0,P33,Q33,IF(OptControl=3,1,0),2),0)</f>
        <v>0</v>
      </c>
      <c r="AZ33" s="196">
        <f ca="1">IF(AH33,_xll.xASN(AL33,Strike2,AE33,AQ33,0,N33,0,P33,Q33,IF(OptControl=3,1,0),3)/100,0)</f>
        <v>0</v>
      </c>
      <c r="BA33" s="196">
        <f ca="1">IF(AH33,_xll.xASN(AL33,Strike2,AE33,AQ33,0,N33,0,P33-DaysForThetaCalculation/365.25,Q33-DaysForThetaCalculation/365.25,IF(OptControl=3,1,0),0)-_xll.xASN(AL33,Strike2,AE33,AQ33,0,N33,0,P33,Q33,IF(OptControl=3,1,0),0),0)</f>
        <v>0</v>
      </c>
      <c r="BB33" s="126" t="str">
        <f t="shared" ca="1" si="64"/>
        <v/>
      </c>
      <c r="BC33" s="191" t="str">
        <f t="shared" ca="1" si="65"/>
        <v/>
      </c>
      <c r="BD33" s="191" t="str">
        <f t="shared" ca="1" si="66"/>
        <v/>
      </c>
      <c r="BE33" s="190" t="str">
        <f t="shared" ca="1" si="67"/>
        <v/>
      </c>
      <c r="BF33" s="194" t="str">
        <f t="shared" ca="1" si="68"/>
        <v/>
      </c>
      <c r="BG33" s="194" t="str">
        <f t="shared" ca="1" si="69"/>
        <v/>
      </c>
      <c r="BH33" s="195">
        <f ca="1">IF(AH33,_xll.xEURO(BB33,Strike1,AE33,AE33,BF33,O33,IF(OptControl=4,0,1),0),0)</f>
        <v>0</v>
      </c>
      <c r="BI33" s="196">
        <f ca="1">IF(AH33,_xll.xEURO(BB33,Strike1,AE33,AE33,BF33,O33,IF(OptControl=4,0,1),1),0)</f>
        <v>0</v>
      </c>
      <c r="BJ33" s="196">
        <f ca="1">IF(AH33,_xll.xEURO(BB33,Strike1,AE33,AE33,BF33,O33,IF(OptControl=4,0,1),2),0)</f>
        <v>0</v>
      </c>
      <c r="BK33" s="196">
        <f ca="1">IF(AH33,_xll.xEURO(BB33,Strike1,AE33,AE33,BF33,O33,IF(OptControl=4,0,1),3)/100,0)</f>
        <v>0</v>
      </c>
      <c r="BL33" s="196">
        <f ca="1">IF(AH33,_xll.xEURO(BB33,Strike1,AE33,AE33,BF33,O33-DaysForThetaCalculation,IF(OptControl=4,0,1),0)-_xll.xEURO(BB33,Strike1,AE33,AE33,BF33,O33,IF(OptControl=4,0,1),0),0)</f>
        <v>0</v>
      </c>
      <c r="BM33" s="196">
        <f ca="1">IF(AH33,_xll.xEURO(BB33,Strike2,AE33,AE33,BG33,O33,IF(OptControl=3,1,0),0),0)</f>
        <v>0</v>
      </c>
      <c r="BN33" s="196">
        <f ca="1">IF(AH33,_xll.xEURO(BB33,Strike2,AE33,AE33,BG33,O33,IF(OptControl=3,1,0),1),0)</f>
        <v>0</v>
      </c>
      <c r="BO33" s="196">
        <f ca="1">IF(AH33,_xll.xEURO(BB33,Strike2,AE33,AE33,BG33,O33,IF(OptControl=3,1,0),2),0)</f>
        <v>0</v>
      </c>
      <c r="BP33" s="196">
        <f ca="1">IF(AH33,_xll.xEURO(BB33,Strike2,AE33,AE33,BG33,O33,IF(OptControl=3,1,0),3)/100,0)</f>
        <v>0</v>
      </c>
      <c r="BQ33" s="197">
        <f ca="1">IF(AH33,_xll.xEURO(BB33,Strike2,AE33,AE33,BG33,O33-DaysForThetaCalculation,IF(OptControl=3,1,0),0)-_xll.xEURO(BB33,Strike2,AE33,AE33,BG33,O33,IF(OptControl=3,1,0),0),0)</f>
        <v>0</v>
      </c>
      <c r="BR33" s="301"/>
      <c r="BS33" s="114">
        <v>27.384</v>
      </c>
      <c r="BT33" s="345">
        <f t="shared" si="11"/>
        <v>65.2</v>
      </c>
      <c r="BU33" s="345">
        <f t="shared" ca="1" si="84"/>
        <v>6.5691304347826076</v>
      </c>
      <c r="BV33" s="73"/>
      <c r="BW33" s="345">
        <f t="shared" ca="1" si="80"/>
        <v>6.8333636363636465</v>
      </c>
      <c r="BX33" s="345">
        <f t="shared" ca="1" si="85"/>
        <v>65.869274376417238</v>
      </c>
      <c r="BY33" s="373">
        <f t="shared" ca="1" si="41"/>
        <v>64.319602860907224</v>
      </c>
      <c r="BZ33" s="114">
        <v>25.061</v>
      </c>
      <c r="CA33" s="345">
        <f t="shared" si="12"/>
        <v>59.669047619047618</v>
      </c>
      <c r="CB33" s="345">
        <f t="shared" ca="1" si="86"/>
        <v>4.8801304347826076</v>
      </c>
      <c r="CC33" s="345">
        <f t="shared" ca="1" si="81"/>
        <v>4.4183636363636438</v>
      </c>
      <c r="CD33" s="345">
        <f t="shared" ca="1" si="15"/>
        <v>58.569602860907231</v>
      </c>
      <c r="CE33" s="347">
        <f t="shared" ca="1" si="70"/>
        <v>-5.7499999999999929</v>
      </c>
      <c r="CF33" s="114">
        <v>22.445</v>
      </c>
      <c r="CG33" s="345">
        <f t="shared" si="16"/>
        <v>53.44047619047619</v>
      </c>
      <c r="CH33" s="345">
        <f t="shared" ca="1" si="42"/>
        <v>2.4911304347826118</v>
      </c>
      <c r="CI33" s="73"/>
      <c r="CJ33" s="345">
        <f t="shared" ca="1" si="89"/>
        <v>2.3860434782608748</v>
      </c>
      <c r="CK33" s="345">
        <f t="shared" ca="1" si="90"/>
        <v>53.186734693877554</v>
      </c>
      <c r="CL33" s="345">
        <f t="shared" ca="1" si="45"/>
        <v>53.73074534161492</v>
      </c>
      <c r="CM33" s="114">
        <v>21.646999999999998</v>
      </c>
      <c r="CN33" s="345">
        <f t="shared" si="17"/>
        <v>51.540476190476184</v>
      </c>
      <c r="CO33" s="345">
        <f t="shared" ca="1" si="46"/>
        <v>1.4661304347826061</v>
      </c>
      <c r="CP33" s="345">
        <f t="shared" ca="1" si="92"/>
        <v>1.4620434782608718</v>
      </c>
      <c r="CQ33" s="345">
        <f t="shared" ca="1" si="19"/>
        <v>51.53074534161491</v>
      </c>
      <c r="CR33" s="347">
        <f t="shared" ca="1" si="71"/>
        <v>-2.2000000000000099</v>
      </c>
      <c r="CS33" s="114">
        <v>22.798000000000002</v>
      </c>
      <c r="CT33" s="345">
        <f t="shared" si="20"/>
        <v>54.280952380952385</v>
      </c>
      <c r="CU33" s="345">
        <f t="shared" si="72"/>
        <v>0.29999999999999716</v>
      </c>
      <c r="CV33" s="345">
        <f t="shared" ca="1" si="91"/>
        <v>0.74999999999999434</v>
      </c>
      <c r="CW33" s="347">
        <f t="shared" ca="1" si="73"/>
        <v>54.480745341614913</v>
      </c>
      <c r="CX33" s="483">
        <v>0.222</v>
      </c>
      <c r="CY33" s="190">
        <f t="shared" si="47"/>
        <v>1.2941698965790449E-4</v>
      </c>
      <c r="CZ33" s="190">
        <f t="shared" ca="1" si="78"/>
        <v>-0.03</v>
      </c>
      <c r="DA33" s="354">
        <f t="shared" ca="1" si="79"/>
        <v>0.1918705830103421</v>
      </c>
      <c r="DB33" s="483">
        <v>0.222</v>
      </c>
      <c r="DC33" s="190">
        <f t="shared" si="49"/>
        <v>1.2941698965790449E-4</v>
      </c>
      <c r="DD33" s="190">
        <f t="shared" ca="1" si="82"/>
        <v>0.03</v>
      </c>
      <c r="DE33" s="354">
        <f t="shared" ca="1" si="83"/>
        <v>0.2518705830103421</v>
      </c>
      <c r="DG33" s="341"/>
      <c r="DH33" s="114">
        <v>16.937999999999999</v>
      </c>
      <c r="DI33" s="126">
        <f t="shared" ca="1" si="74"/>
        <v>-3.2428695652173936</v>
      </c>
      <c r="DJ33" s="126">
        <f t="shared" ca="1" si="22"/>
        <v>-2</v>
      </c>
      <c r="DK33" s="356">
        <f t="shared" ca="1" si="23"/>
        <v>18.180869565217392</v>
      </c>
      <c r="DL33" s="114">
        <v>14.938000000000001</v>
      </c>
      <c r="DM33" s="126">
        <f t="shared" ca="1" si="75"/>
        <v>-5.2428695652173918</v>
      </c>
      <c r="DN33" s="126">
        <f t="shared" ca="1" si="24"/>
        <v>-3</v>
      </c>
      <c r="DO33" s="356">
        <f t="shared" ca="1" si="25"/>
        <v>17.180869565217392</v>
      </c>
      <c r="DP33" s="114">
        <v>14.188000000000001</v>
      </c>
      <c r="DQ33" s="126">
        <f t="shared" ca="1" si="76"/>
        <v>-5.9928695652173918</v>
      </c>
      <c r="DR33" s="126">
        <f t="shared" ca="1" si="26"/>
        <v>-6</v>
      </c>
      <c r="DS33" s="356">
        <f t="shared" ca="1" si="27"/>
        <v>14.180869565217392</v>
      </c>
      <c r="DT33" s="114">
        <v>15.888</v>
      </c>
      <c r="DU33" s="126">
        <f t="shared" ca="1" si="77"/>
        <v>-4.2928695652173925</v>
      </c>
      <c r="DV33" s="126">
        <f t="shared" ca="1" si="28"/>
        <v>-5</v>
      </c>
      <c r="DW33" s="356">
        <f t="shared" ca="1" si="29"/>
        <v>15.180869565217392</v>
      </c>
      <c r="DY33" s="20"/>
      <c r="DZ33" s="292">
        <v>0.01</v>
      </c>
      <c r="EA33" s="292">
        <v>0.01</v>
      </c>
      <c r="EB33" s="292">
        <v>0.03</v>
      </c>
      <c r="EC33" s="294">
        <v>2.1999999999999999E-2</v>
      </c>
      <c r="ED33" s="277"/>
      <c r="EE33" s="277"/>
      <c r="EF33" s="277"/>
    </row>
    <row r="34" spans="2:136" x14ac:dyDescent="0.25">
      <c r="B34" s="396">
        <v>36586</v>
      </c>
      <c r="C34" s="399">
        <v>36578</v>
      </c>
      <c r="I34" s="136">
        <f t="shared" ca="1" si="30"/>
        <v>37834</v>
      </c>
      <c r="J34" s="130">
        <f t="shared" ca="1" si="31"/>
        <v>37822</v>
      </c>
      <c r="K34" s="106">
        <f t="shared" ca="1" si="32"/>
        <v>0.7142857142857143</v>
      </c>
      <c r="L34" s="133">
        <f t="shared" ref="L34:L97" ca="1" si="93">YEAR(I34)-1900</f>
        <v>103</v>
      </c>
      <c r="M34" s="134">
        <f t="shared" ref="M34:M97" ca="1" si="94">MONTH(I34)</f>
        <v>8</v>
      </c>
      <c r="N34" s="103">
        <f t="shared" ca="1" si="2"/>
        <v>21</v>
      </c>
      <c r="O34" s="104">
        <f t="shared" ca="1" si="33"/>
        <v>876</v>
      </c>
      <c r="P34" s="105">
        <f t="shared" ref="P34:P97" ca="1" si="95">(I34-DateToday+1)/365.25</f>
        <v>2.409308692676249</v>
      </c>
      <c r="Q34" s="105">
        <f t="shared" ref="Q34:Q97" ca="1" si="96">(I35-DateToday)/365.25</f>
        <v>2.4914442162902124</v>
      </c>
      <c r="R34" s="114">
        <v>20.22</v>
      </c>
      <c r="S34" s="198">
        <v>0</v>
      </c>
      <c r="T34" s="189">
        <f t="shared" si="34"/>
        <v>20.22</v>
      </c>
      <c r="U34" s="199">
        <f t="shared" ca="1" si="5"/>
        <v>20.096190476190486</v>
      </c>
      <c r="V34" s="379">
        <f t="shared" ca="1" si="6"/>
        <v>20.096190476190486</v>
      </c>
      <c r="W34" s="483">
        <v>0.22016892254706805</v>
      </c>
      <c r="X34" s="166" t="str">
        <f t="shared" ca="1" si="7"/>
        <v/>
      </c>
      <c r="Y34" s="91">
        <f t="shared" ca="1" si="51"/>
        <v>8.2244583078905208E-3</v>
      </c>
      <c r="Z34" s="91">
        <f t="shared" ca="1" si="52"/>
        <v>4.3389371338729598E-3</v>
      </c>
      <c r="AA34" s="91">
        <f t="shared" ca="1" si="53"/>
        <v>1.9135581740802737E-3</v>
      </c>
      <c r="AB34" s="91">
        <f t="shared" ca="1" si="54"/>
        <v>4.310863854568042E-3</v>
      </c>
      <c r="AC34" s="91">
        <f t="shared" ca="1" si="55"/>
        <v>9.7747575751890321E-3</v>
      </c>
      <c r="AD34" s="91">
        <f t="shared" ca="1" si="56"/>
        <v>1.8528059676015732E-2</v>
      </c>
      <c r="AE34" s="124">
        <v>7.1377725113933005E-2</v>
      </c>
      <c r="AF34" s="191">
        <f t="shared" ca="1" si="57"/>
        <v>0.83968049918212995</v>
      </c>
      <c r="AG34" s="189">
        <f t="shared" ca="1" si="35"/>
        <v>1</v>
      </c>
      <c r="AH34" s="192">
        <f t="shared" ca="1" si="9"/>
        <v>0</v>
      </c>
      <c r="AI34" s="192">
        <f t="shared" ca="1" si="87"/>
        <v>0</v>
      </c>
      <c r="AJ34" s="192">
        <f t="shared" ca="1" si="10"/>
        <v>0</v>
      </c>
      <c r="AK34" s="192">
        <f t="shared" ca="1" si="88"/>
        <v>0</v>
      </c>
      <c r="AL34" s="191" t="str">
        <f t="shared" ca="1" si="60"/>
        <v/>
      </c>
      <c r="AM34" s="191" t="str">
        <f t="shared" ca="1" si="61"/>
        <v/>
      </c>
      <c r="AN34" s="191" t="str">
        <f t="shared" ca="1" si="62"/>
        <v/>
      </c>
      <c r="AO34" s="193" t="str">
        <f t="shared" ca="1" si="63"/>
        <v/>
      </c>
      <c r="AP34" s="194" t="str">
        <f t="shared" ca="1" si="36"/>
        <v/>
      </c>
      <c r="AQ34" s="194" t="str">
        <f t="shared" ca="1" si="37"/>
        <v/>
      </c>
      <c r="AR34" s="195">
        <f ca="1">IF(AH34,_xll.xASN(AL34,Strike1,AE34,AP34,0,N34,0,P34,Q34,IF(OptControl=4,0,1),0),0)</f>
        <v>0</v>
      </c>
      <c r="AS34" s="196">
        <f ca="1">IF(AH34,_xll.xASN(AL34,Strike1,AE34,AP34,0,N34,0,P34,Q34,IF(OptControl=4,0,1),1),0)</f>
        <v>0</v>
      </c>
      <c r="AT34" s="196">
        <f ca="1">IF(AH34,_xll.xASN(AL34,Strike1,AE34,AP34,0,N34,0,P34,Q34,IF(OptControl=4,0,1),2),0)</f>
        <v>0</v>
      </c>
      <c r="AU34" s="196">
        <f ca="1">IF(AH34,_xll.xASN(AL34,Strike1,AE34,AP34,0,N34,0,P34,Q34,IF(OptControl=4,0,1),3)/100,0)</f>
        <v>0</v>
      </c>
      <c r="AV34" s="196">
        <f ca="1">IF(AH34,_xll.xASN(AL34,Strike1,AE34,AP34,0,N34,0,P34-DaysForThetaCalculation/365.25,Q34-DaysForThetaCalculation/365.25,IF(OptControl=4,0,1),0)-_xll.xASN(AL34,Strike1,AE34,AP34,0,N34,0,P34,Q34,IF(OptControl=4,0,1),0),0)</f>
        <v>0</v>
      </c>
      <c r="AW34" s="196">
        <f ca="1">IF(AH34,_xll.xASN(AL34,Strike2,AE34,AQ34,0,N34,0,P34,Q34,IF(OptControl=3,1,0),0),0)</f>
        <v>0</v>
      </c>
      <c r="AX34" s="196">
        <f ca="1">IF(AH34,_xll.xASN(AL34,Strike2,AE34,AQ34,0,N34,0,P34,Q34,IF(OptControl=3,1,0),1),0)</f>
        <v>0</v>
      </c>
      <c r="AY34" s="196">
        <f ca="1">IF(AH34,_xll.xASN(AL34,Strike2,AE34,AQ34,0,N34,0,P34,Q34,IF(OptControl=3,1,0),2),0)</f>
        <v>0</v>
      </c>
      <c r="AZ34" s="196">
        <f ca="1">IF(AH34,_xll.xASN(AL34,Strike2,AE34,AQ34,0,N34,0,P34,Q34,IF(OptControl=3,1,0),3)/100,0)</f>
        <v>0</v>
      </c>
      <c r="BA34" s="196">
        <f ca="1">IF(AH34,_xll.xASN(AL34,Strike2,AE34,AQ34,0,N34,0,P34-DaysForThetaCalculation/365.25,Q34-DaysForThetaCalculation/365.25,IF(OptControl=3,1,0),0)-_xll.xASN(AL34,Strike2,AE34,AQ34,0,N34,0,P34,Q34,IF(OptControl=3,1,0),0),0)</f>
        <v>0</v>
      </c>
      <c r="BB34" s="126" t="str">
        <f t="shared" ca="1" si="64"/>
        <v/>
      </c>
      <c r="BC34" s="191" t="str">
        <f t="shared" ca="1" si="65"/>
        <v/>
      </c>
      <c r="BD34" s="191" t="str">
        <f t="shared" ca="1" si="66"/>
        <v/>
      </c>
      <c r="BE34" s="190" t="str">
        <f t="shared" ca="1" si="67"/>
        <v/>
      </c>
      <c r="BF34" s="194" t="str">
        <f t="shared" ca="1" si="68"/>
        <v/>
      </c>
      <c r="BG34" s="194" t="str">
        <f t="shared" ca="1" si="69"/>
        <v/>
      </c>
      <c r="BH34" s="195">
        <f ca="1">IF(AH34,_xll.xEURO(BB34,Strike1,AE34,AE34,BF34,O34,IF(OptControl=4,0,1),0),0)</f>
        <v>0</v>
      </c>
      <c r="BI34" s="196">
        <f ca="1">IF(AH34,_xll.xEURO(BB34,Strike1,AE34,AE34,BF34,O34,IF(OptControl=4,0,1),1),0)</f>
        <v>0</v>
      </c>
      <c r="BJ34" s="196">
        <f ca="1">IF(AH34,_xll.xEURO(BB34,Strike1,AE34,AE34,BF34,O34,IF(OptControl=4,0,1),2),0)</f>
        <v>0</v>
      </c>
      <c r="BK34" s="196">
        <f ca="1">IF(AH34,_xll.xEURO(BB34,Strike1,AE34,AE34,BF34,O34,IF(OptControl=4,0,1),3)/100,0)</f>
        <v>0</v>
      </c>
      <c r="BL34" s="196">
        <f ca="1">IF(AH34,_xll.xEURO(BB34,Strike1,AE34,AE34,BF34,O34-DaysForThetaCalculation,IF(OptControl=4,0,1),0)-_xll.xEURO(BB34,Strike1,AE34,AE34,BF34,O34,IF(OptControl=4,0,1),0),0)</f>
        <v>0</v>
      </c>
      <c r="BM34" s="196">
        <f ca="1">IF(AH34,_xll.xEURO(BB34,Strike2,AE34,AE34,BG34,O34,IF(OptControl=3,1,0),0),0)</f>
        <v>0</v>
      </c>
      <c r="BN34" s="196">
        <f ca="1">IF(AH34,_xll.xEURO(BB34,Strike2,AE34,AE34,BG34,O34,IF(OptControl=3,1,0),1),0)</f>
        <v>0</v>
      </c>
      <c r="BO34" s="196">
        <f ca="1">IF(AH34,_xll.xEURO(BB34,Strike2,AE34,AE34,BG34,O34,IF(OptControl=3,1,0),2),0)</f>
        <v>0</v>
      </c>
      <c r="BP34" s="196">
        <f ca="1">IF(AH34,_xll.xEURO(BB34,Strike2,AE34,AE34,BG34,O34,IF(OptControl=3,1,0),3)/100,0)</f>
        <v>0</v>
      </c>
      <c r="BQ34" s="197">
        <f ca="1">IF(AH34,_xll.xEURO(BB34,Strike2,AE34,AE34,BG34,O34-DaysForThetaCalculation,IF(OptControl=3,1,0),0)-_xll.xEURO(BB34,Strike2,AE34,AE34,BG34,O34,IF(OptControl=3,1,0),0),0)</f>
        <v>0</v>
      </c>
      <c r="BR34" s="301"/>
      <c r="BS34" s="114">
        <v>26.75</v>
      </c>
      <c r="BT34" s="345">
        <f t="shared" si="11"/>
        <v>63.69047619047619</v>
      </c>
      <c r="BU34" s="345">
        <f t="shared" ca="1" si="84"/>
        <v>6.002809523809514</v>
      </c>
      <c r="BV34" s="73"/>
      <c r="BW34" s="345">
        <f t="shared" ca="1" si="80"/>
        <v>6.3318695652173886</v>
      </c>
      <c r="BX34" s="345">
        <f t="shared" ca="1" si="85"/>
        <v>64.319602860907224</v>
      </c>
      <c r="BY34" s="373">
        <f t="shared" ca="1" si="41"/>
        <v>62.923952479542564</v>
      </c>
      <c r="BZ34" s="114">
        <v>24.41</v>
      </c>
      <c r="CA34" s="345">
        <f t="shared" si="12"/>
        <v>58.11904761904762</v>
      </c>
      <c r="CB34" s="345">
        <f t="shared" ca="1" si="86"/>
        <v>4.313809523809514</v>
      </c>
      <c r="CC34" s="345">
        <f t="shared" ca="1" si="81"/>
        <v>3.9168695652173886</v>
      </c>
      <c r="CD34" s="345">
        <f t="shared" ca="1" si="15"/>
        <v>57.173952479542564</v>
      </c>
      <c r="CE34" s="347">
        <f t="shared" ca="1" si="70"/>
        <v>-5.75</v>
      </c>
      <c r="CF34" s="114">
        <v>22.672000000000004</v>
      </c>
      <c r="CG34" s="345">
        <f t="shared" si="16"/>
        <v>53.980952380952388</v>
      </c>
      <c r="CH34" s="345">
        <f t="shared" ca="1" si="42"/>
        <v>2.8908095238095157</v>
      </c>
      <c r="CI34" s="73"/>
      <c r="CJ34" s="345">
        <f t="shared" ca="1" si="89"/>
        <v>2.7934545454545456</v>
      </c>
      <c r="CK34" s="345">
        <f t="shared" ca="1" si="90"/>
        <v>53.73074534161492</v>
      </c>
      <c r="CL34" s="345">
        <f t="shared" ca="1" si="45"/>
        <v>54.499154813440541</v>
      </c>
      <c r="CM34" s="114">
        <v>21.966000000000001</v>
      </c>
      <c r="CN34" s="345">
        <f t="shared" si="17"/>
        <v>52.3</v>
      </c>
      <c r="CO34" s="345">
        <f t="shared" ca="1" si="46"/>
        <v>1.8698095238095149</v>
      </c>
      <c r="CP34" s="345">
        <f t="shared" ca="1" si="92"/>
        <v>1.8694545454545461</v>
      </c>
      <c r="CQ34" s="345">
        <f t="shared" ca="1" si="19"/>
        <v>52.299154813440552</v>
      </c>
      <c r="CR34" s="347">
        <f t="shared" ca="1" si="71"/>
        <v>-2.1999999999999886</v>
      </c>
      <c r="CS34" s="114">
        <v>23.113000000000003</v>
      </c>
      <c r="CT34" s="345">
        <f t="shared" si="20"/>
        <v>55.030952380952385</v>
      </c>
      <c r="CU34" s="345">
        <f t="shared" si="72"/>
        <v>0.29999999999999716</v>
      </c>
      <c r="CV34" s="345">
        <f t="shared" ca="1" si="91"/>
        <v>0.74999999999999434</v>
      </c>
      <c r="CW34" s="347">
        <f t="shared" ca="1" si="73"/>
        <v>55.249154813440533</v>
      </c>
      <c r="CX34" s="483">
        <v>0.22</v>
      </c>
      <c r="CY34" s="190">
        <f t="shared" si="47"/>
        <v>-1.6892254706804555E-4</v>
      </c>
      <c r="CZ34" s="190">
        <f t="shared" ca="1" si="78"/>
        <v>-0.03</v>
      </c>
      <c r="DA34" s="354">
        <f t="shared" ca="1" si="79"/>
        <v>0.19016892254706805</v>
      </c>
      <c r="DB34" s="483">
        <v>0.22</v>
      </c>
      <c r="DC34" s="190">
        <f t="shared" si="49"/>
        <v>-1.6892254706804555E-4</v>
      </c>
      <c r="DD34" s="190">
        <f t="shared" ca="1" si="82"/>
        <v>0.03</v>
      </c>
      <c r="DE34" s="354">
        <f t="shared" ca="1" si="83"/>
        <v>0.25016892254706802</v>
      </c>
      <c r="DG34" s="341"/>
      <c r="DH34" s="114">
        <v>16.84</v>
      </c>
      <c r="DI34" s="126">
        <f t="shared" ca="1" si="74"/>
        <v>-3.2561904761904863</v>
      </c>
      <c r="DJ34" s="126">
        <f t="shared" ca="1" si="22"/>
        <v>-2</v>
      </c>
      <c r="DK34" s="356">
        <f t="shared" ca="1" si="23"/>
        <v>18.096190476190486</v>
      </c>
      <c r="DL34" s="114">
        <v>14.84</v>
      </c>
      <c r="DM34" s="126">
        <f t="shared" ca="1" si="75"/>
        <v>-5.2561904761904863</v>
      </c>
      <c r="DN34" s="126">
        <f t="shared" ca="1" si="24"/>
        <v>-3</v>
      </c>
      <c r="DO34" s="356">
        <f t="shared" ca="1" si="25"/>
        <v>17.096190476190486</v>
      </c>
      <c r="DP34" s="114">
        <v>14.09</v>
      </c>
      <c r="DQ34" s="126">
        <f t="shared" ca="1" si="76"/>
        <v>-6.0061904761904863</v>
      </c>
      <c r="DR34" s="126">
        <f t="shared" ca="1" si="26"/>
        <v>-6</v>
      </c>
      <c r="DS34" s="356">
        <f t="shared" ca="1" si="27"/>
        <v>14.096190476190486</v>
      </c>
      <c r="DT34" s="114">
        <v>15.79</v>
      </c>
      <c r="DU34" s="126">
        <f t="shared" ca="1" si="77"/>
        <v>-4.306190476190487</v>
      </c>
      <c r="DV34" s="126">
        <f t="shared" ca="1" si="28"/>
        <v>-5</v>
      </c>
      <c r="DW34" s="356">
        <f t="shared" ca="1" si="29"/>
        <v>15.096190476190486</v>
      </c>
      <c r="DY34" s="15" t="s">
        <v>5</v>
      </c>
      <c r="DZ34" s="290" t="s">
        <v>173</v>
      </c>
      <c r="EA34" s="290" t="s">
        <v>175</v>
      </c>
      <c r="EB34" s="290" t="s">
        <v>175</v>
      </c>
      <c r="EC34" s="295" t="s">
        <v>173</v>
      </c>
      <c r="ED34" s="289"/>
      <c r="EE34" s="289"/>
      <c r="EF34" s="289"/>
    </row>
    <row r="35" spans="2:136" x14ac:dyDescent="0.25">
      <c r="B35" s="396">
        <v>36617</v>
      </c>
      <c r="C35" s="399">
        <v>36606</v>
      </c>
      <c r="I35" s="136">
        <f t="shared" ca="1" si="30"/>
        <v>37865</v>
      </c>
      <c r="J35" s="130">
        <f t="shared" ca="1" si="31"/>
        <v>37854</v>
      </c>
      <c r="K35" s="106">
        <f t="shared" ca="1" si="32"/>
        <v>0.68181818181818177</v>
      </c>
      <c r="L35" s="133">
        <f t="shared" ca="1" si="93"/>
        <v>103</v>
      </c>
      <c r="M35" s="134">
        <f t="shared" ca="1" si="94"/>
        <v>9</v>
      </c>
      <c r="N35" s="103">
        <f t="shared" ca="1" si="2"/>
        <v>22</v>
      </c>
      <c r="O35" s="104">
        <f t="shared" ca="1" si="33"/>
        <v>905</v>
      </c>
      <c r="P35" s="105">
        <f t="shared" ca="1" si="95"/>
        <v>2.4941820670773445</v>
      </c>
      <c r="Q35" s="105">
        <f t="shared" ca="1" si="96"/>
        <v>2.5735797399041753</v>
      </c>
      <c r="R35" s="114">
        <v>20.12</v>
      </c>
      <c r="S35" s="198">
        <v>0</v>
      </c>
      <c r="T35" s="189">
        <f t="shared" si="34"/>
        <v>20.12</v>
      </c>
      <c r="U35" s="199">
        <f t="shared" ca="1" si="5"/>
        <v>20.010151515151527</v>
      </c>
      <c r="V35" s="379">
        <f t="shared" ca="1" si="6"/>
        <v>20.010151515151527</v>
      </c>
      <c r="W35" s="483">
        <v>0.21954845995785605</v>
      </c>
      <c r="X35" s="166" t="str">
        <f t="shared" ca="1" si="7"/>
        <v/>
      </c>
      <c r="Y35" s="91">
        <f t="shared" ca="1" si="51"/>
        <v>8.0483851643215511E-3</v>
      </c>
      <c r="Z35" s="91">
        <f t="shared" ca="1" si="52"/>
        <v>4.2233135323818819E-3</v>
      </c>
      <c r="AA35" s="91">
        <f t="shared" ca="1" si="53"/>
        <v>1.8575712036200331E-3</v>
      </c>
      <c r="AB35" s="91">
        <f t="shared" ca="1" si="54"/>
        <v>4.1847364075152113E-3</v>
      </c>
      <c r="AC35" s="91">
        <f t="shared" ca="1" si="55"/>
        <v>9.5142807257499358E-3</v>
      </c>
      <c r="AD35" s="91">
        <f t="shared" ca="1" si="56"/>
        <v>1.8131402098183553E-2</v>
      </c>
      <c r="AE35" s="124">
        <v>7.1474013194570016E-2</v>
      </c>
      <c r="AF35" s="191">
        <f t="shared" ca="1" si="57"/>
        <v>0.83465773738768867</v>
      </c>
      <c r="AG35" s="189">
        <f t="shared" ca="1" si="35"/>
        <v>1</v>
      </c>
      <c r="AH35" s="192">
        <f t="shared" ca="1" si="9"/>
        <v>0</v>
      </c>
      <c r="AI35" s="192">
        <f t="shared" ca="1" si="87"/>
        <v>0</v>
      </c>
      <c r="AJ35" s="192">
        <f t="shared" ca="1" si="10"/>
        <v>0</v>
      </c>
      <c r="AK35" s="192">
        <f t="shared" ca="1" si="88"/>
        <v>0</v>
      </c>
      <c r="AL35" s="191" t="str">
        <f t="shared" ca="1" si="60"/>
        <v/>
      </c>
      <c r="AM35" s="191" t="str">
        <f t="shared" ca="1" si="61"/>
        <v/>
      </c>
      <c r="AN35" s="191" t="str">
        <f t="shared" ca="1" si="62"/>
        <v/>
      </c>
      <c r="AO35" s="193" t="str">
        <f t="shared" ca="1" si="63"/>
        <v/>
      </c>
      <c r="AP35" s="194" t="str">
        <f t="shared" ca="1" si="36"/>
        <v/>
      </c>
      <c r="AQ35" s="194" t="str">
        <f t="shared" ca="1" si="37"/>
        <v/>
      </c>
      <c r="AR35" s="195">
        <f ca="1">IF(AH35,_xll.xASN(AL35,Strike1,AE35,AP35,0,N35,0,P35,Q35,IF(OptControl=4,0,1),0),0)</f>
        <v>0</v>
      </c>
      <c r="AS35" s="196">
        <f ca="1">IF(AH35,_xll.xASN(AL35,Strike1,AE35,AP35,0,N35,0,P35,Q35,IF(OptControl=4,0,1),1),0)</f>
        <v>0</v>
      </c>
      <c r="AT35" s="196">
        <f ca="1">IF(AH35,_xll.xASN(AL35,Strike1,AE35,AP35,0,N35,0,P35,Q35,IF(OptControl=4,0,1),2),0)</f>
        <v>0</v>
      </c>
      <c r="AU35" s="196">
        <f ca="1">IF(AH35,_xll.xASN(AL35,Strike1,AE35,AP35,0,N35,0,P35,Q35,IF(OptControl=4,0,1),3)/100,0)</f>
        <v>0</v>
      </c>
      <c r="AV35" s="196">
        <f ca="1">IF(AH35,_xll.xASN(AL35,Strike1,AE35,AP35,0,N35,0,P35-DaysForThetaCalculation/365.25,Q35-DaysForThetaCalculation/365.25,IF(OptControl=4,0,1),0)-_xll.xASN(AL35,Strike1,AE35,AP35,0,N35,0,P35,Q35,IF(OptControl=4,0,1),0),0)</f>
        <v>0</v>
      </c>
      <c r="AW35" s="196">
        <f ca="1">IF(AH35,_xll.xASN(AL35,Strike2,AE35,AQ35,0,N35,0,P35,Q35,IF(OptControl=3,1,0),0),0)</f>
        <v>0</v>
      </c>
      <c r="AX35" s="196">
        <f ca="1">IF(AH35,_xll.xASN(AL35,Strike2,AE35,AQ35,0,N35,0,P35,Q35,IF(OptControl=3,1,0),1),0)</f>
        <v>0</v>
      </c>
      <c r="AY35" s="196">
        <f ca="1">IF(AH35,_xll.xASN(AL35,Strike2,AE35,AQ35,0,N35,0,P35,Q35,IF(OptControl=3,1,0),2),0)</f>
        <v>0</v>
      </c>
      <c r="AZ35" s="196">
        <f ca="1">IF(AH35,_xll.xASN(AL35,Strike2,AE35,AQ35,0,N35,0,P35,Q35,IF(OptControl=3,1,0),3)/100,0)</f>
        <v>0</v>
      </c>
      <c r="BA35" s="196">
        <f ca="1">IF(AH35,_xll.xASN(AL35,Strike2,AE35,AQ35,0,N35,0,P35-DaysForThetaCalculation/365.25,Q35-DaysForThetaCalculation/365.25,IF(OptControl=3,1,0),0)-_xll.xASN(AL35,Strike2,AE35,AQ35,0,N35,0,P35,Q35,IF(OptControl=3,1,0),0),0)</f>
        <v>0</v>
      </c>
      <c r="BB35" s="126" t="str">
        <f t="shared" ca="1" si="64"/>
        <v/>
      </c>
      <c r="BC35" s="191" t="str">
        <f t="shared" ca="1" si="65"/>
        <v/>
      </c>
      <c r="BD35" s="191" t="str">
        <f t="shared" ca="1" si="66"/>
        <v/>
      </c>
      <c r="BE35" s="190" t="str">
        <f t="shared" ca="1" si="67"/>
        <v/>
      </c>
      <c r="BF35" s="194" t="str">
        <f t="shared" ca="1" si="68"/>
        <v/>
      </c>
      <c r="BG35" s="194" t="str">
        <f t="shared" ca="1" si="69"/>
        <v/>
      </c>
      <c r="BH35" s="195">
        <f ca="1">IF(AH35,_xll.xEURO(BB35,Strike1,AE35,AE35,BF35,O35,IF(OptControl=4,0,1),0),0)</f>
        <v>0</v>
      </c>
      <c r="BI35" s="196">
        <f ca="1">IF(AH35,_xll.xEURO(BB35,Strike1,AE35,AE35,BF35,O35,IF(OptControl=4,0,1),1),0)</f>
        <v>0</v>
      </c>
      <c r="BJ35" s="196">
        <f ca="1">IF(AH35,_xll.xEURO(BB35,Strike1,AE35,AE35,BF35,O35,IF(OptControl=4,0,1),2),0)</f>
        <v>0</v>
      </c>
      <c r="BK35" s="196">
        <f ca="1">IF(AH35,_xll.xEURO(BB35,Strike1,AE35,AE35,BF35,O35,IF(OptControl=4,0,1),3)/100,0)</f>
        <v>0</v>
      </c>
      <c r="BL35" s="196">
        <f ca="1">IF(AH35,_xll.xEURO(BB35,Strike1,AE35,AE35,BF35,O35-DaysForThetaCalculation,IF(OptControl=4,0,1),0)-_xll.xEURO(BB35,Strike1,AE35,AE35,BF35,O35,IF(OptControl=4,0,1),0),0)</f>
        <v>0</v>
      </c>
      <c r="BM35" s="196">
        <f ca="1">IF(AH35,_xll.xEURO(BB35,Strike2,AE35,AE35,BG35,O35,IF(OptControl=3,1,0),0),0)</f>
        <v>0</v>
      </c>
      <c r="BN35" s="196">
        <f ca="1">IF(AH35,_xll.xEURO(BB35,Strike2,AE35,AE35,BG35,O35,IF(OptControl=3,1,0),1),0)</f>
        <v>0</v>
      </c>
      <c r="BO35" s="196">
        <f ca="1">IF(AH35,_xll.xEURO(BB35,Strike2,AE35,AE35,BG35,O35,IF(OptControl=3,1,0),2),0)</f>
        <v>0</v>
      </c>
      <c r="BP35" s="196">
        <f ca="1">IF(AH35,_xll.xEURO(BB35,Strike2,AE35,AE35,BG35,O35,IF(OptControl=3,1,0),3)/100,0)</f>
        <v>0</v>
      </c>
      <c r="BQ35" s="197">
        <f ca="1">IF(AH35,_xll.xEURO(BB35,Strike2,AE35,AE35,BG35,O35-DaysForThetaCalculation,IF(OptControl=3,1,0),0)-_xll.xEURO(BB35,Strike2,AE35,AE35,BG35,O35,IF(OptControl=3,1,0),0),0)</f>
        <v>0</v>
      </c>
      <c r="BR35" s="301"/>
      <c r="BS35" s="114">
        <v>26.099</v>
      </c>
      <c r="BT35" s="345">
        <f t="shared" si="11"/>
        <v>62.140476190476193</v>
      </c>
      <c r="BU35" s="345">
        <f t="shared" ca="1" si="84"/>
        <v>4.9668484848484766</v>
      </c>
      <c r="BV35" s="73"/>
      <c r="BW35" s="345">
        <f t="shared" ca="1" si="80"/>
        <v>5.2490000000000023</v>
      </c>
      <c r="BX35" s="345">
        <f t="shared" ca="1" si="85"/>
        <v>62.923952479542564</v>
      </c>
      <c r="BY35" s="373">
        <f t="shared" ca="1" si="41"/>
        <v>60.140836940836977</v>
      </c>
      <c r="BZ35" s="114">
        <v>23.289000000000001</v>
      </c>
      <c r="CA35" s="345">
        <f t="shared" si="12"/>
        <v>55.45</v>
      </c>
      <c r="CB35" s="345">
        <f t="shared" ca="1" si="86"/>
        <v>3.2788484848484742</v>
      </c>
      <c r="CC35" s="345">
        <f t="shared" ca="1" si="81"/>
        <v>2.8340000000000023</v>
      </c>
      <c r="CD35" s="345">
        <f t="shared" ca="1" si="15"/>
        <v>54.390836940836977</v>
      </c>
      <c r="CE35" s="347">
        <f t="shared" ca="1" si="70"/>
        <v>-5.75</v>
      </c>
      <c r="CF35" s="114">
        <v>22.987000000000002</v>
      </c>
      <c r="CG35" s="345">
        <f t="shared" si="16"/>
        <v>54.730952380952388</v>
      </c>
      <c r="CH35" s="345">
        <f t="shared" ca="1" si="42"/>
        <v>3.333848484848474</v>
      </c>
      <c r="CI35" s="73"/>
      <c r="CJ35" s="345">
        <f t="shared" ca="1" si="89"/>
        <v>3.1410000000000009</v>
      </c>
      <c r="CK35" s="345">
        <f t="shared" ca="1" si="90"/>
        <v>54.499154813440541</v>
      </c>
      <c r="CL35" s="345">
        <f t="shared" ca="1" si="45"/>
        <v>55.12178932178935</v>
      </c>
      <c r="CM35" s="114">
        <v>22.344000000000001</v>
      </c>
      <c r="CN35" s="345">
        <f t="shared" si="17"/>
        <v>53.2</v>
      </c>
      <c r="CO35" s="345">
        <f t="shared" ca="1" si="46"/>
        <v>2.333848484848474</v>
      </c>
      <c r="CP35" s="345">
        <f t="shared" ca="1" si="92"/>
        <v>2.3302857142857127</v>
      </c>
      <c r="CQ35" s="345">
        <f t="shared" ca="1" si="19"/>
        <v>53.191517212945804</v>
      </c>
      <c r="CR35" s="347">
        <f t="shared" ca="1" si="71"/>
        <v>-1.9302721088435462</v>
      </c>
      <c r="CS35" s="114">
        <v>23.47</v>
      </c>
      <c r="CT35" s="345">
        <f t="shared" si="20"/>
        <v>55.88095238095238</v>
      </c>
      <c r="CU35" s="345">
        <f t="shared" si="72"/>
        <v>0.29999999999999716</v>
      </c>
      <c r="CV35" s="345">
        <f t="shared" ca="1" si="91"/>
        <v>0.75000000000000855</v>
      </c>
      <c r="CW35" s="347">
        <f t="shared" ca="1" si="73"/>
        <v>55.871789321789358</v>
      </c>
      <c r="CX35" s="483">
        <v>0.22</v>
      </c>
      <c r="CY35" s="190">
        <f t="shared" si="47"/>
        <v>4.5154004214395527E-4</v>
      </c>
      <c r="CZ35" s="190">
        <f t="shared" ca="1" si="78"/>
        <v>-0.03</v>
      </c>
      <c r="DA35" s="354">
        <f t="shared" ca="1" si="79"/>
        <v>0.18954845995785605</v>
      </c>
      <c r="DB35" s="483">
        <v>0.22</v>
      </c>
      <c r="DC35" s="190">
        <f t="shared" si="49"/>
        <v>4.5154004214395527E-4</v>
      </c>
      <c r="DD35" s="190">
        <f t="shared" ca="1" si="82"/>
        <v>0.03</v>
      </c>
      <c r="DE35" s="354">
        <f t="shared" ca="1" si="83"/>
        <v>0.24954845995785604</v>
      </c>
      <c r="DG35" s="341"/>
      <c r="DH35" s="114">
        <v>16.762999999999998</v>
      </c>
      <c r="DI35" s="126">
        <f t="shared" ca="1" si="74"/>
        <v>-3.2471515151515291</v>
      </c>
      <c r="DJ35" s="126">
        <f t="shared" ca="1" si="22"/>
        <v>-2</v>
      </c>
      <c r="DK35" s="356">
        <f t="shared" ca="1" si="23"/>
        <v>18.010151515151527</v>
      </c>
      <c r="DL35" s="114">
        <v>14.763</v>
      </c>
      <c r="DM35" s="126">
        <f t="shared" ca="1" si="75"/>
        <v>-5.2471515151515273</v>
      </c>
      <c r="DN35" s="126">
        <f t="shared" ca="1" si="24"/>
        <v>-3</v>
      </c>
      <c r="DO35" s="356">
        <f t="shared" ca="1" si="25"/>
        <v>17.010151515151527</v>
      </c>
      <c r="DP35" s="114">
        <v>14.013</v>
      </c>
      <c r="DQ35" s="126">
        <f t="shared" ca="1" si="76"/>
        <v>-5.9971515151515273</v>
      </c>
      <c r="DR35" s="126">
        <f t="shared" ca="1" si="26"/>
        <v>-6</v>
      </c>
      <c r="DS35" s="356">
        <f t="shared" ca="1" si="27"/>
        <v>14.010151515151527</v>
      </c>
      <c r="DT35" s="114">
        <v>15.712999999999999</v>
      </c>
      <c r="DU35" s="126">
        <f t="shared" ca="1" si="77"/>
        <v>-4.297151515151528</v>
      </c>
      <c r="DV35" s="126">
        <f t="shared" ca="1" si="28"/>
        <v>-5</v>
      </c>
      <c r="DW35" s="356">
        <f t="shared" ca="1" si="29"/>
        <v>15.010151515151527</v>
      </c>
      <c r="DY35" s="296"/>
      <c r="DZ35" s="290" t="s">
        <v>174</v>
      </c>
      <c r="EA35" s="290" t="s">
        <v>176</v>
      </c>
      <c r="EB35" s="290" t="s">
        <v>176</v>
      </c>
      <c r="EC35" s="295" t="s">
        <v>174</v>
      </c>
      <c r="ED35" s="289"/>
      <c r="EE35" s="289"/>
      <c r="EF35" s="289"/>
    </row>
    <row r="36" spans="2:136" x14ac:dyDescent="0.25">
      <c r="B36" s="396">
        <v>36647</v>
      </c>
      <c r="C36" s="399">
        <v>36635</v>
      </c>
      <c r="I36" s="136">
        <f t="shared" ca="1" si="30"/>
        <v>37895</v>
      </c>
      <c r="J36" s="130">
        <f t="shared" ca="1" si="31"/>
        <v>37884</v>
      </c>
      <c r="K36" s="106">
        <f t="shared" ca="1" si="32"/>
        <v>0.69565217391304346</v>
      </c>
      <c r="L36" s="133">
        <f t="shared" ca="1" si="93"/>
        <v>103</v>
      </c>
      <c r="M36" s="134">
        <f t="shared" ca="1" si="94"/>
        <v>10</v>
      </c>
      <c r="N36" s="103">
        <f t="shared" ca="1" si="2"/>
        <v>23</v>
      </c>
      <c r="O36" s="104">
        <f t="shared" ca="1" si="33"/>
        <v>935</v>
      </c>
      <c r="P36" s="105">
        <f t="shared" ca="1" si="95"/>
        <v>2.5763175906913074</v>
      </c>
      <c r="Q36" s="105">
        <f t="shared" ca="1" si="96"/>
        <v>2.6584531143052703</v>
      </c>
      <c r="R36" s="114">
        <v>20.036666666666701</v>
      </c>
      <c r="S36" s="198">
        <v>0</v>
      </c>
      <c r="T36" s="189">
        <f t="shared" si="34"/>
        <v>20.036666666666701</v>
      </c>
      <c r="U36" s="199">
        <f t="shared" ca="1" si="5"/>
        <v>19.927971014492734</v>
      </c>
      <c r="V36" s="379">
        <f t="shared" ca="1" si="6"/>
        <v>19.927971014492734</v>
      </c>
      <c r="W36" s="483">
        <v>0.21920917885022603</v>
      </c>
      <c r="X36" s="166" t="str">
        <f t="shared" ca="1" si="7"/>
        <v/>
      </c>
      <c r="Y36" s="91">
        <f t="shared" ca="1" si="51"/>
        <v>7.8760814789619465E-3</v>
      </c>
      <c r="Z36" s="91">
        <f t="shared" ca="1" si="52"/>
        <v>4.1107710580906894E-3</v>
      </c>
      <c r="AA36" s="91">
        <f t="shared" ca="1" si="53"/>
        <v>1.8032223024402429E-3</v>
      </c>
      <c r="AB36" s="91">
        <f t="shared" ca="1" si="54"/>
        <v>4.0622992029373797E-3</v>
      </c>
      <c r="AC36" s="91">
        <f t="shared" ca="1" si="55"/>
        <v>9.2607450396667412E-3</v>
      </c>
      <c r="AD36" s="91">
        <f t="shared" ca="1" si="56"/>
        <v>1.7743236355805433E-2</v>
      </c>
      <c r="AE36" s="124">
        <v>7.1558958710220028E-2</v>
      </c>
      <c r="AF36" s="191">
        <f t="shared" ca="1" si="57"/>
        <v>0.82951679525622113</v>
      </c>
      <c r="AG36" s="189">
        <f t="shared" ca="1" si="35"/>
        <v>1</v>
      </c>
      <c r="AH36" s="192">
        <f t="shared" ca="1" si="9"/>
        <v>0</v>
      </c>
      <c r="AI36" s="192">
        <f t="shared" ca="1" si="87"/>
        <v>0</v>
      </c>
      <c r="AJ36" s="192">
        <f t="shared" ca="1" si="10"/>
        <v>0</v>
      </c>
      <c r="AK36" s="192">
        <f t="shared" ca="1" si="88"/>
        <v>0</v>
      </c>
      <c r="AL36" s="191" t="str">
        <f t="shared" ca="1" si="60"/>
        <v/>
      </c>
      <c r="AM36" s="191" t="str">
        <f t="shared" ca="1" si="61"/>
        <v/>
      </c>
      <c r="AN36" s="191" t="str">
        <f t="shared" ca="1" si="62"/>
        <v/>
      </c>
      <c r="AO36" s="193" t="str">
        <f t="shared" ca="1" si="63"/>
        <v/>
      </c>
      <c r="AP36" s="194" t="str">
        <f t="shared" ca="1" si="36"/>
        <v/>
      </c>
      <c r="AQ36" s="194" t="str">
        <f t="shared" ca="1" si="37"/>
        <v/>
      </c>
      <c r="AR36" s="195">
        <f ca="1">IF(AH36,_xll.xASN(AL36,Strike1,AE36,AP36,0,N36,0,P36,Q36,IF(OptControl=4,0,1),0),0)</f>
        <v>0</v>
      </c>
      <c r="AS36" s="196">
        <f ca="1">IF(AH36,_xll.xASN(AL36,Strike1,AE36,AP36,0,N36,0,P36,Q36,IF(OptControl=4,0,1),1),0)</f>
        <v>0</v>
      </c>
      <c r="AT36" s="196">
        <f ca="1">IF(AH36,_xll.xASN(AL36,Strike1,AE36,AP36,0,N36,0,P36,Q36,IF(OptControl=4,0,1),2),0)</f>
        <v>0</v>
      </c>
      <c r="AU36" s="196">
        <f ca="1">IF(AH36,_xll.xASN(AL36,Strike1,AE36,AP36,0,N36,0,P36,Q36,IF(OptControl=4,0,1),3)/100,0)</f>
        <v>0</v>
      </c>
      <c r="AV36" s="196">
        <f ca="1">IF(AH36,_xll.xASN(AL36,Strike1,AE36,AP36,0,N36,0,P36-DaysForThetaCalculation/365.25,Q36-DaysForThetaCalculation/365.25,IF(OptControl=4,0,1),0)-_xll.xASN(AL36,Strike1,AE36,AP36,0,N36,0,P36,Q36,IF(OptControl=4,0,1),0),0)</f>
        <v>0</v>
      </c>
      <c r="AW36" s="196">
        <f ca="1">IF(AH36,_xll.xASN(AL36,Strike2,AE36,AQ36,0,N36,0,P36,Q36,IF(OptControl=3,1,0),0),0)</f>
        <v>0</v>
      </c>
      <c r="AX36" s="196">
        <f ca="1">IF(AH36,_xll.xASN(AL36,Strike2,AE36,AQ36,0,N36,0,P36,Q36,IF(OptControl=3,1,0),1),0)</f>
        <v>0</v>
      </c>
      <c r="AY36" s="196">
        <f ca="1">IF(AH36,_xll.xASN(AL36,Strike2,AE36,AQ36,0,N36,0,P36,Q36,IF(OptControl=3,1,0),2),0)</f>
        <v>0</v>
      </c>
      <c r="AZ36" s="196">
        <f ca="1">IF(AH36,_xll.xASN(AL36,Strike2,AE36,AQ36,0,N36,0,P36,Q36,IF(OptControl=3,1,0),3)/100,0)</f>
        <v>0</v>
      </c>
      <c r="BA36" s="196">
        <f ca="1">IF(AH36,_xll.xASN(AL36,Strike2,AE36,AQ36,0,N36,0,P36-DaysForThetaCalculation/365.25,Q36-DaysForThetaCalculation/365.25,IF(OptControl=3,1,0),0)-_xll.xASN(AL36,Strike2,AE36,AQ36,0,N36,0,P36,Q36,IF(OptControl=3,1,0),0),0)</f>
        <v>0</v>
      </c>
      <c r="BB36" s="126" t="str">
        <f t="shared" ca="1" si="64"/>
        <v/>
      </c>
      <c r="BC36" s="191" t="str">
        <f t="shared" ca="1" si="65"/>
        <v/>
      </c>
      <c r="BD36" s="191" t="str">
        <f t="shared" ca="1" si="66"/>
        <v/>
      </c>
      <c r="BE36" s="190" t="str">
        <f t="shared" ca="1" si="67"/>
        <v/>
      </c>
      <c r="BF36" s="194" t="str">
        <f t="shared" ca="1" si="68"/>
        <v/>
      </c>
      <c r="BG36" s="194" t="str">
        <f t="shared" ca="1" si="69"/>
        <v/>
      </c>
      <c r="BH36" s="195">
        <f ca="1">IF(AH36,_xll.xEURO(BB36,Strike1,AE36,AE36,BF36,O36,IF(OptControl=4,0,1),0),0)</f>
        <v>0</v>
      </c>
      <c r="BI36" s="196">
        <f ca="1">IF(AH36,_xll.xEURO(BB36,Strike1,AE36,AE36,BF36,O36,IF(OptControl=4,0,1),1),0)</f>
        <v>0</v>
      </c>
      <c r="BJ36" s="196">
        <f ca="1">IF(AH36,_xll.xEURO(BB36,Strike1,AE36,AE36,BF36,O36,IF(OptControl=4,0,1),2),0)</f>
        <v>0</v>
      </c>
      <c r="BK36" s="196">
        <f ca="1">IF(AH36,_xll.xEURO(BB36,Strike1,AE36,AE36,BF36,O36,IF(OptControl=4,0,1),3)/100,0)</f>
        <v>0</v>
      </c>
      <c r="BL36" s="196">
        <f ca="1">IF(AH36,_xll.xEURO(BB36,Strike1,AE36,AE36,BF36,O36-DaysForThetaCalculation,IF(OptControl=4,0,1),0)-_xll.xEURO(BB36,Strike1,AE36,AE36,BF36,O36,IF(OptControl=4,0,1),0),0)</f>
        <v>0</v>
      </c>
      <c r="BM36" s="196">
        <f ca="1">IF(AH36,_xll.xEURO(BB36,Strike2,AE36,AE36,BG36,O36,IF(OptControl=3,1,0),0),0)</f>
        <v>0</v>
      </c>
      <c r="BN36" s="196">
        <f ca="1">IF(AH36,_xll.xEURO(BB36,Strike2,AE36,AE36,BG36,O36,IF(OptControl=3,1,0),1),0)</f>
        <v>0</v>
      </c>
      <c r="BO36" s="196">
        <f ca="1">IF(AH36,_xll.xEURO(BB36,Strike2,AE36,AE36,BG36,O36,IF(OptControl=3,1,0),2),0)</f>
        <v>0</v>
      </c>
      <c r="BP36" s="196">
        <f ca="1">IF(AH36,_xll.xEURO(BB36,Strike2,AE36,AE36,BG36,O36,IF(OptControl=3,1,0),3)/100,0)</f>
        <v>0</v>
      </c>
      <c r="BQ36" s="197">
        <f ca="1">IF(AH36,_xll.xEURO(BB36,Strike2,AE36,AE36,BG36,O36-DaysForThetaCalculation,IF(OptControl=3,1,0),0)-_xll.xEURO(BB36,Strike2,AE36,AE36,BG36,O36,IF(OptControl=3,1,0),0),0)</f>
        <v>0</v>
      </c>
      <c r="BR36" s="301"/>
      <c r="BS36" s="114">
        <v>24.977000000000004</v>
      </c>
      <c r="BT36" s="345">
        <f t="shared" si="11"/>
        <v>59.469047619047629</v>
      </c>
      <c r="BU36" s="345">
        <f t="shared" ca="1" si="84"/>
        <v>4.550028985507268</v>
      </c>
      <c r="BV36" s="73"/>
      <c r="BW36" s="345">
        <f t="shared" ca="1" si="80"/>
        <v>4.8417826086956559</v>
      </c>
      <c r="BX36" s="345">
        <f t="shared" ca="1" si="85"/>
        <v>60.140836940836977</v>
      </c>
      <c r="BY36" s="373">
        <f t="shared" ca="1" si="41"/>
        <v>58.975603864734261</v>
      </c>
      <c r="BZ36" s="114">
        <v>22.364999999999998</v>
      </c>
      <c r="CA36" s="345">
        <f t="shared" si="12"/>
        <v>53.25</v>
      </c>
      <c r="CB36" s="345">
        <f t="shared" ca="1" si="86"/>
        <v>2.4370289855072649</v>
      </c>
      <c r="CC36" s="345">
        <f t="shared" ca="1" si="81"/>
        <v>2.5317826086956563</v>
      </c>
      <c r="CD36" s="345">
        <f t="shared" ca="1" si="15"/>
        <v>53.475603864734261</v>
      </c>
      <c r="CE36" s="347">
        <f t="shared" ca="1" si="70"/>
        <v>-5.5</v>
      </c>
      <c r="CF36" s="114">
        <v>23.344000000000001</v>
      </c>
      <c r="CG36" s="345">
        <f t="shared" si="16"/>
        <v>55.580952380952382</v>
      </c>
      <c r="CH36" s="345">
        <f t="shared" ca="1" si="42"/>
        <v>3.8900289855072678</v>
      </c>
      <c r="CI36" s="73"/>
      <c r="CJ36" s="345">
        <f t="shared" ca="1" si="89"/>
        <v>3.699782608695652</v>
      </c>
      <c r="CK36" s="345">
        <f t="shared" ca="1" si="90"/>
        <v>55.12178932178935</v>
      </c>
      <c r="CL36" s="345">
        <f t="shared" ca="1" si="45"/>
        <v>56.256556245686639</v>
      </c>
      <c r="CM36" s="114">
        <v>22.495000000000001</v>
      </c>
      <c r="CN36" s="345">
        <f t="shared" si="17"/>
        <v>53.55952380952381</v>
      </c>
      <c r="CO36" s="345">
        <f t="shared" ca="1" si="46"/>
        <v>2.5670289855072674</v>
      </c>
      <c r="CP36" s="345">
        <f t="shared" ca="1" si="92"/>
        <v>2.5027826086956528</v>
      </c>
      <c r="CQ36" s="345">
        <f t="shared" ca="1" si="19"/>
        <v>53.406556245686637</v>
      </c>
      <c r="CR36" s="347">
        <f t="shared" ca="1" si="71"/>
        <v>-2.8500000000000014</v>
      </c>
      <c r="CS36" s="114">
        <v>23.944000000000003</v>
      </c>
      <c r="CT36" s="345">
        <f t="shared" si="20"/>
        <v>57.009523809523813</v>
      </c>
      <c r="CU36" s="345">
        <f t="shared" si="72"/>
        <v>0.29999999999999716</v>
      </c>
      <c r="CV36" s="345">
        <f t="shared" ca="1" si="91"/>
        <v>0.90000000000000857</v>
      </c>
      <c r="CW36" s="347">
        <f t="shared" ca="1" si="73"/>
        <v>57.156556245686645</v>
      </c>
      <c r="CX36" s="483">
        <v>0.21900000000000003</v>
      </c>
      <c r="CY36" s="190">
        <f t="shared" si="47"/>
        <v>-2.0917885022600502E-4</v>
      </c>
      <c r="CZ36" s="190">
        <f t="shared" ca="1" si="78"/>
        <v>-0.03</v>
      </c>
      <c r="DA36" s="354">
        <f t="shared" ca="1" si="79"/>
        <v>0.18920917885022603</v>
      </c>
      <c r="DB36" s="483">
        <v>0.21900000000000003</v>
      </c>
      <c r="DC36" s="190">
        <f t="shared" si="49"/>
        <v>-2.0917885022600502E-4</v>
      </c>
      <c r="DD36" s="190">
        <f t="shared" ca="1" si="82"/>
        <v>0.03</v>
      </c>
      <c r="DE36" s="354">
        <f t="shared" ca="1" si="83"/>
        <v>0.24920917885022603</v>
      </c>
      <c r="DG36" s="341"/>
      <c r="DH36" s="114">
        <v>16.678000000000001</v>
      </c>
      <c r="DI36" s="126">
        <f t="shared" ca="1" si="74"/>
        <v>-3.2499710144927327</v>
      </c>
      <c r="DJ36" s="126">
        <f t="shared" ca="1" si="22"/>
        <v>-2</v>
      </c>
      <c r="DK36" s="356">
        <f t="shared" ca="1" si="23"/>
        <v>17.927971014492734</v>
      </c>
      <c r="DL36" s="114">
        <v>14.677999999999999</v>
      </c>
      <c r="DM36" s="126">
        <f t="shared" ca="1" si="75"/>
        <v>-5.2499710144927345</v>
      </c>
      <c r="DN36" s="126">
        <f t="shared" ca="1" si="24"/>
        <v>-3</v>
      </c>
      <c r="DO36" s="356">
        <f t="shared" ca="1" si="25"/>
        <v>16.927971014492734</v>
      </c>
      <c r="DP36" s="114">
        <v>13.927999999999999</v>
      </c>
      <c r="DQ36" s="126">
        <f t="shared" ca="1" si="76"/>
        <v>-5.9999710144927345</v>
      </c>
      <c r="DR36" s="126">
        <f t="shared" ca="1" si="26"/>
        <v>-6</v>
      </c>
      <c r="DS36" s="356">
        <f t="shared" ca="1" si="27"/>
        <v>13.927971014492734</v>
      </c>
      <c r="DT36" s="114">
        <v>15.628</v>
      </c>
      <c r="DU36" s="126">
        <f t="shared" ca="1" si="77"/>
        <v>-4.2999710144927334</v>
      </c>
      <c r="DV36" s="126">
        <f t="shared" ca="1" si="28"/>
        <v>-5</v>
      </c>
      <c r="DW36" s="356">
        <f t="shared" ca="1" si="29"/>
        <v>14.927971014492734</v>
      </c>
      <c r="DY36" s="100">
        <v>1998</v>
      </c>
      <c r="DZ36" s="291">
        <v>-2</v>
      </c>
      <c r="EA36" s="291">
        <v>-3</v>
      </c>
      <c r="EB36" s="291">
        <v>-6</v>
      </c>
      <c r="EC36" s="244">
        <v>-5</v>
      </c>
      <c r="ED36" s="289"/>
      <c r="EE36" s="289"/>
      <c r="EF36" s="289"/>
    </row>
    <row r="37" spans="2:136" x14ac:dyDescent="0.25">
      <c r="B37" s="396">
        <v>36678</v>
      </c>
      <c r="C37" s="399">
        <v>36668</v>
      </c>
      <c r="I37" s="136">
        <f t="shared" ca="1" si="30"/>
        <v>37926</v>
      </c>
      <c r="J37" s="130">
        <f t="shared" ca="1" si="31"/>
        <v>37916</v>
      </c>
      <c r="K37" s="106">
        <f t="shared" ca="1" si="32"/>
        <v>0.65</v>
      </c>
      <c r="L37" s="133">
        <f t="shared" ca="1" si="93"/>
        <v>103</v>
      </c>
      <c r="M37" s="134">
        <f t="shared" ca="1" si="94"/>
        <v>11</v>
      </c>
      <c r="N37" s="103">
        <f t="shared" ref="N37:N68" ca="1" si="97">NETWORKDAYS(I37,I38-1)</f>
        <v>20</v>
      </c>
      <c r="O37" s="104">
        <f t="shared" ca="1" si="33"/>
        <v>968</v>
      </c>
      <c r="P37" s="105">
        <f t="shared" ca="1" si="95"/>
        <v>2.6611909650924024</v>
      </c>
      <c r="Q37" s="105">
        <f t="shared" ca="1" si="96"/>
        <v>2.7405886379192332</v>
      </c>
      <c r="R37" s="114">
        <v>19.953333333333305</v>
      </c>
      <c r="S37" s="198">
        <v>0</v>
      </c>
      <c r="T37" s="189">
        <f t="shared" si="34"/>
        <v>19.953333333333305</v>
      </c>
      <c r="U37" s="199">
        <f t="shared" ref="U37:U68" ca="1" si="98">R38*K37+R39*(1-K37)</f>
        <v>19.850166666666659</v>
      </c>
      <c r="V37" s="379">
        <f t="shared" ref="V37:V68" ca="1" si="99">T38*K37+T39*(1-K37)</f>
        <v>19.850166666666659</v>
      </c>
      <c r="W37" s="483">
        <v>0.21806223024778096</v>
      </c>
      <c r="X37" s="166" t="str">
        <f t="shared" ref="X37:X68" ca="1" si="100">IF($I37-DateToday+1&gt;=$A$10,"",IF($I37-DateToday+1&lt;$A$5,1,MATCH($I37-DateToday+1,$A$5:$A$10)))</f>
        <v/>
      </c>
      <c r="Y37" s="91">
        <f t="shared" ca="1" si="51"/>
        <v>7.7074665534445164E-3</v>
      </c>
      <c r="Z37" s="91">
        <f t="shared" ca="1" si="52"/>
        <v>4.0012276054024326E-3</v>
      </c>
      <c r="AA37" s="91">
        <f t="shared" ca="1" si="53"/>
        <v>1.7504635438367882E-3</v>
      </c>
      <c r="AB37" s="91">
        <f t="shared" ca="1" si="54"/>
        <v>3.9434442715555167E-3</v>
      </c>
      <c r="AC37" s="91">
        <f t="shared" ca="1" si="55"/>
        <v>9.01396554945064E-3</v>
      </c>
      <c r="AD37" s="91">
        <f t="shared" ca="1" si="56"/>
        <v>1.7363380651599765E-2</v>
      </c>
      <c r="AE37" s="124">
        <v>7.1634900581103014E-2</v>
      </c>
      <c r="AF37" s="191">
        <f t="shared" ca="1" si="57"/>
        <v>0.82457458339485834</v>
      </c>
      <c r="AG37" s="189">
        <f t="shared" ca="1" si="35"/>
        <v>1</v>
      </c>
      <c r="AH37" s="192">
        <f t="shared" ref="AH37:AH68" ca="1" si="101">IF(OR(DateStart&gt;=I38,DateEnd&lt;I37),0,Volume*AG37)</f>
        <v>0</v>
      </c>
      <c r="AI37" s="192">
        <f t="shared" ref="AI37:AI52" ca="1" si="102">AH37*AF37</f>
        <v>0</v>
      </c>
      <c r="AJ37" s="192">
        <f t="shared" ref="AJ37:AJ68" ca="1" si="103">IF(OR(DateStart2&gt;=I38,DateEnd2&lt;I37),0,VolumeSwaption*AG37)</f>
        <v>0</v>
      </c>
      <c r="AK37" s="192">
        <f t="shared" ref="AK37:AK52" ca="1" si="104">AJ37*AF37</f>
        <v>0</v>
      </c>
      <c r="AL37" s="191" t="str">
        <f t="shared" ca="1" si="60"/>
        <v/>
      </c>
      <c r="AM37" s="191" t="str">
        <f t="shared" ca="1" si="61"/>
        <v/>
      </c>
      <c r="AN37" s="191" t="str">
        <f t="shared" ca="1" si="62"/>
        <v/>
      </c>
      <c r="AO37" s="193" t="str">
        <f t="shared" ca="1" si="63"/>
        <v/>
      </c>
      <c r="AP37" s="194" t="str">
        <f t="shared" ca="1" si="36"/>
        <v/>
      </c>
      <c r="AQ37" s="194" t="str">
        <f t="shared" ca="1" si="37"/>
        <v/>
      </c>
      <c r="AR37" s="195">
        <f ca="1">IF(AH37,_xll.xASN(AL37,Strike1,AE37,AP37,0,N37,0,P37,Q37,IF(OptControl=4,0,1),0),0)</f>
        <v>0</v>
      </c>
      <c r="AS37" s="196">
        <f ca="1">IF(AH37,_xll.xASN(AL37,Strike1,AE37,AP37,0,N37,0,P37,Q37,IF(OptControl=4,0,1),1),0)</f>
        <v>0</v>
      </c>
      <c r="AT37" s="196">
        <f ca="1">IF(AH37,_xll.xASN(AL37,Strike1,AE37,AP37,0,N37,0,P37,Q37,IF(OptControl=4,0,1),2),0)</f>
        <v>0</v>
      </c>
      <c r="AU37" s="196">
        <f ca="1">IF(AH37,_xll.xASN(AL37,Strike1,AE37,AP37,0,N37,0,P37,Q37,IF(OptControl=4,0,1),3)/100,0)</f>
        <v>0</v>
      </c>
      <c r="AV37" s="196">
        <f ca="1">IF(AH37,_xll.xASN(AL37,Strike1,AE37,AP37,0,N37,0,P37-DaysForThetaCalculation/365.25,Q37-DaysForThetaCalculation/365.25,IF(OptControl=4,0,1),0)-_xll.xASN(AL37,Strike1,AE37,AP37,0,N37,0,P37,Q37,IF(OptControl=4,0,1),0),0)</f>
        <v>0</v>
      </c>
      <c r="AW37" s="196">
        <f ca="1">IF(AH37,_xll.xASN(AL37,Strike2,AE37,AQ37,0,N37,0,P37,Q37,IF(OptControl=3,1,0),0),0)</f>
        <v>0</v>
      </c>
      <c r="AX37" s="196">
        <f ca="1">IF(AH37,_xll.xASN(AL37,Strike2,AE37,AQ37,0,N37,0,P37,Q37,IF(OptControl=3,1,0),1),0)</f>
        <v>0</v>
      </c>
      <c r="AY37" s="196">
        <f ca="1">IF(AH37,_xll.xASN(AL37,Strike2,AE37,AQ37,0,N37,0,P37,Q37,IF(OptControl=3,1,0),2),0)</f>
        <v>0</v>
      </c>
      <c r="AZ37" s="196">
        <f ca="1">IF(AH37,_xll.xASN(AL37,Strike2,AE37,AQ37,0,N37,0,P37,Q37,IF(OptControl=3,1,0),3)/100,0)</f>
        <v>0</v>
      </c>
      <c r="BA37" s="196">
        <f ca="1">IF(AH37,_xll.xASN(AL37,Strike2,AE37,AQ37,0,N37,0,P37-DaysForThetaCalculation/365.25,Q37-DaysForThetaCalculation/365.25,IF(OptControl=3,1,0),0)-_xll.xASN(AL37,Strike2,AE37,AQ37,0,N37,0,P37,Q37,IF(OptControl=3,1,0),0),0)</f>
        <v>0</v>
      </c>
      <c r="BB37" s="126" t="str">
        <f t="shared" ca="1" si="64"/>
        <v/>
      </c>
      <c r="BC37" s="191" t="str">
        <f t="shared" ca="1" si="65"/>
        <v/>
      </c>
      <c r="BD37" s="191" t="str">
        <f t="shared" ca="1" si="66"/>
        <v/>
      </c>
      <c r="BE37" s="190" t="str">
        <f t="shared" ca="1" si="67"/>
        <v/>
      </c>
      <c r="BF37" s="194" t="str">
        <f t="shared" ca="1" si="68"/>
        <v/>
      </c>
      <c r="BG37" s="194" t="str">
        <f t="shared" ca="1" si="69"/>
        <v/>
      </c>
      <c r="BH37" s="195">
        <f ca="1">IF(AH37,_xll.xEURO(BB37,Strike1,AE37,AE37,BF37,O37,IF(OptControl=4,0,1),0),0)</f>
        <v>0</v>
      </c>
      <c r="BI37" s="196">
        <f ca="1">IF(AH37,_xll.xEURO(BB37,Strike1,AE37,AE37,BF37,O37,IF(OptControl=4,0,1),1),0)</f>
        <v>0</v>
      </c>
      <c r="BJ37" s="196">
        <f ca="1">IF(AH37,_xll.xEURO(BB37,Strike1,AE37,AE37,BF37,O37,IF(OptControl=4,0,1),2),0)</f>
        <v>0</v>
      </c>
      <c r="BK37" s="196">
        <f ca="1">IF(AH37,_xll.xEURO(BB37,Strike1,AE37,AE37,BF37,O37,IF(OptControl=4,0,1),3)/100,0)</f>
        <v>0</v>
      </c>
      <c r="BL37" s="196">
        <f ca="1">IF(AH37,_xll.xEURO(BB37,Strike1,AE37,AE37,BF37,O37-DaysForThetaCalculation,IF(OptControl=4,0,1),0)-_xll.xEURO(BB37,Strike1,AE37,AE37,BF37,O37,IF(OptControl=4,0,1),0),0)</f>
        <v>0</v>
      </c>
      <c r="BM37" s="196">
        <f ca="1">IF(AH37,_xll.xEURO(BB37,Strike2,AE37,AE37,BG37,O37,IF(OptControl=3,1,0),0),0)</f>
        <v>0</v>
      </c>
      <c r="BN37" s="196">
        <f ca="1">IF(AH37,_xll.xEURO(BB37,Strike2,AE37,AE37,BG37,O37,IF(OptControl=3,1,0),1),0)</f>
        <v>0</v>
      </c>
      <c r="BO37" s="196">
        <f ca="1">IF(AH37,_xll.xEURO(BB37,Strike2,AE37,AE37,BG37,O37,IF(OptControl=3,1,0),2),0)</f>
        <v>0</v>
      </c>
      <c r="BP37" s="196">
        <f ca="1">IF(AH37,_xll.xEURO(BB37,Strike2,AE37,AE37,BG37,O37,IF(OptControl=3,1,0),3)/100,0)</f>
        <v>0</v>
      </c>
      <c r="BQ37" s="197">
        <f ca="1">IF(AH37,_xll.xEURO(BB37,Strike2,AE37,AE37,BG37,O37-DaysForThetaCalculation,IF(OptControl=3,1,0),0)-_xll.xEURO(BB37,Strike2,AE37,AE37,BG37,O37,IF(OptControl=3,1,0),0),0)</f>
        <v>0</v>
      </c>
      <c r="BR37" s="301"/>
      <c r="BS37" s="114">
        <v>24.478000000000002</v>
      </c>
      <c r="BT37" s="345">
        <f t="shared" si="11"/>
        <v>58.280952380952385</v>
      </c>
      <c r="BU37" s="345">
        <f t="shared" ca="1" si="84"/>
        <v>4.396833333333344</v>
      </c>
      <c r="BV37" s="73"/>
      <c r="BW37" s="345">
        <f t="shared" ca="1" si="80"/>
        <v>4.6944545454545512</v>
      </c>
      <c r="BX37" s="345">
        <f t="shared" ca="1" si="85"/>
        <v>58.975603864734261</v>
      </c>
      <c r="BY37" s="373">
        <f t="shared" ca="1" si="41"/>
        <v>58.439574314574308</v>
      </c>
      <c r="BZ37" s="114">
        <v>22.138000000000002</v>
      </c>
      <c r="CA37" s="345">
        <f t="shared" si="12"/>
        <v>52.709523809523816</v>
      </c>
      <c r="CB37" s="345">
        <f t="shared" ca="1" si="86"/>
        <v>2.2878333333333423</v>
      </c>
      <c r="CC37" s="345">
        <f t="shared" ca="1" si="81"/>
        <v>2.384454545454548</v>
      </c>
      <c r="CD37" s="345">
        <f t="shared" ca="1" si="15"/>
        <v>52.939574314574308</v>
      </c>
      <c r="CE37" s="347">
        <f t="shared" ca="1" si="70"/>
        <v>-5.5</v>
      </c>
      <c r="CF37" s="114">
        <v>23.818000000000001</v>
      </c>
      <c r="CG37" s="345">
        <f t="shared" si="16"/>
        <v>56.709523809523816</v>
      </c>
      <c r="CH37" s="345">
        <f t="shared" ca="1" si="42"/>
        <v>4.4428333333333434</v>
      </c>
      <c r="CI37" s="73"/>
      <c r="CJ37" s="345">
        <f t="shared" ca="1" si="89"/>
        <v>4.2664545454545468</v>
      </c>
      <c r="CK37" s="345">
        <f t="shared" ca="1" si="90"/>
        <v>56.256556245686639</v>
      </c>
      <c r="CL37" s="345">
        <f t="shared" ca="1" si="45"/>
        <v>57.420526695526689</v>
      </c>
      <c r="CM37" s="114">
        <v>22.978000000000002</v>
      </c>
      <c r="CN37" s="345">
        <f t="shared" si="17"/>
        <v>54.709523809523816</v>
      </c>
      <c r="CO37" s="345">
        <f t="shared" ca="1" si="46"/>
        <v>3.1278333333333421</v>
      </c>
      <c r="CP37" s="345">
        <f t="shared" ca="1" si="92"/>
        <v>3.0694545454545503</v>
      </c>
      <c r="CQ37" s="345">
        <f t="shared" ca="1" si="19"/>
        <v>54.570526695526688</v>
      </c>
      <c r="CR37" s="347">
        <f t="shared" ca="1" si="71"/>
        <v>-2.8500000000000014</v>
      </c>
      <c r="CS37" s="114">
        <v>24.419</v>
      </c>
      <c r="CT37" s="345">
        <f t="shared" si="20"/>
        <v>58.140476190476193</v>
      </c>
      <c r="CU37" s="345">
        <f t="shared" si="72"/>
        <v>0.29999999999999716</v>
      </c>
      <c r="CV37" s="345">
        <f t="shared" ca="1" si="91"/>
        <v>0.90000000000000857</v>
      </c>
      <c r="CW37" s="347">
        <f t="shared" ca="1" si="73"/>
        <v>58.320526695526695</v>
      </c>
      <c r="CX37" s="483">
        <v>0.218</v>
      </c>
      <c r="CY37" s="190">
        <f t="shared" si="47"/>
        <v>-6.2230247780958869E-5</v>
      </c>
      <c r="CZ37" s="190">
        <f t="shared" ca="1" si="78"/>
        <v>-0.03</v>
      </c>
      <c r="DA37" s="354">
        <f t="shared" ca="1" si="79"/>
        <v>0.18806223024778096</v>
      </c>
      <c r="DB37" s="483">
        <v>0.218</v>
      </c>
      <c r="DC37" s="190">
        <f t="shared" si="49"/>
        <v>-6.2230247780958869E-5</v>
      </c>
      <c r="DD37" s="190">
        <f t="shared" ca="1" si="82"/>
        <v>0.03</v>
      </c>
      <c r="DE37" s="354">
        <f t="shared" ca="1" si="83"/>
        <v>0.24806223024778096</v>
      </c>
      <c r="DG37" s="341"/>
      <c r="DH37" s="114">
        <v>16.601000000000003</v>
      </c>
      <c r="DI37" s="126">
        <f t="shared" ca="1" si="74"/>
        <v>-3.2491666666666568</v>
      </c>
      <c r="DJ37" s="126">
        <f t="shared" ca="1" si="22"/>
        <v>-2</v>
      </c>
      <c r="DK37" s="356">
        <f t="shared" ca="1" si="23"/>
        <v>17.850166666666659</v>
      </c>
      <c r="DL37" s="114">
        <v>14.601000000000001</v>
      </c>
      <c r="DM37" s="126">
        <f t="shared" ca="1" si="75"/>
        <v>-5.2491666666666585</v>
      </c>
      <c r="DN37" s="126">
        <f t="shared" ca="1" si="24"/>
        <v>-3</v>
      </c>
      <c r="DO37" s="356">
        <f t="shared" ca="1" si="25"/>
        <v>16.850166666666659</v>
      </c>
      <c r="DP37" s="114">
        <v>13.851000000000001</v>
      </c>
      <c r="DQ37" s="126">
        <f t="shared" ca="1" si="76"/>
        <v>-5.9991666666666585</v>
      </c>
      <c r="DR37" s="126">
        <f t="shared" ca="1" si="26"/>
        <v>-6</v>
      </c>
      <c r="DS37" s="356">
        <f t="shared" ca="1" si="27"/>
        <v>13.850166666666659</v>
      </c>
      <c r="DT37" s="114">
        <v>15.551000000000002</v>
      </c>
      <c r="DU37" s="126">
        <f t="shared" ca="1" si="77"/>
        <v>-4.2991666666666575</v>
      </c>
      <c r="DV37" s="126">
        <f t="shared" ca="1" si="28"/>
        <v>-5</v>
      </c>
      <c r="DW37" s="356">
        <f t="shared" ca="1" si="29"/>
        <v>14.850166666666659</v>
      </c>
      <c r="DY37" s="100">
        <v>1999</v>
      </c>
      <c r="DZ37" s="291">
        <v>-2</v>
      </c>
      <c r="EA37" s="291">
        <v>-3</v>
      </c>
      <c r="EB37" s="291">
        <v>-6</v>
      </c>
      <c r="EC37" s="244">
        <v>-5</v>
      </c>
      <c r="ED37" s="289"/>
      <c r="EE37" s="289"/>
      <c r="EF37" s="289"/>
    </row>
    <row r="38" spans="2:136" x14ac:dyDescent="0.25">
      <c r="B38" s="396">
        <v>36708</v>
      </c>
      <c r="C38" s="399">
        <v>36697</v>
      </c>
      <c r="I38" s="136">
        <f t="shared" ref="I38:I69" ca="1" si="105">EOMONTH(I37,0)+1</f>
        <v>37956</v>
      </c>
      <c r="J38" s="130">
        <f t="shared" ca="1" si="31"/>
        <v>37944</v>
      </c>
      <c r="K38" s="106">
        <f t="shared" ref="K38:K69" ca="1" si="106">NETWORKDAYS(I38,J39)/N38</f>
        <v>0.65217391304347827</v>
      </c>
      <c r="L38" s="133">
        <f t="shared" ca="1" si="93"/>
        <v>103</v>
      </c>
      <c r="M38" s="134">
        <f t="shared" ca="1" si="94"/>
        <v>12</v>
      </c>
      <c r="N38" s="103">
        <f t="shared" ca="1" si="97"/>
        <v>23</v>
      </c>
      <c r="O38" s="104">
        <f t="shared" ca="1" si="33"/>
        <v>996</v>
      </c>
      <c r="P38" s="105">
        <f t="shared" ca="1" si="95"/>
        <v>2.7433264887063653</v>
      </c>
      <c r="Q38" s="105">
        <f t="shared" ca="1" si="96"/>
        <v>2.8254620123203287</v>
      </c>
      <c r="R38" s="114">
        <v>19.87</v>
      </c>
      <c r="S38" s="198">
        <v>0</v>
      </c>
      <c r="T38" s="189">
        <f t="shared" si="34"/>
        <v>19.87</v>
      </c>
      <c r="U38" s="199">
        <f t="shared" ca="1" si="98"/>
        <v>19.793623188405789</v>
      </c>
      <c r="V38" s="379">
        <f t="shared" ca="1" si="99"/>
        <v>19.793623188405789</v>
      </c>
      <c r="W38" s="483">
        <v>0.21560202896753702</v>
      </c>
      <c r="X38" s="166" t="str">
        <f t="shared" ca="1" si="100"/>
        <v/>
      </c>
      <c r="Y38" s="91">
        <f t="shared" ca="1" si="51"/>
        <v>7.5424614170313759E-3</v>
      </c>
      <c r="Z38" s="91">
        <f t="shared" ca="1" si="52"/>
        <v>3.8946032566626299E-3</v>
      </c>
      <c r="AA38" s="91">
        <f t="shared" ca="1" si="53"/>
        <v>1.6992484033472015E-3</v>
      </c>
      <c r="AB38" s="91">
        <f t="shared" ca="1" si="54"/>
        <v>3.8280668030605761E-3</v>
      </c>
      <c r="AC38" s="91">
        <f t="shared" ca="1" si="55"/>
        <v>8.7737622166096166E-3</v>
      </c>
      <c r="AD38" s="91">
        <f t="shared" ca="1" si="56"/>
        <v>1.6991657080288238E-2</v>
      </c>
      <c r="AE38" s="124">
        <v>7.1708392716030009E-2</v>
      </c>
      <c r="AF38" s="191">
        <f t="shared" ca="1" si="57"/>
        <v>0.81949933511414252</v>
      </c>
      <c r="AG38" s="189">
        <f t="shared" ref="AG38:AG69" ca="1" si="107">AG37*(1+IF(AND(M38=1,L38&gt;YearStart),Escalation,0))</f>
        <v>1</v>
      </c>
      <c r="AH38" s="192">
        <f t="shared" ca="1" si="101"/>
        <v>0</v>
      </c>
      <c r="AI38" s="192">
        <f t="shared" ca="1" si="102"/>
        <v>0</v>
      </c>
      <c r="AJ38" s="192">
        <f t="shared" ca="1" si="103"/>
        <v>0</v>
      </c>
      <c r="AK38" s="192">
        <f t="shared" ca="1" si="104"/>
        <v>0</v>
      </c>
      <c r="AL38" s="191" t="str">
        <f t="shared" ca="1" si="60"/>
        <v/>
      </c>
      <c r="AM38" s="191" t="str">
        <f t="shared" ca="1" si="61"/>
        <v/>
      </c>
      <c r="AN38" s="191" t="str">
        <f t="shared" ca="1" si="62"/>
        <v/>
      </c>
      <c r="AO38" s="193" t="str">
        <f t="shared" ca="1" si="63"/>
        <v/>
      </c>
      <c r="AP38" s="194" t="str">
        <f t="shared" ca="1" si="36"/>
        <v/>
      </c>
      <c r="AQ38" s="194" t="str">
        <f t="shared" ca="1" si="37"/>
        <v/>
      </c>
      <c r="AR38" s="195">
        <f ca="1">IF(AH38,_xll.xASN(AL38,Strike1,AE38,AP38,0,N38,0,P38,Q38,IF(OptControl=4,0,1),0),0)</f>
        <v>0</v>
      </c>
      <c r="AS38" s="196">
        <f ca="1">IF(AH38,_xll.xASN(AL38,Strike1,AE38,AP38,0,N38,0,P38,Q38,IF(OptControl=4,0,1),1),0)</f>
        <v>0</v>
      </c>
      <c r="AT38" s="196">
        <f ca="1">IF(AH38,_xll.xASN(AL38,Strike1,AE38,AP38,0,N38,0,P38,Q38,IF(OptControl=4,0,1),2),0)</f>
        <v>0</v>
      </c>
      <c r="AU38" s="196">
        <f ca="1">IF(AH38,_xll.xASN(AL38,Strike1,AE38,AP38,0,N38,0,P38,Q38,IF(OptControl=4,0,1),3)/100,0)</f>
        <v>0</v>
      </c>
      <c r="AV38" s="196">
        <f ca="1">IF(AH38,_xll.xASN(AL38,Strike1,AE38,AP38,0,N38,0,P38-DaysForThetaCalculation/365.25,Q38-DaysForThetaCalculation/365.25,IF(OptControl=4,0,1),0)-_xll.xASN(AL38,Strike1,AE38,AP38,0,N38,0,P38,Q38,IF(OptControl=4,0,1),0),0)</f>
        <v>0</v>
      </c>
      <c r="AW38" s="196">
        <f ca="1">IF(AH38,_xll.xASN(AL38,Strike2,AE38,AQ38,0,N38,0,P38,Q38,IF(OptControl=3,1,0),0),0)</f>
        <v>0</v>
      </c>
      <c r="AX38" s="196">
        <f ca="1">IF(AH38,_xll.xASN(AL38,Strike2,AE38,AQ38,0,N38,0,P38,Q38,IF(OptControl=3,1,0),1),0)</f>
        <v>0</v>
      </c>
      <c r="AY38" s="196">
        <f ca="1">IF(AH38,_xll.xASN(AL38,Strike2,AE38,AQ38,0,N38,0,P38,Q38,IF(OptControl=3,1,0),2),0)</f>
        <v>0</v>
      </c>
      <c r="AZ38" s="196">
        <f ca="1">IF(AH38,_xll.xASN(AL38,Strike2,AE38,AQ38,0,N38,0,P38,Q38,IF(OptControl=3,1,0),3)/100,0)</f>
        <v>0</v>
      </c>
      <c r="BA38" s="196">
        <f ca="1">IF(AH38,_xll.xASN(AL38,Strike2,AE38,AQ38,0,N38,0,P38-DaysForThetaCalculation/365.25,Q38-DaysForThetaCalculation/365.25,IF(OptControl=3,1,0),0)-_xll.xASN(AL38,Strike2,AE38,AQ38,0,N38,0,P38,Q38,IF(OptControl=3,1,0),0),0)</f>
        <v>0</v>
      </c>
      <c r="BB38" s="126" t="str">
        <f t="shared" ca="1" si="64"/>
        <v/>
      </c>
      <c r="BC38" s="191" t="str">
        <f t="shared" ca="1" si="65"/>
        <v/>
      </c>
      <c r="BD38" s="191" t="str">
        <f t="shared" ca="1" si="66"/>
        <v/>
      </c>
      <c r="BE38" s="190" t="str">
        <f t="shared" ca="1" si="67"/>
        <v/>
      </c>
      <c r="BF38" s="194" t="str">
        <f t="shared" ca="1" si="68"/>
        <v/>
      </c>
      <c r="BG38" s="194" t="str">
        <f t="shared" ca="1" si="69"/>
        <v/>
      </c>
      <c r="BH38" s="195">
        <f ca="1">IF(AH38,_xll.xEURO(BB38,Strike1,AE38,AE38,BF38,O38,IF(OptControl=4,0,1),0),0)</f>
        <v>0</v>
      </c>
      <c r="BI38" s="196">
        <f ca="1">IF(AH38,_xll.xEURO(BB38,Strike1,AE38,AE38,BF38,O38,IF(OptControl=4,0,1),1),0)</f>
        <v>0</v>
      </c>
      <c r="BJ38" s="196">
        <f ca="1">IF(AH38,_xll.xEURO(BB38,Strike1,AE38,AE38,BF38,O38,IF(OptControl=4,0,1),2),0)</f>
        <v>0</v>
      </c>
      <c r="BK38" s="196">
        <f ca="1">IF(AH38,_xll.xEURO(BB38,Strike1,AE38,AE38,BF38,O38,IF(OptControl=4,0,1),3)/100,0)</f>
        <v>0</v>
      </c>
      <c r="BL38" s="196">
        <f ca="1">IF(AH38,_xll.xEURO(BB38,Strike1,AE38,AE38,BF38,O38-DaysForThetaCalculation,IF(OptControl=4,0,1),0)-_xll.xEURO(BB38,Strike1,AE38,AE38,BF38,O38,IF(OptControl=4,0,1),0),0)</f>
        <v>0</v>
      </c>
      <c r="BM38" s="196">
        <f ca="1">IF(AH38,_xll.xEURO(BB38,Strike2,AE38,AE38,BG38,O38,IF(OptControl=3,1,0),0),0)</f>
        <v>0</v>
      </c>
      <c r="BN38" s="196">
        <f ca="1">IF(AH38,_xll.xEURO(BB38,Strike2,AE38,AE38,BG38,O38,IF(OptControl=3,1,0),1),0)</f>
        <v>0</v>
      </c>
      <c r="BO38" s="196">
        <f ca="1">IF(AH38,_xll.xEURO(BB38,Strike2,AE38,AE38,BG38,O38,IF(OptControl=3,1,0),2),0)</f>
        <v>0</v>
      </c>
      <c r="BP38" s="196">
        <f ca="1">IF(AH38,_xll.xEURO(BB38,Strike2,AE38,AE38,BG38,O38,IF(OptControl=3,1,0),3)/100,0)</f>
        <v>0</v>
      </c>
      <c r="BQ38" s="197">
        <f ca="1">IF(AH38,_xll.xEURO(BB38,Strike2,AE38,AE38,BG38,O38-DaysForThetaCalculation,IF(OptControl=3,1,0),0)-_xll.xEURO(BB38,Strike2,AE38,AE38,BG38,O38,IF(OptControl=3,1,0),0),0)</f>
        <v>0</v>
      </c>
      <c r="BR38" s="301"/>
      <c r="BS38" s="114">
        <v>24.247000000000003</v>
      </c>
      <c r="BT38" s="345">
        <f t="shared" si="11"/>
        <v>57.730952380952388</v>
      </c>
      <c r="BU38" s="345">
        <f t="shared" ca="1" si="84"/>
        <v>4.5623768115942092</v>
      </c>
      <c r="BV38" s="73"/>
      <c r="BW38" s="345">
        <f t="shared" ca="1" si="80"/>
        <v>4.8671428571428592</v>
      </c>
      <c r="BX38" s="345">
        <f t="shared" ca="1" si="85"/>
        <v>58.439574314574308</v>
      </c>
      <c r="BY38" s="373">
        <f t="shared" ca="1" si="41"/>
        <v>58.716109632258686</v>
      </c>
      <c r="BZ38" s="114">
        <v>22.243000000000002</v>
      </c>
      <c r="CA38" s="345">
        <f t="shared" si="12"/>
        <v>52.959523809523816</v>
      </c>
      <c r="CB38" s="345">
        <f t="shared" ca="1" si="86"/>
        <v>2.4493768115942132</v>
      </c>
      <c r="CC38" s="345">
        <f t="shared" ca="1" si="81"/>
        <v>2.5571428571428596</v>
      </c>
      <c r="CD38" s="345">
        <f t="shared" ca="1" si="15"/>
        <v>53.216109632258686</v>
      </c>
      <c r="CE38" s="347">
        <f t="shared" ca="1" si="70"/>
        <v>-5.5</v>
      </c>
      <c r="CF38" s="114">
        <v>24.293000000000003</v>
      </c>
      <c r="CG38" s="345">
        <f t="shared" si="16"/>
        <v>57.840476190476195</v>
      </c>
      <c r="CH38" s="345">
        <f t="shared" ca="1" si="42"/>
        <v>4.77237681159421</v>
      </c>
      <c r="CI38" s="73"/>
      <c r="CJ38" s="345">
        <f t="shared" ca="1" si="89"/>
        <v>4.6281428571428584</v>
      </c>
      <c r="CK38" s="345">
        <f t="shared" ca="1" si="90"/>
        <v>57.420526695526689</v>
      </c>
      <c r="CL38" s="345">
        <f t="shared" ca="1" si="45"/>
        <v>58.147062013211062</v>
      </c>
      <c r="CM38" s="114">
        <v>23.276</v>
      </c>
      <c r="CN38" s="345">
        <f t="shared" si="17"/>
        <v>55.419047619047618</v>
      </c>
      <c r="CO38" s="345">
        <f t="shared" ca="1" si="46"/>
        <v>3.4823768115942109</v>
      </c>
      <c r="CP38" s="345">
        <f t="shared" ca="1" si="92"/>
        <v>3.4311428571428619</v>
      </c>
      <c r="CQ38" s="345">
        <f t="shared" ca="1" si="19"/>
        <v>55.297062013211082</v>
      </c>
      <c r="CR38" s="347">
        <f t="shared" ca="1" si="71"/>
        <v>-2.8499999999999801</v>
      </c>
      <c r="CS38" s="114">
        <v>24.692000000000004</v>
      </c>
      <c r="CT38" s="345">
        <f t="shared" si="20"/>
        <v>58.790476190476198</v>
      </c>
      <c r="CU38" s="345">
        <f t="shared" si="72"/>
        <v>0.30000000000001137</v>
      </c>
      <c r="CV38" s="345">
        <f t="shared" ca="1" si="91"/>
        <v>0.90000000000000857</v>
      </c>
      <c r="CW38" s="347">
        <f t="shared" ca="1" si="73"/>
        <v>59.047062013211068</v>
      </c>
      <c r="CX38" s="483">
        <v>0.21600000000000003</v>
      </c>
      <c r="CY38" s="190">
        <f t="shared" si="47"/>
        <v>3.9797103246300147E-4</v>
      </c>
      <c r="CZ38" s="190">
        <f t="shared" ca="1" si="78"/>
        <v>-0.03</v>
      </c>
      <c r="DA38" s="354">
        <f t="shared" ca="1" si="79"/>
        <v>0.18560202896753702</v>
      </c>
      <c r="DB38" s="483">
        <v>0.21600000000000003</v>
      </c>
      <c r="DC38" s="190">
        <f t="shared" si="49"/>
        <v>3.9797103246300147E-4</v>
      </c>
      <c r="DD38" s="190">
        <f t="shared" ca="1" si="82"/>
        <v>0.03</v>
      </c>
      <c r="DE38" s="354">
        <f t="shared" ca="1" si="83"/>
        <v>0.24560202896753702</v>
      </c>
      <c r="DG38" s="341"/>
      <c r="DH38" s="114">
        <v>16.547000000000001</v>
      </c>
      <c r="DI38" s="126">
        <f t="shared" ca="1" si="74"/>
        <v>-3.2466231884057883</v>
      </c>
      <c r="DJ38" s="126">
        <f t="shared" ca="1" si="22"/>
        <v>-2</v>
      </c>
      <c r="DK38" s="356">
        <f t="shared" ca="1" si="23"/>
        <v>17.793623188405789</v>
      </c>
      <c r="DL38" s="114">
        <v>14.547000000000001</v>
      </c>
      <c r="DM38" s="126">
        <f t="shared" ca="1" si="75"/>
        <v>-5.2466231884057883</v>
      </c>
      <c r="DN38" s="126">
        <f t="shared" ca="1" si="24"/>
        <v>-3</v>
      </c>
      <c r="DO38" s="356">
        <f t="shared" ca="1" si="25"/>
        <v>16.793623188405789</v>
      </c>
      <c r="DP38" s="114">
        <v>13.797000000000001</v>
      </c>
      <c r="DQ38" s="126">
        <f t="shared" ca="1" si="76"/>
        <v>-5.9966231884057883</v>
      </c>
      <c r="DR38" s="126">
        <f t="shared" ca="1" si="26"/>
        <v>-6</v>
      </c>
      <c r="DS38" s="356">
        <f t="shared" ca="1" si="27"/>
        <v>13.793623188405789</v>
      </c>
      <c r="DT38" s="114">
        <v>15.497000000000002</v>
      </c>
      <c r="DU38" s="126">
        <f t="shared" ca="1" si="77"/>
        <v>-4.2966231884057873</v>
      </c>
      <c r="DV38" s="126">
        <f t="shared" ca="1" si="28"/>
        <v>-5</v>
      </c>
      <c r="DW38" s="356">
        <f t="shared" ca="1" si="29"/>
        <v>14.793623188405789</v>
      </c>
      <c r="DY38" s="100">
        <v>2000</v>
      </c>
      <c r="DZ38" s="291">
        <v>-2</v>
      </c>
      <c r="EA38" s="291">
        <v>-3</v>
      </c>
      <c r="EB38" s="291">
        <v>-6</v>
      </c>
      <c r="EC38" s="244">
        <v>-5</v>
      </c>
      <c r="ED38" s="289"/>
      <c r="EE38" s="289"/>
      <c r="EF38" s="289"/>
    </row>
    <row r="39" spans="2:136" x14ac:dyDescent="0.25">
      <c r="B39" s="396">
        <v>36739</v>
      </c>
      <c r="C39" s="399">
        <v>36727</v>
      </c>
      <c r="I39" s="136">
        <f t="shared" ca="1" si="105"/>
        <v>37987</v>
      </c>
      <c r="J39" s="130">
        <f t="shared" ca="1" si="31"/>
        <v>37974</v>
      </c>
      <c r="K39" s="106">
        <f t="shared" ca="1" si="106"/>
        <v>0.72727272727272729</v>
      </c>
      <c r="L39" s="133">
        <f t="shared" ca="1" si="93"/>
        <v>104</v>
      </c>
      <c r="M39" s="134">
        <f t="shared" ca="1" si="94"/>
        <v>1</v>
      </c>
      <c r="N39" s="103">
        <f t="shared" ca="1" si="97"/>
        <v>22</v>
      </c>
      <c r="O39" s="104">
        <f t="shared" ca="1" si="33"/>
        <v>1027</v>
      </c>
      <c r="P39" s="105">
        <f t="shared" ca="1" si="95"/>
        <v>2.8281998631074607</v>
      </c>
      <c r="Q39" s="105">
        <f t="shared" ca="1" si="96"/>
        <v>2.9103353867214237</v>
      </c>
      <c r="R39" s="114">
        <v>19.813333333333304</v>
      </c>
      <c r="S39" s="198">
        <v>0</v>
      </c>
      <c r="T39" s="189">
        <f t="shared" si="34"/>
        <v>19.813333333333304</v>
      </c>
      <c r="U39" s="199">
        <f t="shared" ca="1" si="98"/>
        <v>19.741212121212143</v>
      </c>
      <c r="V39" s="379">
        <f t="shared" ca="1" si="99"/>
        <v>19.741212121212143</v>
      </c>
      <c r="W39" s="483">
        <v>0.21458864985986306</v>
      </c>
      <c r="X39" s="166" t="str">
        <f t="shared" ca="1" si="100"/>
        <v/>
      </c>
      <c r="Y39" s="91">
        <f t="shared" ref="Y39:Y70" ca="1" si="108">IF($X39="",Y38^2/Y37,INDEX(B$5:B$10,$X39)^((INDEX($A$5:$A$10,$X39+1)-($I39-DateToday+1))/(INDEX($A$5:$A$10,$X39+1)-INDEX($A$5:$A$10,$X39)))/INDEX(B$5:B$10,$X39+1)^((INDEX($A$5:$A$10,$X39)-($I39-DateToday+1))/(INDEX($A$5:$A$10,$X39+1)-INDEX($A$5:$A$10,$X39))))</f>
        <v>7.3809887896280277E-3</v>
      </c>
      <c r="Z39" s="91">
        <f t="shared" ref="Z39:Z70" ca="1" si="109">IF($X39="",Z38^2/Z37,INDEX(C$5:C$10,$X39)^((INDEX($A$5:$A$10,$X39+1)-($I39-DateToday+1))/(INDEX($A$5:$A$10,$X39+1)-INDEX($A$5:$A$10,$X39)))/INDEX(C$5:C$10,$X39+1)^((INDEX($A$5:$A$10,$X39)-($I39-DateToday+1))/(INDEX($A$5:$A$10,$X39+1)-INDEX($A$5:$A$10,$X39))))</f>
        <v>3.7908202238551769E-3</v>
      </c>
      <c r="AA39" s="91">
        <f t="shared" ref="AA39:AA70" ca="1" si="110">IF($X39="",AA38^2/AA37,INDEX(D$5:D$10,$X39)^((INDEX($A$5:$A$10,$X39+1)-($I39-DateToday+1))/(INDEX($A$5:$A$10,$X39+1)-INDEX($A$5:$A$10,$X39)))/INDEX(D$5:D$10,$X39+1)^((INDEX($A$5:$A$10,$X39)-($I39-DateToday+1))/(INDEX($A$5:$A$10,$X39+1)-INDEX($A$5:$A$10,$X39))))</f>
        <v>1.6495317177238151E-3</v>
      </c>
      <c r="AB39" s="91">
        <f t="shared" ref="AB39:AB70" ca="1" si="111">IF($X39="",AB38^2/AB37,INDEX(E$5:E$10,$X39)^((INDEX($A$5:$A$10,$X39+1)-($I39-DateToday+1))/(INDEX($A$5:$A$10,$X39+1)-INDEX($A$5:$A$10,$X39)))/INDEX(E$5:E$10,$X39+1)^((INDEX($A$5:$A$10,$X39)-($I39-DateToday+1))/(INDEX($A$5:$A$10,$X39+1)-INDEX($A$5:$A$10,$X39))))</f>
        <v>3.7160650536882112E-3</v>
      </c>
      <c r="AC39" s="91">
        <f t="shared" ref="AC39:AC70" ca="1" si="112">IF($X39="",AC38^2/AC37,INDEX(F$5:F$10,$X39)^((INDEX($A$5:$A$10,$X39+1)-($I39-DateToday+1))/(INDEX($A$5:$A$10,$X39+1)-INDEX($A$5:$A$10,$X39)))/INDEX(F$5:F$10,$X39+1)^((INDEX($A$5:$A$10,$X39)-($I39-DateToday+1))/(INDEX($A$5:$A$10,$X39+1)-INDEX($A$5:$A$10,$X39))))</f>
        <v>8.5399598003009902E-3</v>
      </c>
      <c r="AD39" s="91">
        <f t="shared" ref="AD39:AD70" ca="1" si="113">IF($X39="",AD38^2/AD37,INDEX(G$5:G$10,$X39)^((INDEX($A$5:$A$10,$X39+1)-($I39-DateToday+1))/(INDEX($A$5:$A$10,$X39+1)-INDEX($A$5:$A$10,$X39)))/INDEX(G$5:G$10,$X39+1)^((INDEX($A$5:$A$10,$X39)-($I39-DateToday+1))/(INDEX($A$5:$A$10,$X39+1)-INDEX($A$5:$A$10,$X39))))</f>
        <v>1.6627891545273974E-2</v>
      </c>
      <c r="AE39" s="124">
        <v>7.1785267507369993E-2</v>
      </c>
      <c r="AF39" s="191">
        <f t="shared" ca="1" si="57"/>
        <v>0.81443778199840644</v>
      </c>
      <c r="AG39" s="189">
        <f t="shared" ca="1" si="107"/>
        <v>1</v>
      </c>
      <c r="AH39" s="192">
        <f t="shared" ca="1" si="101"/>
        <v>0</v>
      </c>
      <c r="AI39" s="192">
        <f t="shared" ca="1" si="102"/>
        <v>0</v>
      </c>
      <c r="AJ39" s="192">
        <f t="shared" ca="1" si="103"/>
        <v>0</v>
      </c>
      <c r="AK39" s="192">
        <f t="shared" ca="1" si="104"/>
        <v>0</v>
      </c>
      <c r="AL39" s="191" t="str">
        <f t="shared" ca="1" si="60"/>
        <v/>
      </c>
      <c r="AM39" s="191" t="str">
        <f t="shared" ca="1" si="61"/>
        <v/>
      </c>
      <c r="AN39" s="191" t="str">
        <f t="shared" ca="1" si="62"/>
        <v/>
      </c>
      <c r="AO39" s="193" t="str">
        <f t="shared" ca="1" si="63"/>
        <v/>
      </c>
      <c r="AP39" s="194" t="str">
        <f t="shared" ca="1" si="36"/>
        <v/>
      </c>
      <c r="AQ39" s="194" t="str">
        <f t="shared" ca="1" si="37"/>
        <v/>
      </c>
      <c r="AR39" s="195">
        <f ca="1">IF(AH39,_xll.xASN(AL39,Strike1,AE39,AP39,0,N39,0,P39,Q39,IF(OptControl=4,0,1),0),0)</f>
        <v>0</v>
      </c>
      <c r="AS39" s="196">
        <f ca="1">IF(AH39,_xll.xASN(AL39,Strike1,AE39,AP39,0,N39,0,P39,Q39,IF(OptControl=4,0,1),1),0)</f>
        <v>0</v>
      </c>
      <c r="AT39" s="196">
        <f ca="1">IF(AH39,_xll.xASN(AL39,Strike1,AE39,AP39,0,N39,0,P39,Q39,IF(OptControl=4,0,1),2),0)</f>
        <v>0</v>
      </c>
      <c r="AU39" s="196">
        <f ca="1">IF(AH39,_xll.xASN(AL39,Strike1,AE39,AP39,0,N39,0,P39,Q39,IF(OptControl=4,0,1),3)/100,0)</f>
        <v>0</v>
      </c>
      <c r="AV39" s="196">
        <f ca="1">IF(AH39,_xll.xASN(AL39,Strike1,AE39,AP39,0,N39,0,P39-DaysForThetaCalculation/365.25,Q39-DaysForThetaCalculation/365.25,IF(OptControl=4,0,1),0)-_xll.xASN(AL39,Strike1,AE39,AP39,0,N39,0,P39,Q39,IF(OptControl=4,0,1),0),0)</f>
        <v>0</v>
      </c>
      <c r="AW39" s="196">
        <f ca="1">IF(AH39,_xll.xASN(AL39,Strike2,AE39,AQ39,0,N39,0,P39,Q39,IF(OptControl=3,1,0),0),0)</f>
        <v>0</v>
      </c>
      <c r="AX39" s="196">
        <f ca="1">IF(AH39,_xll.xASN(AL39,Strike2,AE39,AQ39,0,N39,0,P39,Q39,IF(OptControl=3,1,0),1),0)</f>
        <v>0</v>
      </c>
      <c r="AY39" s="196">
        <f ca="1">IF(AH39,_xll.xASN(AL39,Strike2,AE39,AQ39,0,N39,0,P39,Q39,IF(OptControl=3,1,0),2),0)</f>
        <v>0</v>
      </c>
      <c r="AZ39" s="196">
        <f ca="1">IF(AH39,_xll.xASN(AL39,Strike2,AE39,AQ39,0,N39,0,P39,Q39,IF(OptControl=3,1,0),3)/100,0)</f>
        <v>0</v>
      </c>
      <c r="BA39" s="196">
        <f ca="1">IF(AH39,_xll.xASN(AL39,Strike2,AE39,AQ39,0,N39,0,P39-DaysForThetaCalculation/365.25,Q39-DaysForThetaCalculation/365.25,IF(OptControl=3,1,0),0)-_xll.xASN(AL39,Strike2,AE39,AQ39,0,N39,0,P39,Q39,IF(OptControl=3,1,0),0),0)</f>
        <v>0</v>
      </c>
      <c r="BB39" s="126" t="str">
        <f t="shared" ca="1" si="64"/>
        <v/>
      </c>
      <c r="BC39" s="191" t="str">
        <f t="shared" ca="1" si="65"/>
        <v/>
      </c>
      <c r="BD39" s="191" t="str">
        <f t="shared" ca="1" si="66"/>
        <v/>
      </c>
      <c r="BE39" s="190" t="str">
        <f t="shared" ca="1" si="67"/>
        <v/>
      </c>
      <c r="BF39" s="194" t="str">
        <f t="shared" ca="1" si="68"/>
        <v/>
      </c>
      <c r="BG39" s="194" t="str">
        <f t="shared" ca="1" si="69"/>
        <v/>
      </c>
      <c r="BH39" s="195">
        <f ca="1">IF(AH39,_xll.xEURO(BB39,Strike1,AE39,AE39,BF39,O39,IF(OptControl=4,0,1),0),0)</f>
        <v>0</v>
      </c>
      <c r="BI39" s="196">
        <f ca="1">IF(AH39,_xll.xEURO(BB39,Strike1,AE39,AE39,BF39,O39,IF(OptControl=4,0,1),1),0)</f>
        <v>0</v>
      </c>
      <c r="BJ39" s="196">
        <f ca="1">IF(AH39,_xll.xEURO(BB39,Strike1,AE39,AE39,BF39,O39,IF(OptControl=4,0,1),2),0)</f>
        <v>0</v>
      </c>
      <c r="BK39" s="196">
        <f ca="1">IF(AH39,_xll.xEURO(BB39,Strike1,AE39,AE39,BF39,O39,IF(OptControl=4,0,1),3)/100,0)</f>
        <v>0</v>
      </c>
      <c r="BL39" s="196">
        <f ca="1">IF(AH39,_xll.xEURO(BB39,Strike1,AE39,AE39,BF39,O39-DaysForThetaCalculation,IF(OptControl=4,0,1),0)-_xll.xEURO(BB39,Strike1,AE39,AE39,BF39,O39,IF(OptControl=4,0,1),0),0)</f>
        <v>0</v>
      </c>
      <c r="BM39" s="196">
        <f ca="1">IF(AH39,_xll.xEURO(BB39,Strike2,AE39,AE39,BG39,O39,IF(OptControl=3,1,0),0),0)</f>
        <v>0</v>
      </c>
      <c r="BN39" s="196">
        <f ca="1">IF(AH39,_xll.xEURO(BB39,Strike2,AE39,AE39,BG39,O39,IF(OptControl=3,1,0),1),0)</f>
        <v>0</v>
      </c>
      <c r="BO39" s="196">
        <f ca="1">IF(AH39,_xll.xEURO(BB39,Strike2,AE39,AE39,BG39,O39,IF(OptControl=3,1,0),2),0)</f>
        <v>0</v>
      </c>
      <c r="BP39" s="196">
        <f ca="1">IF(AH39,_xll.xEURO(BB39,Strike2,AE39,AE39,BG39,O39,IF(OptControl=3,1,0),3)/100,0)</f>
        <v>0</v>
      </c>
      <c r="BQ39" s="197">
        <f ca="1">IF(AH39,_xll.xEURO(BB39,Strike2,AE39,AE39,BG39,O39-DaysForThetaCalculation,IF(OptControl=3,1,0),0)-_xll.xEURO(BB39,Strike2,AE39,AE39,BG39,O39,IF(OptControl=3,1,0),0),0)</f>
        <v>0</v>
      </c>
      <c r="BR39" s="301"/>
      <c r="BS39" s="114">
        <v>24.355999999999998</v>
      </c>
      <c r="BT39" s="345">
        <f t="shared" si="11"/>
        <v>57.990476190476187</v>
      </c>
      <c r="BU39" s="345">
        <f t="shared" ca="1" si="84"/>
        <v>5.6977878787878566</v>
      </c>
      <c r="BV39" s="73"/>
      <c r="BW39" s="345">
        <f t="shared" ca="1" si="80"/>
        <v>5.1094782608695652</v>
      </c>
      <c r="BX39" s="345">
        <f t="shared" ca="1" si="85"/>
        <v>58.716109632258686</v>
      </c>
      <c r="BY39" s="373">
        <f t="shared" ca="1" si="41"/>
        <v>59.168310433527871</v>
      </c>
      <c r="BZ39" s="114">
        <v>23.234000000000002</v>
      </c>
      <c r="CA39" s="345">
        <f t="shared" si="12"/>
        <v>55.319047619047623</v>
      </c>
      <c r="CB39" s="345">
        <f t="shared" ca="1" si="86"/>
        <v>3.4927878787878583</v>
      </c>
      <c r="CC39" s="345">
        <f t="shared" ca="1" si="81"/>
        <v>3.5974782608695675</v>
      </c>
      <c r="CD39" s="345">
        <f t="shared" ca="1" si="15"/>
        <v>55.568310433527891</v>
      </c>
      <c r="CE39" s="347">
        <f t="shared" ca="1" si="70"/>
        <v>-3.5999999999999801</v>
      </c>
      <c r="CF39" s="114">
        <v>24.565999999999999</v>
      </c>
      <c r="CG39" s="345">
        <f t="shared" si="16"/>
        <v>58.490476190476187</v>
      </c>
      <c r="CH39" s="345">
        <f t="shared" ca="1" si="42"/>
        <v>4.2747878787878548</v>
      </c>
      <c r="CI39" s="73"/>
      <c r="CJ39" s="345">
        <f t="shared" ca="1" si="89"/>
        <v>4.4294782608695655</v>
      </c>
      <c r="CK39" s="345">
        <f t="shared" ca="1" si="90"/>
        <v>58.147062013211062</v>
      </c>
      <c r="CL39" s="345">
        <f t="shared" ca="1" si="45"/>
        <v>57.549262814480258</v>
      </c>
      <c r="CM39" s="114">
        <v>22.882000000000001</v>
      </c>
      <c r="CN39" s="345">
        <f t="shared" si="17"/>
        <v>54.480952380952388</v>
      </c>
      <c r="CO39" s="345">
        <f t="shared" ca="1" si="46"/>
        <v>3.140787878787858</v>
      </c>
      <c r="CP39" s="345">
        <f t="shared" ca="1" si="92"/>
        <v>3.3164782608695687</v>
      </c>
      <c r="CQ39" s="345">
        <f t="shared" ca="1" si="19"/>
        <v>54.899262814480274</v>
      </c>
      <c r="CR39" s="347">
        <f t="shared" ca="1" si="71"/>
        <v>-2.6499999999999844</v>
      </c>
      <c r="CS39" s="114">
        <v>24.142000000000003</v>
      </c>
      <c r="CT39" s="345">
        <f t="shared" si="20"/>
        <v>57.480952380952388</v>
      </c>
      <c r="CU39" s="345">
        <f t="shared" si="72"/>
        <v>0.30000000000001137</v>
      </c>
      <c r="CV39" s="345">
        <f t="shared" ca="1" si="91"/>
        <v>0.90000000000000857</v>
      </c>
      <c r="CW39" s="347">
        <f t="shared" ca="1" si="73"/>
        <v>58.449262814480264</v>
      </c>
      <c r="CX39" s="483">
        <v>0.215</v>
      </c>
      <c r="CY39" s="190">
        <f t="shared" si="47"/>
        <v>4.1135014013693461E-4</v>
      </c>
      <c r="CZ39" s="190">
        <f t="shared" ca="1" si="78"/>
        <v>-0.03</v>
      </c>
      <c r="DA39" s="354">
        <f t="shared" ca="1" si="79"/>
        <v>0.18458864985986306</v>
      </c>
      <c r="DB39" s="483">
        <v>0.215</v>
      </c>
      <c r="DC39" s="190">
        <f t="shared" si="49"/>
        <v>4.1135014013693461E-4</v>
      </c>
      <c r="DD39" s="190">
        <f t="shared" ca="1" si="82"/>
        <v>0.03</v>
      </c>
      <c r="DE39" s="354">
        <f t="shared" ca="1" si="83"/>
        <v>0.24458864985986306</v>
      </c>
      <c r="DG39" s="341"/>
      <c r="DH39" s="114">
        <v>17.033000000000001</v>
      </c>
      <c r="DI39" s="126">
        <f t="shared" ca="1" si="74"/>
        <v>-2.7082121212121422</v>
      </c>
      <c r="DJ39" s="126">
        <f t="shared" ca="1" si="22"/>
        <v>-2</v>
      </c>
      <c r="DK39" s="356">
        <f t="shared" ca="1" si="23"/>
        <v>17.741212121212143</v>
      </c>
      <c r="DL39" s="114">
        <v>14.483000000000001</v>
      </c>
      <c r="DM39" s="126">
        <f t="shared" ca="1" si="75"/>
        <v>-5.2582121212121429</v>
      </c>
      <c r="DN39" s="126">
        <f t="shared" ca="1" si="24"/>
        <v>-3</v>
      </c>
      <c r="DO39" s="356">
        <f t="shared" ca="1" si="25"/>
        <v>16.741212121212143</v>
      </c>
      <c r="DP39" s="114">
        <v>13.733000000000001</v>
      </c>
      <c r="DQ39" s="126">
        <f t="shared" ca="1" si="76"/>
        <v>-6.0082121212121429</v>
      </c>
      <c r="DR39" s="126">
        <f t="shared" ca="1" si="26"/>
        <v>-6</v>
      </c>
      <c r="DS39" s="356">
        <f t="shared" ca="1" si="27"/>
        <v>13.741212121212143</v>
      </c>
      <c r="DT39" s="114">
        <v>15.733000000000001</v>
      </c>
      <c r="DU39" s="126">
        <f t="shared" ca="1" si="77"/>
        <v>-4.0082121212121429</v>
      </c>
      <c r="DV39" s="126">
        <f t="shared" ca="1" si="28"/>
        <v>-5</v>
      </c>
      <c r="DW39" s="356">
        <f t="shared" ca="1" si="29"/>
        <v>14.741212121212143</v>
      </c>
      <c r="DY39" s="100">
        <v>2001</v>
      </c>
      <c r="DZ39" s="291">
        <v>-2</v>
      </c>
      <c r="EA39" s="291">
        <v>-3</v>
      </c>
      <c r="EB39" s="291">
        <v>-6</v>
      </c>
      <c r="EC39" s="244">
        <v>-5</v>
      </c>
      <c r="ED39" s="289"/>
      <c r="EE39" s="289"/>
      <c r="EF39" s="289"/>
    </row>
    <row r="40" spans="2:136" x14ac:dyDescent="0.25">
      <c r="B40" s="396">
        <v>36770</v>
      </c>
      <c r="C40" s="399">
        <v>36760</v>
      </c>
      <c r="I40" s="136">
        <f t="shared" ca="1" si="105"/>
        <v>38018</v>
      </c>
      <c r="J40" s="130">
        <f t="shared" ca="1" si="31"/>
        <v>38008</v>
      </c>
      <c r="K40" s="106">
        <f t="shared" ca="1" si="106"/>
        <v>0.75</v>
      </c>
      <c r="L40" s="133">
        <f t="shared" ca="1" si="93"/>
        <v>104</v>
      </c>
      <c r="M40" s="134">
        <f t="shared" ca="1" si="94"/>
        <v>2</v>
      </c>
      <c r="N40" s="103">
        <f t="shared" ca="1" si="97"/>
        <v>20</v>
      </c>
      <c r="O40" s="104">
        <f t="shared" ca="1" si="33"/>
        <v>1059</v>
      </c>
      <c r="P40" s="105">
        <f t="shared" ca="1" si="95"/>
        <v>2.9130732375085557</v>
      </c>
      <c r="Q40" s="105">
        <f t="shared" ca="1" si="96"/>
        <v>2.9897330595482545</v>
      </c>
      <c r="R40" s="114">
        <v>19.7566666666667</v>
      </c>
      <c r="S40" s="198">
        <v>0</v>
      </c>
      <c r="T40" s="189">
        <f t="shared" si="34"/>
        <v>19.7566666666667</v>
      </c>
      <c r="U40" s="199">
        <f t="shared" ca="1" si="98"/>
        <v>19.685833333333324</v>
      </c>
      <c r="V40" s="379">
        <f t="shared" ca="1" si="99"/>
        <v>19.685833333333324</v>
      </c>
      <c r="W40" s="483">
        <v>0.21408991805608302</v>
      </c>
      <c r="X40" s="166" t="str">
        <f t="shared" ca="1" si="100"/>
        <v/>
      </c>
      <c r="Y40" s="91">
        <f t="shared" ca="1" si="108"/>
        <v>7.2229730455892621E-3</v>
      </c>
      <c r="Z40" s="91">
        <f t="shared" ca="1" si="109"/>
        <v>3.6898027918519359E-3</v>
      </c>
      <c r="AA40" s="91">
        <f t="shared" ca="1" si="110"/>
        <v>1.6012696451072768E-3</v>
      </c>
      <c r="AB40" s="91">
        <f t="shared" ca="1" si="111"/>
        <v>3.6073402564976735E-3</v>
      </c>
      <c r="AC40" s="91">
        <f t="shared" ca="1" si="112"/>
        <v>8.3123877294840921E-3</v>
      </c>
      <c r="AD40" s="91">
        <f t="shared" ca="1" si="113"/>
        <v>1.6271913677103442E-2</v>
      </c>
      <c r="AE40" s="124">
        <v>7.1863275128120005E-2</v>
      </c>
      <c r="AF40" s="191">
        <f t="shared" ca="1" si="57"/>
        <v>0.80970762051188705</v>
      </c>
      <c r="AG40" s="189">
        <f t="shared" ca="1" si="107"/>
        <v>1</v>
      </c>
      <c r="AH40" s="192">
        <f t="shared" ca="1" si="101"/>
        <v>0</v>
      </c>
      <c r="AI40" s="192">
        <f t="shared" ca="1" si="102"/>
        <v>0</v>
      </c>
      <c r="AJ40" s="192">
        <f t="shared" ca="1" si="103"/>
        <v>0</v>
      </c>
      <c r="AK40" s="192">
        <f t="shared" ca="1" si="104"/>
        <v>0</v>
      </c>
      <c r="AL40" s="191" t="str">
        <f t="shared" ca="1" si="60"/>
        <v/>
      </c>
      <c r="AM40" s="191" t="str">
        <f t="shared" ca="1" si="61"/>
        <v/>
      </c>
      <c r="AN40" s="191" t="str">
        <f t="shared" ca="1" si="62"/>
        <v/>
      </c>
      <c r="AO40" s="193" t="str">
        <f t="shared" ca="1" si="63"/>
        <v/>
      </c>
      <c r="AP40" s="194" t="str">
        <f t="shared" ca="1" si="36"/>
        <v/>
      </c>
      <c r="AQ40" s="194" t="str">
        <f t="shared" ca="1" si="37"/>
        <v/>
      </c>
      <c r="AR40" s="195">
        <f ca="1">IF(AH40,_xll.xASN(AL40,Strike1,AE40,AP40,0,N40,0,P40,Q40,IF(OptControl=4,0,1),0),0)</f>
        <v>0</v>
      </c>
      <c r="AS40" s="196">
        <f ca="1">IF(AH40,_xll.xASN(AL40,Strike1,AE40,AP40,0,N40,0,P40,Q40,IF(OptControl=4,0,1),1),0)</f>
        <v>0</v>
      </c>
      <c r="AT40" s="196">
        <f ca="1">IF(AH40,_xll.xASN(AL40,Strike1,AE40,AP40,0,N40,0,P40,Q40,IF(OptControl=4,0,1),2),0)</f>
        <v>0</v>
      </c>
      <c r="AU40" s="196">
        <f ca="1">IF(AH40,_xll.xASN(AL40,Strike1,AE40,AP40,0,N40,0,P40,Q40,IF(OptControl=4,0,1),3)/100,0)</f>
        <v>0</v>
      </c>
      <c r="AV40" s="196">
        <f ca="1">IF(AH40,_xll.xASN(AL40,Strike1,AE40,AP40,0,N40,0,P40-DaysForThetaCalculation/365.25,Q40-DaysForThetaCalculation/365.25,IF(OptControl=4,0,1),0)-_xll.xASN(AL40,Strike1,AE40,AP40,0,N40,0,P40,Q40,IF(OptControl=4,0,1),0),0)</f>
        <v>0</v>
      </c>
      <c r="AW40" s="196">
        <f ca="1">IF(AH40,_xll.xASN(AL40,Strike2,AE40,AQ40,0,N40,0,P40,Q40,IF(OptControl=3,1,0),0),0)</f>
        <v>0</v>
      </c>
      <c r="AX40" s="196">
        <f ca="1">IF(AH40,_xll.xASN(AL40,Strike2,AE40,AQ40,0,N40,0,P40,Q40,IF(OptControl=3,1,0),1),0)</f>
        <v>0</v>
      </c>
      <c r="AY40" s="196">
        <f ca="1">IF(AH40,_xll.xASN(AL40,Strike2,AE40,AQ40,0,N40,0,P40,Q40,IF(OptControl=3,1,0),2),0)</f>
        <v>0</v>
      </c>
      <c r="AZ40" s="196">
        <f ca="1">IF(AH40,_xll.xASN(AL40,Strike2,AE40,AQ40,0,N40,0,P40,Q40,IF(OptControl=3,1,0),3)/100,0)</f>
        <v>0</v>
      </c>
      <c r="BA40" s="196">
        <f ca="1">IF(AH40,_xll.xASN(AL40,Strike2,AE40,AQ40,0,N40,0,P40-DaysForThetaCalculation/365.25,Q40-DaysForThetaCalculation/365.25,IF(OptControl=3,1,0),0)-_xll.xASN(AL40,Strike2,AE40,AQ40,0,N40,0,P40,Q40,IF(OptControl=3,1,0),0),0)</f>
        <v>0</v>
      </c>
      <c r="BB40" s="126" t="str">
        <f t="shared" ca="1" si="64"/>
        <v/>
      </c>
      <c r="BC40" s="191" t="str">
        <f t="shared" ca="1" si="65"/>
        <v/>
      </c>
      <c r="BD40" s="191" t="str">
        <f t="shared" ca="1" si="66"/>
        <v/>
      </c>
      <c r="BE40" s="190" t="str">
        <f t="shared" ca="1" si="67"/>
        <v/>
      </c>
      <c r="BF40" s="194" t="str">
        <f t="shared" ca="1" si="68"/>
        <v/>
      </c>
      <c r="BG40" s="194" t="str">
        <f t="shared" ca="1" si="69"/>
        <v/>
      </c>
      <c r="BH40" s="195">
        <f ca="1">IF(AH40,_xll.xEURO(BB40,Strike1,AE40,AE40,BF40,O40,IF(OptControl=4,0,1),0),0)</f>
        <v>0</v>
      </c>
      <c r="BI40" s="196">
        <f ca="1">IF(AH40,_xll.xEURO(BB40,Strike1,AE40,AE40,BF40,O40,IF(OptControl=4,0,1),1),0)</f>
        <v>0</v>
      </c>
      <c r="BJ40" s="196">
        <f ca="1">IF(AH40,_xll.xEURO(BB40,Strike1,AE40,AE40,BF40,O40,IF(OptControl=4,0,1),2),0)</f>
        <v>0</v>
      </c>
      <c r="BK40" s="196">
        <f ca="1">IF(AH40,_xll.xEURO(BB40,Strike1,AE40,AE40,BF40,O40,IF(OptControl=4,0,1),3)/100,0)</f>
        <v>0</v>
      </c>
      <c r="BL40" s="196">
        <f ca="1">IF(AH40,_xll.xEURO(BB40,Strike1,AE40,AE40,BF40,O40-DaysForThetaCalculation,IF(OptControl=4,0,1),0)-_xll.xEURO(BB40,Strike1,AE40,AE40,BF40,O40,IF(OptControl=4,0,1),0),0)</f>
        <v>0</v>
      </c>
      <c r="BM40" s="196">
        <f ca="1">IF(AH40,_xll.xEURO(BB40,Strike2,AE40,AE40,BG40,O40,IF(OptControl=3,1,0),0),0)</f>
        <v>0</v>
      </c>
      <c r="BN40" s="196">
        <f ca="1">IF(AH40,_xll.xEURO(BB40,Strike2,AE40,AE40,BG40,O40,IF(OptControl=3,1,0),1),0)</f>
        <v>0</v>
      </c>
      <c r="BO40" s="196">
        <f ca="1">IF(AH40,_xll.xEURO(BB40,Strike2,AE40,AE40,BG40,O40,IF(OptControl=3,1,0),2),0)</f>
        <v>0</v>
      </c>
      <c r="BP40" s="196">
        <f ca="1">IF(AH40,_xll.xEURO(BB40,Strike2,AE40,AE40,BG40,O40,IF(OptControl=3,1,0),3)/100,0)</f>
        <v>0</v>
      </c>
      <c r="BQ40" s="197">
        <f ca="1">IF(AH40,_xll.xEURO(BB40,Strike2,AE40,AE40,BG40,O40-DaysForThetaCalculation,IF(OptControl=3,1,0),0)-_xll.xEURO(BB40,Strike2,AE40,AE40,BG40,O40,IF(OptControl=3,1,0),0),0)</f>
        <v>0</v>
      </c>
      <c r="BR40" s="301"/>
      <c r="BS40" s="114">
        <v>25.439</v>
      </c>
      <c r="BT40" s="345">
        <f t="shared" si="11"/>
        <v>60.569047619047623</v>
      </c>
      <c r="BU40" s="345">
        <f t="shared" ca="1" si="84"/>
        <v>6.0351666666666759</v>
      </c>
      <c r="BV40" s="73"/>
      <c r="BW40" s="345">
        <f t="shared" ca="1" si="80"/>
        <v>5.4899999999999984</v>
      </c>
      <c r="BX40" s="345">
        <f t="shared" ca="1" si="85"/>
        <v>59.168310433527871</v>
      </c>
      <c r="BY40" s="373">
        <f t="shared" ca="1" si="41"/>
        <v>59.942460317460288</v>
      </c>
      <c r="BZ40" s="114">
        <v>23.515999999999998</v>
      </c>
      <c r="CA40" s="345">
        <f t="shared" si="12"/>
        <v>55.990476190476187</v>
      </c>
      <c r="CB40" s="345">
        <f t="shared" ca="1" si="86"/>
        <v>3.830166666666674</v>
      </c>
      <c r="CC40" s="345">
        <f t="shared" ca="1" si="81"/>
        <v>3.9319999999999977</v>
      </c>
      <c r="CD40" s="345">
        <f t="shared" ca="1" si="15"/>
        <v>56.232936507936486</v>
      </c>
      <c r="CE40" s="347">
        <f t="shared" ca="1" si="70"/>
        <v>-3.7095238095238017</v>
      </c>
      <c r="CF40" s="114">
        <v>24.015999999999998</v>
      </c>
      <c r="CG40" s="345">
        <f t="shared" si="16"/>
        <v>57.180952380952377</v>
      </c>
      <c r="CH40" s="345">
        <f t="shared" ca="1" si="42"/>
        <v>3.565166666666677</v>
      </c>
      <c r="CI40" s="73"/>
      <c r="CJ40" s="345">
        <f t="shared" ca="1" si="89"/>
        <v>3.7179999999999955</v>
      </c>
      <c r="CK40" s="345">
        <f t="shared" ca="1" si="90"/>
        <v>57.549262814480258</v>
      </c>
      <c r="CL40" s="345">
        <f t="shared" ca="1" si="45"/>
        <v>55.723412698412666</v>
      </c>
      <c r="CM40" s="114">
        <v>22.117000000000004</v>
      </c>
      <c r="CN40" s="345">
        <f t="shared" si="17"/>
        <v>52.659523809523819</v>
      </c>
      <c r="CO40" s="345">
        <f t="shared" ca="1" si="46"/>
        <v>2.4311666666666802</v>
      </c>
      <c r="CP40" s="345">
        <f t="shared" ca="1" si="92"/>
        <v>2.6049999999999995</v>
      </c>
      <c r="CQ40" s="345">
        <f t="shared" ca="1" si="19"/>
        <v>53.073412698412682</v>
      </c>
      <c r="CR40" s="347">
        <f t="shared" ca="1" si="71"/>
        <v>-2.6499999999999844</v>
      </c>
      <c r="CS40" s="114">
        <v>23.377000000000002</v>
      </c>
      <c r="CT40" s="345">
        <f t="shared" si="20"/>
        <v>55.659523809523819</v>
      </c>
      <c r="CU40" s="345">
        <f t="shared" si="72"/>
        <v>0.30000000000001137</v>
      </c>
      <c r="CV40" s="345">
        <f t="shared" ca="1" si="91"/>
        <v>0.90000000000000857</v>
      </c>
      <c r="CW40" s="347">
        <f t="shared" ca="1" si="73"/>
        <v>56.623412698412672</v>
      </c>
      <c r="CX40" s="483">
        <v>0.21400000000000002</v>
      </c>
      <c r="CY40" s="190">
        <f t="shared" si="47"/>
        <v>-8.9918056082993747E-5</v>
      </c>
      <c r="CZ40" s="190">
        <f t="shared" ca="1" si="78"/>
        <v>-0.03</v>
      </c>
      <c r="DA40" s="354">
        <f t="shared" ca="1" si="79"/>
        <v>0.18408991805608302</v>
      </c>
      <c r="DB40" s="483">
        <v>0.21400000000000002</v>
      </c>
      <c r="DC40" s="190">
        <f t="shared" si="49"/>
        <v>-8.9918056082993747E-5</v>
      </c>
      <c r="DD40" s="190">
        <f t="shared" ca="1" si="82"/>
        <v>0.03</v>
      </c>
      <c r="DE40" s="354">
        <f t="shared" ca="1" si="83"/>
        <v>0.24408991805608302</v>
      </c>
      <c r="DG40" s="341"/>
      <c r="DH40" s="114">
        <v>16.983000000000001</v>
      </c>
      <c r="DI40" s="126">
        <f t="shared" ca="1" si="74"/>
        <v>-2.7028333333333237</v>
      </c>
      <c r="DJ40" s="126">
        <f t="shared" ca="1" si="22"/>
        <v>-2</v>
      </c>
      <c r="DK40" s="356">
        <f t="shared" ca="1" si="23"/>
        <v>17.685833333333324</v>
      </c>
      <c r="DL40" s="114">
        <v>14.433</v>
      </c>
      <c r="DM40" s="126">
        <f t="shared" ca="1" si="75"/>
        <v>-5.2528333333333244</v>
      </c>
      <c r="DN40" s="126">
        <f t="shared" ca="1" si="24"/>
        <v>-3</v>
      </c>
      <c r="DO40" s="356">
        <f t="shared" ca="1" si="25"/>
        <v>16.685833333333324</v>
      </c>
      <c r="DP40" s="114">
        <v>13.683</v>
      </c>
      <c r="DQ40" s="126">
        <f t="shared" ca="1" si="76"/>
        <v>-6.0028333333333244</v>
      </c>
      <c r="DR40" s="126">
        <f t="shared" ca="1" si="26"/>
        <v>-6</v>
      </c>
      <c r="DS40" s="356">
        <f t="shared" ca="1" si="27"/>
        <v>13.685833333333324</v>
      </c>
      <c r="DT40" s="114">
        <v>15.683</v>
      </c>
      <c r="DU40" s="126">
        <f t="shared" ca="1" si="77"/>
        <v>-4.0028333333333244</v>
      </c>
      <c r="DV40" s="126">
        <f t="shared" ca="1" si="28"/>
        <v>-5</v>
      </c>
      <c r="DW40" s="356">
        <f t="shared" ca="1" si="29"/>
        <v>14.685833333333324</v>
      </c>
      <c r="DY40" s="100">
        <v>2002</v>
      </c>
      <c r="DZ40" s="291">
        <v>-2</v>
      </c>
      <c r="EA40" s="291">
        <v>-3</v>
      </c>
      <c r="EB40" s="291">
        <v>-6</v>
      </c>
      <c r="EC40" s="244">
        <v>-5</v>
      </c>
      <c r="ED40" s="289"/>
      <c r="EE40" s="289"/>
      <c r="EF40" s="289"/>
    </row>
    <row r="41" spans="2:136" x14ac:dyDescent="0.25">
      <c r="B41" s="396">
        <v>36800</v>
      </c>
      <c r="C41" s="399">
        <v>36789</v>
      </c>
      <c r="I41" s="136">
        <f t="shared" ca="1" si="105"/>
        <v>38047</v>
      </c>
      <c r="J41" s="130">
        <f t="shared" ca="1" si="31"/>
        <v>38037</v>
      </c>
      <c r="K41" s="106">
        <f t="shared" ca="1" si="106"/>
        <v>0.65217391304347827</v>
      </c>
      <c r="L41" s="133">
        <f t="shared" ca="1" si="93"/>
        <v>104</v>
      </c>
      <c r="M41" s="134">
        <f t="shared" ca="1" si="94"/>
        <v>3</v>
      </c>
      <c r="N41" s="103">
        <f t="shared" ca="1" si="97"/>
        <v>23</v>
      </c>
      <c r="O41" s="104">
        <f t="shared" ca="1" si="33"/>
        <v>1087</v>
      </c>
      <c r="P41" s="105">
        <f t="shared" ca="1" si="95"/>
        <v>2.9924709103353866</v>
      </c>
      <c r="Q41" s="105">
        <f t="shared" ca="1" si="96"/>
        <v>3.07460643394935</v>
      </c>
      <c r="R41" s="114">
        <v>19.7</v>
      </c>
      <c r="S41" s="198">
        <v>0</v>
      </c>
      <c r="T41" s="189">
        <f t="shared" si="34"/>
        <v>19.7</v>
      </c>
      <c r="U41" s="199">
        <f t="shared" ca="1" si="98"/>
        <v>19.623623188405787</v>
      </c>
      <c r="V41" s="379">
        <f t="shared" ca="1" si="99"/>
        <v>19.623623188405787</v>
      </c>
      <c r="W41" s="483">
        <v>0.21367531636722806</v>
      </c>
      <c r="X41" s="166" t="str">
        <f t="shared" ca="1" si="100"/>
        <v/>
      </c>
      <c r="Y41" s="91">
        <f t="shared" ca="1" si="108"/>
        <v>7.0683401782999115E-3</v>
      </c>
      <c r="Z41" s="91">
        <f t="shared" ca="1" si="109"/>
        <v>3.5914772631746067E-3</v>
      </c>
      <c r="AA41" s="91">
        <f t="shared" ca="1" si="110"/>
        <v>1.5544196263653123E-3</v>
      </c>
      <c r="AB41" s="91">
        <f t="shared" ca="1" si="111"/>
        <v>3.5017965342757757E-3</v>
      </c>
      <c r="AC41" s="91">
        <f t="shared" ca="1" si="112"/>
        <v>8.0908799784798081E-3</v>
      </c>
      <c r="AD41" s="91">
        <f t="shared" ca="1" si="113"/>
        <v>1.5923556753673993E-2</v>
      </c>
      <c r="AE41" s="124">
        <v>7.1933733626010007E-2</v>
      </c>
      <c r="AF41" s="191">
        <f t="shared" ca="1" si="57"/>
        <v>0.80470186057830684</v>
      </c>
      <c r="AG41" s="189">
        <f t="shared" ca="1" si="107"/>
        <v>1</v>
      </c>
      <c r="AH41" s="192">
        <f t="shared" ca="1" si="101"/>
        <v>0</v>
      </c>
      <c r="AI41" s="192">
        <f t="shared" ca="1" si="102"/>
        <v>0</v>
      </c>
      <c r="AJ41" s="192">
        <f t="shared" ca="1" si="103"/>
        <v>0</v>
      </c>
      <c r="AK41" s="192">
        <f t="shared" ca="1" si="104"/>
        <v>0</v>
      </c>
      <c r="AL41" s="191" t="str">
        <f t="shared" ca="1" si="60"/>
        <v/>
      </c>
      <c r="AM41" s="191" t="str">
        <f t="shared" ca="1" si="61"/>
        <v/>
      </c>
      <c r="AN41" s="191" t="str">
        <f t="shared" ca="1" si="62"/>
        <v/>
      </c>
      <c r="AO41" s="193" t="str">
        <f t="shared" ca="1" si="63"/>
        <v/>
      </c>
      <c r="AP41" s="194" t="str">
        <f t="shared" ca="1" si="36"/>
        <v/>
      </c>
      <c r="AQ41" s="194" t="str">
        <f t="shared" ca="1" si="37"/>
        <v/>
      </c>
      <c r="AR41" s="195">
        <f ca="1">IF(AH41,_xll.xASN(AL41,Strike1,AE41,AP41,0,N41,0,P41,Q41,IF(OptControl=4,0,1),0),0)</f>
        <v>0</v>
      </c>
      <c r="AS41" s="196">
        <f ca="1">IF(AH41,_xll.xASN(AL41,Strike1,AE41,AP41,0,N41,0,P41,Q41,IF(OptControl=4,0,1),1),0)</f>
        <v>0</v>
      </c>
      <c r="AT41" s="196">
        <f ca="1">IF(AH41,_xll.xASN(AL41,Strike1,AE41,AP41,0,N41,0,P41,Q41,IF(OptControl=4,0,1),2),0)</f>
        <v>0</v>
      </c>
      <c r="AU41" s="196">
        <f ca="1">IF(AH41,_xll.xASN(AL41,Strike1,AE41,AP41,0,N41,0,P41,Q41,IF(OptControl=4,0,1),3)/100,0)</f>
        <v>0</v>
      </c>
      <c r="AV41" s="196">
        <f ca="1">IF(AH41,_xll.xASN(AL41,Strike1,AE41,AP41,0,N41,0,P41-DaysForThetaCalculation/365.25,Q41-DaysForThetaCalculation/365.25,IF(OptControl=4,0,1),0)-_xll.xASN(AL41,Strike1,AE41,AP41,0,N41,0,P41,Q41,IF(OptControl=4,0,1),0),0)</f>
        <v>0</v>
      </c>
      <c r="AW41" s="196">
        <f ca="1">IF(AH41,_xll.xASN(AL41,Strike2,AE41,AQ41,0,N41,0,P41,Q41,IF(OptControl=3,1,0),0),0)</f>
        <v>0</v>
      </c>
      <c r="AX41" s="196">
        <f ca="1">IF(AH41,_xll.xASN(AL41,Strike2,AE41,AQ41,0,N41,0,P41,Q41,IF(OptControl=3,1,0),1),0)</f>
        <v>0</v>
      </c>
      <c r="AY41" s="196">
        <f ca="1">IF(AH41,_xll.xASN(AL41,Strike2,AE41,AQ41,0,N41,0,P41,Q41,IF(OptControl=3,1,0),2),0)</f>
        <v>0</v>
      </c>
      <c r="AZ41" s="196">
        <f ca="1">IF(AH41,_xll.xASN(AL41,Strike2,AE41,AQ41,0,N41,0,P41,Q41,IF(OptControl=3,1,0),3)/100,0)</f>
        <v>0</v>
      </c>
      <c r="BA41" s="196">
        <f ca="1">IF(AH41,_xll.xASN(AL41,Strike2,AE41,AQ41,0,N41,0,P41-DaysForThetaCalculation/365.25,Q41-DaysForThetaCalculation/365.25,IF(OptControl=3,1,0),0)-_xll.xASN(AL41,Strike2,AE41,AQ41,0,N41,0,P41,Q41,IF(OptControl=3,1,0),0),0)</f>
        <v>0</v>
      </c>
      <c r="BB41" s="126" t="str">
        <f t="shared" ca="1" si="64"/>
        <v/>
      </c>
      <c r="BC41" s="191" t="str">
        <f t="shared" ca="1" si="65"/>
        <v/>
      </c>
      <c r="BD41" s="191" t="str">
        <f t="shared" ca="1" si="66"/>
        <v/>
      </c>
      <c r="BE41" s="190" t="str">
        <f t="shared" ca="1" si="67"/>
        <v/>
      </c>
      <c r="BF41" s="194" t="str">
        <f t="shared" ca="1" si="68"/>
        <v/>
      </c>
      <c r="BG41" s="194" t="str">
        <f t="shared" ca="1" si="69"/>
        <v/>
      </c>
      <c r="BH41" s="195">
        <f ca="1">IF(AH41,_xll.xEURO(BB41,Strike1,AE41,AE41,BF41,O41,IF(OptControl=4,0,1),0),0)</f>
        <v>0</v>
      </c>
      <c r="BI41" s="196">
        <f ca="1">IF(AH41,_xll.xEURO(BB41,Strike1,AE41,AE41,BF41,O41,IF(OptControl=4,0,1),1),0)</f>
        <v>0</v>
      </c>
      <c r="BJ41" s="196">
        <f ca="1">IF(AH41,_xll.xEURO(BB41,Strike1,AE41,AE41,BF41,O41,IF(OptControl=4,0,1),2),0)</f>
        <v>0</v>
      </c>
      <c r="BK41" s="196">
        <f ca="1">IF(AH41,_xll.xEURO(BB41,Strike1,AE41,AE41,BF41,O41,IF(OptControl=4,0,1),3)/100,0)</f>
        <v>0</v>
      </c>
      <c r="BL41" s="196">
        <f ca="1">IF(AH41,_xll.xEURO(BB41,Strike1,AE41,AE41,BF41,O41-DaysForThetaCalculation,IF(OptControl=4,0,1),0)-_xll.xEURO(BB41,Strike1,AE41,AE41,BF41,O41,IF(OptControl=4,0,1),0),0)</f>
        <v>0</v>
      </c>
      <c r="BM41" s="196">
        <f ca="1">IF(AH41,_xll.xEURO(BB41,Strike2,AE41,AE41,BG41,O41,IF(OptControl=3,1,0),0),0)</f>
        <v>0</v>
      </c>
      <c r="BN41" s="196">
        <f ca="1">IF(AH41,_xll.xEURO(BB41,Strike2,AE41,AE41,BG41,O41,IF(OptControl=3,1,0),1),0)</f>
        <v>0</v>
      </c>
      <c r="BO41" s="196">
        <f ca="1">IF(AH41,_xll.xEURO(BB41,Strike2,AE41,AE41,BG41,O41,IF(OptControl=3,1,0),2),0)</f>
        <v>0</v>
      </c>
      <c r="BP41" s="196">
        <f ca="1">IF(AH41,_xll.xEURO(BB41,Strike2,AE41,AE41,BG41,O41,IF(OptControl=3,1,0),3)/100,0)</f>
        <v>0</v>
      </c>
      <c r="BQ41" s="197">
        <f ca="1">IF(AH41,_xll.xEURO(BB41,Strike2,AE41,AE41,BG41,O41-DaysForThetaCalculation,IF(OptControl=3,1,0),0)-_xll.xEURO(BB41,Strike2,AE41,AE41,BG41,O41,IF(OptControl=3,1,0),0),0)</f>
        <v>0</v>
      </c>
      <c r="BR41" s="301"/>
      <c r="BS41" s="114">
        <v>25.721</v>
      </c>
      <c r="BT41" s="345">
        <f t="shared" si="11"/>
        <v>61.240476190476187</v>
      </c>
      <c r="BU41" s="345">
        <f t="shared" ca="1" si="84"/>
        <v>9.7893768115942166</v>
      </c>
      <c r="BV41" s="73"/>
      <c r="BW41" s="345">
        <f t="shared" ca="1" si="80"/>
        <v>9.5560000000000027</v>
      </c>
      <c r="BX41" s="345">
        <f t="shared" ca="1" si="85"/>
        <v>59.942460317460288</v>
      </c>
      <c r="BY41" s="373">
        <f t="shared" ca="1" si="41"/>
        <v>69.475293305728073</v>
      </c>
      <c r="BZ41" s="114">
        <v>25.633000000000003</v>
      </c>
      <c r="CA41" s="345">
        <f t="shared" si="12"/>
        <v>61.030952380952385</v>
      </c>
      <c r="CB41" s="345">
        <f t="shared" ca="1" si="86"/>
        <v>6.0093768115942154</v>
      </c>
      <c r="CC41" s="345">
        <f t="shared" ca="1" si="81"/>
        <v>6.0980000000000025</v>
      </c>
      <c r="CD41" s="345">
        <f t="shared" ca="1" si="15"/>
        <v>61.241959972394731</v>
      </c>
      <c r="CE41" s="347">
        <f t="shared" ca="1" si="70"/>
        <v>-8.2333333333333414</v>
      </c>
      <c r="CF41" s="114">
        <v>23.251000000000001</v>
      </c>
      <c r="CG41" s="345">
        <f t="shared" si="16"/>
        <v>55.359523809523807</v>
      </c>
      <c r="CH41" s="345">
        <f t="shared" ca="1" si="42"/>
        <v>2.9383768115942175</v>
      </c>
      <c r="CI41" s="73"/>
      <c r="CJ41" s="345">
        <f t="shared" ca="1" si="89"/>
        <v>3.0789999999999997</v>
      </c>
      <c r="CK41" s="345">
        <f t="shared" ca="1" si="90"/>
        <v>55.723412698412666</v>
      </c>
      <c r="CL41" s="345">
        <f t="shared" ca="1" si="45"/>
        <v>54.053864734299495</v>
      </c>
      <c r="CM41" s="114">
        <v>21.428000000000001</v>
      </c>
      <c r="CN41" s="345">
        <f t="shared" si="17"/>
        <v>51.019047619047626</v>
      </c>
      <c r="CO41" s="345">
        <f t="shared" ca="1" si="46"/>
        <v>1.8043768115942136</v>
      </c>
      <c r="CP41" s="345">
        <f t="shared" ca="1" si="92"/>
        <v>1.9660000000000002</v>
      </c>
      <c r="CQ41" s="345">
        <f t="shared" ca="1" si="19"/>
        <v>51.403864734299496</v>
      </c>
      <c r="CR41" s="347">
        <f t="shared" ca="1" si="71"/>
        <v>-2.6499999999999986</v>
      </c>
      <c r="CS41" s="114">
        <v>22.688000000000002</v>
      </c>
      <c r="CT41" s="345">
        <f t="shared" si="20"/>
        <v>54.019047619047626</v>
      </c>
      <c r="CU41" s="345">
        <f t="shared" si="72"/>
        <v>0.29999999999999716</v>
      </c>
      <c r="CV41" s="345">
        <f t="shared" ca="1" si="91"/>
        <v>0.89999999999999436</v>
      </c>
      <c r="CW41" s="347">
        <f t="shared" ca="1" si="73"/>
        <v>54.953864734299486</v>
      </c>
      <c r="CX41" s="483">
        <v>0.21400000000000002</v>
      </c>
      <c r="CY41" s="190">
        <f t="shared" si="47"/>
        <v>3.2468363277196599E-4</v>
      </c>
      <c r="CZ41" s="190">
        <f t="shared" ca="1" si="78"/>
        <v>-0.03</v>
      </c>
      <c r="DA41" s="354">
        <f t="shared" ca="1" si="79"/>
        <v>0.18367531636722806</v>
      </c>
      <c r="DB41" s="483">
        <v>0.21400000000000002</v>
      </c>
      <c r="DC41" s="190">
        <f t="shared" si="49"/>
        <v>3.2468363277196599E-4</v>
      </c>
      <c r="DD41" s="190">
        <f t="shared" ca="1" si="82"/>
        <v>0.03</v>
      </c>
      <c r="DE41" s="354">
        <f t="shared" ca="1" si="83"/>
        <v>0.24367531636722806</v>
      </c>
      <c r="DG41" s="341"/>
      <c r="DH41" s="114">
        <v>16.923999999999999</v>
      </c>
      <c r="DI41" s="126">
        <f t="shared" ca="1" si="74"/>
        <v>-2.6996231884057877</v>
      </c>
      <c r="DJ41" s="126">
        <f t="shared" ca="1" si="22"/>
        <v>-2</v>
      </c>
      <c r="DK41" s="356">
        <f t="shared" ca="1" si="23"/>
        <v>17.623623188405787</v>
      </c>
      <c r="DL41" s="114">
        <v>14.374000000000001</v>
      </c>
      <c r="DM41" s="126">
        <f t="shared" ca="1" si="75"/>
        <v>-5.2496231884057867</v>
      </c>
      <c r="DN41" s="126">
        <f t="shared" ca="1" si="24"/>
        <v>-3</v>
      </c>
      <c r="DO41" s="356">
        <f t="shared" ca="1" si="25"/>
        <v>16.623623188405787</v>
      </c>
      <c r="DP41" s="114">
        <v>13.624000000000001</v>
      </c>
      <c r="DQ41" s="126">
        <f t="shared" ca="1" si="76"/>
        <v>-5.9996231884057867</v>
      </c>
      <c r="DR41" s="126">
        <f t="shared" ca="1" si="26"/>
        <v>-6</v>
      </c>
      <c r="DS41" s="356">
        <f t="shared" ca="1" si="27"/>
        <v>13.623623188405787</v>
      </c>
      <c r="DT41" s="114">
        <v>15.624000000000001</v>
      </c>
      <c r="DU41" s="126">
        <f t="shared" ca="1" si="77"/>
        <v>-3.9996231884057867</v>
      </c>
      <c r="DV41" s="126">
        <f t="shared" ca="1" si="28"/>
        <v>-5</v>
      </c>
      <c r="DW41" s="356">
        <f t="shared" ca="1" si="29"/>
        <v>14.623623188405787</v>
      </c>
      <c r="DY41" s="100">
        <v>2003</v>
      </c>
      <c r="DZ41" s="291">
        <v>-2</v>
      </c>
      <c r="EA41" s="291">
        <v>-3</v>
      </c>
      <c r="EB41" s="291">
        <v>-6</v>
      </c>
      <c r="EC41" s="244">
        <v>-5</v>
      </c>
      <c r="ED41" s="289"/>
      <c r="EE41" s="289"/>
      <c r="EF41" s="289"/>
    </row>
    <row r="42" spans="2:136" x14ac:dyDescent="0.25">
      <c r="B42" s="396">
        <v>36831</v>
      </c>
      <c r="C42" s="399">
        <v>36819</v>
      </c>
      <c r="I42" s="136">
        <f t="shared" ca="1" si="105"/>
        <v>38078</v>
      </c>
      <c r="J42" s="130">
        <f t="shared" ca="1" si="31"/>
        <v>38066</v>
      </c>
      <c r="K42" s="106">
        <f t="shared" ca="1" si="106"/>
        <v>0.63636363636363635</v>
      </c>
      <c r="L42" s="133">
        <f t="shared" ca="1" si="93"/>
        <v>104</v>
      </c>
      <c r="M42" s="134">
        <f t="shared" ca="1" si="94"/>
        <v>4</v>
      </c>
      <c r="N42" s="103">
        <f t="shared" ca="1" si="97"/>
        <v>22</v>
      </c>
      <c r="O42" s="104">
        <f t="shared" ca="1" si="33"/>
        <v>1118</v>
      </c>
      <c r="P42" s="105">
        <f t="shared" ca="1" si="95"/>
        <v>3.077344284736482</v>
      </c>
      <c r="Q42" s="105">
        <f t="shared" ca="1" si="96"/>
        <v>3.1567419575633129</v>
      </c>
      <c r="R42" s="114">
        <v>19.643333333333302</v>
      </c>
      <c r="S42" s="198">
        <v>0</v>
      </c>
      <c r="T42" s="189">
        <f t="shared" si="34"/>
        <v>19.643333333333302</v>
      </c>
      <c r="U42" s="199">
        <f t="shared" ca="1" si="98"/>
        <v>19.566060606060628</v>
      </c>
      <c r="V42" s="379">
        <f t="shared" ca="1" si="99"/>
        <v>19.566060606060628</v>
      </c>
      <c r="W42" s="483">
        <v>0.21244180138501001</v>
      </c>
      <c r="X42" s="166" t="str">
        <f t="shared" ca="1" si="100"/>
        <v/>
      </c>
      <c r="Y42" s="91">
        <f t="shared" ca="1" si="108"/>
        <v>6.9170177655138807E-3</v>
      </c>
      <c r="Z42" s="91">
        <f t="shared" ca="1" si="109"/>
        <v>3.4957719042285774E-3</v>
      </c>
      <c r="AA42" s="91">
        <f t="shared" ca="1" si="110"/>
        <v>1.5089403475626385E-3</v>
      </c>
      <c r="AB42" s="91">
        <f t="shared" ca="1" si="111"/>
        <v>3.399340814989112E-3</v>
      </c>
      <c r="AC42" s="91">
        <f t="shared" ca="1" si="112"/>
        <v>7.8752749458461963E-3</v>
      </c>
      <c r="AD42" s="91">
        <f t="shared" ca="1" si="113"/>
        <v>1.5582657622149622E-2</v>
      </c>
      <c r="AE42" s="124">
        <v>7.2000823335124017E-2</v>
      </c>
      <c r="AF42" s="191">
        <f t="shared" ca="1" si="57"/>
        <v>0.79988092792796739</v>
      </c>
      <c r="AG42" s="189">
        <f t="shared" ca="1" si="107"/>
        <v>1</v>
      </c>
      <c r="AH42" s="192">
        <f t="shared" ca="1" si="101"/>
        <v>0</v>
      </c>
      <c r="AI42" s="192">
        <f t="shared" ca="1" si="102"/>
        <v>0</v>
      </c>
      <c r="AJ42" s="192">
        <f t="shared" ca="1" si="103"/>
        <v>0</v>
      </c>
      <c r="AK42" s="192">
        <f t="shared" ca="1" si="104"/>
        <v>0</v>
      </c>
      <c r="AL42" s="191" t="str">
        <f t="shared" ca="1" si="60"/>
        <v/>
      </c>
      <c r="AM42" s="191" t="str">
        <f t="shared" ca="1" si="61"/>
        <v/>
      </c>
      <c r="AN42" s="191" t="str">
        <f t="shared" ca="1" si="62"/>
        <v/>
      </c>
      <c r="AO42" s="193" t="str">
        <f t="shared" ca="1" si="63"/>
        <v/>
      </c>
      <c r="AP42" s="194" t="str">
        <f t="shared" ca="1" si="36"/>
        <v/>
      </c>
      <c r="AQ42" s="194" t="str">
        <f t="shared" ca="1" si="37"/>
        <v/>
      </c>
      <c r="AR42" s="195">
        <f ca="1">IF(AH42,_xll.xASN(AL42,Strike1,AE42,AP42,0,N42,0,P42,Q42,IF(OptControl=4,0,1),0),0)</f>
        <v>0</v>
      </c>
      <c r="AS42" s="196">
        <f ca="1">IF(AH42,_xll.xASN(AL42,Strike1,AE42,AP42,0,N42,0,P42,Q42,IF(OptControl=4,0,1),1),0)</f>
        <v>0</v>
      </c>
      <c r="AT42" s="196">
        <f ca="1">IF(AH42,_xll.xASN(AL42,Strike1,AE42,AP42,0,N42,0,P42,Q42,IF(OptControl=4,0,1),2),0)</f>
        <v>0</v>
      </c>
      <c r="AU42" s="196">
        <f ca="1">IF(AH42,_xll.xASN(AL42,Strike1,AE42,AP42,0,N42,0,P42,Q42,IF(OptControl=4,0,1),3)/100,0)</f>
        <v>0</v>
      </c>
      <c r="AV42" s="196">
        <f ca="1">IF(AH42,_xll.xASN(AL42,Strike1,AE42,AP42,0,N42,0,P42-DaysForThetaCalculation/365.25,Q42-DaysForThetaCalculation/365.25,IF(OptControl=4,0,1),0)-_xll.xASN(AL42,Strike1,AE42,AP42,0,N42,0,P42,Q42,IF(OptControl=4,0,1),0),0)</f>
        <v>0</v>
      </c>
      <c r="AW42" s="196">
        <f ca="1">IF(AH42,_xll.xASN(AL42,Strike2,AE42,AQ42,0,N42,0,P42,Q42,IF(OptControl=3,1,0),0),0)</f>
        <v>0</v>
      </c>
      <c r="AX42" s="196">
        <f ca="1">IF(AH42,_xll.xASN(AL42,Strike2,AE42,AQ42,0,N42,0,P42,Q42,IF(OptControl=3,1,0),1),0)</f>
        <v>0</v>
      </c>
      <c r="AY42" s="196">
        <f ca="1">IF(AH42,_xll.xASN(AL42,Strike2,AE42,AQ42,0,N42,0,P42,Q42,IF(OptControl=3,1,0),2),0)</f>
        <v>0</v>
      </c>
      <c r="AZ42" s="196">
        <f ca="1">IF(AH42,_xll.xASN(AL42,Strike2,AE42,AQ42,0,N42,0,P42,Q42,IF(OptControl=3,1,0),3)/100,0)</f>
        <v>0</v>
      </c>
      <c r="BA42" s="196">
        <f ca="1">IF(AH42,_xll.xASN(AL42,Strike2,AE42,AQ42,0,N42,0,P42-DaysForThetaCalculation/365.25,Q42-DaysForThetaCalculation/365.25,IF(OptControl=3,1,0),0)-_xll.xASN(AL42,Strike2,AE42,AQ42,0,N42,0,P42,Q42,IF(OptControl=3,1,0),0),0)</f>
        <v>0</v>
      </c>
      <c r="BB42" s="126" t="str">
        <f t="shared" ca="1" si="64"/>
        <v/>
      </c>
      <c r="BC42" s="191" t="str">
        <f t="shared" ca="1" si="65"/>
        <v/>
      </c>
      <c r="BD42" s="191" t="str">
        <f t="shared" ca="1" si="66"/>
        <v/>
      </c>
      <c r="BE42" s="190" t="str">
        <f t="shared" ca="1" si="67"/>
        <v/>
      </c>
      <c r="BF42" s="194" t="str">
        <f t="shared" ca="1" si="68"/>
        <v/>
      </c>
      <c r="BG42" s="194" t="str">
        <f t="shared" ca="1" si="69"/>
        <v/>
      </c>
      <c r="BH42" s="195">
        <f ca="1">IF(AH42,_xll.xEURO(BB42,Strike1,AE42,AE42,BF42,O42,IF(OptControl=4,0,1),0),0)</f>
        <v>0</v>
      </c>
      <c r="BI42" s="196">
        <f ca="1">IF(AH42,_xll.xEURO(BB42,Strike1,AE42,AE42,BF42,O42,IF(OptControl=4,0,1),1),0)</f>
        <v>0</v>
      </c>
      <c r="BJ42" s="196">
        <f ca="1">IF(AH42,_xll.xEURO(BB42,Strike1,AE42,AE42,BF42,O42,IF(OptControl=4,0,1),2),0)</f>
        <v>0</v>
      </c>
      <c r="BK42" s="196">
        <f ca="1">IF(AH42,_xll.xEURO(BB42,Strike1,AE42,AE42,BF42,O42,IF(OptControl=4,0,1),3)/100,0)</f>
        <v>0</v>
      </c>
      <c r="BL42" s="196">
        <f ca="1">IF(AH42,_xll.xEURO(BB42,Strike1,AE42,AE42,BF42,O42-DaysForThetaCalculation,IF(OptControl=4,0,1),0)-_xll.xEURO(BB42,Strike1,AE42,AE42,BF42,O42,IF(OptControl=4,0,1),0),0)</f>
        <v>0</v>
      </c>
      <c r="BM42" s="196">
        <f ca="1">IF(AH42,_xll.xEURO(BB42,Strike2,AE42,AE42,BG42,O42,IF(OptControl=3,1,0),0),0)</f>
        <v>0</v>
      </c>
      <c r="BN42" s="196">
        <f ca="1">IF(AH42,_xll.xEURO(BB42,Strike2,AE42,AE42,BG42,O42,IF(OptControl=3,1,0),1),0)</f>
        <v>0</v>
      </c>
      <c r="BO42" s="196">
        <f ca="1">IF(AH42,_xll.xEURO(BB42,Strike2,AE42,AE42,BG42,O42,IF(OptControl=3,1,0),2),0)</f>
        <v>0</v>
      </c>
      <c r="BP42" s="196">
        <f ca="1">IF(AH42,_xll.xEURO(BB42,Strike2,AE42,AE42,BG42,O42,IF(OptControl=3,1,0),3)/100,0)</f>
        <v>0</v>
      </c>
      <c r="BQ42" s="197">
        <f ca="1">IF(AH42,_xll.xEURO(BB42,Strike2,AE42,AE42,BG42,O42-DaysForThetaCalculation,IF(OptControl=3,1,0),0)-_xll.xEURO(BB42,Strike2,AE42,AE42,BG42,O42,IF(OptControl=3,1,0),0),0)</f>
        <v>0</v>
      </c>
      <c r="BR42" s="301"/>
      <c r="BS42" s="114">
        <v>29.413000000000004</v>
      </c>
      <c r="BT42" s="345">
        <f t="shared" si="11"/>
        <v>70.030952380952385</v>
      </c>
      <c r="BU42" s="345">
        <f t="shared" ca="1" si="84"/>
        <v>8.2839393939393737</v>
      </c>
      <c r="BV42" s="73"/>
      <c r="BW42" s="345">
        <f t="shared" ca="1" si="80"/>
        <v>8.4957142857142873</v>
      </c>
      <c r="BX42" s="345">
        <f t="shared" ca="1" si="85"/>
        <v>69.475293305728073</v>
      </c>
      <c r="BY42" s="373">
        <f t="shared" ca="1" si="41"/>
        <v>66.813749742321235</v>
      </c>
      <c r="BZ42" s="114">
        <v>25.96</v>
      </c>
      <c r="CA42" s="345">
        <f t="shared" si="12"/>
        <v>61.80952380952381</v>
      </c>
      <c r="CB42" s="345">
        <f t="shared" ca="1" si="86"/>
        <v>6.3939393939393732</v>
      </c>
      <c r="CC42" s="345">
        <f t="shared" ca="1" si="81"/>
        <v>5.8707142857142873</v>
      </c>
      <c r="CD42" s="345">
        <f t="shared" ca="1" si="15"/>
        <v>60.563749742321228</v>
      </c>
      <c r="CE42" s="347">
        <f t="shared" ca="1" si="70"/>
        <v>-6.2500000000000071</v>
      </c>
      <c r="CF42" s="114">
        <v>22.562000000000005</v>
      </c>
      <c r="CG42" s="345">
        <f t="shared" si="16"/>
        <v>53.719047619047629</v>
      </c>
      <c r="CH42" s="345">
        <f t="shared" ca="1" si="42"/>
        <v>2.3659393939393745</v>
      </c>
      <c r="CI42" s="73"/>
      <c r="CJ42" s="345">
        <f t="shared" ca="1" si="89"/>
        <v>2.5270909090909113</v>
      </c>
      <c r="CK42" s="345">
        <f t="shared" ca="1" si="90"/>
        <v>54.053864734299495</v>
      </c>
      <c r="CL42" s="345">
        <f t="shared" ca="1" si="45"/>
        <v>52.60274170274176</v>
      </c>
      <c r="CM42" s="114">
        <v>21.113000000000003</v>
      </c>
      <c r="CN42" s="345">
        <f t="shared" si="17"/>
        <v>50.269047619047626</v>
      </c>
      <c r="CO42" s="345">
        <f t="shared" ca="1" si="46"/>
        <v>1.5469393939393754</v>
      </c>
      <c r="CP42" s="345">
        <f t="shared" ca="1" si="92"/>
        <v>1.6030909090909082</v>
      </c>
      <c r="CQ42" s="345">
        <f t="shared" ca="1" si="19"/>
        <v>50.402741702741757</v>
      </c>
      <c r="CR42" s="347">
        <f t="shared" ca="1" si="71"/>
        <v>-2.2000000000000028</v>
      </c>
      <c r="CS42" s="114">
        <v>22.058000000000003</v>
      </c>
      <c r="CT42" s="345">
        <f t="shared" si="20"/>
        <v>52.519047619047626</v>
      </c>
      <c r="CU42" s="345">
        <f t="shared" si="72"/>
        <v>0.29999999999999716</v>
      </c>
      <c r="CV42" s="345">
        <f t="shared" ca="1" si="91"/>
        <v>0.89999999999999436</v>
      </c>
      <c r="CW42" s="347">
        <f t="shared" ca="1" si="73"/>
        <v>53.502741702741751</v>
      </c>
      <c r="CX42" s="483">
        <v>0.21199999999999999</v>
      </c>
      <c r="CY42" s="190">
        <f t="shared" si="47"/>
        <v>-4.4180138501001553E-4</v>
      </c>
      <c r="CZ42" s="190">
        <f t="shared" ca="1" si="78"/>
        <v>-0.03</v>
      </c>
      <c r="DA42" s="354">
        <f t="shared" ca="1" si="79"/>
        <v>0.18244180138501001</v>
      </c>
      <c r="DB42" s="483">
        <v>0.21199999999999999</v>
      </c>
      <c r="DC42" s="190">
        <f t="shared" si="49"/>
        <v>-4.4180138501001553E-4</v>
      </c>
      <c r="DD42" s="190">
        <f t="shared" ca="1" si="82"/>
        <v>0.03</v>
      </c>
      <c r="DE42" s="354">
        <f t="shared" ca="1" si="83"/>
        <v>0.24244180138501001</v>
      </c>
      <c r="DG42" s="341"/>
      <c r="DH42" s="114">
        <v>16.866000000000003</v>
      </c>
      <c r="DI42" s="126">
        <f t="shared" ca="1" si="74"/>
        <v>-2.7000606060606245</v>
      </c>
      <c r="DJ42" s="126">
        <f t="shared" ca="1" si="22"/>
        <v>-2</v>
      </c>
      <c r="DK42" s="356">
        <f t="shared" ca="1" si="23"/>
        <v>17.566060606060628</v>
      </c>
      <c r="DL42" s="114">
        <v>14.316000000000003</v>
      </c>
      <c r="DM42" s="126">
        <f t="shared" ca="1" si="75"/>
        <v>-5.2500606060606252</v>
      </c>
      <c r="DN42" s="126">
        <f t="shared" ca="1" si="24"/>
        <v>-3</v>
      </c>
      <c r="DO42" s="356">
        <f t="shared" ca="1" si="25"/>
        <v>16.566060606060628</v>
      </c>
      <c r="DP42" s="114">
        <v>13.566000000000003</v>
      </c>
      <c r="DQ42" s="126">
        <f t="shared" ca="1" si="76"/>
        <v>-6.0000606060606252</v>
      </c>
      <c r="DR42" s="126">
        <f t="shared" ca="1" si="26"/>
        <v>-6</v>
      </c>
      <c r="DS42" s="356">
        <f t="shared" ca="1" si="27"/>
        <v>13.566060606060628</v>
      </c>
      <c r="DT42" s="114">
        <v>15.666000000000002</v>
      </c>
      <c r="DU42" s="126">
        <f t="shared" ca="1" si="77"/>
        <v>-3.9000606060606255</v>
      </c>
      <c r="DV42" s="126">
        <f t="shared" ca="1" si="28"/>
        <v>-5</v>
      </c>
      <c r="DW42" s="356">
        <f t="shared" ca="1" si="29"/>
        <v>14.566060606060628</v>
      </c>
      <c r="DY42" s="100">
        <v>2004</v>
      </c>
      <c r="DZ42" s="291">
        <v>-2</v>
      </c>
      <c r="EA42" s="291">
        <v>-3</v>
      </c>
      <c r="EB42" s="291">
        <v>-6</v>
      </c>
      <c r="EC42" s="244">
        <v>-5</v>
      </c>
      <c r="ED42" s="289"/>
      <c r="EE42" s="289"/>
      <c r="EF42" s="289"/>
    </row>
    <row r="43" spans="2:136" x14ac:dyDescent="0.25">
      <c r="B43" s="396">
        <v>36861</v>
      </c>
      <c r="C43" s="399">
        <v>36850</v>
      </c>
      <c r="I43" s="136">
        <f t="shared" ca="1" si="105"/>
        <v>38108</v>
      </c>
      <c r="J43" s="130">
        <f t="shared" ca="1" si="31"/>
        <v>38097</v>
      </c>
      <c r="K43" s="106">
        <f t="shared" ca="1" si="106"/>
        <v>0.7142857142857143</v>
      </c>
      <c r="L43" s="133">
        <f t="shared" ca="1" si="93"/>
        <v>104</v>
      </c>
      <c r="M43" s="134">
        <f t="shared" ca="1" si="94"/>
        <v>5</v>
      </c>
      <c r="N43" s="103">
        <f t="shared" ca="1" si="97"/>
        <v>21</v>
      </c>
      <c r="O43" s="104">
        <f t="shared" ca="1" si="33"/>
        <v>1150</v>
      </c>
      <c r="P43" s="105">
        <f t="shared" ca="1" si="95"/>
        <v>3.159479808350445</v>
      </c>
      <c r="Q43" s="105">
        <f t="shared" ca="1" si="96"/>
        <v>3.2416153319644079</v>
      </c>
      <c r="R43" s="114">
        <v>19.586666666666698</v>
      </c>
      <c r="S43" s="198">
        <v>0</v>
      </c>
      <c r="T43" s="189">
        <f t="shared" si="34"/>
        <v>19.586666666666698</v>
      </c>
      <c r="U43" s="199">
        <f t="shared" ca="1" si="98"/>
        <v>19.513809523809517</v>
      </c>
      <c r="V43" s="379">
        <f t="shared" ca="1" si="99"/>
        <v>19.513809523809517</v>
      </c>
      <c r="W43" s="483">
        <v>0.21143116884324908</v>
      </c>
      <c r="X43" s="166" t="str">
        <f t="shared" ca="1" si="100"/>
        <v/>
      </c>
      <c r="Y43" s="91">
        <f t="shared" ca="1" si="108"/>
        <v>6.7689349354352136E-3</v>
      </c>
      <c r="Z43" s="91">
        <f t="shared" ca="1" si="109"/>
        <v>3.4026168929695306E-3</v>
      </c>
      <c r="AA43" s="91">
        <f t="shared" ca="1" si="110"/>
        <v>1.4647917035289348E-3</v>
      </c>
      <c r="AB43" s="91">
        <f t="shared" ca="1" si="111"/>
        <v>3.2998827497099843E-3</v>
      </c>
      <c r="AC43" s="91">
        <f t="shared" ca="1" si="112"/>
        <v>7.665415336481819E-3</v>
      </c>
      <c r="AD43" s="91">
        <f t="shared" ca="1" si="113"/>
        <v>1.5249056622548399E-2</v>
      </c>
      <c r="AE43" s="124">
        <v>7.2051293323044011E-2</v>
      </c>
      <c r="AF43" s="191">
        <f t="shared" ca="1" si="57"/>
        <v>0.79496765966382021</v>
      </c>
      <c r="AG43" s="189">
        <f t="shared" ca="1" si="107"/>
        <v>1</v>
      </c>
      <c r="AH43" s="192">
        <f t="shared" ca="1" si="101"/>
        <v>0</v>
      </c>
      <c r="AI43" s="192">
        <f t="shared" ca="1" si="102"/>
        <v>0</v>
      </c>
      <c r="AJ43" s="192">
        <f t="shared" ca="1" si="103"/>
        <v>0</v>
      </c>
      <c r="AK43" s="192">
        <f t="shared" ca="1" si="104"/>
        <v>0</v>
      </c>
      <c r="AL43" s="191" t="str">
        <f t="shared" ca="1" si="60"/>
        <v/>
      </c>
      <c r="AM43" s="191" t="str">
        <f t="shared" ca="1" si="61"/>
        <v/>
      </c>
      <c r="AN43" s="191" t="str">
        <f t="shared" ca="1" si="62"/>
        <v/>
      </c>
      <c r="AO43" s="193" t="str">
        <f t="shared" ca="1" si="63"/>
        <v/>
      </c>
      <c r="AP43" s="194" t="str">
        <f t="shared" ca="1" si="36"/>
        <v/>
      </c>
      <c r="AQ43" s="194" t="str">
        <f t="shared" ca="1" si="37"/>
        <v/>
      </c>
      <c r="AR43" s="195">
        <f ca="1">IF(AH43,_xll.xASN(AL43,Strike1,AE43,AP43,0,N43,0,P43,Q43,IF(OptControl=4,0,1),0),0)</f>
        <v>0</v>
      </c>
      <c r="AS43" s="196">
        <f ca="1">IF(AH43,_xll.xASN(AL43,Strike1,AE43,AP43,0,N43,0,P43,Q43,IF(OptControl=4,0,1),1),0)</f>
        <v>0</v>
      </c>
      <c r="AT43" s="196">
        <f ca="1">IF(AH43,_xll.xASN(AL43,Strike1,AE43,AP43,0,N43,0,P43,Q43,IF(OptControl=4,0,1),2),0)</f>
        <v>0</v>
      </c>
      <c r="AU43" s="196">
        <f ca="1">IF(AH43,_xll.xASN(AL43,Strike1,AE43,AP43,0,N43,0,P43,Q43,IF(OptControl=4,0,1),3)/100,0)</f>
        <v>0</v>
      </c>
      <c r="AV43" s="196">
        <f ca="1">IF(AH43,_xll.xASN(AL43,Strike1,AE43,AP43,0,N43,0,P43-DaysForThetaCalculation/365.25,Q43-DaysForThetaCalculation/365.25,IF(OptControl=4,0,1),0)-_xll.xASN(AL43,Strike1,AE43,AP43,0,N43,0,P43,Q43,IF(OptControl=4,0,1),0),0)</f>
        <v>0</v>
      </c>
      <c r="AW43" s="196">
        <f ca="1">IF(AH43,_xll.xASN(AL43,Strike2,AE43,AQ43,0,N43,0,P43,Q43,IF(OptControl=3,1,0),0),0)</f>
        <v>0</v>
      </c>
      <c r="AX43" s="196">
        <f ca="1">IF(AH43,_xll.xASN(AL43,Strike2,AE43,AQ43,0,N43,0,P43,Q43,IF(OptControl=3,1,0),1),0)</f>
        <v>0</v>
      </c>
      <c r="AY43" s="196">
        <f ca="1">IF(AH43,_xll.xASN(AL43,Strike2,AE43,AQ43,0,N43,0,P43,Q43,IF(OptControl=3,1,0),2),0)</f>
        <v>0</v>
      </c>
      <c r="AZ43" s="196">
        <f ca="1">IF(AH43,_xll.xASN(AL43,Strike2,AE43,AQ43,0,N43,0,P43,Q43,IF(OptControl=3,1,0),3)/100,0)</f>
        <v>0</v>
      </c>
      <c r="BA43" s="196">
        <f ca="1">IF(AH43,_xll.xASN(AL43,Strike2,AE43,AQ43,0,N43,0,P43-DaysForThetaCalculation/365.25,Q43-DaysForThetaCalculation/365.25,IF(OptControl=3,1,0),0)-_xll.xASN(AL43,Strike2,AE43,AQ43,0,N43,0,P43,Q43,IF(OptControl=3,1,0),0),0)</f>
        <v>0</v>
      </c>
      <c r="BB43" s="126" t="str">
        <f t="shared" ca="1" si="64"/>
        <v/>
      </c>
      <c r="BC43" s="191" t="str">
        <f t="shared" ca="1" si="65"/>
        <v/>
      </c>
      <c r="BD43" s="191" t="str">
        <f t="shared" ca="1" si="66"/>
        <v/>
      </c>
      <c r="BE43" s="190" t="str">
        <f t="shared" ca="1" si="67"/>
        <v/>
      </c>
      <c r="BF43" s="194" t="str">
        <f t="shared" ca="1" si="68"/>
        <v/>
      </c>
      <c r="BG43" s="194" t="str">
        <f t="shared" ca="1" si="69"/>
        <v/>
      </c>
      <c r="BH43" s="195">
        <f ca="1">IF(AH43,_xll.xEURO(BB43,Strike1,AE43,AE43,BF43,O43,IF(OptControl=4,0,1),0),0)</f>
        <v>0</v>
      </c>
      <c r="BI43" s="196">
        <f ca="1">IF(AH43,_xll.xEURO(BB43,Strike1,AE43,AE43,BF43,O43,IF(OptControl=4,0,1),1),0)</f>
        <v>0</v>
      </c>
      <c r="BJ43" s="196">
        <f ca="1">IF(AH43,_xll.xEURO(BB43,Strike1,AE43,AE43,BF43,O43,IF(OptControl=4,0,1),2),0)</f>
        <v>0</v>
      </c>
      <c r="BK43" s="196">
        <f ca="1">IF(AH43,_xll.xEURO(BB43,Strike1,AE43,AE43,BF43,O43,IF(OptControl=4,0,1),3)/100,0)</f>
        <v>0</v>
      </c>
      <c r="BL43" s="196">
        <f ca="1">IF(AH43,_xll.xEURO(BB43,Strike1,AE43,AE43,BF43,O43-DaysForThetaCalculation,IF(OptControl=4,0,1),0)-_xll.xEURO(BB43,Strike1,AE43,AE43,BF43,O43,IF(OptControl=4,0,1),0),0)</f>
        <v>0</v>
      </c>
      <c r="BM43" s="196">
        <f ca="1">IF(AH43,_xll.xEURO(BB43,Strike2,AE43,AE43,BG43,O43,IF(OptControl=3,1,0),0),0)</f>
        <v>0</v>
      </c>
      <c r="BN43" s="196">
        <f ca="1">IF(AH43,_xll.xEURO(BB43,Strike2,AE43,AE43,BG43,O43,IF(OptControl=3,1,0),1),0)</f>
        <v>0</v>
      </c>
      <c r="BO43" s="196">
        <f ca="1">IF(AH43,_xll.xEURO(BB43,Strike2,AE43,AE43,BG43,O43,IF(OptControl=3,1,0),2),0)</f>
        <v>0</v>
      </c>
      <c r="BP43" s="196">
        <f ca="1">IF(AH43,_xll.xEURO(BB43,Strike2,AE43,AE43,BG43,O43,IF(OptControl=3,1,0),3)/100,0)</f>
        <v>0</v>
      </c>
      <c r="BQ43" s="197">
        <f ca="1">IF(AH43,_xll.xEURO(BB43,Strike2,AE43,AE43,BG43,O43-DaysForThetaCalculation,IF(OptControl=3,1,0),0)-_xll.xEURO(BB43,Strike2,AE43,AE43,BG43,O43,IF(OptControl=3,1,0),0),0)</f>
        <v>0</v>
      </c>
      <c r="BR43" s="301"/>
      <c r="BS43" s="114">
        <v>27.85</v>
      </c>
      <c r="BT43" s="345">
        <f t="shared" si="11"/>
        <v>66.30952380952381</v>
      </c>
      <c r="BU43" s="345">
        <f t="shared" ca="1" si="84"/>
        <v>7.723190476190485</v>
      </c>
      <c r="BV43" s="73"/>
      <c r="BW43" s="345">
        <f t="shared" ca="1" si="80"/>
        <v>8.0039130434782617</v>
      </c>
      <c r="BX43" s="345">
        <f t="shared" ca="1" si="85"/>
        <v>66.813749742321235</v>
      </c>
      <c r="BY43" s="373">
        <f t="shared" ca="1" si="41"/>
        <v>65.518387064970895</v>
      </c>
      <c r="BZ43" s="114">
        <v>25.347000000000005</v>
      </c>
      <c r="CA43" s="345">
        <f t="shared" si="12"/>
        <v>60.350000000000009</v>
      </c>
      <c r="CB43" s="345">
        <f t="shared" ca="1" si="86"/>
        <v>5.833190476190488</v>
      </c>
      <c r="CC43" s="345">
        <f t="shared" ca="1" si="81"/>
        <v>5.3789130434782617</v>
      </c>
      <c r="CD43" s="345">
        <f t="shared" ca="1" si="15"/>
        <v>59.268387064970902</v>
      </c>
      <c r="CE43" s="347">
        <f t="shared" ca="1" si="70"/>
        <v>-6.2499999999999929</v>
      </c>
      <c r="CF43" s="114">
        <v>21.932000000000002</v>
      </c>
      <c r="CG43" s="345">
        <f t="shared" si="16"/>
        <v>52.219047619047629</v>
      </c>
      <c r="CH43" s="345">
        <f t="shared" ca="1" si="42"/>
        <v>1.9691904761904837</v>
      </c>
      <c r="CI43" s="73"/>
      <c r="CJ43" s="345">
        <f t="shared" ca="1" si="89"/>
        <v>2.1220869565217368</v>
      </c>
      <c r="CK43" s="345">
        <f t="shared" ca="1" si="90"/>
        <v>52.60274170274176</v>
      </c>
      <c r="CL43" s="345">
        <f t="shared" ca="1" si="45"/>
        <v>51.514039238883939</v>
      </c>
      <c r="CM43" s="114">
        <v>20.664000000000001</v>
      </c>
      <c r="CN43" s="345">
        <f t="shared" si="17"/>
        <v>49.2</v>
      </c>
      <c r="CO43" s="345">
        <f t="shared" ca="1" si="46"/>
        <v>1.1501904761904846</v>
      </c>
      <c r="CP43" s="345">
        <f t="shared" ca="1" si="92"/>
        <v>1.1980869565217409</v>
      </c>
      <c r="CQ43" s="345">
        <f t="shared" ca="1" si="19"/>
        <v>49.314039238883943</v>
      </c>
      <c r="CR43" s="347">
        <f t="shared" ca="1" si="71"/>
        <v>-2.1999999999999957</v>
      </c>
      <c r="CS43" s="114">
        <v>21.609000000000002</v>
      </c>
      <c r="CT43" s="345">
        <f t="shared" si="20"/>
        <v>51.45</v>
      </c>
      <c r="CU43" s="345">
        <f t="shared" si="72"/>
        <v>0.29999999999999716</v>
      </c>
      <c r="CV43" s="345">
        <f t="shared" ca="1" si="91"/>
        <v>0.90000000000000857</v>
      </c>
      <c r="CW43" s="347">
        <f t="shared" ca="1" si="73"/>
        <v>52.414039238883944</v>
      </c>
      <c r="CX43" s="483">
        <v>0.21100000000000002</v>
      </c>
      <c r="CY43" s="190">
        <f t="shared" si="47"/>
        <v>-4.3116884324906346E-4</v>
      </c>
      <c r="CZ43" s="190">
        <f t="shared" ca="1" si="78"/>
        <v>-0.03</v>
      </c>
      <c r="DA43" s="354">
        <f t="shared" ca="1" si="79"/>
        <v>0.18143116884324909</v>
      </c>
      <c r="DB43" s="483">
        <v>0.21100000000000002</v>
      </c>
      <c r="DC43" s="190">
        <f t="shared" si="49"/>
        <v>-4.3116884324906346E-4</v>
      </c>
      <c r="DD43" s="190">
        <f t="shared" ca="1" si="82"/>
        <v>0.03</v>
      </c>
      <c r="DE43" s="354">
        <f t="shared" ca="1" si="83"/>
        <v>0.24143116884324908</v>
      </c>
      <c r="DG43" s="341"/>
      <c r="DH43" s="114">
        <v>16.809000000000001</v>
      </c>
      <c r="DI43" s="126">
        <f t="shared" ca="1" si="74"/>
        <v>-2.7048095238095158</v>
      </c>
      <c r="DJ43" s="126">
        <f t="shared" ca="1" si="22"/>
        <v>-2</v>
      </c>
      <c r="DK43" s="356">
        <f t="shared" ca="1" si="23"/>
        <v>17.513809523809517</v>
      </c>
      <c r="DL43" s="114">
        <v>14.259</v>
      </c>
      <c r="DM43" s="126">
        <f t="shared" ca="1" si="75"/>
        <v>-5.2548095238095165</v>
      </c>
      <c r="DN43" s="126">
        <f t="shared" ca="1" si="24"/>
        <v>-3</v>
      </c>
      <c r="DO43" s="356">
        <f t="shared" ca="1" si="25"/>
        <v>16.513809523809517</v>
      </c>
      <c r="DP43" s="114">
        <v>13.509</v>
      </c>
      <c r="DQ43" s="126">
        <f t="shared" ca="1" si="76"/>
        <v>-6.0048095238095165</v>
      </c>
      <c r="DR43" s="126">
        <f t="shared" ca="1" si="26"/>
        <v>-6</v>
      </c>
      <c r="DS43" s="356">
        <f t="shared" ca="1" si="27"/>
        <v>13.513809523809517</v>
      </c>
      <c r="DT43" s="114">
        <v>15.609000000000002</v>
      </c>
      <c r="DU43" s="126">
        <f t="shared" ca="1" si="77"/>
        <v>-3.9048095238095151</v>
      </c>
      <c r="DV43" s="126">
        <f t="shared" ca="1" si="28"/>
        <v>-5</v>
      </c>
      <c r="DW43" s="356">
        <f t="shared" ca="1" si="29"/>
        <v>14.513809523809517</v>
      </c>
      <c r="DY43" s="100">
        <v>2005</v>
      </c>
      <c r="DZ43" s="291">
        <v>-2</v>
      </c>
      <c r="EA43" s="291">
        <v>-3</v>
      </c>
      <c r="EB43" s="291">
        <v>-6</v>
      </c>
      <c r="EC43" s="244">
        <v>-5</v>
      </c>
      <c r="ED43" s="289"/>
      <c r="EE43" s="289"/>
      <c r="EF43" s="289"/>
    </row>
    <row r="44" spans="2:136" x14ac:dyDescent="0.25">
      <c r="B44" s="396">
        <v>36892</v>
      </c>
      <c r="C44" s="399">
        <v>36879</v>
      </c>
      <c r="I44" s="136">
        <f t="shared" ca="1" si="105"/>
        <v>38139</v>
      </c>
      <c r="J44" s="130">
        <f t="shared" ca="1" si="31"/>
        <v>38129</v>
      </c>
      <c r="K44" s="106">
        <f t="shared" ca="1" si="106"/>
        <v>0.63636363636363635</v>
      </c>
      <c r="L44" s="133">
        <f t="shared" ca="1" si="93"/>
        <v>104</v>
      </c>
      <c r="M44" s="134">
        <f t="shared" ca="1" si="94"/>
        <v>6</v>
      </c>
      <c r="N44" s="103">
        <f t="shared" ca="1" si="97"/>
        <v>22</v>
      </c>
      <c r="O44" s="104">
        <f t="shared" ca="1" si="33"/>
        <v>1179</v>
      </c>
      <c r="P44" s="105">
        <f t="shared" ca="1" si="95"/>
        <v>3.2443531827515399</v>
      </c>
      <c r="Q44" s="105">
        <f t="shared" ca="1" si="96"/>
        <v>3.3237508555783708</v>
      </c>
      <c r="R44" s="114">
        <v>19.53</v>
      </c>
      <c r="S44" s="198">
        <v>0</v>
      </c>
      <c r="T44" s="189">
        <f t="shared" si="34"/>
        <v>19.53</v>
      </c>
      <c r="U44" s="199">
        <f t="shared" ca="1" si="98"/>
        <v>19.452727272727266</v>
      </c>
      <c r="V44" s="379">
        <f t="shared" ca="1" si="99"/>
        <v>19.452727272727266</v>
      </c>
      <c r="W44" s="483">
        <v>0.21020585831477007</v>
      </c>
      <c r="X44" s="166" t="str">
        <f t="shared" ca="1" si="100"/>
        <v/>
      </c>
      <c r="Y44" s="91">
        <f t="shared" ca="1" si="108"/>
        <v>6.6240223335253152E-3</v>
      </c>
      <c r="Z44" s="91">
        <f t="shared" ca="1" si="109"/>
        <v>3.3119442679646256E-3</v>
      </c>
      <c r="AA44" s="91">
        <f t="shared" ca="1" si="110"/>
        <v>1.4219347624927438E-3</v>
      </c>
      <c r="AB44" s="91">
        <f t="shared" ca="1" si="111"/>
        <v>3.2033346329436536E-3</v>
      </c>
      <c r="AC44" s="91">
        <f t="shared" ca="1" si="112"/>
        <v>7.4611480468707728E-3</v>
      </c>
      <c r="AD44" s="91">
        <f t="shared" ca="1" si="113"/>
        <v>1.4922597512965778E-2</v>
      </c>
      <c r="AE44" s="124">
        <v>7.2103445644777026E-2</v>
      </c>
      <c r="AF44" s="191">
        <f t="shared" ca="1" si="57"/>
        <v>0.79022700968506832</v>
      </c>
      <c r="AG44" s="189">
        <f t="shared" ca="1" si="107"/>
        <v>1</v>
      </c>
      <c r="AH44" s="192">
        <f t="shared" ca="1" si="101"/>
        <v>0</v>
      </c>
      <c r="AI44" s="192">
        <f t="shared" ca="1" si="102"/>
        <v>0</v>
      </c>
      <c r="AJ44" s="192">
        <f t="shared" ca="1" si="103"/>
        <v>0</v>
      </c>
      <c r="AK44" s="192">
        <f t="shared" ca="1" si="104"/>
        <v>0</v>
      </c>
      <c r="AL44" s="191" t="str">
        <f t="shared" ca="1" si="60"/>
        <v/>
      </c>
      <c r="AM44" s="191" t="str">
        <f t="shared" ca="1" si="61"/>
        <v/>
      </c>
      <c r="AN44" s="191" t="str">
        <f t="shared" ca="1" si="62"/>
        <v/>
      </c>
      <c r="AO44" s="193" t="str">
        <f t="shared" ca="1" si="63"/>
        <v/>
      </c>
      <c r="AP44" s="194" t="str">
        <f t="shared" ca="1" si="36"/>
        <v/>
      </c>
      <c r="AQ44" s="194" t="str">
        <f t="shared" ca="1" si="37"/>
        <v/>
      </c>
      <c r="AR44" s="195">
        <f ca="1">IF(AH44,_xll.xASN(AL44,Strike1,AE44,AP44,0,N44,0,P44,Q44,IF(OptControl=4,0,1),0),0)</f>
        <v>0</v>
      </c>
      <c r="AS44" s="196">
        <f ca="1">IF(AH44,_xll.xASN(AL44,Strike1,AE44,AP44,0,N44,0,P44,Q44,IF(OptControl=4,0,1),1),0)</f>
        <v>0</v>
      </c>
      <c r="AT44" s="196">
        <f ca="1">IF(AH44,_xll.xASN(AL44,Strike1,AE44,AP44,0,N44,0,P44,Q44,IF(OptControl=4,0,1),2),0)</f>
        <v>0</v>
      </c>
      <c r="AU44" s="196">
        <f ca="1">IF(AH44,_xll.xASN(AL44,Strike1,AE44,AP44,0,N44,0,P44,Q44,IF(OptControl=4,0,1),3)/100,0)</f>
        <v>0</v>
      </c>
      <c r="AV44" s="196">
        <f ca="1">IF(AH44,_xll.xASN(AL44,Strike1,AE44,AP44,0,N44,0,P44-DaysForThetaCalculation/365.25,Q44-DaysForThetaCalculation/365.25,IF(OptControl=4,0,1),0)-_xll.xASN(AL44,Strike1,AE44,AP44,0,N44,0,P44,Q44,IF(OptControl=4,0,1),0),0)</f>
        <v>0</v>
      </c>
      <c r="AW44" s="196">
        <f ca="1">IF(AH44,_xll.xASN(AL44,Strike2,AE44,AQ44,0,N44,0,P44,Q44,IF(OptControl=3,1,0),0),0)</f>
        <v>0</v>
      </c>
      <c r="AX44" s="196">
        <f ca="1">IF(AH44,_xll.xASN(AL44,Strike2,AE44,AQ44,0,N44,0,P44,Q44,IF(OptControl=3,1,0),1),0)</f>
        <v>0</v>
      </c>
      <c r="AY44" s="196">
        <f ca="1">IF(AH44,_xll.xASN(AL44,Strike2,AE44,AQ44,0,N44,0,P44,Q44,IF(OptControl=3,1,0),2),0)</f>
        <v>0</v>
      </c>
      <c r="AZ44" s="196">
        <f ca="1">IF(AH44,_xll.xASN(AL44,Strike2,AE44,AQ44,0,N44,0,P44,Q44,IF(OptControl=3,1,0),3)/100,0)</f>
        <v>0</v>
      </c>
      <c r="BA44" s="196">
        <f ca="1">IF(AH44,_xll.xASN(AL44,Strike2,AE44,AQ44,0,N44,0,P44-DaysForThetaCalculation/365.25,Q44-DaysForThetaCalculation/365.25,IF(OptControl=3,1,0),0)-_xll.xASN(AL44,Strike2,AE44,AQ44,0,N44,0,P44,Q44,IF(OptControl=3,1,0),0),0)</f>
        <v>0</v>
      </c>
      <c r="BB44" s="126" t="str">
        <f t="shared" ca="1" si="64"/>
        <v/>
      </c>
      <c r="BC44" s="191" t="str">
        <f t="shared" ca="1" si="65"/>
        <v/>
      </c>
      <c r="BD44" s="191" t="str">
        <f t="shared" ca="1" si="66"/>
        <v/>
      </c>
      <c r="BE44" s="190" t="str">
        <f t="shared" ca="1" si="67"/>
        <v/>
      </c>
      <c r="BF44" s="194" t="str">
        <f t="shared" ca="1" si="68"/>
        <v/>
      </c>
      <c r="BG44" s="194" t="str">
        <f t="shared" ca="1" si="69"/>
        <v/>
      </c>
      <c r="BH44" s="195">
        <f ca="1">IF(AH44,_xll.xEURO(BB44,Strike1,AE44,AE44,BF44,O44,IF(OptControl=4,0,1),0),0)</f>
        <v>0</v>
      </c>
      <c r="BI44" s="196">
        <f ca="1">IF(AH44,_xll.xEURO(BB44,Strike1,AE44,AE44,BF44,O44,IF(OptControl=4,0,1),1),0)</f>
        <v>0</v>
      </c>
      <c r="BJ44" s="196">
        <f ca="1">IF(AH44,_xll.xEURO(BB44,Strike1,AE44,AE44,BF44,O44,IF(OptControl=4,0,1),2),0)</f>
        <v>0</v>
      </c>
      <c r="BK44" s="196">
        <f ca="1">IF(AH44,_xll.xEURO(BB44,Strike1,AE44,AE44,BF44,O44,IF(OptControl=4,0,1),3)/100,0)</f>
        <v>0</v>
      </c>
      <c r="BL44" s="196">
        <f ca="1">IF(AH44,_xll.xEURO(BB44,Strike1,AE44,AE44,BF44,O44-DaysForThetaCalculation,IF(OptControl=4,0,1),0)-_xll.xEURO(BB44,Strike1,AE44,AE44,BF44,O44,IF(OptControl=4,0,1),0),0)</f>
        <v>0</v>
      </c>
      <c r="BM44" s="196">
        <f ca="1">IF(AH44,_xll.xEURO(BB44,Strike2,AE44,AE44,BG44,O44,IF(OptControl=3,1,0),0),0)</f>
        <v>0</v>
      </c>
      <c r="BN44" s="196">
        <f ca="1">IF(AH44,_xll.xEURO(BB44,Strike2,AE44,AE44,BG44,O44,IF(OptControl=3,1,0),1),0)</f>
        <v>0</v>
      </c>
      <c r="BO44" s="196">
        <f ca="1">IF(AH44,_xll.xEURO(BB44,Strike2,AE44,AE44,BG44,O44,IF(OptControl=3,1,0),2),0)</f>
        <v>0</v>
      </c>
      <c r="BP44" s="196">
        <f ca="1">IF(AH44,_xll.xEURO(BB44,Strike2,AE44,AE44,BG44,O44,IF(OptControl=3,1,0),3)/100,0)</f>
        <v>0</v>
      </c>
      <c r="BQ44" s="197">
        <f ca="1">IF(AH44,_xll.xEURO(BB44,Strike2,AE44,AE44,BG44,O44-DaysForThetaCalculation,IF(OptControl=3,1,0),0)-_xll.xEURO(BB44,Strike2,AE44,AE44,BG44,O44,IF(OptControl=3,1,0),0),0)</f>
        <v>0</v>
      </c>
      <c r="BR44" s="301"/>
      <c r="BS44" s="114">
        <v>27.237000000000002</v>
      </c>
      <c r="BT44" s="345">
        <f t="shared" si="11"/>
        <v>64.850000000000009</v>
      </c>
      <c r="BU44" s="345">
        <f t="shared" ca="1" si="84"/>
        <v>7.297272727272734</v>
      </c>
      <c r="BV44" s="73"/>
      <c r="BW44" s="345">
        <f t="shared" ca="1" si="80"/>
        <v>7.5236666666666689</v>
      </c>
      <c r="BX44" s="345">
        <f t="shared" ca="1" si="85"/>
        <v>65.518387064970895</v>
      </c>
      <c r="BY44" s="373">
        <f t="shared" ca="1" si="41"/>
        <v>64.229509379509381</v>
      </c>
      <c r="BZ44" s="114">
        <v>24.86</v>
      </c>
      <c r="CA44" s="345">
        <f t="shared" si="12"/>
        <v>59.19047619047619</v>
      </c>
      <c r="CB44" s="345">
        <f t="shared" ca="1" si="86"/>
        <v>5.4072727272727334</v>
      </c>
      <c r="CC44" s="345">
        <f t="shared" ca="1" si="81"/>
        <v>4.8986666666666725</v>
      </c>
      <c r="CD44" s="345">
        <f t="shared" ca="1" si="15"/>
        <v>57.979509379509373</v>
      </c>
      <c r="CE44" s="347">
        <f t="shared" ca="1" si="70"/>
        <v>-6.2500000000000071</v>
      </c>
      <c r="CF44" s="114">
        <v>21.483000000000001</v>
      </c>
      <c r="CG44" s="345">
        <f t="shared" si="16"/>
        <v>51.150000000000006</v>
      </c>
      <c r="CH44" s="345">
        <f t="shared" ca="1" si="42"/>
        <v>2.0592727272727309</v>
      </c>
      <c r="CI44" s="73"/>
      <c r="CJ44" s="345">
        <f t="shared" ca="1" si="89"/>
        <v>2.1970000000000018</v>
      </c>
      <c r="CK44" s="345">
        <f t="shared" ca="1" si="90"/>
        <v>51.514039238883939</v>
      </c>
      <c r="CL44" s="345">
        <f t="shared" ca="1" si="45"/>
        <v>51.54696969696969</v>
      </c>
      <c r="CM44" s="114">
        <v>20.693000000000001</v>
      </c>
      <c r="CN44" s="345">
        <f t="shared" si="17"/>
        <v>49.269047619047626</v>
      </c>
      <c r="CO44" s="345">
        <f t="shared" ca="1" si="46"/>
        <v>1.2402727272727354</v>
      </c>
      <c r="CP44" s="345">
        <f t="shared" ca="1" si="92"/>
        <v>1.2729999999999988</v>
      </c>
      <c r="CQ44" s="345">
        <f t="shared" ca="1" si="19"/>
        <v>49.346969696969687</v>
      </c>
      <c r="CR44" s="347">
        <f t="shared" ca="1" si="71"/>
        <v>-2.2000000000000028</v>
      </c>
      <c r="CS44" s="114">
        <v>21.638000000000002</v>
      </c>
      <c r="CT44" s="345">
        <f t="shared" si="20"/>
        <v>51.519047619047626</v>
      </c>
      <c r="CU44" s="345">
        <f t="shared" si="72"/>
        <v>0.30000000000001137</v>
      </c>
      <c r="CV44" s="345">
        <f t="shared" ca="1" si="91"/>
        <v>0.89999999999999436</v>
      </c>
      <c r="CW44" s="347">
        <f t="shared" ca="1" si="73"/>
        <v>52.446969696969681</v>
      </c>
      <c r="CX44" s="483">
        <v>0.21</v>
      </c>
      <c r="CY44" s="190">
        <f t="shared" si="47"/>
        <v>-2.0585831477007432E-4</v>
      </c>
      <c r="CZ44" s="190">
        <f t="shared" ca="1" si="78"/>
        <v>-0.03</v>
      </c>
      <c r="DA44" s="354">
        <f t="shared" ca="1" si="79"/>
        <v>0.18020585831477007</v>
      </c>
      <c r="DB44" s="483">
        <v>0.21</v>
      </c>
      <c r="DC44" s="190">
        <f t="shared" si="49"/>
        <v>-2.0585831477007432E-4</v>
      </c>
      <c r="DD44" s="190">
        <f t="shared" ca="1" si="82"/>
        <v>0.03</v>
      </c>
      <c r="DE44" s="354">
        <f t="shared" ca="1" si="83"/>
        <v>0.24020585831477007</v>
      </c>
      <c r="DG44" s="341"/>
      <c r="DH44" s="114">
        <v>16.757000000000001</v>
      </c>
      <c r="DI44" s="126">
        <f t="shared" ca="1" si="74"/>
        <v>-2.6957272727272645</v>
      </c>
      <c r="DJ44" s="126">
        <f t="shared" ca="1" si="22"/>
        <v>-2</v>
      </c>
      <c r="DK44" s="356">
        <f t="shared" ca="1" si="23"/>
        <v>17.452727272727266</v>
      </c>
      <c r="DL44" s="114">
        <v>14.207000000000001</v>
      </c>
      <c r="DM44" s="126">
        <f t="shared" ca="1" si="75"/>
        <v>-5.2457272727272652</v>
      </c>
      <c r="DN44" s="126">
        <f t="shared" ca="1" si="24"/>
        <v>-3</v>
      </c>
      <c r="DO44" s="356">
        <f t="shared" ca="1" si="25"/>
        <v>16.452727272727266</v>
      </c>
      <c r="DP44" s="114">
        <v>13.457000000000001</v>
      </c>
      <c r="DQ44" s="126">
        <f t="shared" ca="1" si="76"/>
        <v>-5.9957272727272652</v>
      </c>
      <c r="DR44" s="126">
        <f t="shared" ca="1" si="26"/>
        <v>-6</v>
      </c>
      <c r="DS44" s="356">
        <f t="shared" ca="1" si="27"/>
        <v>13.452727272727266</v>
      </c>
      <c r="DT44" s="114">
        <v>15.557</v>
      </c>
      <c r="DU44" s="126">
        <f t="shared" ca="1" si="77"/>
        <v>-3.8957272727272656</v>
      </c>
      <c r="DV44" s="126">
        <f t="shared" ca="1" si="28"/>
        <v>-5</v>
      </c>
      <c r="DW44" s="356">
        <f t="shared" ca="1" si="29"/>
        <v>14.452727272727266</v>
      </c>
      <c r="DY44" s="100">
        <v>2006</v>
      </c>
      <c r="DZ44" s="291">
        <v>-2</v>
      </c>
      <c r="EA44" s="291">
        <v>-3</v>
      </c>
      <c r="EB44" s="291">
        <v>-6</v>
      </c>
      <c r="EC44" s="244">
        <v>-5</v>
      </c>
      <c r="ED44" s="289"/>
      <c r="EE44" s="289"/>
      <c r="EF44" s="289"/>
    </row>
    <row r="45" spans="2:136" x14ac:dyDescent="0.25">
      <c r="B45" s="396">
        <v>36923</v>
      </c>
      <c r="C45" s="399">
        <v>36913</v>
      </c>
      <c r="I45" s="136">
        <f t="shared" ca="1" si="105"/>
        <v>38169</v>
      </c>
      <c r="J45" s="130">
        <f t="shared" ca="1" si="31"/>
        <v>38158</v>
      </c>
      <c r="K45" s="106">
        <f t="shared" ca="1" si="106"/>
        <v>0.63636363636363635</v>
      </c>
      <c r="L45" s="133">
        <f t="shared" ca="1" si="93"/>
        <v>104</v>
      </c>
      <c r="M45" s="134">
        <f t="shared" ca="1" si="94"/>
        <v>7</v>
      </c>
      <c r="N45" s="103">
        <f t="shared" ca="1" si="97"/>
        <v>22</v>
      </c>
      <c r="O45" s="104">
        <f t="shared" ca="1" si="33"/>
        <v>1209</v>
      </c>
      <c r="P45" s="105">
        <f t="shared" ca="1" si="95"/>
        <v>3.3264887063655029</v>
      </c>
      <c r="Q45" s="105">
        <f t="shared" ca="1" si="96"/>
        <v>3.4086242299794662</v>
      </c>
      <c r="R45" s="114">
        <v>19.473333333333304</v>
      </c>
      <c r="S45" s="198">
        <v>0</v>
      </c>
      <c r="T45" s="189">
        <f t="shared" si="34"/>
        <v>19.473333333333304</v>
      </c>
      <c r="U45" s="199">
        <f t="shared" ca="1" si="98"/>
        <v>19.396060606060626</v>
      </c>
      <c r="V45" s="379">
        <f t="shared" ca="1" si="99"/>
        <v>19.396060606060626</v>
      </c>
      <c r="W45" s="483">
        <v>0.20937873422689504</v>
      </c>
      <c r="X45" s="166" t="str">
        <f t="shared" ca="1" si="100"/>
        <v/>
      </c>
      <c r="Y45" s="91">
        <f t="shared" ca="1" si="108"/>
        <v>6.4822120900207784E-3</v>
      </c>
      <c r="Z45" s="91">
        <f t="shared" ca="1" si="109"/>
        <v>3.2236878788110936E-3</v>
      </c>
      <c r="AA45" s="91">
        <f t="shared" ca="1" si="110"/>
        <v>1.3803317317501152E-3</v>
      </c>
      <c r="AB45" s="91">
        <f t="shared" ca="1" si="111"/>
        <v>3.10961132528666E-3</v>
      </c>
      <c r="AC45" s="91">
        <f t="shared" ca="1" si="112"/>
        <v>7.2623240533856992E-3</v>
      </c>
      <c r="AD45" s="91">
        <f t="shared" ca="1" si="113"/>
        <v>1.4603127396398758E-2</v>
      </c>
      <c r="AE45" s="124">
        <v>7.2151612330059026E-2</v>
      </c>
      <c r="AF45" s="191">
        <f t="shared" ca="1" si="57"/>
        <v>0.78536600603408913</v>
      </c>
      <c r="AG45" s="189">
        <f t="shared" ca="1" si="107"/>
        <v>1</v>
      </c>
      <c r="AH45" s="192">
        <f t="shared" ca="1" si="101"/>
        <v>0</v>
      </c>
      <c r="AI45" s="192">
        <f t="shared" ca="1" si="102"/>
        <v>0</v>
      </c>
      <c r="AJ45" s="192">
        <f t="shared" ca="1" si="103"/>
        <v>0</v>
      </c>
      <c r="AK45" s="192">
        <f t="shared" ca="1" si="104"/>
        <v>0</v>
      </c>
      <c r="AL45" s="191" t="str">
        <f t="shared" ca="1" si="60"/>
        <v/>
      </c>
      <c r="AM45" s="191" t="str">
        <f t="shared" ca="1" si="61"/>
        <v/>
      </c>
      <c r="AN45" s="191" t="str">
        <f t="shared" ca="1" si="62"/>
        <v/>
      </c>
      <c r="AO45" s="193" t="str">
        <f t="shared" ca="1" si="63"/>
        <v/>
      </c>
      <c r="AP45" s="194" t="str">
        <f t="shared" ca="1" si="36"/>
        <v/>
      </c>
      <c r="AQ45" s="194" t="str">
        <f t="shared" ca="1" si="37"/>
        <v/>
      </c>
      <c r="AR45" s="195">
        <f ca="1">IF(AH45,_xll.xASN(AL45,Strike1,AE45,AP45,0,N45,0,P45,Q45,IF(OptControl=4,0,1),0),0)</f>
        <v>0</v>
      </c>
      <c r="AS45" s="196">
        <f ca="1">IF(AH45,_xll.xASN(AL45,Strike1,AE45,AP45,0,N45,0,P45,Q45,IF(OptControl=4,0,1),1),0)</f>
        <v>0</v>
      </c>
      <c r="AT45" s="196">
        <f ca="1">IF(AH45,_xll.xASN(AL45,Strike1,AE45,AP45,0,N45,0,P45,Q45,IF(OptControl=4,0,1),2),0)</f>
        <v>0</v>
      </c>
      <c r="AU45" s="196">
        <f ca="1">IF(AH45,_xll.xASN(AL45,Strike1,AE45,AP45,0,N45,0,P45,Q45,IF(OptControl=4,0,1),3)/100,0)</f>
        <v>0</v>
      </c>
      <c r="AV45" s="196">
        <f ca="1">IF(AH45,_xll.xASN(AL45,Strike1,AE45,AP45,0,N45,0,P45-DaysForThetaCalculation/365.25,Q45-DaysForThetaCalculation/365.25,IF(OptControl=4,0,1),0)-_xll.xASN(AL45,Strike1,AE45,AP45,0,N45,0,P45,Q45,IF(OptControl=4,0,1),0),0)</f>
        <v>0</v>
      </c>
      <c r="AW45" s="196">
        <f ca="1">IF(AH45,_xll.xASN(AL45,Strike2,AE45,AQ45,0,N45,0,P45,Q45,IF(OptControl=3,1,0),0),0)</f>
        <v>0</v>
      </c>
      <c r="AX45" s="196">
        <f ca="1">IF(AH45,_xll.xASN(AL45,Strike2,AE45,AQ45,0,N45,0,P45,Q45,IF(OptControl=3,1,0),1),0)</f>
        <v>0</v>
      </c>
      <c r="AY45" s="196">
        <f ca="1">IF(AH45,_xll.xASN(AL45,Strike2,AE45,AQ45,0,N45,0,P45,Q45,IF(OptControl=3,1,0),2),0)</f>
        <v>0</v>
      </c>
      <c r="AZ45" s="196">
        <f ca="1">IF(AH45,_xll.xASN(AL45,Strike2,AE45,AQ45,0,N45,0,P45,Q45,IF(OptControl=3,1,0),3)/100,0)</f>
        <v>0</v>
      </c>
      <c r="BA45" s="196">
        <f ca="1">IF(AH45,_xll.xASN(AL45,Strike2,AE45,AQ45,0,N45,0,P45-DaysForThetaCalculation/365.25,Q45-DaysForThetaCalculation/365.25,IF(OptControl=3,1,0),0)-_xll.xASN(AL45,Strike2,AE45,AQ45,0,N45,0,P45,Q45,IF(OptControl=3,1,0),0),0)</f>
        <v>0</v>
      </c>
      <c r="BB45" s="126" t="str">
        <f t="shared" ca="1" si="64"/>
        <v/>
      </c>
      <c r="BC45" s="191" t="str">
        <f t="shared" ca="1" si="65"/>
        <v/>
      </c>
      <c r="BD45" s="191" t="str">
        <f t="shared" ca="1" si="66"/>
        <v/>
      </c>
      <c r="BE45" s="190" t="str">
        <f t="shared" ca="1" si="67"/>
        <v/>
      </c>
      <c r="BF45" s="194" t="str">
        <f t="shared" ca="1" si="68"/>
        <v/>
      </c>
      <c r="BG45" s="194" t="str">
        <f t="shared" ca="1" si="69"/>
        <v/>
      </c>
      <c r="BH45" s="195">
        <f ca="1">IF(AH45,_xll.xEURO(BB45,Strike1,AE45,AE45,BF45,O45,IF(OptControl=4,0,1),0),0)</f>
        <v>0</v>
      </c>
      <c r="BI45" s="196">
        <f ca="1">IF(AH45,_xll.xEURO(BB45,Strike1,AE45,AE45,BF45,O45,IF(OptControl=4,0,1),1),0)</f>
        <v>0</v>
      </c>
      <c r="BJ45" s="196">
        <f ca="1">IF(AH45,_xll.xEURO(BB45,Strike1,AE45,AE45,BF45,O45,IF(OptControl=4,0,1),2),0)</f>
        <v>0</v>
      </c>
      <c r="BK45" s="196">
        <f ca="1">IF(AH45,_xll.xEURO(BB45,Strike1,AE45,AE45,BF45,O45,IF(OptControl=4,0,1),3)/100,0)</f>
        <v>0</v>
      </c>
      <c r="BL45" s="196">
        <f ca="1">IF(AH45,_xll.xEURO(BB45,Strike1,AE45,AE45,BF45,O45-DaysForThetaCalculation,IF(OptControl=4,0,1),0)-_xll.xEURO(BB45,Strike1,AE45,AE45,BF45,O45,IF(OptControl=4,0,1),0),0)</f>
        <v>0</v>
      </c>
      <c r="BM45" s="196">
        <f ca="1">IF(AH45,_xll.xEURO(BB45,Strike2,AE45,AE45,BG45,O45,IF(OptControl=3,1,0),0),0)</f>
        <v>0</v>
      </c>
      <c r="BN45" s="196">
        <f ca="1">IF(AH45,_xll.xEURO(BB45,Strike2,AE45,AE45,BG45,O45,IF(OptControl=3,1,0),1),0)</f>
        <v>0</v>
      </c>
      <c r="BO45" s="196">
        <f ca="1">IF(AH45,_xll.xEURO(BB45,Strike2,AE45,AE45,BG45,O45,IF(OptControl=3,1,0),2),0)</f>
        <v>0</v>
      </c>
      <c r="BP45" s="196">
        <f ca="1">IF(AH45,_xll.xEURO(BB45,Strike2,AE45,AE45,BG45,O45,IF(OptControl=3,1,0),3)/100,0)</f>
        <v>0</v>
      </c>
      <c r="BQ45" s="197">
        <f ca="1">IF(AH45,_xll.xEURO(BB45,Strike2,AE45,AE45,BG45,O45-DaysForThetaCalculation,IF(OptControl=3,1,0),0)-_xll.xEURO(BB45,Strike2,AE45,AE45,BG45,O45,IF(OptControl=3,1,0),0),0)</f>
        <v>0</v>
      </c>
      <c r="BR45" s="301"/>
      <c r="BS45" s="114">
        <v>26.75</v>
      </c>
      <c r="BT45" s="345">
        <f t="shared" si="11"/>
        <v>63.69047619047619</v>
      </c>
      <c r="BU45" s="345">
        <f t="shared" ca="1" si="84"/>
        <v>6.7619393939393753</v>
      </c>
      <c r="BV45" s="73"/>
      <c r="BW45" s="345">
        <f t="shared" ca="1" si="80"/>
        <v>6.9833636363636469</v>
      </c>
      <c r="BX45" s="345">
        <f t="shared" ca="1" si="85"/>
        <v>64.229509379509381</v>
      </c>
      <c r="BY45" s="373">
        <f t="shared" ca="1" si="41"/>
        <v>62.808152958153023</v>
      </c>
      <c r="BZ45" s="114">
        <v>24.268000000000001</v>
      </c>
      <c r="CA45" s="345">
        <f t="shared" si="12"/>
        <v>57.780952380952385</v>
      </c>
      <c r="CB45" s="345">
        <f t="shared" ca="1" si="86"/>
        <v>4.8719393939393747</v>
      </c>
      <c r="CC45" s="345">
        <f t="shared" ca="1" si="81"/>
        <v>4.5683636363636442</v>
      </c>
      <c r="CD45" s="345">
        <f t="shared" ca="1" si="15"/>
        <v>57.058152958153023</v>
      </c>
      <c r="CE45" s="347">
        <f t="shared" ca="1" si="70"/>
        <v>-5.75</v>
      </c>
      <c r="CF45" s="114">
        <v>21.511999999999997</v>
      </c>
      <c r="CG45" s="345">
        <f t="shared" si="16"/>
        <v>51.219047619047615</v>
      </c>
      <c r="CH45" s="345">
        <f t="shared" ca="1" si="42"/>
        <v>2.3809393939393715</v>
      </c>
      <c r="CI45" s="73"/>
      <c r="CJ45" s="345">
        <f t="shared" ca="1" si="89"/>
        <v>2.5360434782608747</v>
      </c>
      <c r="CK45" s="345">
        <f t="shared" ca="1" si="90"/>
        <v>51.54696969696969</v>
      </c>
      <c r="CL45" s="345">
        <f t="shared" ca="1" si="45"/>
        <v>52.219295438860712</v>
      </c>
      <c r="CM45" s="114">
        <v>20.853000000000002</v>
      </c>
      <c r="CN45" s="345">
        <f t="shared" si="17"/>
        <v>49.650000000000006</v>
      </c>
      <c r="CO45" s="345">
        <f t="shared" ca="1" si="46"/>
        <v>1.4569393939393755</v>
      </c>
      <c r="CP45" s="345">
        <f t="shared" ca="1" si="92"/>
        <v>1.6120434782608717</v>
      </c>
      <c r="CQ45" s="345">
        <f t="shared" ca="1" si="19"/>
        <v>50.019295438860709</v>
      </c>
      <c r="CR45" s="347">
        <f t="shared" ca="1" si="71"/>
        <v>-2.2000000000000028</v>
      </c>
      <c r="CS45" s="114">
        <v>21.903000000000002</v>
      </c>
      <c r="CT45" s="345">
        <f t="shared" si="20"/>
        <v>52.150000000000006</v>
      </c>
      <c r="CU45" s="345">
        <f t="shared" si="72"/>
        <v>0.30000000000001137</v>
      </c>
      <c r="CV45" s="345">
        <f t="shared" ca="1" si="91"/>
        <v>0.89999999999999436</v>
      </c>
      <c r="CW45" s="347">
        <f t="shared" ca="1" si="73"/>
        <v>53.119295438860703</v>
      </c>
      <c r="CX45" s="483">
        <v>0.20900000000000002</v>
      </c>
      <c r="CY45" s="190">
        <f t="shared" si="47"/>
        <v>-3.7873422689502223E-4</v>
      </c>
      <c r="CZ45" s="190">
        <f t="shared" ca="1" si="78"/>
        <v>-0.03</v>
      </c>
      <c r="DA45" s="354">
        <f t="shared" ca="1" si="79"/>
        <v>0.17937873422689504</v>
      </c>
      <c r="DB45" s="483">
        <v>0.20900000000000002</v>
      </c>
      <c r="DC45" s="190">
        <f t="shared" si="49"/>
        <v>-3.7873422689502223E-4</v>
      </c>
      <c r="DD45" s="190">
        <f t="shared" ca="1" si="82"/>
        <v>0.03</v>
      </c>
      <c r="DE45" s="354">
        <f t="shared" ca="1" si="83"/>
        <v>0.23937873422689504</v>
      </c>
      <c r="DG45" s="341"/>
      <c r="DH45" s="114">
        <v>16.693000000000001</v>
      </c>
      <c r="DI45" s="126">
        <f t="shared" ca="1" si="74"/>
        <v>-2.7030606060606246</v>
      </c>
      <c r="DJ45" s="126">
        <f t="shared" ca="1" si="22"/>
        <v>-2</v>
      </c>
      <c r="DK45" s="356">
        <f t="shared" ca="1" si="23"/>
        <v>17.396060606060626</v>
      </c>
      <c r="DL45" s="114">
        <v>14.143000000000001</v>
      </c>
      <c r="DM45" s="126">
        <f t="shared" ca="1" si="75"/>
        <v>-5.2530606060606253</v>
      </c>
      <c r="DN45" s="126">
        <f t="shared" ca="1" si="24"/>
        <v>-3</v>
      </c>
      <c r="DO45" s="356">
        <f t="shared" ca="1" si="25"/>
        <v>16.396060606060626</v>
      </c>
      <c r="DP45" s="114">
        <v>13.393000000000001</v>
      </c>
      <c r="DQ45" s="126">
        <f t="shared" ca="1" si="76"/>
        <v>-6.0030606060606253</v>
      </c>
      <c r="DR45" s="126">
        <f t="shared" ca="1" si="26"/>
        <v>-6</v>
      </c>
      <c r="DS45" s="356">
        <f t="shared" ca="1" si="27"/>
        <v>13.396060606060626</v>
      </c>
      <c r="DT45" s="114">
        <v>15.643000000000001</v>
      </c>
      <c r="DU45" s="126">
        <f t="shared" ca="1" si="77"/>
        <v>-3.7530606060606253</v>
      </c>
      <c r="DV45" s="126">
        <f t="shared" ca="1" si="28"/>
        <v>-5</v>
      </c>
      <c r="DW45" s="356">
        <f t="shared" ca="1" si="29"/>
        <v>14.396060606060626</v>
      </c>
      <c r="DY45" s="100">
        <v>2007</v>
      </c>
      <c r="DZ45" s="291">
        <v>-2</v>
      </c>
      <c r="EA45" s="291">
        <v>-3</v>
      </c>
      <c r="EB45" s="291">
        <v>-6</v>
      </c>
      <c r="EC45" s="244">
        <v>-5</v>
      </c>
      <c r="ED45" s="289"/>
      <c r="EE45" s="289"/>
      <c r="EF45" s="289"/>
    </row>
    <row r="46" spans="2:136" x14ac:dyDescent="0.25">
      <c r="B46" s="396">
        <v>36951</v>
      </c>
      <c r="C46" s="399">
        <v>36942</v>
      </c>
      <c r="I46" s="136">
        <f t="shared" ca="1" si="105"/>
        <v>38200</v>
      </c>
      <c r="J46" s="130">
        <f t="shared" ca="1" si="31"/>
        <v>38188</v>
      </c>
      <c r="K46" s="106">
        <f t="shared" ca="1" si="106"/>
        <v>0.68181818181818177</v>
      </c>
      <c r="L46" s="133">
        <f t="shared" ca="1" si="93"/>
        <v>104</v>
      </c>
      <c r="M46" s="134">
        <f t="shared" ca="1" si="94"/>
        <v>8</v>
      </c>
      <c r="N46" s="103">
        <f t="shared" ca="1" si="97"/>
        <v>22</v>
      </c>
      <c r="O46" s="104">
        <f t="shared" ca="1" si="33"/>
        <v>1241</v>
      </c>
      <c r="P46" s="105">
        <f t="shared" ca="1" si="95"/>
        <v>3.4113620807665983</v>
      </c>
      <c r="Q46" s="105">
        <f t="shared" ca="1" si="96"/>
        <v>3.4934976043805612</v>
      </c>
      <c r="R46" s="114">
        <v>19.416666666666696</v>
      </c>
      <c r="S46" s="198">
        <v>0</v>
      </c>
      <c r="T46" s="189">
        <f t="shared" si="34"/>
        <v>19.416666666666696</v>
      </c>
      <c r="U46" s="199">
        <f t="shared" ca="1" si="98"/>
        <v>19.341969696969688</v>
      </c>
      <c r="V46" s="379">
        <f t="shared" ca="1" si="99"/>
        <v>19.341969696969688</v>
      </c>
      <c r="W46" s="483">
        <v>0.20879369127644803</v>
      </c>
      <c r="X46" s="166" t="str">
        <f t="shared" ca="1" si="100"/>
        <v/>
      </c>
      <c r="Y46" s="91">
        <f t="shared" ca="1" si="108"/>
        <v>6.3434377881466065E-3</v>
      </c>
      <c r="Z46" s="91">
        <f t="shared" ca="1" si="109"/>
        <v>3.1377833378760721E-3</v>
      </c>
      <c r="AA46" s="91">
        <f t="shared" ca="1" si="110"/>
        <v>1.3399459243377172E-3</v>
      </c>
      <c r="AB46" s="91">
        <f t="shared" ca="1" si="111"/>
        <v>3.01863017834801E-3</v>
      </c>
      <c r="AC46" s="91">
        <f t="shared" ca="1" si="112"/>
        <v>7.0687983035672862E-3</v>
      </c>
      <c r="AD46" s="91">
        <f t="shared" ca="1" si="113"/>
        <v>1.4290496649136624E-2</v>
      </c>
      <c r="AE46" s="124">
        <v>7.2198071014656001E-2</v>
      </c>
      <c r="AF46" s="191">
        <f t="shared" ca="1" si="57"/>
        <v>0.78053324279497227</v>
      </c>
      <c r="AG46" s="189">
        <f t="shared" ca="1" si="107"/>
        <v>1</v>
      </c>
      <c r="AH46" s="192">
        <f t="shared" ca="1" si="101"/>
        <v>0</v>
      </c>
      <c r="AI46" s="192">
        <f t="shared" ca="1" si="102"/>
        <v>0</v>
      </c>
      <c r="AJ46" s="192">
        <f t="shared" ca="1" si="103"/>
        <v>0</v>
      </c>
      <c r="AK46" s="192">
        <f t="shared" ca="1" si="104"/>
        <v>0</v>
      </c>
      <c r="AL46" s="191" t="str">
        <f t="shared" ca="1" si="60"/>
        <v/>
      </c>
      <c r="AM46" s="191" t="str">
        <f t="shared" ca="1" si="61"/>
        <v/>
      </c>
      <c r="AN46" s="191" t="str">
        <f t="shared" ca="1" si="62"/>
        <v/>
      </c>
      <c r="AO46" s="193" t="str">
        <f t="shared" ca="1" si="63"/>
        <v/>
      </c>
      <c r="AP46" s="194" t="str">
        <f t="shared" ca="1" si="36"/>
        <v/>
      </c>
      <c r="AQ46" s="194" t="str">
        <f t="shared" ca="1" si="37"/>
        <v/>
      </c>
      <c r="AR46" s="195">
        <f ca="1">IF(AH46,_xll.xASN(AL46,Strike1,AE46,AP46,0,N46,0,P46,Q46,IF(OptControl=4,0,1),0),0)</f>
        <v>0</v>
      </c>
      <c r="AS46" s="196">
        <f ca="1">IF(AH46,_xll.xASN(AL46,Strike1,AE46,AP46,0,N46,0,P46,Q46,IF(OptControl=4,0,1),1),0)</f>
        <v>0</v>
      </c>
      <c r="AT46" s="196">
        <f ca="1">IF(AH46,_xll.xASN(AL46,Strike1,AE46,AP46,0,N46,0,P46,Q46,IF(OptControl=4,0,1),2),0)</f>
        <v>0</v>
      </c>
      <c r="AU46" s="196">
        <f ca="1">IF(AH46,_xll.xASN(AL46,Strike1,AE46,AP46,0,N46,0,P46,Q46,IF(OptControl=4,0,1),3)/100,0)</f>
        <v>0</v>
      </c>
      <c r="AV46" s="196">
        <f ca="1">IF(AH46,_xll.xASN(AL46,Strike1,AE46,AP46,0,N46,0,P46-DaysForThetaCalculation/365.25,Q46-DaysForThetaCalculation/365.25,IF(OptControl=4,0,1),0)-_xll.xASN(AL46,Strike1,AE46,AP46,0,N46,0,P46,Q46,IF(OptControl=4,0,1),0),0)</f>
        <v>0</v>
      </c>
      <c r="AW46" s="196">
        <f ca="1">IF(AH46,_xll.xASN(AL46,Strike2,AE46,AQ46,0,N46,0,P46,Q46,IF(OptControl=3,1,0),0),0)</f>
        <v>0</v>
      </c>
      <c r="AX46" s="196">
        <f ca="1">IF(AH46,_xll.xASN(AL46,Strike2,AE46,AQ46,0,N46,0,P46,Q46,IF(OptControl=3,1,0),1),0)</f>
        <v>0</v>
      </c>
      <c r="AY46" s="196">
        <f ca="1">IF(AH46,_xll.xASN(AL46,Strike2,AE46,AQ46,0,N46,0,P46,Q46,IF(OptControl=3,1,0),2),0)</f>
        <v>0</v>
      </c>
      <c r="AZ46" s="196">
        <f ca="1">IF(AH46,_xll.xASN(AL46,Strike2,AE46,AQ46,0,N46,0,P46,Q46,IF(OptControl=3,1,0),3)/100,0)</f>
        <v>0</v>
      </c>
      <c r="BA46" s="196">
        <f ca="1">IF(AH46,_xll.xASN(AL46,Strike2,AE46,AQ46,0,N46,0,P46-DaysForThetaCalculation/365.25,Q46-DaysForThetaCalculation/365.25,IF(OptControl=3,1,0),0)-_xll.xASN(AL46,Strike2,AE46,AQ46,0,N46,0,P46,Q46,IF(OptControl=3,1,0),0),0)</f>
        <v>0</v>
      </c>
      <c r="BB46" s="126" t="str">
        <f t="shared" ca="1" si="64"/>
        <v/>
      </c>
      <c r="BC46" s="191" t="str">
        <f t="shared" ca="1" si="65"/>
        <v/>
      </c>
      <c r="BD46" s="191" t="str">
        <f t="shared" ca="1" si="66"/>
        <v/>
      </c>
      <c r="BE46" s="190" t="str">
        <f t="shared" ca="1" si="67"/>
        <v/>
      </c>
      <c r="BF46" s="194" t="str">
        <f t="shared" ca="1" si="68"/>
        <v/>
      </c>
      <c r="BG46" s="194" t="str">
        <f t="shared" ca="1" si="69"/>
        <v/>
      </c>
      <c r="BH46" s="195">
        <f ca="1">IF(AH46,_xll.xEURO(BB46,Strike1,AE46,AE46,BF46,O46,IF(OptControl=4,0,1),0),0)</f>
        <v>0</v>
      </c>
      <c r="BI46" s="196">
        <f ca="1">IF(AH46,_xll.xEURO(BB46,Strike1,AE46,AE46,BF46,O46,IF(OptControl=4,0,1),1),0)</f>
        <v>0</v>
      </c>
      <c r="BJ46" s="196">
        <f ca="1">IF(AH46,_xll.xEURO(BB46,Strike1,AE46,AE46,BF46,O46,IF(OptControl=4,0,1),2),0)</f>
        <v>0</v>
      </c>
      <c r="BK46" s="196">
        <f ca="1">IF(AH46,_xll.xEURO(BB46,Strike1,AE46,AE46,BF46,O46,IF(OptControl=4,0,1),3)/100,0)</f>
        <v>0</v>
      </c>
      <c r="BL46" s="196">
        <f ca="1">IF(AH46,_xll.xEURO(BB46,Strike1,AE46,AE46,BF46,O46-DaysForThetaCalculation,IF(OptControl=4,0,1),0)-_xll.xEURO(BB46,Strike1,AE46,AE46,BF46,O46,IF(OptControl=4,0,1),0),0)</f>
        <v>0</v>
      </c>
      <c r="BM46" s="196">
        <f ca="1">IF(AH46,_xll.xEURO(BB46,Strike2,AE46,AE46,BG46,O46,IF(OptControl=3,1,0),0),0)</f>
        <v>0</v>
      </c>
      <c r="BN46" s="196">
        <f ca="1">IF(AH46,_xll.xEURO(BB46,Strike2,AE46,AE46,BG46,O46,IF(OptControl=3,1,0),1),0)</f>
        <v>0</v>
      </c>
      <c r="BO46" s="196">
        <f ca="1">IF(AH46,_xll.xEURO(BB46,Strike2,AE46,AE46,BG46,O46,IF(OptControl=3,1,0),2),0)</f>
        <v>0</v>
      </c>
      <c r="BP46" s="196">
        <f ca="1">IF(AH46,_xll.xEURO(BB46,Strike2,AE46,AE46,BG46,O46,IF(OptControl=3,1,0),3)/100,0)</f>
        <v>0</v>
      </c>
      <c r="BQ46" s="197">
        <f ca="1">IF(AH46,_xll.xEURO(BB46,Strike2,AE46,AE46,BG46,O46-DaysForThetaCalculation,IF(OptControl=3,1,0),0)-_xll.xEURO(BB46,Strike2,AE46,AE46,BG46,O46,IF(OptControl=3,1,0),0),0)</f>
        <v>0</v>
      </c>
      <c r="BR46" s="301"/>
      <c r="BS46" s="114">
        <v>26.158000000000001</v>
      </c>
      <c r="BT46" s="345">
        <f t="shared" si="11"/>
        <v>62.280952380952385</v>
      </c>
      <c r="BU46" s="345">
        <f t="shared" ca="1" si="84"/>
        <v>6.2110303030303129</v>
      </c>
      <c r="BV46" s="73"/>
      <c r="BW46" s="345">
        <f t="shared" ca="1" si="80"/>
        <v>6.481869565217389</v>
      </c>
      <c r="BX46" s="345">
        <f t="shared" ca="1" si="85"/>
        <v>62.808152958153023</v>
      </c>
      <c r="BY46" s="373">
        <f t="shared" ca="1" si="41"/>
        <v>61.485331576635907</v>
      </c>
      <c r="BZ46" s="114">
        <v>23.663000000000004</v>
      </c>
      <c r="CA46" s="345">
        <f t="shared" si="12"/>
        <v>56.340476190476195</v>
      </c>
      <c r="CB46" s="345">
        <f t="shared" ca="1" si="86"/>
        <v>4.3210303030303159</v>
      </c>
      <c r="CC46" s="345">
        <f t="shared" ca="1" si="81"/>
        <v>4.066869565217389</v>
      </c>
      <c r="CD46" s="345">
        <f t="shared" ca="1" si="15"/>
        <v>55.735331576635893</v>
      </c>
      <c r="CE46" s="347">
        <f t="shared" ca="1" si="70"/>
        <v>-5.7500000000000142</v>
      </c>
      <c r="CF46" s="114">
        <v>21.776999999999997</v>
      </c>
      <c r="CG46" s="345">
        <f t="shared" si="16"/>
        <v>51.849999999999994</v>
      </c>
      <c r="CH46" s="345">
        <f t="shared" ca="1" si="42"/>
        <v>2.7960303030303137</v>
      </c>
      <c r="CI46" s="73"/>
      <c r="CJ46" s="345">
        <f t="shared" ca="1" si="89"/>
        <v>2.9434545454545455</v>
      </c>
      <c r="CK46" s="345">
        <f t="shared" ca="1" si="90"/>
        <v>52.219295438860712</v>
      </c>
      <c r="CL46" s="345">
        <f t="shared" ca="1" si="45"/>
        <v>53.060533910533891</v>
      </c>
      <c r="CM46" s="114">
        <v>21.214000000000002</v>
      </c>
      <c r="CN46" s="345">
        <f t="shared" si="17"/>
        <v>50.509523809523813</v>
      </c>
      <c r="CO46" s="345">
        <f t="shared" ca="1" si="46"/>
        <v>1.8720303030303143</v>
      </c>
      <c r="CP46" s="345">
        <f t="shared" ca="1" si="92"/>
        <v>2.0194545454545461</v>
      </c>
      <c r="CQ46" s="345">
        <f t="shared" ca="1" si="19"/>
        <v>50.860533910533896</v>
      </c>
      <c r="CR46" s="347">
        <f t="shared" ca="1" si="71"/>
        <v>-2.1999999999999957</v>
      </c>
      <c r="CS46" s="114">
        <v>22.264000000000003</v>
      </c>
      <c r="CT46" s="345">
        <f t="shared" si="20"/>
        <v>53.009523809523813</v>
      </c>
      <c r="CU46" s="345">
        <f t="shared" si="72"/>
        <v>0.29999999999999716</v>
      </c>
      <c r="CV46" s="345">
        <f t="shared" ca="1" si="91"/>
        <v>0.89999999999999436</v>
      </c>
      <c r="CW46" s="347">
        <f t="shared" ca="1" si="73"/>
        <v>53.960533910533883</v>
      </c>
      <c r="CX46" s="483">
        <v>0.20900000000000002</v>
      </c>
      <c r="CY46" s="190">
        <f t="shared" si="47"/>
        <v>2.0630872355198449E-4</v>
      </c>
      <c r="CZ46" s="190">
        <f t="shared" ca="1" si="78"/>
        <v>-0.03</v>
      </c>
      <c r="DA46" s="354">
        <f t="shared" ca="1" si="79"/>
        <v>0.17879369127644804</v>
      </c>
      <c r="DB46" s="483">
        <v>0.20900000000000002</v>
      </c>
      <c r="DC46" s="190">
        <f t="shared" si="49"/>
        <v>2.0630872355198449E-4</v>
      </c>
      <c r="DD46" s="190">
        <f t="shared" ca="1" si="82"/>
        <v>0.03</v>
      </c>
      <c r="DE46" s="354">
        <f t="shared" ca="1" si="83"/>
        <v>0.23879369127644803</v>
      </c>
      <c r="DG46" s="341"/>
      <c r="DH46" s="114">
        <v>16.641000000000002</v>
      </c>
      <c r="DI46" s="126">
        <f t="shared" ca="1" si="74"/>
        <v>-2.7009696969696861</v>
      </c>
      <c r="DJ46" s="126">
        <f t="shared" ca="1" si="22"/>
        <v>-2</v>
      </c>
      <c r="DK46" s="356">
        <f t="shared" ca="1" si="23"/>
        <v>17.341969696969688</v>
      </c>
      <c r="DL46" s="114">
        <v>14.091000000000001</v>
      </c>
      <c r="DM46" s="126">
        <f t="shared" ca="1" si="75"/>
        <v>-5.2509696969696869</v>
      </c>
      <c r="DN46" s="126">
        <f t="shared" ca="1" si="24"/>
        <v>-3</v>
      </c>
      <c r="DO46" s="356">
        <f t="shared" ca="1" si="25"/>
        <v>16.341969696969688</v>
      </c>
      <c r="DP46" s="114">
        <v>13.341000000000001</v>
      </c>
      <c r="DQ46" s="126">
        <f t="shared" ca="1" si="76"/>
        <v>-6.0009696969696869</v>
      </c>
      <c r="DR46" s="126">
        <f t="shared" ca="1" si="26"/>
        <v>-6</v>
      </c>
      <c r="DS46" s="356">
        <f t="shared" ca="1" si="27"/>
        <v>13.341969696969688</v>
      </c>
      <c r="DT46" s="114">
        <v>15.591000000000001</v>
      </c>
      <c r="DU46" s="126">
        <f t="shared" ca="1" si="77"/>
        <v>-3.7509696969696869</v>
      </c>
      <c r="DV46" s="126">
        <f t="shared" ca="1" si="28"/>
        <v>-5</v>
      </c>
      <c r="DW46" s="356">
        <f t="shared" ca="1" si="29"/>
        <v>14.341969696969688</v>
      </c>
      <c r="DY46" s="100">
        <v>2008</v>
      </c>
      <c r="DZ46" s="291">
        <v>-2</v>
      </c>
      <c r="EA46" s="291">
        <v>-3</v>
      </c>
      <c r="EB46" s="291">
        <v>-6</v>
      </c>
      <c r="EC46" s="244">
        <v>-5</v>
      </c>
      <c r="ED46" s="289"/>
      <c r="EE46" s="289"/>
      <c r="EF46" s="289"/>
    </row>
    <row r="47" spans="2:136" x14ac:dyDescent="0.25">
      <c r="B47" s="396">
        <v>36982</v>
      </c>
      <c r="C47" s="399">
        <v>36970</v>
      </c>
      <c r="I47" s="136">
        <f t="shared" ca="1" si="105"/>
        <v>38231</v>
      </c>
      <c r="J47" s="131">
        <f t="shared" ca="1" si="31"/>
        <v>38220</v>
      </c>
      <c r="K47" s="106">
        <f t="shared" ca="1" si="106"/>
        <v>0.63636363636363635</v>
      </c>
      <c r="L47" s="133">
        <f t="shared" ca="1" si="93"/>
        <v>104</v>
      </c>
      <c r="M47" s="134">
        <f t="shared" ca="1" si="94"/>
        <v>9</v>
      </c>
      <c r="N47" s="103">
        <f t="shared" ca="1" si="97"/>
        <v>22</v>
      </c>
      <c r="O47" s="104">
        <f t="shared" ca="1" si="33"/>
        <v>1271</v>
      </c>
      <c r="P47" s="105">
        <f t="shared" ca="1" si="95"/>
        <v>3.4962354551676933</v>
      </c>
      <c r="Q47" s="105">
        <f t="shared" ca="1" si="96"/>
        <v>3.5756331279945242</v>
      </c>
      <c r="R47" s="114">
        <v>19.36</v>
      </c>
      <c r="S47" s="198">
        <v>0</v>
      </c>
      <c r="T47" s="189">
        <f t="shared" si="34"/>
        <v>19.36</v>
      </c>
      <c r="U47" s="199">
        <f t="shared" ca="1" si="98"/>
        <v>19.282727272727264</v>
      </c>
      <c r="V47" s="379">
        <f t="shared" ca="1" si="99"/>
        <v>19.282727272727264</v>
      </c>
      <c r="W47" s="483">
        <v>0.20800872260037104</v>
      </c>
      <c r="X47" s="166" t="str">
        <f t="shared" ca="1" si="100"/>
        <v/>
      </c>
      <c r="Y47" s="91">
        <f t="shared" ca="1" si="108"/>
        <v>6.2076344330099405E-3</v>
      </c>
      <c r="Z47" s="91">
        <f t="shared" ca="1" si="109"/>
        <v>3.0541679733224747E-3</v>
      </c>
      <c r="AA47" s="91">
        <f t="shared" ca="1" si="110"/>
        <v>1.3007417266810287E-3</v>
      </c>
      <c r="AB47" s="91">
        <f t="shared" ca="1" si="111"/>
        <v>2.9303109618670224E-3</v>
      </c>
      <c r="AC47" s="91">
        <f t="shared" ca="1" si="112"/>
        <v>6.8804296103009447E-3</v>
      </c>
      <c r="AD47" s="91">
        <f t="shared" ca="1" si="113"/>
        <v>1.3984558850684742E-2</v>
      </c>
      <c r="AE47" s="124">
        <v>7.2244529699966004E-2</v>
      </c>
      <c r="AF47" s="191">
        <f t="shared" ca="1" si="57"/>
        <v>0.7758750589829535</v>
      </c>
      <c r="AG47" s="189">
        <f t="shared" ca="1" si="107"/>
        <v>1</v>
      </c>
      <c r="AH47" s="192">
        <f t="shared" ca="1" si="101"/>
        <v>0</v>
      </c>
      <c r="AI47" s="192">
        <f t="shared" ca="1" si="102"/>
        <v>0</v>
      </c>
      <c r="AJ47" s="192">
        <f t="shared" ca="1" si="103"/>
        <v>0</v>
      </c>
      <c r="AK47" s="192">
        <f t="shared" ca="1" si="104"/>
        <v>0</v>
      </c>
      <c r="AL47" s="191" t="str">
        <f t="shared" ca="1" si="60"/>
        <v/>
      </c>
      <c r="AM47" s="191" t="str">
        <f t="shared" ca="1" si="61"/>
        <v/>
      </c>
      <c r="AN47" s="191" t="str">
        <f t="shared" ca="1" si="62"/>
        <v/>
      </c>
      <c r="AO47" s="193" t="str">
        <f t="shared" ca="1" si="63"/>
        <v/>
      </c>
      <c r="AP47" s="194" t="str">
        <f t="shared" ca="1" si="36"/>
        <v/>
      </c>
      <c r="AQ47" s="194" t="str">
        <f t="shared" ca="1" si="37"/>
        <v/>
      </c>
      <c r="AR47" s="195">
        <f ca="1">IF(AH47,_xll.xASN(AL47,Strike1,AE47,AP47,0,N47,0,P47,Q47,IF(OptControl=4,0,1),0),0)</f>
        <v>0</v>
      </c>
      <c r="AS47" s="196">
        <f ca="1">IF(AH47,_xll.xASN(AL47,Strike1,AE47,AP47,0,N47,0,P47,Q47,IF(OptControl=4,0,1),1),0)</f>
        <v>0</v>
      </c>
      <c r="AT47" s="196">
        <f ca="1">IF(AH47,_xll.xASN(AL47,Strike1,AE47,AP47,0,N47,0,P47,Q47,IF(OptControl=4,0,1),2),0)</f>
        <v>0</v>
      </c>
      <c r="AU47" s="196">
        <f ca="1">IF(AH47,_xll.xASN(AL47,Strike1,AE47,AP47,0,N47,0,P47,Q47,IF(OptControl=4,0,1),3)/100,0)</f>
        <v>0</v>
      </c>
      <c r="AV47" s="196">
        <f ca="1">IF(AH47,_xll.xASN(AL47,Strike1,AE47,AP47,0,N47,0,P47-DaysForThetaCalculation/365.25,Q47-DaysForThetaCalculation/365.25,IF(OptControl=4,0,1),0)-_xll.xASN(AL47,Strike1,AE47,AP47,0,N47,0,P47,Q47,IF(OptControl=4,0,1),0),0)</f>
        <v>0</v>
      </c>
      <c r="AW47" s="196">
        <f ca="1">IF(AH47,_xll.xASN(AL47,Strike2,AE47,AQ47,0,N47,0,P47,Q47,IF(OptControl=3,1,0),0),0)</f>
        <v>0</v>
      </c>
      <c r="AX47" s="196">
        <f ca="1">IF(AH47,_xll.xASN(AL47,Strike2,AE47,AQ47,0,N47,0,P47,Q47,IF(OptControl=3,1,0),1),0)</f>
        <v>0</v>
      </c>
      <c r="AY47" s="196">
        <f ca="1">IF(AH47,_xll.xASN(AL47,Strike2,AE47,AQ47,0,N47,0,P47,Q47,IF(OptControl=3,1,0),2),0)</f>
        <v>0</v>
      </c>
      <c r="AZ47" s="196">
        <f ca="1">IF(AH47,_xll.xASN(AL47,Strike2,AE47,AQ47,0,N47,0,P47,Q47,IF(OptControl=3,1,0),3)/100,0)</f>
        <v>0</v>
      </c>
      <c r="BA47" s="196">
        <f ca="1">IF(AH47,_xll.xASN(AL47,Strike2,AE47,AQ47,0,N47,0,P47-DaysForThetaCalculation/365.25,Q47-DaysForThetaCalculation/365.25,IF(OptControl=3,1,0),0)-_xll.xASN(AL47,Strike2,AE47,AQ47,0,N47,0,P47,Q47,IF(OptControl=3,1,0),0),0)</f>
        <v>0</v>
      </c>
      <c r="BB47" s="126" t="str">
        <f t="shared" ca="1" si="64"/>
        <v/>
      </c>
      <c r="BC47" s="191" t="str">
        <f t="shared" ca="1" si="65"/>
        <v/>
      </c>
      <c r="BD47" s="191" t="str">
        <f t="shared" ca="1" si="66"/>
        <v/>
      </c>
      <c r="BE47" s="190" t="str">
        <f t="shared" ca="1" si="67"/>
        <v/>
      </c>
      <c r="BF47" s="194" t="str">
        <f t="shared" ca="1" si="68"/>
        <v/>
      </c>
      <c r="BG47" s="194" t="str">
        <f t="shared" ca="1" si="69"/>
        <v/>
      </c>
      <c r="BH47" s="195">
        <f ca="1">IF(AH47,_xll.xEURO(BB47,Strike1,AE47,AE47,BF47,O47,IF(OptControl=4,0,1),0),0)</f>
        <v>0</v>
      </c>
      <c r="BI47" s="196">
        <f ca="1">IF(AH47,_xll.xEURO(BB47,Strike1,AE47,AE47,BF47,O47,IF(OptControl=4,0,1),1),0)</f>
        <v>0</v>
      </c>
      <c r="BJ47" s="196">
        <f ca="1">IF(AH47,_xll.xEURO(BB47,Strike1,AE47,AE47,BF47,O47,IF(OptControl=4,0,1),2),0)</f>
        <v>0</v>
      </c>
      <c r="BK47" s="196">
        <f ca="1">IF(AH47,_xll.xEURO(BB47,Strike1,AE47,AE47,BF47,O47,IF(OptControl=4,0,1),3)/100,0)</f>
        <v>0</v>
      </c>
      <c r="BL47" s="196">
        <f ca="1">IF(AH47,_xll.xEURO(BB47,Strike1,AE47,AE47,BF47,O47-DaysForThetaCalculation,IF(OptControl=4,0,1),0)-_xll.xEURO(BB47,Strike1,AE47,AE47,BF47,O47,IF(OptControl=4,0,1),0),0)</f>
        <v>0</v>
      </c>
      <c r="BM47" s="196">
        <f ca="1">IF(AH47,_xll.xEURO(BB47,Strike2,AE47,AE47,BG47,O47,IF(OptControl=3,1,0),0),0)</f>
        <v>0</v>
      </c>
      <c r="BN47" s="196">
        <f ca="1">IF(AH47,_xll.xEURO(BB47,Strike2,AE47,AE47,BG47,O47,IF(OptControl=3,1,0),1),0)</f>
        <v>0</v>
      </c>
      <c r="BO47" s="196">
        <f ca="1">IF(AH47,_xll.xEURO(BB47,Strike2,AE47,AE47,BG47,O47,IF(OptControl=3,1,0),2),0)</f>
        <v>0</v>
      </c>
      <c r="BP47" s="196">
        <f ca="1">IF(AH47,_xll.xEURO(BB47,Strike2,AE47,AE47,BG47,O47,IF(OptControl=3,1,0),3)/100,0)</f>
        <v>0</v>
      </c>
      <c r="BQ47" s="197">
        <f ca="1">IF(AH47,_xll.xEURO(BB47,Strike2,AE47,AE47,BG47,O47-DaysForThetaCalculation,IF(OptControl=3,1,0),0)-_xll.xEURO(BB47,Strike2,AE47,AE47,BG47,O47,IF(OptControl=3,1,0),0),0)</f>
        <v>0</v>
      </c>
      <c r="BR47" s="301"/>
      <c r="BS47" s="114">
        <v>25.553000000000001</v>
      </c>
      <c r="BT47" s="345">
        <f t="shared" si="11"/>
        <v>60.840476190476195</v>
      </c>
      <c r="BU47" s="345">
        <f t="shared" ca="1" si="84"/>
        <v>5.1652727272727397</v>
      </c>
      <c r="BV47" s="73"/>
      <c r="BW47" s="345">
        <f t="shared" ca="1" si="80"/>
        <v>5.3990000000000027</v>
      </c>
      <c r="BX47" s="345">
        <f t="shared" ca="1" si="85"/>
        <v>61.485331576635907</v>
      </c>
      <c r="BY47" s="373">
        <f t="shared" ca="1" si="41"/>
        <v>58.766017316017304</v>
      </c>
      <c r="BZ47" s="114">
        <v>22.558000000000003</v>
      </c>
      <c r="CA47" s="345">
        <f t="shared" si="12"/>
        <v>53.709523809523816</v>
      </c>
      <c r="CB47" s="345">
        <f t="shared" ca="1" si="86"/>
        <v>3.2752727272727391</v>
      </c>
      <c r="CC47" s="345">
        <f t="shared" ca="1" si="81"/>
        <v>2.9840000000000022</v>
      </c>
      <c r="CD47" s="345">
        <f t="shared" ca="1" si="15"/>
        <v>53.016017316017304</v>
      </c>
      <c r="CE47" s="347">
        <f t="shared" ca="1" si="70"/>
        <v>-5.75</v>
      </c>
      <c r="CF47" s="114">
        <v>22.138000000000002</v>
      </c>
      <c r="CG47" s="345">
        <f t="shared" si="16"/>
        <v>52.709523809523816</v>
      </c>
      <c r="CH47" s="345">
        <f t="shared" ca="1" si="42"/>
        <v>3.2582727272727361</v>
      </c>
      <c r="CI47" s="73"/>
      <c r="CJ47" s="345">
        <f t="shared" ca="1" si="89"/>
        <v>3.2910000000000008</v>
      </c>
      <c r="CK47" s="345">
        <f t="shared" ca="1" si="90"/>
        <v>53.060533910533891</v>
      </c>
      <c r="CL47" s="345">
        <f t="shared" ca="1" si="45"/>
        <v>53.746969696969678</v>
      </c>
      <c r="CM47" s="114">
        <v>21.616999999999997</v>
      </c>
      <c r="CN47" s="345">
        <f t="shared" si="17"/>
        <v>51.469047619047615</v>
      </c>
      <c r="CO47" s="345">
        <f t="shared" ca="1" si="46"/>
        <v>2.3342727272727331</v>
      </c>
      <c r="CP47" s="345">
        <f t="shared" ca="1" si="92"/>
        <v>2.4802857142857127</v>
      </c>
      <c r="CQ47" s="345">
        <f t="shared" ca="1" si="19"/>
        <v>51.816697588126132</v>
      </c>
      <c r="CR47" s="347">
        <f t="shared" ca="1" si="71"/>
        <v>-1.9302721088435462</v>
      </c>
      <c r="CS47" s="114">
        <v>22.667000000000002</v>
      </c>
      <c r="CT47" s="345">
        <f t="shared" si="20"/>
        <v>53.969047619047629</v>
      </c>
      <c r="CU47" s="345">
        <f t="shared" si="72"/>
        <v>0.30000000000001137</v>
      </c>
      <c r="CV47" s="345">
        <f t="shared" ca="1" si="91"/>
        <v>0.90000000000000857</v>
      </c>
      <c r="CW47" s="347">
        <f t="shared" ca="1" si="73"/>
        <v>54.646969696969684</v>
      </c>
      <c r="CX47" s="483">
        <v>0.20800000000000002</v>
      </c>
      <c r="CY47" s="190">
        <f t="shared" si="47"/>
        <v>-8.7226003710194622E-6</v>
      </c>
      <c r="CZ47" s="190">
        <f t="shared" ca="1" si="78"/>
        <v>-0.03</v>
      </c>
      <c r="DA47" s="354">
        <f t="shared" ca="1" si="79"/>
        <v>0.17800872260037104</v>
      </c>
      <c r="DB47" s="483">
        <v>0.20800000000000002</v>
      </c>
      <c r="DC47" s="190">
        <f t="shared" si="49"/>
        <v>-8.7226003710194622E-6</v>
      </c>
      <c r="DD47" s="190">
        <f t="shared" ca="1" si="82"/>
        <v>0.03</v>
      </c>
      <c r="DE47" s="354">
        <f t="shared" ca="1" si="83"/>
        <v>0.23800872260037104</v>
      </c>
      <c r="DG47" s="341"/>
      <c r="DH47" s="114">
        <v>16.585000000000001</v>
      </c>
      <c r="DI47" s="126">
        <f t="shared" ca="1" si="74"/>
        <v>-2.6977272727272634</v>
      </c>
      <c r="DJ47" s="126">
        <f t="shared" ca="1" si="22"/>
        <v>-2</v>
      </c>
      <c r="DK47" s="356">
        <f t="shared" ca="1" si="23"/>
        <v>17.282727272727264</v>
      </c>
      <c r="DL47" s="114">
        <v>14.035</v>
      </c>
      <c r="DM47" s="126">
        <f t="shared" ca="1" si="75"/>
        <v>-5.2477272727272641</v>
      </c>
      <c r="DN47" s="126">
        <f t="shared" ca="1" si="24"/>
        <v>-3</v>
      </c>
      <c r="DO47" s="356">
        <f t="shared" ca="1" si="25"/>
        <v>16.282727272727264</v>
      </c>
      <c r="DP47" s="114">
        <v>13.285</v>
      </c>
      <c r="DQ47" s="126">
        <f t="shared" ca="1" si="76"/>
        <v>-5.9977272727272641</v>
      </c>
      <c r="DR47" s="126">
        <f t="shared" ca="1" si="26"/>
        <v>-6</v>
      </c>
      <c r="DS47" s="356">
        <f t="shared" ca="1" si="27"/>
        <v>13.282727272727264</v>
      </c>
      <c r="DT47" s="114">
        <v>15.535</v>
      </c>
      <c r="DU47" s="126">
        <f t="shared" ca="1" si="77"/>
        <v>-3.7477272727272641</v>
      </c>
      <c r="DV47" s="126">
        <f t="shared" ca="1" si="28"/>
        <v>-5</v>
      </c>
      <c r="DW47" s="356">
        <f t="shared" ca="1" si="29"/>
        <v>14.282727272727264</v>
      </c>
      <c r="DY47" s="100">
        <v>2009</v>
      </c>
      <c r="DZ47" s="291">
        <v>-2</v>
      </c>
      <c r="EA47" s="291">
        <v>-3</v>
      </c>
      <c r="EB47" s="291">
        <v>-6</v>
      </c>
      <c r="EC47" s="244">
        <v>-5</v>
      </c>
      <c r="ED47" s="289"/>
      <c r="EE47" s="289"/>
      <c r="EF47" s="289"/>
    </row>
    <row r="48" spans="2:136" x14ac:dyDescent="0.25">
      <c r="B48" s="396">
        <v>37012</v>
      </c>
      <c r="C48" s="399">
        <v>37001</v>
      </c>
      <c r="I48" s="136">
        <f t="shared" ca="1" si="105"/>
        <v>38261</v>
      </c>
      <c r="J48" s="131">
        <f t="shared" ca="1" si="31"/>
        <v>38250</v>
      </c>
      <c r="K48" s="106">
        <f t="shared" ca="1" si="106"/>
        <v>0.76190476190476186</v>
      </c>
      <c r="L48" s="133">
        <f t="shared" ca="1" si="93"/>
        <v>104</v>
      </c>
      <c r="M48" s="134">
        <f t="shared" ca="1" si="94"/>
        <v>10</v>
      </c>
      <c r="N48" s="103">
        <f t="shared" ca="1" si="97"/>
        <v>21</v>
      </c>
      <c r="O48" s="104">
        <f t="shared" ca="1" si="33"/>
        <v>1303</v>
      </c>
      <c r="P48" s="105">
        <f t="shared" ca="1" si="95"/>
        <v>3.5783709787816562</v>
      </c>
      <c r="Q48" s="105">
        <f t="shared" ca="1" si="96"/>
        <v>3.6605065023956196</v>
      </c>
      <c r="R48" s="114">
        <v>19.303333333333303</v>
      </c>
      <c r="S48" s="198">
        <v>0</v>
      </c>
      <c r="T48" s="189">
        <f t="shared" si="34"/>
        <v>19.303333333333303</v>
      </c>
      <c r="U48" s="199">
        <f t="shared" ca="1" si="98"/>
        <v>19.233174603174628</v>
      </c>
      <c r="V48" s="379">
        <f t="shared" ca="1" si="99"/>
        <v>19.233174603174628</v>
      </c>
      <c r="W48" s="483">
        <v>0.20686316548306199</v>
      </c>
      <c r="X48" s="166" t="str">
        <f t="shared" ca="1" si="100"/>
        <v/>
      </c>
      <c r="Y48" s="91">
        <f t="shared" ca="1" si="108"/>
        <v>6.0747384211597231E-3</v>
      </c>
      <c r="Z48" s="91">
        <f t="shared" ca="1" si="109"/>
        <v>2.9727807833866199E-3</v>
      </c>
      <c r="AA48" s="91">
        <f t="shared" ca="1" si="110"/>
        <v>1.2626845671890813E-3</v>
      </c>
      <c r="AB48" s="91">
        <f t="shared" ca="1" si="111"/>
        <v>2.8445757929635635E-3</v>
      </c>
      <c r="AC48" s="91">
        <f t="shared" ca="1" si="112"/>
        <v>6.6970805488134532E-3</v>
      </c>
      <c r="AD48" s="91">
        <f t="shared" ca="1" si="113"/>
        <v>1.3685170715188573E-2</v>
      </c>
      <c r="AE48" s="124">
        <v>7.228769360961701E-2</v>
      </c>
      <c r="AF48" s="191">
        <f t="shared" ca="1" si="57"/>
        <v>0.77109803582735215</v>
      </c>
      <c r="AG48" s="189">
        <f t="shared" ca="1" si="107"/>
        <v>1</v>
      </c>
      <c r="AH48" s="192">
        <f t="shared" ca="1" si="101"/>
        <v>0</v>
      </c>
      <c r="AI48" s="192">
        <f t="shared" ca="1" si="102"/>
        <v>0</v>
      </c>
      <c r="AJ48" s="192">
        <f t="shared" ca="1" si="103"/>
        <v>0</v>
      </c>
      <c r="AK48" s="192">
        <f t="shared" ca="1" si="104"/>
        <v>0</v>
      </c>
      <c r="AL48" s="191" t="str">
        <f t="shared" ca="1" si="60"/>
        <v/>
      </c>
      <c r="AM48" s="191" t="str">
        <f t="shared" ca="1" si="61"/>
        <v/>
      </c>
      <c r="AN48" s="191" t="str">
        <f t="shared" ca="1" si="62"/>
        <v/>
      </c>
      <c r="AO48" s="193" t="str">
        <f t="shared" ca="1" si="63"/>
        <v/>
      </c>
      <c r="AP48" s="194" t="str">
        <f t="shared" ca="1" si="36"/>
        <v/>
      </c>
      <c r="AQ48" s="194" t="str">
        <f t="shared" ca="1" si="37"/>
        <v/>
      </c>
      <c r="AR48" s="195">
        <f ca="1">IF(AH48,_xll.xASN(AL48,Strike1,AE48,AP48,0,N48,0,P48,Q48,IF(OptControl=4,0,1),0),0)</f>
        <v>0</v>
      </c>
      <c r="AS48" s="196">
        <f ca="1">IF(AH48,_xll.xASN(AL48,Strike1,AE48,AP48,0,N48,0,P48,Q48,IF(OptControl=4,0,1),1),0)</f>
        <v>0</v>
      </c>
      <c r="AT48" s="196">
        <f ca="1">IF(AH48,_xll.xASN(AL48,Strike1,AE48,AP48,0,N48,0,P48,Q48,IF(OptControl=4,0,1),2),0)</f>
        <v>0</v>
      </c>
      <c r="AU48" s="196">
        <f ca="1">IF(AH48,_xll.xASN(AL48,Strike1,AE48,AP48,0,N48,0,P48,Q48,IF(OptControl=4,0,1),3)/100,0)</f>
        <v>0</v>
      </c>
      <c r="AV48" s="196">
        <f ca="1">IF(AH48,_xll.xASN(AL48,Strike1,AE48,AP48,0,N48,0,P48-DaysForThetaCalculation/365.25,Q48-DaysForThetaCalculation/365.25,IF(OptControl=4,0,1),0)-_xll.xASN(AL48,Strike1,AE48,AP48,0,N48,0,P48,Q48,IF(OptControl=4,0,1),0),0)</f>
        <v>0</v>
      </c>
      <c r="AW48" s="196">
        <f ca="1">IF(AH48,_xll.xASN(AL48,Strike2,AE48,AQ48,0,N48,0,P48,Q48,IF(OptControl=3,1,0),0),0)</f>
        <v>0</v>
      </c>
      <c r="AX48" s="196">
        <f ca="1">IF(AH48,_xll.xASN(AL48,Strike2,AE48,AQ48,0,N48,0,P48,Q48,IF(OptControl=3,1,0),1),0)</f>
        <v>0</v>
      </c>
      <c r="AY48" s="196">
        <f ca="1">IF(AH48,_xll.xASN(AL48,Strike2,AE48,AQ48,0,N48,0,P48,Q48,IF(OptControl=3,1,0),2),0)</f>
        <v>0</v>
      </c>
      <c r="AZ48" s="196">
        <f ca="1">IF(AH48,_xll.xASN(AL48,Strike2,AE48,AQ48,0,N48,0,P48,Q48,IF(OptControl=3,1,0),3)/100,0)</f>
        <v>0</v>
      </c>
      <c r="BA48" s="196">
        <f ca="1">IF(AH48,_xll.xASN(AL48,Strike2,AE48,AQ48,0,N48,0,P48-DaysForThetaCalculation/365.25,Q48-DaysForThetaCalculation/365.25,IF(OptControl=3,1,0),0)-_xll.xASN(AL48,Strike2,AE48,AQ48,0,N48,0,P48,Q48,IF(OptControl=3,1,0),0),0)</f>
        <v>0</v>
      </c>
      <c r="BB48" s="126" t="str">
        <f t="shared" ca="1" si="64"/>
        <v/>
      </c>
      <c r="BC48" s="191" t="str">
        <f t="shared" ca="1" si="65"/>
        <v/>
      </c>
      <c r="BD48" s="191" t="str">
        <f t="shared" ca="1" si="66"/>
        <v/>
      </c>
      <c r="BE48" s="190" t="str">
        <f t="shared" ca="1" si="67"/>
        <v/>
      </c>
      <c r="BF48" s="194" t="str">
        <f t="shared" ca="1" si="68"/>
        <v/>
      </c>
      <c r="BG48" s="194" t="str">
        <f t="shared" ca="1" si="69"/>
        <v/>
      </c>
      <c r="BH48" s="195">
        <f ca="1">IF(AH48,_xll.xEURO(BB48,Strike1,AE48,AE48,BF48,O48,IF(OptControl=4,0,1),0),0)</f>
        <v>0</v>
      </c>
      <c r="BI48" s="196">
        <f ca="1">IF(AH48,_xll.xEURO(BB48,Strike1,AE48,AE48,BF48,O48,IF(OptControl=4,0,1),1),0)</f>
        <v>0</v>
      </c>
      <c r="BJ48" s="196">
        <f ca="1">IF(AH48,_xll.xEURO(BB48,Strike1,AE48,AE48,BF48,O48,IF(OptControl=4,0,1),2),0)</f>
        <v>0</v>
      </c>
      <c r="BK48" s="196">
        <f ca="1">IF(AH48,_xll.xEURO(BB48,Strike1,AE48,AE48,BF48,O48,IF(OptControl=4,0,1),3)/100,0)</f>
        <v>0</v>
      </c>
      <c r="BL48" s="196">
        <f ca="1">IF(AH48,_xll.xEURO(BB48,Strike1,AE48,AE48,BF48,O48-DaysForThetaCalculation,IF(OptControl=4,0,1),0)-_xll.xEURO(BB48,Strike1,AE48,AE48,BF48,O48,IF(OptControl=4,0,1),0),0)</f>
        <v>0</v>
      </c>
      <c r="BM48" s="196">
        <f ca="1">IF(AH48,_xll.xEURO(BB48,Strike2,AE48,AE48,BG48,O48,IF(OptControl=3,1,0),0),0)</f>
        <v>0</v>
      </c>
      <c r="BN48" s="196">
        <f ca="1">IF(AH48,_xll.xEURO(BB48,Strike2,AE48,AE48,BG48,O48,IF(OptControl=3,1,0),1),0)</f>
        <v>0</v>
      </c>
      <c r="BO48" s="196">
        <f ca="1">IF(AH48,_xll.xEURO(BB48,Strike2,AE48,AE48,BG48,O48,IF(OptControl=3,1,0),2),0)</f>
        <v>0</v>
      </c>
      <c r="BP48" s="196">
        <f ca="1">IF(AH48,_xll.xEURO(BB48,Strike2,AE48,AE48,BG48,O48,IF(OptControl=3,1,0),3)/100,0)</f>
        <v>0</v>
      </c>
      <c r="BQ48" s="197">
        <f ca="1">IF(AH48,_xll.xEURO(BB48,Strike2,AE48,AE48,BG48,O48-DaysForThetaCalculation,IF(OptControl=3,1,0),0)-_xll.xEURO(BB48,Strike2,AE48,AE48,BG48,O48,IF(OptControl=3,1,0),0),0)</f>
        <v>0</v>
      </c>
      <c r="BR48" s="301"/>
      <c r="BS48" s="114">
        <v>24.448000000000004</v>
      </c>
      <c r="BT48" s="345">
        <f t="shared" si="11"/>
        <v>58.209523809523816</v>
      </c>
      <c r="BU48" s="345">
        <f t="shared" ca="1" si="84"/>
        <v>4.7408253968253717</v>
      </c>
      <c r="BV48" s="73"/>
      <c r="BW48" s="345">
        <f t="shared" ca="1" si="80"/>
        <v>4.9917826086956563</v>
      </c>
      <c r="BX48" s="345">
        <f t="shared" ca="1" si="85"/>
        <v>58.766017316017304</v>
      </c>
      <c r="BY48" s="373">
        <f t="shared" ca="1" si="41"/>
        <v>57.678469552072102</v>
      </c>
      <c r="BZ48" s="114">
        <v>21.664000000000001</v>
      </c>
      <c r="CA48" s="345">
        <f t="shared" si="12"/>
        <v>51.580952380952382</v>
      </c>
      <c r="CB48" s="345">
        <f t="shared" ca="1" si="86"/>
        <v>2.430825396825373</v>
      </c>
      <c r="CC48" s="345">
        <f t="shared" ca="1" si="81"/>
        <v>2.6817826086956562</v>
      </c>
      <c r="CD48" s="345">
        <f t="shared" ca="1" si="15"/>
        <v>52.178469552072102</v>
      </c>
      <c r="CE48" s="347">
        <f t="shared" ca="1" si="70"/>
        <v>-5.5</v>
      </c>
      <c r="CF48" s="114">
        <v>22.541</v>
      </c>
      <c r="CG48" s="345">
        <f t="shared" si="16"/>
        <v>53.669047619047618</v>
      </c>
      <c r="CH48" s="345">
        <f t="shared" ca="1" si="42"/>
        <v>3.7958253968253715</v>
      </c>
      <c r="CI48" s="73"/>
      <c r="CJ48" s="345">
        <f t="shared" ca="1" si="89"/>
        <v>3.8497826086956519</v>
      </c>
      <c r="CK48" s="345">
        <f t="shared" ca="1" si="90"/>
        <v>53.746969696969678</v>
      </c>
      <c r="CL48" s="345">
        <f t="shared" ca="1" si="45"/>
        <v>54.959421933024473</v>
      </c>
      <c r="CM48" s="114">
        <v>21.79</v>
      </c>
      <c r="CN48" s="345">
        <f t="shared" si="17"/>
        <v>51.88095238095238</v>
      </c>
      <c r="CO48" s="345">
        <f t="shared" ca="1" si="46"/>
        <v>2.5568253968253707</v>
      </c>
      <c r="CP48" s="345">
        <f t="shared" ca="1" si="92"/>
        <v>2.6527826086956527</v>
      </c>
      <c r="CQ48" s="345">
        <f t="shared" ca="1" si="19"/>
        <v>52.109421933024478</v>
      </c>
      <c r="CR48" s="347">
        <f t="shared" ca="1" si="71"/>
        <v>-2.8499999999999943</v>
      </c>
      <c r="CS48" s="114">
        <v>23.155000000000001</v>
      </c>
      <c r="CT48" s="345">
        <f t="shared" si="20"/>
        <v>55.13095238095238</v>
      </c>
      <c r="CU48" s="345">
        <f t="shared" si="72"/>
        <v>0.29999999999999716</v>
      </c>
      <c r="CV48" s="345">
        <f t="shared" ca="1" si="91"/>
        <v>1.0500000000000085</v>
      </c>
      <c r="CW48" s="347">
        <f t="shared" ca="1" si="73"/>
        <v>56.009421933024484</v>
      </c>
      <c r="CX48" s="483">
        <v>0.20699999999999999</v>
      </c>
      <c r="CY48" s="190">
        <f t="shared" si="47"/>
        <v>1.3683451693799475E-4</v>
      </c>
      <c r="CZ48" s="190">
        <f t="shared" ca="1" si="78"/>
        <v>-0.03</v>
      </c>
      <c r="DA48" s="354">
        <f t="shared" ca="1" si="79"/>
        <v>0.176863165483062</v>
      </c>
      <c r="DB48" s="483">
        <v>0.20699999999999999</v>
      </c>
      <c r="DC48" s="190">
        <f t="shared" si="49"/>
        <v>1.3683451693799475E-4</v>
      </c>
      <c r="DD48" s="190">
        <f t="shared" ca="1" si="82"/>
        <v>0.03</v>
      </c>
      <c r="DE48" s="354">
        <f t="shared" ca="1" si="83"/>
        <v>0.23686316548306199</v>
      </c>
      <c r="DG48" s="341"/>
      <c r="DH48" s="114">
        <v>16.524000000000001</v>
      </c>
      <c r="DI48" s="126">
        <f t="shared" ca="1" si="74"/>
        <v>-2.7091746031746275</v>
      </c>
      <c r="DJ48" s="126">
        <f t="shared" ca="1" si="22"/>
        <v>-2</v>
      </c>
      <c r="DK48" s="356">
        <f t="shared" ca="1" si="23"/>
        <v>17.233174603174628</v>
      </c>
      <c r="DL48" s="114">
        <v>13.974000000000002</v>
      </c>
      <c r="DM48" s="126">
        <f t="shared" ca="1" si="75"/>
        <v>-5.2591746031746265</v>
      </c>
      <c r="DN48" s="126">
        <f t="shared" ca="1" si="24"/>
        <v>-3</v>
      </c>
      <c r="DO48" s="356">
        <f t="shared" ca="1" si="25"/>
        <v>16.233174603174628</v>
      </c>
      <c r="DP48" s="114">
        <v>13.224000000000002</v>
      </c>
      <c r="DQ48" s="126">
        <f t="shared" ca="1" si="76"/>
        <v>-6.0091746031746265</v>
      </c>
      <c r="DR48" s="126">
        <f t="shared" ca="1" si="26"/>
        <v>-6</v>
      </c>
      <c r="DS48" s="356">
        <f t="shared" ca="1" si="27"/>
        <v>13.233174603174628</v>
      </c>
      <c r="DT48" s="114">
        <v>15.474000000000002</v>
      </c>
      <c r="DU48" s="126">
        <f t="shared" ca="1" si="77"/>
        <v>-3.7591746031746265</v>
      </c>
      <c r="DV48" s="126">
        <f t="shared" ca="1" si="28"/>
        <v>-5</v>
      </c>
      <c r="DW48" s="356">
        <f t="shared" ca="1" si="29"/>
        <v>14.233174603174628</v>
      </c>
      <c r="DY48" s="100">
        <v>2010</v>
      </c>
      <c r="DZ48" s="291">
        <v>-2</v>
      </c>
      <c r="EA48" s="291">
        <v>-3</v>
      </c>
      <c r="EB48" s="291">
        <v>-6</v>
      </c>
      <c r="EC48" s="244">
        <v>-5</v>
      </c>
      <c r="ED48" s="289"/>
      <c r="EE48" s="289"/>
      <c r="EF48" s="289"/>
    </row>
    <row r="49" spans="2:136" x14ac:dyDescent="0.25">
      <c r="B49" s="396">
        <v>37043</v>
      </c>
      <c r="C49" s="399">
        <v>37033</v>
      </c>
      <c r="I49" s="136">
        <f t="shared" ca="1" si="105"/>
        <v>38292</v>
      </c>
      <c r="J49" s="131">
        <f t="shared" ca="1" si="31"/>
        <v>38282</v>
      </c>
      <c r="K49" s="106">
        <f t="shared" ca="1" si="106"/>
        <v>0.68181818181818177</v>
      </c>
      <c r="L49" s="133">
        <f t="shared" ca="1" si="93"/>
        <v>104</v>
      </c>
      <c r="M49" s="134">
        <f t="shared" ca="1" si="94"/>
        <v>11</v>
      </c>
      <c r="N49" s="103">
        <f t="shared" ca="1" si="97"/>
        <v>22</v>
      </c>
      <c r="O49" s="104">
        <f t="shared" ca="1" si="33"/>
        <v>1332</v>
      </c>
      <c r="P49" s="105">
        <f t="shared" ca="1" si="95"/>
        <v>3.6632443531827517</v>
      </c>
      <c r="Q49" s="105">
        <f t="shared" ca="1" si="96"/>
        <v>3.7426420260095825</v>
      </c>
      <c r="R49" s="114">
        <v>19.246666666666698</v>
      </c>
      <c r="S49" s="198">
        <v>0</v>
      </c>
      <c r="T49" s="189">
        <f t="shared" si="34"/>
        <v>19.246666666666698</v>
      </c>
      <c r="U49" s="199">
        <f t="shared" ca="1" si="98"/>
        <v>19.185227272727275</v>
      </c>
      <c r="V49" s="379">
        <f t="shared" ca="1" si="99"/>
        <v>19.185227272727275</v>
      </c>
      <c r="W49" s="483">
        <v>0.20653941889569802</v>
      </c>
      <c r="X49" s="166" t="str">
        <f t="shared" ca="1" si="100"/>
        <v/>
      </c>
      <c r="Y49" s="91">
        <f t="shared" ca="1" si="108"/>
        <v>5.9446875107980503E-3</v>
      </c>
      <c r="Z49" s="91">
        <f t="shared" ca="1" si="109"/>
        <v>2.893562391874268E-3</v>
      </c>
      <c r="AA49" s="91">
        <f t="shared" ca="1" si="110"/>
        <v>1.2257408857680582E-3</v>
      </c>
      <c r="AB49" s="91">
        <f t="shared" ca="1" si="111"/>
        <v>2.7613490674582826E-3</v>
      </c>
      <c r="AC49" s="91">
        <f t="shared" ca="1" si="112"/>
        <v>6.5186173564144283E-3</v>
      </c>
      <c r="AD49" s="91">
        <f t="shared" ca="1" si="113"/>
        <v>1.3392192024325796E-2</v>
      </c>
      <c r="AE49" s="124">
        <v>7.2330038663328003E-2</v>
      </c>
      <c r="AF49" s="191">
        <f t="shared" ca="1" si="57"/>
        <v>0.76649636978698465</v>
      </c>
      <c r="AG49" s="189">
        <f t="shared" ca="1" si="107"/>
        <v>1</v>
      </c>
      <c r="AH49" s="192">
        <f t="shared" ca="1" si="101"/>
        <v>0</v>
      </c>
      <c r="AI49" s="192">
        <f t="shared" ca="1" si="102"/>
        <v>0</v>
      </c>
      <c r="AJ49" s="192">
        <f t="shared" ca="1" si="103"/>
        <v>0</v>
      </c>
      <c r="AK49" s="192">
        <f t="shared" ca="1" si="104"/>
        <v>0</v>
      </c>
      <c r="AL49" s="191" t="str">
        <f t="shared" ca="1" si="60"/>
        <v/>
      </c>
      <c r="AM49" s="191" t="str">
        <f t="shared" ca="1" si="61"/>
        <v/>
      </c>
      <c r="AN49" s="191" t="str">
        <f t="shared" ca="1" si="62"/>
        <v/>
      </c>
      <c r="AO49" s="193" t="str">
        <f t="shared" ca="1" si="63"/>
        <v/>
      </c>
      <c r="AP49" s="194" t="str">
        <f t="shared" ca="1" si="36"/>
        <v/>
      </c>
      <c r="AQ49" s="194" t="str">
        <f t="shared" ca="1" si="37"/>
        <v/>
      </c>
      <c r="AR49" s="195">
        <f ca="1">IF(AH49,_xll.xASN(AL49,Strike1,AE49,AP49,0,N49,0,P49,Q49,IF(OptControl=4,0,1),0),0)</f>
        <v>0</v>
      </c>
      <c r="AS49" s="196">
        <f ca="1">IF(AH49,_xll.xASN(AL49,Strike1,AE49,AP49,0,N49,0,P49,Q49,IF(OptControl=4,0,1),1),0)</f>
        <v>0</v>
      </c>
      <c r="AT49" s="196">
        <f ca="1">IF(AH49,_xll.xASN(AL49,Strike1,AE49,AP49,0,N49,0,P49,Q49,IF(OptControl=4,0,1),2),0)</f>
        <v>0</v>
      </c>
      <c r="AU49" s="196">
        <f ca="1">IF(AH49,_xll.xASN(AL49,Strike1,AE49,AP49,0,N49,0,P49,Q49,IF(OptControl=4,0,1),3)/100,0)</f>
        <v>0</v>
      </c>
      <c r="AV49" s="196">
        <f ca="1">IF(AH49,_xll.xASN(AL49,Strike1,AE49,AP49,0,N49,0,P49-DaysForThetaCalculation/365.25,Q49-DaysForThetaCalculation/365.25,IF(OptControl=4,0,1),0)-_xll.xASN(AL49,Strike1,AE49,AP49,0,N49,0,P49,Q49,IF(OptControl=4,0,1),0),0)</f>
        <v>0</v>
      </c>
      <c r="AW49" s="196">
        <f ca="1">IF(AH49,_xll.xASN(AL49,Strike2,AE49,AQ49,0,N49,0,P49,Q49,IF(OptControl=3,1,0),0),0)</f>
        <v>0</v>
      </c>
      <c r="AX49" s="196">
        <f ca="1">IF(AH49,_xll.xASN(AL49,Strike2,AE49,AQ49,0,N49,0,P49,Q49,IF(OptControl=3,1,0),1),0)</f>
        <v>0</v>
      </c>
      <c r="AY49" s="196">
        <f ca="1">IF(AH49,_xll.xASN(AL49,Strike2,AE49,AQ49,0,N49,0,P49,Q49,IF(OptControl=3,1,0),2),0)</f>
        <v>0</v>
      </c>
      <c r="AZ49" s="196">
        <f ca="1">IF(AH49,_xll.xASN(AL49,Strike2,AE49,AQ49,0,N49,0,P49,Q49,IF(OptControl=3,1,0),3)/100,0)</f>
        <v>0</v>
      </c>
      <c r="BA49" s="196">
        <f ca="1">IF(AH49,_xll.xASN(AL49,Strike2,AE49,AQ49,0,N49,0,P49-DaysForThetaCalculation/365.25,Q49-DaysForThetaCalculation/365.25,IF(OptControl=3,1,0),0)-_xll.xASN(AL49,Strike2,AE49,AQ49,0,N49,0,P49,Q49,IF(OptControl=3,1,0),0),0)</f>
        <v>0</v>
      </c>
      <c r="BB49" s="126" t="str">
        <f t="shared" ca="1" si="64"/>
        <v/>
      </c>
      <c r="BC49" s="191" t="str">
        <f t="shared" ca="1" si="65"/>
        <v/>
      </c>
      <c r="BD49" s="191" t="str">
        <f t="shared" ca="1" si="66"/>
        <v/>
      </c>
      <c r="BE49" s="190" t="str">
        <f t="shared" ca="1" si="67"/>
        <v/>
      </c>
      <c r="BF49" s="194" t="str">
        <f t="shared" ca="1" si="68"/>
        <v/>
      </c>
      <c r="BG49" s="194" t="str">
        <f t="shared" ca="1" si="69"/>
        <v/>
      </c>
      <c r="BH49" s="195">
        <f ca="1">IF(AH49,_xll.xEURO(BB49,Strike1,AE49,AE49,BF49,O49,IF(OptControl=4,0,1),0),0)</f>
        <v>0</v>
      </c>
      <c r="BI49" s="196">
        <f ca="1">IF(AH49,_xll.xEURO(BB49,Strike1,AE49,AE49,BF49,O49,IF(OptControl=4,0,1),1),0)</f>
        <v>0</v>
      </c>
      <c r="BJ49" s="196">
        <f ca="1">IF(AH49,_xll.xEURO(BB49,Strike1,AE49,AE49,BF49,O49,IF(OptControl=4,0,1),2),0)</f>
        <v>0</v>
      </c>
      <c r="BK49" s="196">
        <f ca="1">IF(AH49,_xll.xEURO(BB49,Strike1,AE49,AE49,BF49,O49,IF(OptControl=4,0,1),3)/100,0)</f>
        <v>0</v>
      </c>
      <c r="BL49" s="196">
        <f ca="1">IF(AH49,_xll.xEURO(BB49,Strike1,AE49,AE49,BF49,O49-DaysForThetaCalculation,IF(OptControl=4,0,1),0)-_xll.xEURO(BB49,Strike1,AE49,AE49,BF49,O49,IF(OptControl=4,0,1),0),0)</f>
        <v>0</v>
      </c>
      <c r="BM49" s="196">
        <f ca="1">IF(AH49,_xll.xEURO(BB49,Strike2,AE49,AE49,BG49,O49,IF(OptControl=3,1,0),0),0)</f>
        <v>0</v>
      </c>
      <c r="BN49" s="196">
        <f ca="1">IF(AH49,_xll.xEURO(BB49,Strike2,AE49,AE49,BG49,O49,IF(OptControl=3,1,0),1),0)</f>
        <v>0</v>
      </c>
      <c r="BO49" s="196">
        <f ca="1">IF(AH49,_xll.xEURO(BB49,Strike2,AE49,AE49,BG49,O49,IF(OptControl=3,1,0),2),0)</f>
        <v>0</v>
      </c>
      <c r="BP49" s="196">
        <f ca="1">IF(AH49,_xll.xEURO(BB49,Strike2,AE49,AE49,BG49,O49,IF(OptControl=3,1,0),3)/100,0)</f>
        <v>0</v>
      </c>
      <c r="BQ49" s="197">
        <f ca="1">IF(AH49,_xll.xEURO(BB49,Strike2,AE49,AE49,BG49,O49-DaysForThetaCalculation,IF(OptControl=3,1,0),0)-_xll.xEURO(BB49,Strike2,AE49,AE49,BG49,O49,IF(OptControl=3,1,0),0),0)</f>
        <v>0</v>
      </c>
      <c r="BR49" s="301"/>
      <c r="BS49" s="114">
        <v>23.974</v>
      </c>
      <c r="BT49" s="345">
        <f t="shared" si="11"/>
        <v>57.080952380952382</v>
      </c>
      <c r="BU49" s="345">
        <f t="shared" ca="1" si="84"/>
        <v>4.5947727272727263</v>
      </c>
      <c r="BV49" s="73"/>
      <c r="BW49" s="345">
        <f t="shared" ca="1" si="80"/>
        <v>4.8444545454545516</v>
      </c>
      <c r="BX49" s="345">
        <f t="shared" ca="1" si="85"/>
        <v>57.678469552072102</v>
      </c>
      <c r="BY49" s="373">
        <f t="shared" ca="1" si="41"/>
        <v>57.213528138528169</v>
      </c>
      <c r="BZ49" s="114">
        <v>21.47</v>
      </c>
      <c r="CA49" s="345">
        <f t="shared" si="12"/>
        <v>51.11904761904762</v>
      </c>
      <c r="CB49" s="345">
        <f t="shared" ca="1" si="86"/>
        <v>2.2847727272727241</v>
      </c>
      <c r="CC49" s="345">
        <f t="shared" ca="1" si="81"/>
        <v>2.534454545454548</v>
      </c>
      <c r="CD49" s="345">
        <f t="shared" ca="1" si="15"/>
        <v>51.713528138528147</v>
      </c>
      <c r="CE49" s="347">
        <f t="shared" ca="1" si="70"/>
        <v>-5.5000000000000213</v>
      </c>
      <c r="CF49" s="114">
        <v>23.029</v>
      </c>
      <c r="CG49" s="345">
        <f t="shared" si="16"/>
        <v>54.830952380952382</v>
      </c>
      <c r="CH49" s="345">
        <f t="shared" ca="1" si="42"/>
        <v>4.3687727272727273</v>
      </c>
      <c r="CI49" s="73"/>
      <c r="CJ49" s="345">
        <f t="shared" ca="1" si="89"/>
        <v>4.4164545454545472</v>
      </c>
      <c r="CK49" s="345">
        <f t="shared" ca="1" si="90"/>
        <v>54.959421933024473</v>
      </c>
      <c r="CL49" s="345">
        <f t="shared" ca="1" si="45"/>
        <v>56.194480519480535</v>
      </c>
      <c r="CM49" s="114">
        <v>22.315000000000001</v>
      </c>
      <c r="CN49" s="345">
        <f t="shared" si="17"/>
        <v>53.13095238095238</v>
      </c>
      <c r="CO49" s="345">
        <f t="shared" ca="1" si="46"/>
        <v>3.1297727272727265</v>
      </c>
      <c r="CP49" s="345">
        <f t="shared" ca="1" si="92"/>
        <v>3.2194545454545502</v>
      </c>
      <c r="CQ49" s="345">
        <f t="shared" ca="1" si="19"/>
        <v>53.344480519480534</v>
      </c>
      <c r="CR49" s="347">
        <f t="shared" ca="1" si="71"/>
        <v>-2.8500000000000014</v>
      </c>
      <c r="CS49" s="114">
        <v>23.68</v>
      </c>
      <c r="CT49" s="345">
        <f t="shared" si="20"/>
        <v>56.38095238095238</v>
      </c>
      <c r="CU49" s="345">
        <f t="shared" si="72"/>
        <v>0.29999999999999716</v>
      </c>
      <c r="CV49" s="345">
        <f t="shared" ca="1" si="91"/>
        <v>1.0500000000000085</v>
      </c>
      <c r="CW49" s="347">
        <f t="shared" ca="1" si="73"/>
        <v>57.244480519480547</v>
      </c>
      <c r="CX49" s="483">
        <v>0.20699999999999999</v>
      </c>
      <c r="CY49" s="190">
        <f t="shared" si="47"/>
        <v>4.6058110430197141E-4</v>
      </c>
      <c r="CZ49" s="190">
        <f t="shared" ca="1" si="78"/>
        <v>-0.03</v>
      </c>
      <c r="DA49" s="354">
        <f t="shared" ca="1" si="79"/>
        <v>0.17653941889569802</v>
      </c>
      <c r="DB49" s="483">
        <v>0.20699999999999999</v>
      </c>
      <c r="DC49" s="190">
        <f t="shared" si="49"/>
        <v>4.6058110430197141E-4</v>
      </c>
      <c r="DD49" s="190">
        <f t="shared" ca="1" si="82"/>
        <v>0.03</v>
      </c>
      <c r="DE49" s="354">
        <f t="shared" ca="1" si="83"/>
        <v>0.23653941889569802</v>
      </c>
      <c r="DG49" s="341"/>
      <c r="DH49" s="114">
        <v>16.486000000000001</v>
      </c>
      <c r="DI49" s="126">
        <f t="shared" ca="1" si="74"/>
        <v>-2.6992272727272741</v>
      </c>
      <c r="DJ49" s="126">
        <f t="shared" ca="1" si="22"/>
        <v>-2</v>
      </c>
      <c r="DK49" s="356">
        <f t="shared" ca="1" si="23"/>
        <v>17.185227272727275</v>
      </c>
      <c r="DL49" s="114">
        <v>13.936000000000002</v>
      </c>
      <c r="DM49" s="126">
        <f t="shared" ca="1" si="75"/>
        <v>-5.2492272727272731</v>
      </c>
      <c r="DN49" s="126">
        <f t="shared" ca="1" si="24"/>
        <v>-3</v>
      </c>
      <c r="DO49" s="356">
        <f t="shared" ca="1" si="25"/>
        <v>16.185227272727275</v>
      </c>
      <c r="DP49" s="114">
        <v>13.186000000000002</v>
      </c>
      <c r="DQ49" s="126">
        <f t="shared" ca="1" si="76"/>
        <v>-5.9992272727272731</v>
      </c>
      <c r="DR49" s="126">
        <f t="shared" ca="1" si="26"/>
        <v>-6</v>
      </c>
      <c r="DS49" s="356">
        <f t="shared" ca="1" si="27"/>
        <v>13.185227272727275</v>
      </c>
      <c r="DT49" s="114">
        <v>15.436000000000002</v>
      </c>
      <c r="DU49" s="126">
        <f t="shared" ca="1" si="77"/>
        <v>-3.7492272727272731</v>
      </c>
      <c r="DV49" s="126">
        <f t="shared" ca="1" si="28"/>
        <v>-5</v>
      </c>
      <c r="DW49" s="356">
        <f t="shared" ca="1" si="29"/>
        <v>14.185227272727275</v>
      </c>
      <c r="DY49" s="100">
        <v>2011</v>
      </c>
      <c r="DZ49" s="291">
        <v>-2</v>
      </c>
      <c r="EA49" s="291">
        <v>-3</v>
      </c>
      <c r="EB49" s="291">
        <v>-6</v>
      </c>
      <c r="EC49" s="244">
        <v>-5</v>
      </c>
      <c r="ED49" s="289"/>
      <c r="EE49" s="289"/>
      <c r="EF49" s="289"/>
    </row>
    <row r="50" spans="2:136" x14ac:dyDescent="0.25">
      <c r="B50" s="396">
        <v>37073</v>
      </c>
      <c r="C50" s="399">
        <v>37062</v>
      </c>
      <c r="I50" s="136">
        <f t="shared" ca="1" si="105"/>
        <v>38322</v>
      </c>
      <c r="J50" s="131">
        <f t="shared" ca="1" si="31"/>
        <v>38310</v>
      </c>
      <c r="K50" s="106">
        <f t="shared" ca="1" si="106"/>
        <v>0.56521739130434778</v>
      </c>
      <c r="L50" s="133">
        <f t="shared" ca="1" si="93"/>
        <v>104</v>
      </c>
      <c r="M50" s="134">
        <f t="shared" ca="1" si="94"/>
        <v>12</v>
      </c>
      <c r="N50" s="103">
        <f t="shared" ca="1" si="97"/>
        <v>23</v>
      </c>
      <c r="O50" s="104">
        <f t="shared" ca="1" si="33"/>
        <v>1362</v>
      </c>
      <c r="P50" s="105">
        <f t="shared" ca="1" si="95"/>
        <v>3.7453798767967146</v>
      </c>
      <c r="Q50" s="105">
        <f t="shared" ca="1" si="96"/>
        <v>3.8275154004106775</v>
      </c>
      <c r="R50" s="114">
        <v>19.190000000000001</v>
      </c>
      <c r="S50" s="198">
        <v>0</v>
      </c>
      <c r="T50" s="189">
        <f t="shared" si="34"/>
        <v>19.190000000000001</v>
      </c>
      <c r="U50" s="199">
        <f t="shared" ca="1" si="98"/>
        <v>19.168478260869566</v>
      </c>
      <c r="V50" s="379">
        <f t="shared" ca="1" si="99"/>
        <v>19.168478260869566</v>
      </c>
      <c r="W50" s="483">
        <v>0.20514499915353504</v>
      </c>
      <c r="X50" s="166" t="str">
        <f t="shared" ca="1" si="100"/>
        <v/>
      </c>
      <c r="Y50" s="91">
        <f t="shared" ca="1" si="108"/>
        <v>5.8174207926292437E-3</v>
      </c>
      <c r="Z50" s="91">
        <f t="shared" ca="1" si="109"/>
        <v>2.8164550048425949E-3</v>
      </c>
      <c r="AA50" s="91">
        <f t="shared" ca="1" si="110"/>
        <v>1.1898781042268651E-3</v>
      </c>
      <c r="AB50" s="91">
        <f t="shared" ca="1" si="111"/>
        <v>2.6805573932022829E-3</v>
      </c>
      <c r="AC50" s="91">
        <f t="shared" ca="1" si="112"/>
        <v>6.3449098349094759E-3</v>
      </c>
      <c r="AD50" s="91">
        <f t="shared" ca="1" si="113"/>
        <v>1.3105485561635108E-2</v>
      </c>
      <c r="AE50" s="124">
        <v>7.2371017748127001E-2</v>
      </c>
      <c r="AF50" s="191">
        <f t="shared" ca="1" si="57"/>
        <v>0.76177260796628987</v>
      </c>
      <c r="AG50" s="189">
        <f t="shared" ca="1" si="107"/>
        <v>1</v>
      </c>
      <c r="AH50" s="192">
        <f t="shared" ca="1" si="101"/>
        <v>0</v>
      </c>
      <c r="AI50" s="192">
        <f t="shared" ca="1" si="102"/>
        <v>0</v>
      </c>
      <c r="AJ50" s="192">
        <f t="shared" ca="1" si="103"/>
        <v>0</v>
      </c>
      <c r="AK50" s="192">
        <f t="shared" ca="1" si="104"/>
        <v>0</v>
      </c>
      <c r="AL50" s="191" t="str">
        <f t="shared" ca="1" si="60"/>
        <v/>
      </c>
      <c r="AM50" s="191" t="str">
        <f t="shared" ca="1" si="61"/>
        <v/>
      </c>
      <c r="AN50" s="191" t="str">
        <f t="shared" ca="1" si="62"/>
        <v/>
      </c>
      <c r="AO50" s="193" t="str">
        <f t="shared" ca="1" si="63"/>
        <v/>
      </c>
      <c r="AP50" s="194" t="str">
        <f t="shared" ca="1" si="36"/>
        <v/>
      </c>
      <c r="AQ50" s="194" t="str">
        <f t="shared" ca="1" si="37"/>
        <v/>
      </c>
      <c r="AR50" s="195">
        <f ca="1">IF(AH50,_xll.xASN(AL50,Strike1,AE50,AP50,0,N50,0,P50,Q50,IF(OptControl=4,0,1),0),0)</f>
        <v>0</v>
      </c>
      <c r="AS50" s="196">
        <f ca="1">IF(AH50,_xll.xASN(AL50,Strike1,AE50,AP50,0,N50,0,P50,Q50,IF(OptControl=4,0,1),1),0)</f>
        <v>0</v>
      </c>
      <c r="AT50" s="196">
        <f ca="1">IF(AH50,_xll.xASN(AL50,Strike1,AE50,AP50,0,N50,0,P50,Q50,IF(OptControl=4,0,1),2),0)</f>
        <v>0</v>
      </c>
      <c r="AU50" s="196">
        <f ca="1">IF(AH50,_xll.xASN(AL50,Strike1,AE50,AP50,0,N50,0,P50,Q50,IF(OptControl=4,0,1),3)/100,0)</f>
        <v>0</v>
      </c>
      <c r="AV50" s="196">
        <f ca="1">IF(AH50,_xll.xASN(AL50,Strike1,AE50,AP50,0,N50,0,P50-DaysForThetaCalculation/365.25,Q50-DaysForThetaCalculation/365.25,IF(OptControl=4,0,1),0)-_xll.xASN(AL50,Strike1,AE50,AP50,0,N50,0,P50,Q50,IF(OptControl=4,0,1),0),0)</f>
        <v>0</v>
      </c>
      <c r="AW50" s="196">
        <f ca="1">IF(AH50,_xll.xASN(AL50,Strike2,AE50,AQ50,0,N50,0,P50,Q50,IF(OptControl=3,1,0),0),0)</f>
        <v>0</v>
      </c>
      <c r="AX50" s="196">
        <f ca="1">IF(AH50,_xll.xASN(AL50,Strike2,AE50,AQ50,0,N50,0,P50,Q50,IF(OptControl=3,1,0),1),0)</f>
        <v>0</v>
      </c>
      <c r="AY50" s="196">
        <f ca="1">IF(AH50,_xll.xASN(AL50,Strike2,AE50,AQ50,0,N50,0,P50,Q50,IF(OptControl=3,1,0),2),0)</f>
        <v>0</v>
      </c>
      <c r="AZ50" s="196">
        <f ca="1">IF(AH50,_xll.xASN(AL50,Strike2,AE50,AQ50,0,N50,0,P50,Q50,IF(OptControl=3,1,0),3)/100,0)</f>
        <v>0</v>
      </c>
      <c r="BA50" s="196">
        <f ca="1">IF(AH50,_xll.xASN(AL50,Strike2,AE50,AQ50,0,N50,0,P50-DaysForThetaCalculation/365.25,Q50-DaysForThetaCalculation/365.25,IF(OptControl=3,1,0),0)-_xll.xASN(AL50,Strike2,AE50,AQ50,0,N50,0,P50,Q50,IF(OptControl=3,1,0),0),0)</f>
        <v>0</v>
      </c>
      <c r="BB50" s="126" t="str">
        <f t="shared" ca="1" si="64"/>
        <v/>
      </c>
      <c r="BC50" s="191" t="str">
        <f t="shared" ca="1" si="65"/>
        <v/>
      </c>
      <c r="BD50" s="191" t="str">
        <f t="shared" ca="1" si="66"/>
        <v/>
      </c>
      <c r="BE50" s="190" t="str">
        <f t="shared" ca="1" si="67"/>
        <v/>
      </c>
      <c r="BF50" s="194" t="str">
        <f t="shared" ca="1" si="68"/>
        <v/>
      </c>
      <c r="BG50" s="194" t="str">
        <f t="shared" ca="1" si="69"/>
        <v/>
      </c>
      <c r="BH50" s="195">
        <f ca="1">IF(AH50,_xll.xEURO(BB50,Strike1,AE50,AE50,BF50,O50,IF(OptControl=4,0,1),0),0)</f>
        <v>0</v>
      </c>
      <c r="BI50" s="196">
        <f ca="1">IF(AH50,_xll.xEURO(BB50,Strike1,AE50,AE50,BF50,O50,IF(OptControl=4,0,1),1),0)</f>
        <v>0</v>
      </c>
      <c r="BJ50" s="196">
        <f ca="1">IF(AH50,_xll.xEURO(BB50,Strike1,AE50,AE50,BF50,O50,IF(OptControl=4,0,1),2),0)</f>
        <v>0</v>
      </c>
      <c r="BK50" s="196">
        <f ca="1">IF(AH50,_xll.xEURO(BB50,Strike1,AE50,AE50,BF50,O50,IF(OptControl=4,0,1),3)/100,0)</f>
        <v>0</v>
      </c>
      <c r="BL50" s="196">
        <f ca="1">IF(AH50,_xll.xEURO(BB50,Strike1,AE50,AE50,BF50,O50-DaysForThetaCalculation,IF(OptControl=4,0,1),0)-_xll.xEURO(BB50,Strike1,AE50,AE50,BF50,O50,IF(OptControl=4,0,1),0),0)</f>
        <v>0</v>
      </c>
      <c r="BM50" s="196">
        <f ca="1">IF(AH50,_xll.xEURO(BB50,Strike2,AE50,AE50,BG50,O50,IF(OptControl=3,1,0),0),0)</f>
        <v>0</v>
      </c>
      <c r="BN50" s="196">
        <f ca="1">IF(AH50,_xll.xEURO(BB50,Strike2,AE50,AE50,BG50,O50,IF(OptControl=3,1,0),1),0)</f>
        <v>0</v>
      </c>
      <c r="BO50" s="196">
        <f ca="1">IF(AH50,_xll.xEURO(BB50,Strike2,AE50,AE50,BG50,O50,IF(OptControl=3,1,0),2),0)</f>
        <v>0</v>
      </c>
      <c r="BP50" s="196">
        <f ca="1">IF(AH50,_xll.xEURO(BB50,Strike2,AE50,AE50,BG50,O50,IF(OptControl=3,1,0),3)/100,0)</f>
        <v>0</v>
      </c>
      <c r="BQ50" s="197">
        <f ca="1">IF(AH50,_xll.xEURO(BB50,Strike2,AE50,AE50,BG50,O50-DaysForThetaCalculation,IF(OptControl=3,1,0),0)-_xll.xEURO(BB50,Strike2,AE50,AE50,BG50,O50,IF(OptControl=3,1,0),0),0)</f>
        <v>0</v>
      </c>
      <c r="BR50" s="301"/>
      <c r="BS50" s="114">
        <v>23.78</v>
      </c>
      <c r="BT50" s="345">
        <f t="shared" si="11"/>
        <v>56.61904761904762</v>
      </c>
      <c r="BU50" s="345">
        <f t="shared" ca="1" si="84"/>
        <v>4.7585217391304369</v>
      </c>
      <c r="BV50" s="73"/>
      <c r="BW50" s="345">
        <f t="shared" ca="1" si="80"/>
        <v>5.0171428571428596</v>
      </c>
      <c r="BX50" s="345">
        <f t="shared" ca="1" si="85"/>
        <v>57.213528138528169</v>
      </c>
      <c r="BY50" s="373">
        <f t="shared" ca="1" si="41"/>
        <v>57.584812185743871</v>
      </c>
      <c r="BZ50" s="114">
        <v>21.616999999999997</v>
      </c>
      <c r="CA50" s="345">
        <f t="shared" si="12"/>
        <v>51.469047619047615</v>
      </c>
      <c r="CB50" s="345">
        <f t="shared" ca="1" si="86"/>
        <v>2.448521739130431</v>
      </c>
      <c r="CC50" s="345">
        <f t="shared" ca="1" si="81"/>
        <v>2.7071428571428595</v>
      </c>
      <c r="CD50" s="345">
        <f t="shared" ca="1" si="15"/>
        <v>52.084812185743871</v>
      </c>
      <c r="CE50" s="347">
        <f t="shared" ca="1" si="70"/>
        <v>-5.5</v>
      </c>
      <c r="CF50" s="114">
        <v>23.554000000000002</v>
      </c>
      <c r="CG50" s="345">
        <f t="shared" si="16"/>
        <v>56.080952380952382</v>
      </c>
      <c r="CH50" s="345">
        <f t="shared" ca="1" si="42"/>
        <v>4.7165217391304353</v>
      </c>
      <c r="CI50" s="73"/>
      <c r="CJ50" s="345">
        <f t="shared" ca="1" si="89"/>
        <v>4.7781428571428588</v>
      </c>
      <c r="CK50" s="345">
        <f t="shared" ca="1" si="90"/>
        <v>56.194480519480535</v>
      </c>
      <c r="CL50" s="345">
        <f t="shared" ca="1" si="45"/>
        <v>57.015764566696241</v>
      </c>
      <c r="CM50" s="114">
        <v>22.646000000000001</v>
      </c>
      <c r="CN50" s="345">
        <f t="shared" si="17"/>
        <v>53.919047619047618</v>
      </c>
      <c r="CO50" s="345">
        <f t="shared" ca="1" si="46"/>
        <v>3.4775217391304345</v>
      </c>
      <c r="CP50" s="345">
        <f t="shared" ca="1" si="92"/>
        <v>3.5811428571428618</v>
      </c>
      <c r="CQ50" s="345">
        <f t="shared" ca="1" si="19"/>
        <v>54.165764566696261</v>
      </c>
      <c r="CR50" s="347">
        <f t="shared" ca="1" si="71"/>
        <v>-2.8499999999999801</v>
      </c>
      <c r="CS50" s="114">
        <v>24.010999999999999</v>
      </c>
      <c r="CT50" s="345">
        <f t="shared" si="20"/>
        <v>57.169047619047618</v>
      </c>
      <c r="CU50" s="345">
        <f t="shared" si="72"/>
        <v>0.29999999999999716</v>
      </c>
      <c r="CV50" s="345">
        <f t="shared" ca="1" si="91"/>
        <v>1.0500000000000085</v>
      </c>
      <c r="CW50" s="347">
        <f t="shared" ca="1" si="73"/>
        <v>58.065764566696252</v>
      </c>
      <c r="CX50" s="483">
        <v>0.20499999999999999</v>
      </c>
      <c r="CY50" s="190">
        <f t="shared" si="47"/>
        <v>-1.4499915353505255E-4</v>
      </c>
      <c r="CZ50" s="190">
        <f t="shared" ca="1" si="78"/>
        <v>-0.03</v>
      </c>
      <c r="DA50" s="354">
        <f t="shared" ca="1" si="79"/>
        <v>0.17514499915353504</v>
      </c>
      <c r="DB50" s="483">
        <v>0.20499999999999999</v>
      </c>
      <c r="DC50" s="190">
        <f t="shared" si="49"/>
        <v>-1.4499915353505255E-4</v>
      </c>
      <c r="DD50" s="190">
        <f t="shared" ca="1" si="82"/>
        <v>0.03</v>
      </c>
      <c r="DE50" s="354">
        <f t="shared" ca="1" si="83"/>
        <v>0.23514499915353504</v>
      </c>
      <c r="DG50" s="341"/>
      <c r="DH50" s="114">
        <v>16.47</v>
      </c>
      <c r="DI50" s="126">
        <f t="shared" ca="1" si="74"/>
        <v>-2.6984782608695674</v>
      </c>
      <c r="DJ50" s="126">
        <f t="shared" ca="1" si="22"/>
        <v>-2</v>
      </c>
      <c r="DK50" s="356">
        <f t="shared" ca="1" si="23"/>
        <v>17.168478260869566</v>
      </c>
      <c r="DL50" s="114">
        <v>13.92</v>
      </c>
      <c r="DM50" s="126">
        <f t="shared" ca="1" si="75"/>
        <v>-5.2484782608695664</v>
      </c>
      <c r="DN50" s="126">
        <f t="shared" ca="1" si="24"/>
        <v>-3</v>
      </c>
      <c r="DO50" s="356">
        <f t="shared" ca="1" si="25"/>
        <v>16.168478260869566</v>
      </c>
      <c r="DP50" s="114">
        <v>13.17</v>
      </c>
      <c r="DQ50" s="126">
        <f t="shared" ca="1" si="76"/>
        <v>-5.9984782608695664</v>
      </c>
      <c r="DR50" s="126">
        <f t="shared" ca="1" si="26"/>
        <v>-6</v>
      </c>
      <c r="DS50" s="356">
        <f t="shared" ca="1" si="27"/>
        <v>13.168478260869566</v>
      </c>
      <c r="DT50" s="114">
        <v>15.42</v>
      </c>
      <c r="DU50" s="126">
        <f t="shared" ca="1" si="77"/>
        <v>-3.7484782608695664</v>
      </c>
      <c r="DV50" s="126">
        <f t="shared" ca="1" si="28"/>
        <v>-5</v>
      </c>
      <c r="DW50" s="356">
        <f t="shared" ca="1" si="29"/>
        <v>14.168478260869566</v>
      </c>
      <c r="DY50" s="100">
        <v>2012</v>
      </c>
      <c r="DZ50" s="291">
        <v>-2</v>
      </c>
      <c r="EA50" s="291">
        <v>-3</v>
      </c>
      <c r="EB50" s="291">
        <v>-6</v>
      </c>
      <c r="EC50" s="244">
        <v>-5</v>
      </c>
      <c r="ED50" s="289"/>
      <c r="EE50" s="277"/>
      <c r="EF50" s="277"/>
    </row>
    <row r="51" spans="2:136" x14ac:dyDescent="0.25">
      <c r="B51" s="396">
        <v>37104</v>
      </c>
      <c r="C51" s="399">
        <v>37092</v>
      </c>
      <c r="I51" s="136">
        <f t="shared" ca="1" si="105"/>
        <v>38353</v>
      </c>
      <c r="J51" s="131">
        <f t="shared" ca="1" si="31"/>
        <v>38340</v>
      </c>
      <c r="K51" s="106">
        <f t="shared" ca="1" si="106"/>
        <v>0.7142857142857143</v>
      </c>
      <c r="L51" s="133">
        <f t="shared" ca="1" si="93"/>
        <v>105</v>
      </c>
      <c r="M51" s="134">
        <f t="shared" ca="1" si="94"/>
        <v>1</v>
      </c>
      <c r="N51" s="103">
        <f t="shared" ca="1" si="97"/>
        <v>21</v>
      </c>
      <c r="O51" s="104">
        <f t="shared" ca="1" si="33"/>
        <v>1395</v>
      </c>
      <c r="P51" s="105">
        <f t="shared" ca="1" si="95"/>
        <v>3.8302532511978096</v>
      </c>
      <c r="Q51" s="105">
        <f t="shared" ca="1" si="96"/>
        <v>3.9123887748117729</v>
      </c>
      <c r="R51" s="114">
        <v>19.175000000000001</v>
      </c>
      <c r="S51" s="198">
        <v>0</v>
      </c>
      <c r="T51" s="189">
        <f t="shared" si="34"/>
        <v>19.175000000000001</v>
      </c>
      <c r="U51" s="199">
        <f t="shared" ca="1" si="98"/>
        <v>19.155714285714286</v>
      </c>
      <c r="V51" s="379">
        <f t="shared" ca="1" si="99"/>
        <v>19.155714285714286</v>
      </c>
      <c r="W51" s="483">
        <v>0.20438630533560506</v>
      </c>
      <c r="X51" s="166" t="str">
        <f t="shared" ca="1" si="100"/>
        <v/>
      </c>
      <c r="Y51" s="91">
        <f t="shared" ca="1" si="108"/>
        <v>5.6928786613330085E-3</v>
      </c>
      <c r="Z51" s="91">
        <f t="shared" ca="1" si="109"/>
        <v>2.7414023684364996E-3</v>
      </c>
      <c r="AA51" s="91">
        <f t="shared" ca="1" si="110"/>
        <v>1.1550645975485769E-3</v>
      </c>
      <c r="AB51" s="91">
        <f t="shared" ca="1" si="111"/>
        <v>2.6021295253574354E-3</v>
      </c>
      <c r="AC51" s="91">
        <f t="shared" ca="1" si="112"/>
        <v>6.1758312556138249E-3</v>
      </c>
      <c r="AD51" s="91">
        <f t="shared" ca="1" si="113"/>
        <v>1.282491704825095E-2</v>
      </c>
      <c r="AE51" s="124">
        <v>7.241738925055502E-2</v>
      </c>
      <c r="AF51" s="191">
        <f t="shared" ca="1" si="57"/>
        <v>0.75705746375419725</v>
      </c>
      <c r="AG51" s="189">
        <f t="shared" ca="1" si="107"/>
        <v>1</v>
      </c>
      <c r="AH51" s="192">
        <f t="shared" ca="1" si="101"/>
        <v>0</v>
      </c>
      <c r="AI51" s="192">
        <f t="shared" ca="1" si="102"/>
        <v>0</v>
      </c>
      <c r="AJ51" s="192">
        <f t="shared" ca="1" si="103"/>
        <v>0</v>
      </c>
      <c r="AK51" s="192">
        <f t="shared" ca="1" si="104"/>
        <v>0</v>
      </c>
      <c r="AL51" s="191" t="str">
        <f t="shared" ca="1" si="60"/>
        <v/>
      </c>
      <c r="AM51" s="191" t="str">
        <f t="shared" ca="1" si="61"/>
        <v/>
      </c>
      <c r="AN51" s="191" t="str">
        <f t="shared" ca="1" si="62"/>
        <v/>
      </c>
      <c r="AO51" s="193" t="str">
        <f t="shared" ca="1" si="63"/>
        <v/>
      </c>
      <c r="AP51" s="194" t="str">
        <f t="shared" ca="1" si="36"/>
        <v/>
      </c>
      <c r="AQ51" s="194" t="str">
        <f t="shared" ca="1" si="37"/>
        <v/>
      </c>
      <c r="AR51" s="195">
        <f ca="1">IF(AH51,_xll.xASN(AL51,Strike1,AE51,AP51,0,N51,0,P51,Q51,IF(OptControl=4,0,1),0),0)</f>
        <v>0</v>
      </c>
      <c r="AS51" s="196">
        <f ca="1">IF(AH51,_xll.xASN(AL51,Strike1,AE51,AP51,0,N51,0,P51,Q51,IF(OptControl=4,0,1),1),0)</f>
        <v>0</v>
      </c>
      <c r="AT51" s="196">
        <f ca="1">IF(AH51,_xll.xASN(AL51,Strike1,AE51,AP51,0,N51,0,P51,Q51,IF(OptControl=4,0,1),2),0)</f>
        <v>0</v>
      </c>
      <c r="AU51" s="196">
        <f ca="1">IF(AH51,_xll.xASN(AL51,Strike1,AE51,AP51,0,N51,0,P51,Q51,IF(OptControl=4,0,1),3)/100,0)</f>
        <v>0</v>
      </c>
      <c r="AV51" s="196">
        <f ca="1">IF(AH51,_xll.xASN(AL51,Strike1,AE51,AP51,0,N51,0,P51-DaysForThetaCalculation/365.25,Q51-DaysForThetaCalculation/365.25,IF(OptControl=4,0,1),0)-_xll.xASN(AL51,Strike1,AE51,AP51,0,N51,0,P51,Q51,IF(OptControl=4,0,1),0),0)</f>
        <v>0</v>
      </c>
      <c r="AW51" s="196">
        <f ca="1">IF(AH51,_xll.xASN(AL51,Strike2,AE51,AQ51,0,N51,0,P51,Q51,IF(OptControl=3,1,0),0),0)</f>
        <v>0</v>
      </c>
      <c r="AX51" s="196">
        <f ca="1">IF(AH51,_xll.xASN(AL51,Strike2,AE51,AQ51,0,N51,0,P51,Q51,IF(OptControl=3,1,0),1),0)</f>
        <v>0</v>
      </c>
      <c r="AY51" s="196">
        <f ca="1">IF(AH51,_xll.xASN(AL51,Strike2,AE51,AQ51,0,N51,0,P51,Q51,IF(OptControl=3,1,0),2),0)</f>
        <v>0</v>
      </c>
      <c r="AZ51" s="196">
        <f ca="1">IF(AH51,_xll.xASN(AL51,Strike2,AE51,AQ51,0,N51,0,P51,Q51,IF(OptControl=3,1,0),3)/100,0)</f>
        <v>0</v>
      </c>
      <c r="BA51" s="196">
        <f ca="1">IF(AH51,_xll.xASN(AL51,Strike2,AE51,AQ51,0,N51,0,P51-DaysForThetaCalculation/365.25,Q51-DaysForThetaCalculation/365.25,IF(OptControl=3,1,0),0)-_xll.xASN(AL51,Strike2,AE51,AQ51,0,N51,0,P51,Q51,IF(OptControl=3,1,0),0),0)</f>
        <v>0</v>
      </c>
      <c r="BB51" s="126" t="str">
        <f t="shared" ca="1" si="64"/>
        <v/>
      </c>
      <c r="BC51" s="191" t="str">
        <f t="shared" ca="1" si="65"/>
        <v/>
      </c>
      <c r="BD51" s="191" t="str">
        <f t="shared" ca="1" si="66"/>
        <v/>
      </c>
      <c r="BE51" s="190" t="str">
        <f t="shared" ca="1" si="67"/>
        <v/>
      </c>
      <c r="BF51" s="194" t="str">
        <f t="shared" ca="1" si="68"/>
        <v/>
      </c>
      <c r="BG51" s="194" t="str">
        <f t="shared" ca="1" si="69"/>
        <v/>
      </c>
      <c r="BH51" s="195">
        <f ca="1">IF(AH51,_xll.xEURO(BB51,Strike1,AE51,AE51,BF51,O51,IF(OptControl=4,0,1),0),0)</f>
        <v>0</v>
      </c>
      <c r="BI51" s="196">
        <f ca="1">IF(AH51,_xll.xEURO(BB51,Strike1,AE51,AE51,BF51,O51,IF(OptControl=4,0,1),1),0)</f>
        <v>0</v>
      </c>
      <c r="BJ51" s="196">
        <f ca="1">IF(AH51,_xll.xEURO(BB51,Strike1,AE51,AE51,BF51,O51,IF(OptControl=4,0,1),2),0)</f>
        <v>0</v>
      </c>
      <c r="BK51" s="196">
        <f ca="1">IF(AH51,_xll.xEURO(BB51,Strike1,AE51,AE51,BF51,O51,IF(OptControl=4,0,1),3)/100,0)</f>
        <v>0</v>
      </c>
      <c r="BL51" s="196">
        <f ca="1">IF(AH51,_xll.xEURO(BB51,Strike1,AE51,AE51,BF51,O51-DaysForThetaCalculation,IF(OptControl=4,0,1),0)-_xll.xEURO(BB51,Strike1,AE51,AE51,BF51,O51,IF(OptControl=4,0,1),0),0)</f>
        <v>0</v>
      </c>
      <c r="BM51" s="196">
        <f ca="1">IF(AH51,_xll.xEURO(BB51,Strike2,AE51,AE51,BG51,O51,IF(OptControl=3,1,0),0),0)</f>
        <v>0</v>
      </c>
      <c r="BN51" s="196">
        <f ca="1">IF(AH51,_xll.xEURO(BB51,Strike2,AE51,AE51,BG51,O51,IF(OptControl=3,1,0),1),0)</f>
        <v>0</v>
      </c>
      <c r="BO51" s="196">
        <f ca="1">IF(AH51,_xll.xEURO(BB51,Strike2,AE51,AE51,BG51,O51,IF(OptControl=3,1,0),2),0)</f>
        <v>0</v>
      </c>
      <c r="BP51" s="196">
        <f ca="1">IF(AH51,_xll.xEURO(BB51,Strike2,AE51,AE51,BG51,O51,IF(OptControl=3,1,0),3)/100,0)</f>
        <v>0</v>
      </c>
      <c r="BQ51" s="197">
        <f ca="1">IF(AH51,_xll.xEURO(BB51,Strike2,AE51,AE51,BG51,O51-DaysForThetaCalculation,IF(OptControl=3,1,0),0)-_xll.xEURO(BB51,Strike2,AE51,AE51,BG51,O51,IF(OptControl=3,1,0),0),0)</f>
        <v>0</v>
      </c>
      <c r="BR51" s="301"/>
      <c r="BS51" s="114">
        <v>23.927000000000003</v>
      </c>
      <c r="BT51" s="345">
        <f t="shared" si="11"/>
        <v>56.969047619047629</v>
      </c>
      <c r="BU51" s="345">
        <f t="shared" ca="1" si="84"/>
        <v>5.7042857142857137</v>
      </c>
      <c r="BV51" s="73"/>
      <c r="BW51" s="345">
        <f t="shared" ca="1" si="80"/>
        <v>5.2594782608695656</v>
      </c>
      <c r="BX51" s="345">
        <f t="shared" ca="1" si="85"/>
        <v>57.584812185743871</v>
      </c>
      <c r="BY51" s="373">
        <f t="shared" ca="1" si="41"/>
        <v>58.131410825199652</v>
      </c>
      <c r="BZ51" s="114">
        <v>22.655000000000001</v>
      </c>
      <c r="CA51" s="345">
        <f t="shared" si="12"/>
        <v>53.94047619047619</v>
      </c>
      <c r="CB51" s="345">
        <f t="shared" ca="1" si="86"/>
        <v>3.4992857142857154</v>
      </c>
      <c r="CC51" s="345">
        <f t="shared" ca="1" si="81"/>
        <v>3.7474782608695674</v>
      </c>
      <c r="CD51" s="345">
        <f t="shared" ca="1" si="15"/>
        <v>54.531410825199643</v>
      </c>
      <c r="CE51" s="347">
        <f t="shared" ca="1" si="70"/>
        <v>-3.6000000000000085</v>
      </c>
      <c r="CF51" s="114">
        <v>23.885000000000002</v>
      </c>
      <c r="CG51" s="345">
        <f t="shared" si="16"/>
        <v>56.86904761904762</v>
      </c>
      <c r="CH51" s="345">
        <f t="shared" ca="1" si="42"/>
        <v>4.2802857142857142</v>
      </c>
      <c r="CI51" s="73"/>
      <c r="CJ51" s="345">
        <f t="shared" ca="1" si="89"/>
        <v>4.5794782608695659</v>
      </c>
      <c r="CK51" s="345">
        <f t="shared" ca="1" si="90"/>
        <v>57.015764566696241</v>
      </c>
      <c r="CL51" s="345">
        <f t="shared" ca="1" si="45"/>
        <v>56.512363206152031</v>
      </c>
      <c r="CM51" s="114">
        <v>22.302000000000003</v>
      </c>
      <c r="CN51" s="345">
        <f t="shared" si="17"/>
        <v>53.100000000000009</v>
      </c>
      <c r="CO51" s="345">
        <f t="shared" ca="1" si="46"/>
        <v>3.1462857142857175</v>
      </c>
      <c r="CP51" s="345">
        <f t="shared" ca="1" si="92"/>
        <v>3.4664782608695686</v>
      </c>
      <c r="CQ51" s="345">
        <f t="shared" ca="1" si="19"/>
        <v>53.86236320615204</v>
      </c>
      <c r="CR51" s="347">
        <f t="shared" ca="1" si="71"/>
        <v>-2.6499999999999915</v>
      </c>
      <c r="CS51" s="114">
        <v>23.562000000000005</v>
      </c>
      <c r="CT51" s="345">
        <f t="shared" si="20"/>
        <v>56.100000000000009</v>
      </c>
      <c r="CU51" s="345">
        <f t="shared" si="72"/>
        <v>0.30000000000001137</v>
      </c>
      <c r="CV51" s="345">
        <f t="shared" ca="1" si="91"/>
        <v>1.0500000000000085</v>
      </c>
      <c r="CW51" s="347">
        <f t="shared" ca="1" si="73"/>
        <v>57.562363206152042</v>
      </c>
      <c r="CX51" s="483">
        <v>0.20400000000000001</v>
      </c>
      <c r="CY51" s="190">
        <f t="shared" si="47"/>
        <v>-3.8630533560504721E-4</v>
      </c>
      <c r="CZ51" s="190">
        <f t="shared" ca="1" si="78"/>
        <v>-0.03</v>
      </c>
      <c r="DA51" s="354">
        <f t="shared" ca="1" si="79"/>
        <v>0.17438630533560506</v>
      </c>
      <c r="DB51" s="483">
        <v>0.20400000000000001</v>
      </c>
      <c r="DC51" s="190">
        <f t="shared" si="49"/>
        <v>-3.8630533560504721E-4</v>
      </c>
      <c r="DD51" s="190">
        <f t="shared" ca="1" si="82"/>
        <v>0.03</v>
      </c>
      <c r="DE51" s="354">
        <f t="shared" ca="1" si="83"/>
        <v>0.23438630533560506</v>
      </c>
      <c r="DG51" s="341"/>
      <c r="DH51" s="114">
        <v>16.454000000000001</v>
      </c>
      <c r="DI51" s="126">
        <f t="shared" ca="1" si="74"/>
        <v>-2.7017142857142851</v>
      </c>
      <c r="DJ51" s="126">
        <f t="shared" ca="1" si="22"/>
        <v>-2</v>
      </c>
      <c r="DK51" s="356">
        <f t="shared" ca="1" si="23"/>
        <v>17.155714285714286</v>
      </c>
      <c r="DL51" s="114">
        <v>13.904000000000002</v>
      </c>
      <c r="DM51" s="126">
        <f t="shared" ca="1" si="75"/>
        <v>-5.251714285714284</v>
      </c>
      <c r="DN51" s="126">
        <f t="shared" ca="1" si="24"/>
        <v>-3</v>
      </c>
      <c r="DO51" s="356">
        <f t="shared" ca="1" si="25"/>
        <v>16.155714285714286</v>
      </c>
      <c r="DP51" s="114">
        <v>13.154000000000002</v>
      </c>
      <c r="DQ51" s="126">
        <f t="shared" ca="1" si="76"/>
        <v>-6.001714285714284</v>
      </c>
      <c r="DR51" s="126">
        <f t="shared" ca="1" si="26"/>
        <v>-6</v>
      </c>
      <c r="DS51" s="356">
        <f t="shared" ca="1" si="27"/>
        <v>13.155714285714286</v>
      </c>
      <c r="DT51" s="114">
        <v>15.154000000000002</v>
      </c>
      <c r="DU51" s="126">
        <f t="shared" ca="1" si="77"/>
        <v>-4.001714285714284</v>
      </c>
      <c r="DV51" s="126">
        <f t="shared" ca="1" si="28"/>
        <v>-5</v>
      </c>
      <c r="DW51" s="356">
        <f t="shared" ca="1" si="29"/>
        <v>14.155714285714286</v>
      </c>
      <c r="DY51" s="100">
        <v>2013</v>
      </c>
      <c r="DZ51" s="291">
        <v>-2</v>
      </c>
      <c r="EA51" s="291">
        <v>-3</v>
      </c>
      <c r="EB51" s="291">
        <v>-6</v>
      </c>
      <c r="EC51" s="244">
        <v>-5</v>
      </c>
    </row>
    <row r="52" spans="2:136" x14ac:dyDescent="0.25">
      <c r="B52" s="396">
        <v>37135</v>
      </c>
      <c r="C52" s="399">
        <v>37124</v>
      </c>
      <c r="I52" s="136">
        <f t="shared" ca="1" si="105"/>
        <v>38384</v>
      </c>
      <c r="J52" s="131">
        <f t="shared" ca="1" si="31"/>
        <v>38374</v>
      </c>
      <c r="K52" s="106">
        <f t="shared" ca="1" si="106"/>
        <v>0.7</v>
      </c>
      <c r="L52" s="133">
        <f t="shared" ca="1" si="93"/>
        <v>105</v>
      </c>
      <c r="M52" s="134">
        <f t="shared" ca="1" si="94"/>
        <v>2</v>
      </c>
      <c r="N52" s="103">
        <f t="shared" ca="1" si="97"/>
        <v>20</v>
      </c>
      <c r="O52" s="104">
        <f t="shared" ca="1" si="33"/>
        <v>1424</v>
      </c>
      <c r="P52" s="105">
        <f t="shared" ca="1" si="95"/>
        <v>3.915126625598905</v>
      </c>
      <c r="Q52" s="105">
        <f t="shared" ca="1" si="96"/>
        <v>3.9890485968514717</v>
      </c>
      <c r="R52" s="114">
        <v>19.16</v>
      </c>
      <c r="S52" s="198">
        <v>0</v>
      </c>
      <c r="T52" s="189">
        <f t="shared" si="34"/>
        <v>19.16</v>
      </c>
      <c r="U52" s="199">
        <f t="shared" ca="1" si="98"/>
        <v>19.140499999999999</v>
      </c>
      <c r="V52" s="379">
        <f t="shared" ca="1" si="99"/>
        <v>19.140499999999999</v>
      </c>
      <c r="W52" s="483">
        <v>0.20392882337831705</v>
      </c>
      <c r="X52" s="166" t="str">
        <f t="shared" ca="1" si="100"/>
        <v/>
      </c>
      <c r="Y52" s="91">
        <f t="shared" ca="1" si="108"/>
        <v>5.571002787648301E-3</v>
      </c>
      <c r="Z52" s="91">
        <f t="shared" ca="1" si="109"/>
        <v>2.6683497278484876E-3</v>
      </c>
      <c r="AA52" s="91">
        <f t="shared" ca="1" si="110"/>
        <v>1.1212696660024253E-3</v>
      </c>
      <c r="AB52" s="91">
        <f t="shared" ca="1" si="111"/>
        <v>2.5259963035702648E-3</v>
      </c>
      <c r="AC52" s="91">
        <f t="shared" ca="1" si="112"/>
        <v>6.011258266897153E-3</v>
      </c>
      <c r="AD52" s="91">
        <f t="shared" ca="1" si="113"/>
        <v>1.2550355080014043E-2</v>
      </c>
      <c r="AE52" s="124">
        <v>7.2468055631155007E-2</v>
      </c>
      <c r="AF52" s="191">
        <f t="shared" ca="1" si="57"/>
        <v>0.75279335008558557</v>
      </c>
      <c r="AG52" s="189">
        <f t="shared" ca="1" si="107"/>
        <v>1</v>
      </c>
      <c r="AH52" s="192">
        <f t="shared" ca="1" si="101"/>
        <v>0</v>
      </c>
      <c r="AI52" s="192">
        <f t="shared" ca="1" si="102"/>
        <v>0</v>
      </c>
      <c r="AJ52" s="192">
        <f t="shared" ca="1" si="103"/>
        <v>0</v>
      </c>
      <c r="AK52" s="192">
        <f t="shared" ca="1" si="104"/>
        <v>0</v>
      </c>
      <c r="AL52" s="191" t="str">
        <f t="shared" ca="1" si="60"/>
        <v/>
      </c>
      <c r="AM52" s="191" t="str">
        <f t="shared" ca="1" si="61"/>
        <v/>
      </c>
      <c r="AN52" s="191" t="str">
        <f t="shared" ca="1" si="62"/>
        <v/>
      </c>
      <c r="AO52" s="193" t="str">
        <f t="shared" ca="1" si="63"/>
        <v/>
      </c>
      <c r="AP52" s="194" t="str">
        <f t="shared" ca="1" si="36"/>
        <v/>
      </c>
      <c r="AQ52" s="194" t="str">
        <f t="shared" ca="1" si="37"/>
        <v/>
      </c>
      <c r="AR52" s="195">
        <f ca="1">IF(AH52,_xll.xASN(AL52,Strike1,AE52,AP52,0,N52,0,P52,Q52,IF(OptControl=4,0,1),0),0)</f>
        <v>0</v>
      </c>
      <c r="AS52" s="196">
        <f ca="1">IF(AH52,_xll.xASN(AL52,Strike1,AE52,AP52,0,N52,0,P52,Q52,IF(OptControl=4,0,1),1),0)</f>
        <v>0</v>
      </c>
      <c r="AT52" s="196">
        <f ca="1">IF(AH52,_xll.xASN(AL52,Strike1,AE52,AP52,0,N52,0,P52,Q52,IF(OptControl=4,0,1),2),0)</f>
        <v>0</v>
      </c>
      <c r="AU52" s="196">
        <f ca="1">IF(AH52,_xll.xASN(AL52,Strike1,AE52,AP52,0,N52,0,P52,Q52,IF(OptControl=4,0,1),3)/100,0)</f>
        <v>0</v>
      </c>
      <c r="AV52" s="196">
        <f ca="1">IF(AH52,_xll.xASN(AL52,Strike1,AE52,AP52,0,N52,0,P52-DaysForThetaCalculation/365.25,Q52-DaysForThetaCalculation/365.25,IF(OptControl=4,0,1),0)-_xll.xASN(AL52,Strike1,AE52,AP52,0,N52,0,P52,Q52,IF(OptControl=4,0,1),0),0)</f>
        <v>0</v>
      </c>
      <c r="AW52" s="196">
        <f ca="1">IF(AH52,_xll.xASN(AL52,Strike2,AE52,AQ52,0,N52,0,P52,Q52,IF(OptControl=3,1,0),0),0)</f>
        <v>0</v>
      </c>
      <c r="AX52" s="196">
        <f ca="1">IF(AH52,_xll.xASN(AL52,Strike2,AE52,AQ52,0,N52,0,P52,Q52,IF(OptControl=3,1,0),1),0)</f>
        <v>0</v>
      </c>
      <c r="AY52" s="196">
        <f ca="1">IF(AH52,_xll.xASN(AL52,Strike2,AE52,AQ52,0,N52,0,P52,Q52,IF(OptControl=3,1,0),2),0)</f>
        <v>0</v>
      </c>
      <c r="AZ52" s="196">
        <f ca="1">IF(AH52,_xll.xASN(AL52,Strike2,AE52,AQ52,0,N52,0,P52,Q52,IF(OptControl=3,1,0),3)/100,0)</f>
        <v>0</v>
      </c>
      <c r="BA52" s="196">
        <f ca="1">IF(AH52,_xll.xASN(AL52,Strike2,AE52,AQ52,0,N52,0,P52-DaysForThetaCalculation/365.25,Q52-DaysForThetaCalculation/365.25,IF(OptControl=3,1,0),0)-_xll.xASN(AL52,Strike2,AE52,AQ52,0,N52,0,P52,Q52,IF(OptControl=3,1,0),0),0)</f>
        <v>0</v>
      </c>
      <c r="BB52" s="126" t="str">
        <f t="shared" ca="1" si="64"/>
        <v/>
      </c>
      <c r="BC52" s="191" t="str">
        <f t="shared" ca="1" si="65"/>
        <v/>
      </c>
      <c r="BD52" s="191" t="str">
        <f t="shared" ca="1" si="66"/>
        <v/>
      </c>
      <c r="BE52" s="190" t="str">
        <f t="shared" ca="1" si="67"/>
        <v/>
      </c>
      <c r="BF52" s="194" t="str">
        <f t="shared" ca="1" si="68"/>
        <v/>
      </c>
      <c r="BG52" s="194" t="str">
        <f t="shared" ca="1" si="69"/>
        <v/>
      </c>
      <c r="BH52" s="195">
        <f ca="1">IF(AH52,_xll.xEURO(BB52,Strike1,AE52,AE52,BF52,O52,IF(OptControl=4,0,1),0),0)</f>
        <v>0</v>
      </c>
      <c r="BI52" s="196">
        <f ca="1">IF(AH52,_xll.xEURO(BB52,Strike1,AE52,AE52,BF52,O52,IF(OptControl=4,0,1),1),0)</f>
        <v>0</v>
      </c>
      <c r="BJ52" s="196">
        <f ca="1">IF(AH52,_xll.xEURO(BB52,Strike1,AE52,AE52,BF52,O52,IF(OptControl=4,0,1),2),0)</f>
        <v>0</v>
      </c>
      <c r="BK52" s="196">
        <f ca="1">IF(AH52,_xll.xEURO(BB52,Strike1,AE52,AE52,BF52,O52,IF(OptControl=4,0,1),3)/100,0)</f>
        <v>0</v>
      </c>
      <c r="BL52" s="196">
        <f ca="1">IF(AH52,_xll.xEURO(BB52,Strike1,AE52,AE52,BF52,O52-DaysForThetaCalculation,IF(OptControl=4,0,1),0)-_xll.xEURO(BB52,Strike1,AE52,AE52,BF52,O52,IF(OptControl=4,0,1),0),0)</f>
        <v>0</v>
      </c>
      <c r="BM52" s="196">
        <f ca="1">IF(AH52,_xll.xEURO(BB52,Strike2,AE52,AE52,BG52,O52,IF(OptControl=3,1,0),0),0)</f>
        <v>0</v>
      </c>
      <c r="BN52" s="196">
        <f ca="1">IF(AH52,_xll.xEURO(BB52,Strike2,AE52,AE52,BG52,O52,IF(OptControl=3,1,0),1),0)</f>
        <v>0</v>
      </c>
      <c r="BO52" s="196">
        <f ca="1">IF(AH52,_xll.xEURO(BB52,Strike2,AE52,AE52,BG52,O52,IF(OptControl=3,1,0),2),0)</f>
        <v>0</v>
      </c>
      <c r="BP52" s="196">
        <f ca="1">IF(AH52,_xll.xEURO(BB52,Strike2,AE52,AE52,BG52,O52,IF(OptControl=3,1,0),3)/100,0)</f>
        <v>0</v>
      </c>
      <c r="BQ52" s="197">
        <f ca="1">IF(AH52,_xll.xEURO(BB52,Strike2,AE52,AE52,BG52,O52-DaysForThetaCalculation,IF(OptControl=3,1,0),0)-_xll.xEURO(BB52,Strike2,AE52,AE52,BG52,O52,IF(OptControl=3,1,0),0),0)</f>
        <v>0</v>
      </c>
      <c r="BR52" s="301"/>
      <c r="BS52" s="114">
        <v>24.86</v>
      </c>
      <c r="BT52" s="345">
        <f t="shared" si="11"/>
        <v>59.19047619047619</v>
      </c>
      <c r="BU52" s="345">
        <f t="shared" ca="1" si="84"/>
        <v>6.0385000000000026</v>
      </c>
      <c r="BV52" s="73"/>
      <c r="BW52" s="345">
        <f t="shared" ca="1" si="80"/>
        <v>5.6399999999999988</v>
      </c>
      <c r="BX52" s="345">
        <f t="shared" ca="1" si="85"/>
        <v>58.131410825199652</v>
      </c>
      <c r="BY52" s="373">
        <f t="shared" ca="1" si="41"/>
        <v>59.001190476190473</v>
      </c>
      <c r="BZ52" s="114">
        <v>22.974</v>
      </c>
      <c r="CA52" s="345">
        <f t="shared" si="12"/>
        <v>54.7</v>
      </c>
      <c r="CB52" s="345">
        <f t="shared" ca="1" si="86"/>
        <v>3.8335000000000008</v>
      </c>
      <c r="CC52" s="345">
        <f t="shared" ca="1" si="81"/>
        <v>4.0819999999999981</v>
      </c>
      <c r="CD52" s="345">
        <f t="shared" ca="1" si="15"/>
        <v>55.291666666666657</v>
      </c>
      <c r="CE52" s="347">
        <f t="shared" ca="1" si="70"/>
        <v>-3.7095238095238159</v>
      </c>
      <c r="CF52" s="114">
        <v>23.436</v>
      </c>
      <c r="CG52" s="345">
        <f t="shared" si="16"/>
        <v>55.8</v>
      </c>
      <c r="CH52" s="345">
        <f t="shared" ca="1" si="42"/>
        <v>3.5685000000000002</v>
      </c>
      <c r="CI52" s="73"/>
      <c r="CJ52" s="345">
        <f t="shared" ca="1" si="89"/>
        <v>3.8679999999999954</v>
      </c>
      <c r="CK52" s="345">
        <f t="shared" ca="1" si="90"/>
        <v>56.512363206152031</v>
      </c>
      <c r="CL52" s="345">
        <f t="shared" ca="1" si="45"/>
        <v>54.782142857142844</v>
      </c>
      <c r="CM52" s="114">
        <v>21.574999999999999</v>
      </c>
      <c r="CN52" s="345">
        <f t="shared" si="17"/>
        <v>51.36904761904762</v>
      </c>
      <c r="CO52" s="345">
        <f t="shared" ca="1" si="46"/>
        <v>2.4344999999999999</v>
      </c>
      <c r="CP52" s="345">
        <f t="shared" ca="1" si="92"/>
        <v>2.7549999999999994</v>
      </c>
      <c r="CQ52" s="345">
        <f t="shared" ca="1" si="19"/>
        <v>52.132142857142853</v>
      </c>
      <c r="CR52" s="347">
        <f t="shared" ca="1" si="71"/>
        <v>-2.6499999999999915</v>
      </c>
      <c r="CS52" s="114">
        <v>22.835000000000001</v>
      </c>
      <c r="CT52" s="345">
        <f t="shared" si="20"/>
        <v>54.36904761904762</v>
      </c>
      <c r="CU52" s="345">
        <f t="shared" si="72"/>
        <v>0.29999999999999716</v>
      </c>
      <c r="CV52" s="345">
        <f t="shared" ca="1" si="91"/>
        <v>1.0500000000000085</v>
      </c>
      <c r="CW52" s="347">
        <f t="shared" ca="1" si="73"/>
        <v>55.832142857142856</v>
      </c>
      <c r="CX52" s="483">
        <v>0.20400000000000001</v>
      </c>
      <c r="CY52" s="190">
        <f t="shared" si="47"/>
        <v>7.1176621682961239E-5</v>
      </c>
      <c r="CZ52" s="190">
        <f t="shared" ca="1" si="78"/>
        <v>-0.03</v>
      </c>
      <c r="DA52" s="354">
        <f t="shared" ca="1" si="79"/>
        <v>0.17392882337831705</v>
      </c>
      <c r="DB52" s="483">
        <v>0.20400000000000001</v>
      </c>
      <c r="DC52" s="190">
        <f t="shared" si="49"/>
        <v>7.1176621682961239E-5</v>
      </c>
      <c r="DD52" s="190">
        <f t="shared" ca="1" si="82"/>
        <v>0.03</v>
      </c>
      <c r="DE52" s="354">
        <f t="shared" ca="1" si="83"/>
        <v>0.23392882337831705</v>
      </c>
      <c r="DG52" s="341"/>
      <c r="DH52" s="114">
        <v>16.441000000000003</v>
      </c>
      <c r="DI52" s="126">
        <f t="shared" ca="1" si="74"/>
        <v>-2.6994999999999969</v>
      </c>
      <c r="DJ52" s="126">
        <f t="shared" ca="1" si="22"/>
        <v>-2</v>
      </c>
      <c r="DK52" s="356">
        <f t="shared" ca="1" si="23"/>
        <v>17.140499999999999</v>
      </c>
      <c r="DL52" s="114">
        <v>13.891000000000002</v>
      </c>
      <c r="DM52" s="126">
        <f t="shared" ca="1" si="75"/>
        <v>-5.2494999999999976</v>
      </c>
      <c r="DN52" s="126">
        <f t="shared" ca="1" si="24"/>
        <v>-3</v>
      </c>
      <c r="DO52" s="356">
        <f t="shared" ca="1" si="25"/>
        <v>16.140499999999999</v>
      </c>
      <c r="DP52" s="114">
        <v>13.141000000000002</v>
      </c>
      <c r="DQ52" s="126">
        <f t="shared" ca="1" si="76"/>
        <v>-5.9994999999999976</v>
      </c>
      <c r="DR52" s="126">
        <f t="shared" ca="1" si="26"/>
        <v>-6</v>
      </c>
      <c r="DS52" s="356">
        <f t="shared" ca="1" si="27"/>
        <v>13.140499999999999</v>
      </c>
      <c r="DT52" s="114">
        <v>15.141000000000002</v>
      </c>
      <c r="DU52" s="126">
        <f t="shared" ca="1" si="77"/>
        <v>-3.9994999999999976</v>
      </c>
      <c r="DV52" s="126">
        <f t="shared" ca="1" si="28"/>
        <v>-5</v>
      </c>
      <c r="DW52" s="356">
        <f t="shared" ca="1" si="29"/>
        <v>14.140499999999999</v>
      </c>
      <c r="DY52" s="100">
        <v>2014</v>
      </c>
      <c r="DZ52" s="291">
        <v>-2</v>
      </c>
      <c r="EA52" s="291">
        <v>-3</v>
      </c>
      <c r="EB52" s="291">
        <v>-6</v>
      </c>
      <c r="EC52" s="244">
        <v>-5</v>
      </c>
    </row>
    <row r="53" spans="2:136" ht="13.8" thickBot="1" x14ac:dyDescent="0.3">
      <c r="B53" s="396">
        <v>37165</v>
      </c>
      <c r="C53" s="399">
        <v>37154</v>
      </c>
      <c r="I53" s="136">
        <f t="shared" ca="1" si="105"/>
        <v>38412</v>
      </c>
      <c r="J53" s="131">
        <f t="shared" ca="1" si="31"/>
        <v>38403</v>
      </c>
      <c r="K53" s="106">
        <f t="shared" ca="1" si="106"/>
        <v>0.60869565217391308</v>
      </c>
      <c r="L53" s="133">
        <f t="shared" ca="1" si="93"/>
        <v>105</v>
      </c>
      <c r="M53" s="134">
        <f t="shared" ca="1" si="94"/>
        <v>3</v>
      </c>
      <c r="N53" s="103">
        <f t="shared" ca="1" si="97"/>
        <v>23</v>
      </c>
      <c r="O53" s="104">
        <f t="shared" ca="1" si="33"/>
        <v>1452</v>
      </c>
      <c r="P53" s="105">
        <f t="shared" ca="1" si="95"/>
        <v>3.9917864476386038</v>
      </c>
      <c r="Q53" s="105">
        <f t="shared" ca="1" si="96"/>
        <v>4.0739219712525667</v>
      </c>
      <c r="R53" s="114">
        <v>19.145</v>
      </c>
      <c r="S53" s="198">
        <v>0</v>
      </c>
      <c r="T53" s="189">
        <f t="shared" si="34"/>
        <v>19.145</v>
      </c>
      <c r="U53" s="199">
        <f t="shared" ca="1" si="98"/>
        <v>19.124130434782607</v>
      </c>
      <c r="V53" s="379">
        <f t="shared" ca="1" si="99"/>
        <v>19.124130434782607</v>
      </c>
      <c r="W53" s="483">
        <v>0.20442831636207701</v>
      </c>
      <c r="X53" s="166" t="str">
        <f t="shared" ca="1" si="100"/>
        <v/>
      </c>
      <c r="Y53" s="91">
        <f t="shared" ca="1" si="108"/>
        <v>5.4517360910548429E-3</v>
      </c>
      <c r="Z53" s="91">
        <f t="shared" ca="1" si="109"/>
        <v>2.5972437873721869E-3</v>
      </c>
      <c r="AA53" s="91">
        <f t="shared" ca="1" si="110"/>
        <v>1.0884635080717349E-3</v>
      </c>
      <c r="AB53" s="91">
        <f t="shared" ca="1" si="111"/>
        <v>2.4520905909840049E-3</v>
      </c>
      <c r="AC53" s="91">
        <f t="shared" ca="1" si="112"/>
        <v>5.8510708041921442E-3</v>
      </c>
      <c r="AD53" s="91">
        <f t="shared" ca="1" si="113"/>
        <v>1.2281671065928302E-2</v>
      </c>
      <c r="AE53" s="124">
        <v>7.2515453213774006E-2</v>
      </c>
      <c r="AF53" s="191">
        <f t="shared" ca="1" si="57"/>
        <v>0.74811941897807888</v>
      </c>
      <c r="AG53" s="189">
        <f t="shared" ca="1" si="107"/>
        <v>1</v>
      </c>
      <c r="AH53" s="192">
        <f t="shared" ca="1" si="101"/>
        <v>0</v>
      </c>
      <c r="AI53" s="192">
        <f t="shared" ref="AI53:AI68" ca="1" si="114">AH53*AF53</f>
        <v>0</v>
      </c>
      <c r="AJ53" s="192">
        <f t="shared" ca="1" si="103"/>
        <v>0</v>
      </c>
      <c r="AK53" s="192">
        <f t="shared" ref="AK53:AK68" ca="1" si="115">AJ53*AF53</f>
        <v>0</v>
      </c>
      <c r="AL53" s="191" t="str">
        <f t="shared" ca="1" si="60"/>
        <v/>
      </c>
      <c r="AM53" s="191" t="str">
        <f t="shared" ca="1" si="61"/>
        <v/>
      </c>
      <c r="AN53" s="191" t="str">
        <f t="shared" ca="1" si="62"/>
        <v/>
      </c>
      <c r="AO53" s="193" t="str">
        <f t="shared" ca="1" si="63"/>
        <v/>
      </c>
      <c r="AP53" s="194" t="str">
        <f t="shared" ca="1" si="36"/>
        <v/>
      </c>
      <c r="AQ53" s="194" t="str">
        <f t="shared" ca="1" si="37"/>
        <v/>
      </c>
      <c r="AR53" s="195">
        <f ca="1">IF(AH53,_xll.xASN(AL53,Strike1,AE53,AP53,0,N53,0,P53,Q53,IF(OptControl=4,0,1),0),0)</f>
        <v>0</v>
      </c>
      <c r="AS53" s="196">
        <f ca="1">IF(AH53,_xll.xASN(AL53,Strike1,AE53,AP53,0,N53,0,P53,Q53,IF(OptControl=4,0,1),1),0)</f>
        <v>0</v>
      </c>
      <c r="AT53" s="196">
        <f ca="1">IF(AH53,_xll.xASN(AL53,Strike1,AE53,AP53,0,N53,0,P53,Q53,IF(OptControl=4,0,1),2),0)</f>
        <v>0</v>
      </c>
      <c r="AU53" s="196">
        <f ca="1">IF(AH53,_xll.xASN(AL53,Strike1,AE53,AP53,0,N53,0,P53,Q53,IF(OptControl=4,0,1),3)/100,0)</f>
        <v>0</v>
      </c>
      <c r="AV53" s="196">
        <f ca="1">IF(AH53,_xll.xASN(AL53,Strike1,AE53,AP53,0,N53,0,P53-DaysForThetaCalculation/365.25,Q53-DaysForThetaCalculation/365.25,IF(OptControl=4,0,1),0)-_xll.xASN(AL53,Strike1,AE53,AP53,0,N53,0,P53,Q53,IF(OptControl=4,0,1),0),0)</f>
        <v>0</v>
      </c>
      <c r="AW53" s="196">
        <f ca="1">IF(AH53,_xll.xASN(AL53,Strike2,AE53,AQ53,0,N53,0,P53,Q53,IF(OptControl=3,1,0),0),0)</f>
        <v>0</v>
      </c>
      <c r="AX53" s="196">
        <f ca="1">IF(AH53,_xll.xASN(AL53,Strike2,AE53,AQ53,0,N53,0,P53,Q53,IF(OptControl=3,1,0),1),0)</f>
        <v>0</v>
      </c>
      <c r="AY53" s="196">
        <f ca="1">IF(AH53,_xll.xASN(AL53,Strike2,AE53,AQ53,0,N53,0,P53,Q53,IF(OptControl=3,1,0),2),0)</f>
        <v>0</v>
      </c>
      <c r="AZ53" s="196">
        <f ca="1">IF(AH53,_xll.xASN(AL53,Strike2,AE53,AQ53,0,N53,0,P53,Q53,IF(OptControl=3,1,0),3)/100,0)</f>
        <v>0</v>
      </c>
      <c r="BA53" s="196">
        <f ca="1">IF(AH53,_xll.xASN(AL53,Strike2,AE53,AQ53,0,N53,0,P53-DaysForThetaCalculation/365.25,Q53-DaysForThetaCalculation/365.25,IF(OptControl=3,1,0),0)-_xll.xASN(AL53,Strike2,AE53,AQ53,0,N53,0,P53,Q53,IF(OptControl=3,1,0),0),0)</f>
        <v>0</v>
      </c>
      <c r="BB53" s="126" t="str">
        <f t="shared" ca="1" si="64"/>
        <v/>
      </c>
      <c r="BC53" s="191" t="str">
        <f t="shared" ca="1" si="65"/>
        <v/>
      </c>
      <c r="BD53" s="191" t="str">
        <f t="shared" ca="1" si="66"/>
        <v/>
      </c>
      <c r="BE53" s="190" t="str">
        <f t="shared" ca="1" si="67"/>
        <v/>
      </c>
      <c r="BF53" s="194" t="str">
        <f t="shared" ca="1" si="68"/>
        <v/>
      </c>
      <c r="BG53" s="194" t="str">
        <f t="shared" ca="1" si="69"/>
        <v/>
      </c>
      <c r="BH53" s="195">
        <f ca="1">IF(AH53,_xll.xEURO(BB53,Strike1,AE53,AE53,BF53,O53,IF(OptControl=4,0,1),0),0)</f>
        <v>0</v>
      </c>
      <c r="BI53" s="196">
        <f ca="1">IF(AH53,_xll.xEURO(BB53,Strike1,AE53,AE53,BF53,O53,IF(OptControl=4,0,1),1),0)</f>
        <v>0</v>
      </c>
      <c r="BJ53" s="196">
        <f ca="1">IF(AH53,_xll.xEURO(BB53,Strike1,AE53,AE53,BF53,O53,IF(OptControl=4,0,1),2),0)</f>
        <v>0</v>
      </c>
      <c r="BK53" s="196">
        <f ca="1">IF(AH53,_xll.xEURO(BB53,Strike1,AE53,AE53,BF53,O53,IF(OptControl=4,0,1),3)/100,0)</f>
        <v>0</v>
      </c>
      <c r="BL53" s="196">
        <f ca="1">IF(AH53,_xll.xEURO(BB53,Strike1,AE53,AE53,BF53,O53-DaysForThetaCalculation,IF(OptControl=4,0,1),0)-_xll.xEURO(BB53,Strike1,AE53,AE53,BF53,O53,IF(OptControl=4,0,1),0),0)</f>
        <v>0</v>
      </c>
      <c r="BM53" s="196">
        <f ca="1">IF(AH53,_xll.xEURO(BB53,Strike2,AE53,AE53,BG53,O53,IF(OptControl=3,1,0),0),0)</f>
        <v>0</v>
      </c>
      <c r="BN53" s="196">
        <f ca="1">IF(AH53,_xll.xEURO(BB53,Strike2,AE53,AE53,BG53,O53,IF(OptControl=3,1,0),1),0)</f>
        <v>0</v>
      </c>
      <c r="BO53" s="196">
        <f ca="1">IF(AH53,_xll.xEURO(BB53,Strike2,AE53,AE53,BG53,O53,IF(OptControl=3,1,0),2),0)</f>
        <v>0</v>
      </c>
      <c r="BP53" s="196">
        <f ca="1">IF(AH53,_xll.xEURO(BB53,Strike2,AE53,AE53,BG53,O53,IF(OptControl=3,1,0),3)/100,0)</f>
        <v>0</v>
      </c>
      <c r="BQ53" s="197">
        <f ca="1">IF(AH53,_xll.xEURO(BB53,Strike2,AE53,AE53,BG53,O53-DaysForThetaCalculation,IF(OptControl=3,1,0),0)-_xll.xEURO(BB53,Strike2,AE53,AE53,BG53,O53,IF(OptControl=3,1,0),0),0)</f>
        <v>0</v>
      </c>
      <c r="BR53" s="301"/>
      <c r="BS53" s="114">
        <v>25.179000000000002</v>
      </c>
      <c r="BT53" s="345">
        <f t="shared" si="11"/>
        <v>59.95</v>
      </c>
      <c r="BU53" s="345">
        <f t="shared" ca="1" si="84"/>
        <v>9.7888695652173965</v>
      </c>
      <c r="BV53" s="73"/>
      <c r="BW53" s="345">
        <f t="shared" ca="1" si="80"/>
        <v>9.7060000000000031</v>
      </c>
      <c r="BX53" s="345">
        <f t="shared" ca="1" si="85"/>
        <v>59.001190476190473</v>
      </c>
      <c r="BY53" s="373">
        <f t="shared" ca="1" si="41"/>
        <v>68.643167701863348</v>
      </c>
      <c r="BZ53" s="114">
        <v>25.133000000000003</v>
      </c>
      <c r="CA53" s="345">
        <f t="shared" si="12"/>
        <v>59.840476190476195</v>
      </c>
      <c r="CB53" s="345">
        <f t="shared" ca="1" si="86"/>
        <v>6.0088695652173953</v>
      </c>
      <c r="CC53" s="345">
        <f t="shared" ca="1" si="81"/>
        <v>6.2480000000000029</v>
      </c>
      <c r="CD53" s="345">
        <f t="shared" ca="1" si="15"/>
        <v>60.409834368530028</v>
      </c>
      <c r="CE53" s="347">
        <f t="shared" ca="1" si="70"/>
        <v>-8.2333333333333201</v>
      </c>
      <c r="CF53" s="114">
        <v>22.709</v>
      </c>
      <c r="CG53" s="345">
        <f t="shared" si="16"/>
        <v>54.069047619047623</v>
      </c>
      <c r="CH53" s="345">
        <f t="shared" ca="1" si="42"/>
        <v>2.9388695652173951</v>
      </c>
      <c r="CI53" s="73"/>
      <c r="CJ53" s="345">
        <f t="shared" ca="1" si="89"/>
        <v>3.2289999999999996</v>
      </c>
      <c r="CK53" s="345">
        <f t="shared" ca="1" si="90"/>
        <v>54.782142857142844</v>
      </c>
      <c r="CL53" s="345">
        <f t="shared" ca="1" si="45"/>
        <v>53.221739130434777</v>
      </c>
      <c r="CM53" s="114">
        <v>20.929000000000002</v>
      </c>
      <c r="CN53" s="345">
        <f t="shared" si="17"/>
        <v>49.830952380952382</v>
      </c>
      <c r="CO53" s="345">
        <f t="shared" ca="1" si="46"/>
        <v>1.8048695652173947</v>
      </c>
      <c r="CP53" s="345">
        <f t="shared" ca="1" si="92"/>
        <v>2.1160000000000001</v>
      </c>
      <c r="CQ53" s="345">
        <f t="shared" ca="1" si="19"/>
        <v>50.571739130434786</v>
      </c>
      <c r="CR53" s="347">
        <f t="shared" ca="1" si="71"/>
        <v>-2.6499999999999915</v>
      </c>
      <c r="CS53" s="114">
        <v>22.189</v>
      </c>
      <c r="CT53" s="345">
        <f t="shared" si="20"/>
        <v>52.830952380952382</v>
      </c>
      <c r="CU53" s="345">
        <f t="shared" si="72"/>
        <v>0.29999999999999716</v>
      </c>
      <c r="CV53" s="345">
        <f t="shared" ca="1" si="91"/>
        <v>1.0499999999999943</v>
      </c>
      <c r="CW53" s="347">
        <f t="shared" ca="1" si="73"/>
        <v>54.271739130434774</v>
      </c>
      <c r="CX53" s="483">
        <v>0.20400000000000001</v>
      </c>
      <c r="CY53" s="190">
        <f t="shared" si="47"/>
        <v>-4.2831636207699142E-4</v>
      </c>
      <c r="CZ53" s="190">
        <f t="shared" ca="1" si="78"/>
        <v>-0.03</v>
      </c>
      <c r="DA53" s="354">
        <f t="shared" ca="1" si="79"/>
        <v>0.17442831636207701</v>
      </c>
      <c r="DB53" s="483">
        <v>0.20400000000000001</v>
      </c>
      <c r="DC53" s="190">
        <f t="shared" si="49"/>
        <v>-4.2831636207699142E-4</v>
      </c>
      <c r="DD53" s="190">
        <f t="shared" ca="1" si="82"/>
        <v>0.03</v>
      </c>
      <c r="DE53" s="354">
        <f t="shared" ca="1" si="83"/>
        <v>0.234428316362077</v>
      </c>
      <c r="DG53" s="341"/>
      <c r="DH53" s="114">
        <v>16.425000000000001</v>
      </c>
      <c r="DI53" s="126">
        <f t="shared" ca="1" si="74"/>
        <v>-2.6991304347826066</v>
      </c>
      <c r="DJ53" s="126">
        <f t="shared" ca="1" si="22"/>
        <v>-2</v>
      </c>
      <c r="DK53" s="356">
        <f t="shared" ca="1" si="23"/>
        <v>17.124130434782607</v>
      </c>
      <c r="DL53" s="114">
        <v>13.875</v>
      </c>
      <c r="DM53" s="126">
        <f t="shared" ca="1" si="75"/>
        <v>-5.2491304347826073</v>
      </c>
      <c r="DN53" s="126">
        <f t="shared" ca="1" si="24"/>
        <v>-3</v>
      </c>
      <c r="DO53" s="356">
        <f t="shared" ca="1" si="25"/>
        <v>16.124130434782607</v>
      </c>
      <c r="DP53" s="114">
        <v>13.125</v>
      </c>
      <c r="DQ53" s="126">
        <f t="shared" ca="1" si="76"/>
        <v>-5.9991304347826073</v>
      </c>
      <c r="DR53" s="126">
        <f t="shared" ca="1" si="26"/>
        <v>-6</v>
      </c>
      <c r="DS53" s="356">
        <f t="shared" ca="1" si="27"/>
        <v>13.124130434782607</v>
      </c>
      <c r="DT53" s="114">
        <v>15.125</v>
      </c>
      <c r="DU53" s="126">
        <f t="shared" ca="1" si="77"/>
        <v>-3.9991304347826073</v>
      </c>
      <c r="DV53" s="126">
        <f t="shared" ca="1" si="28"/>
        <v>-5</v>
      </c>
      <c r="DW53" s="356">
        <f t="shared" ca="1" si="29"/>
        <v>14.124130434782607</v>
      </c>
      <c r="DY53" s="78">
        <v>2015</v>
      </c>
      <c r="DZ53" s="297">
        <v>-2</v>
      </c>
      <c r="EA53" s="297">
        <v>-3</v>
      </c>
      <c r="EB53" s="297">
        <v>-6</v>
      </c>
      <c r="EC53" s="246">
        <v>-5</v>
      </c>
    </row>
    <row r="54" spans="2:136" x14ac:dyDescent="0.25">
      <c r="B54" s="396">
        <v>37196</v>
      </c>
      <c r="C54" s="399">
        <v>37186</v>
      </c>
      <c r="I54" s="136">
        <f t="shared" ca="1" si="105"/>
        <v>38443</v>
      </c>
      <c r="J54" s="131">
        <f t="shared" ca="1" si="31"/>
        <v>38431</v>
      </c>
      <c r="K54" s="106">
        <f t="shared" ca="1" si="106"/>
        <v>0.66666666666666663</v>
      </c>
      <c r="L54" s="133">
        <f t="shared" ca="1" si="93"/>
        <v>105</v>
      </c>
      <c r="M54" s="134">
        <f t="shared" ca="1" si="94"/>
        <v>4</v>
      </c>
      <c r="N54" s="103">
        <f t="shared" ca="1" si="97"/>
        <v>21</v>
      </c>
      <c r="O54" s="104">
        <f t="shared" ca="1" si="33"/>
        <v>1485</v>
      </c>
      <c r="P54" s="105">
        <f t="shared" ca="1" si="95"/>
        <v>4.0766598220396988</v>
      </c>
      <c r="Q54" s="105">
        <f t="shared" ca="1" si="96"/>
        <v>4.1560574948665296</v>
      </c>
      <c r="R54" s="114">
        <v>19.13</v>
      </c>
      <c r="S54" s="198">
        <v>0</v>
      </c>
      <c r="T54" s="189">
        <f t="shared" si="34"/>
        <v>19.13</v>
      </c>
      <c r="U54" s="199">
        <f t="shared" ca="1" si="98"/>
        <v>19.11</v>
      </c>
      <c r="V54" s="379">
        <f t="shared" ca="1" si="99"/>
        <v>19.11</v>
      </c>
      <c r="W54" s="483">
        <v>0.20376069615964706</v>
      </c>
      <c r="X54" s="166" t="str">
        <f t="shared" ca="1" si="100"/>
        <v/>
      </c>
      <c r="Y54" s="91">
        <f t="shared" ca="1" si="108"/>
        <v>5.3350227130394791E-3</v>
      </c>
      <c r="Z54" s="91">
        <f t="shared" ca="1" si="109"/>
        <v>2.528032671520354E-3</v>
      </c>
      <c r="AA54" s="91">
        <f t="shared" ca="1" si="110"/>
        <v>1.0566171941739347E-3</v>
      </c>
      <c r="AB54" s="91">
        <f t="shared" ca="1" si="111"/>
        <v>2.3803472150350402E-3</v>
      </c>
      <c r="AC54" s="91">
        <f t="shared" ca="1" si="112"/>
        <v>5.6951520024011368E-3</v>
      </c>
      <c r="AD54" s="91">
        <f t="shared" ca="1" si="113"/>
        <v>1.2018739167935291E-2</v>
      </c>
      <c r="AE54" s="124">
        <v>7.2563790777123008E-2</v>
      </c>
      <c r="AF54" s="191">
        <f t="shared" ca="1" si="57"/>
        <v>0.74361103477883816</v>
      </c>
      <c r="AG54" s="189">
        <f t="shared" ca="1" si="107"/>
        <v>1</v>
      </c>
      <c r="AH54" s="192">
        <f t="shared" ca="1" si="101"/>
        <v>0</v>
      </c>
      <c r="AI54" s="192">
        <f t="shared" ca="1" si="114"/>
        <v>0</v>
      </c>
      <c r="AJ54" s="192">
        <f t="shared" ca="1" si="103"/>
        <v>0</v>
      </c>
      <c r="AK54" s="192">
        <f t="shared" ca="1" si="115"/>
        <v>0</v>
      </c>
      <c r="AL54" s="191" t="str">
        <f t="shared" ca="1" si="60"/>
        <v/>
      </c>
      <c r="AM54" s="191" t="str">
        <f t="shared" ca="1" si="61"/>
        <v/>
      </c>
      <c r="AN54" s="191" t="str">
        <f t="shared" ca="1" si="62"/>
        <v/>
      </c>
      <c r="AO54" s="193" t="str">
        <f t="shared" ca="1" si="63"/>
        <v/>
      </c>
      <c r="AP54" s="194" t="str">
        <f t="shared" ca="1" si="36"/>
        <v/>
      </c>
      <c r="AQ54" s="194" t="str">
        <f t="shared" ca="1" si="37"/>
        <v/>
      </c>
      <c r="AR54" s="195">
        <f ca="1">IF(AH54,_xll.xASN(AL54,Strike1,AE54,AP54,0,N54,0,P54,Q54,IF(OptControl=4,0,1),0),0)</f>
        <v>0</v>
      </c>
      <c r="AS54" s="196">
        <f ca="1">IF(AH54,_xll.xASN(AL54,Strike1,AE54,AP54,0,N54,0,P54,Q54,IF(OptControl=4,0,1),1),0)</f>
        <v>0</v>
      </c>
      <c r="AT54" s="196">
        <f ca="1">IF(AH54,_xll.xASN(AL54,Strike1,AE54,AP54,0,N54,0,P54,Q54,IF(OptControl=4,0,1),2),0)</f>
        <v>0</v>
      </c>
      <c r="AU54" s="196">
        <f ca="1">IF(AH54,_xll.xASN(AL54,Strike1,AE54,AP54,0,N54,0,P54,Q54,IF(OptControl=4,0,1),3)/100,0)</f>
        <v>0</v>
      </c>
      <c r="AV54" s="196">
        <f ca="1">IF(AH54,_xll.xASN(AL54,Strike1,AE54,AP54,0,N54,0,P54-DaysForThetaCalculation/365.25,Q54-DaysForThetaCalculation/365.25,IF(OptControl=4,0,1),0)-_xll.xASN(AL54,Strike1,AE54,AP54,0,N54,0,P54,Q54,IF(OptControl=4,0,1),0),0)</f>
        <v>0</v>
      </c>
      <c r="AW54" s="196">
        <f ca="1">IF(AH54,_xll.xASN(AL54,Strike2,AE54,AQ54,0,N54,0,P54,Q54,IF(OptControl=3,1,0),0),0)</f>
        <v>0</v>
      </c>
      <c r="AX54" s="196">
        <f ca="1">IF(AH54,_xll.xASN(AL54,Strike2,AE54,AQ54,0,N54,0,P54,Q54,IF(OptControl=3,1,0),1),0)</f>
        <v>0</v>
      </c>
      <c r="AY54" s="196">
        <f ca="1">IF(AH54,_xll.xASN(AL54,Strike2,AE54,AQ54,0,N54,0,P54,Q54,IF(OptControl=3,1,0),2),0)</f>
        <v>0</v>
      </c>
      <c r="AZ54" s="196">
        <f ca="1">IF(AH54,_xll.xASN(AL54,Strike2,AE54,AQ54,0,N54,0,P54,Q54,IF(OptControl=3,1,0),3)/100,0)</f>
        <v>0</v>
      </c>
      <c r="BA54" s="196">
        <f ca="1">IF(AH54,_xll.xASN(AL54,Strike2,AE54,AQ54,0,N54,0,P54-DaysForThetaCalculation/365.25,Q54-DaysForThetaCalculation/365.25,IF(OptControl=3,1,0),0)-_xll.xASN(AL54,Strike2,AE54,AQ54,0,N54,0,P54,Q54,IF(OptControl=3,1,0),0),0)</f>
        <v>0</v>
      </c>
      <c r="BB54" s="126" t="str">
        <f t="shared" ca="1" si="64"/>
        <v/>
      </c>
      <c r="BC54" s="191" t="str">
        <f t="shared" ca="1" si="65"/>
        <v/>
      </c>
      <c r="BD54" s="191" t="str">
        <f t="shared" ca="1" si="66"/>
        <v/>
      </c>
      <c r="BE54" s="190" t="str">
        <f t="shared" ca="1" si="67"/>
        <v/>
      </c>
      <c r="BF54" s="194" t="str">
        <f t="shared" ca="1" si="68"/>
        <v/>
      </c>
      <c r="BG54" s="194" t="str">
        <f t="shared" ca="1" si="69"/>
        <v/>
      </c>
      <c r="BH54" s="195">
        <f ca="1">IF(AH54,_xll.xEURO(BB54,Strike1,AE54,AE54,BF54,O54,IF(OptControl=4,0,1),0),0)</f>
        <v>0</v>
      </c>
      <c r="BI54" s="196">
        <f ca="1">IF(AH54,_xll.xEURO(BB54,Strike1,AE54,AE54,BF54,O54,IF(OptControl=4,0,1),1),0)</f>
        <v>0</v>
      </c>
      <c r="BJ54" s="196">
        <f ca="1">IF(AH54,_xll.xEURO(BB54,Strike1,AE54,AE54,BF54,O54,IF(OptControl=4,0,1),2),0)</f>
        <v>0</v>
      </c>
      <c r="BK54" s="196">
        <f ca="1">IF(AH54,_xll.xEURO(BB54,Strike1,AE54,AE54,BF54,O54,IF(OptControl=4,0,1),3)/100,0)</f>
        <v>0</v>
      </c>
      <c r="BL54" s="196">
        <f ca="1">IF(AH54,_xll.xEURO(BB54,Strike1,AE54,AE54,BF54,O54-DaysForThetaCalculation,IF(OptControl=4,0,1),0)-_xll.xEURO(BB54,Strike1,AE54,AE54,BF54,O54,IF(OptControl=4,0,1),0),0)</f>
        <v>0</v>
      </c>
      <c r="BM54" s="196">
        <f ca="1">IF(AH54,_xll.xEURO(BB54,Strike2,AE54,AE54,BG54,O54,IF(OptControl=3,1,0),0),0)</f>
        <v>0</v>
      </c>
      <c r="BN54" s="196">
        <f ca="1">IF(AH54,_xll.xEURO(BB54,Strike2,AE54,AE54,BG54,O54,IF(OptControl=3,1,0),1),0)</f>
        <v>0</v>
      </c>
      <c r="BO54" s="196">
        <f ca="1">IF(AH54,_xll.xEURO(BB54,Strike2,AE54,AE54,BG54,O54,IF(OptControl=3,1,0),2),0)</f>
        <v>0</v>
      </c>
      <c r="BP54" s="196">
        <f ca="1">IF(AH54,_xll.xEURO(BB54,Strike2,AE54,AE54,BG54,O54,IF(OptControl=3,1,0),3)/100,0)</f>
        <v>0</v>
      </c>
      <c r="BQ54" s="197">
        <f ca="1">IF(AH54,_xll.xEURO(BB54,Strike2,AE54,AE54,BG54,O54-DaysForThetaCalculation,IF(OptControl=3,1,0),0)-_xll.xEURO(BB54,Strike2,AE54,AE54,BG54,O54,IF(OptControl=3,1,0),0),0)</f>
        <v>0</v>
      </c>
      <c r="BR54" s="301"/>
      <c r="BS54" s="114">
        <v>28.913000000000004</v>
      </c>
      <c r="BT54" s="345">
        <f t="shared" si="11"/>
        <v>68.840476190476195</v>
      </c>
      <c r="BU54" s="345">
        <f t="shared" ca="1" si="84"/>
        <v>8.2820000000000036</v>
      </c>
      <c r="BV54" s="73"/>
      <c r="BW54" s="345">
        <f t="shared" ca="1" si="80"/>
        <v>8.6457142857142877</v>
      </c>
      <c r="BX54" s="345">
        <f t="shared" ca="1" si="85"/>
        <v>68.643167701863348</v>
      </c>
      <c r="BY54" s="373">
        <f t="shared" ca="1" si="41"/>
        <v>66.085034013605451</v>
      </c>
      <c r="BZ54" s="114">
        <v>25.502000000000002</v>
      </c>
      <c r="CA54" s="345">
        <f t="shared" si="12"/>
        <v>60.719047619047629</v>
      </c>
      <c r="CB54" s="345">
        <f t="shared" ca="1" si="86"/>
        <v>6.392000000000003</v>
      </c>
      <c r="CC54" s="345">
        <f t="shared" ca="1" si="81"/>
        <v>6.0207142857142877</v>
      </c>
      <c r="CD54" s="345">
        <f t="shared" ca="1" si="15"/>
        <v>59.835034013605451</v>
      </c>
      <c r="CE54" s="347">
        <f t="shared" ca="1" si="70"/>
        <v>-6.25</v>
      </c>
      <c r="CF54" s="114">
        <v>22.063000000000002</v>
      </c>
      <c r="CG54" s="345">
        <f t="shared" si="16"/>
        <v>52.530952380952385</v>
      </c>
      <c r="CH54" s="345">
        <f t="shared" ca="1" si="42"/>
        <v>2.3690000000000033</v>
      </c>
      <c r="CI54" s="73"/>
      <c r="CJ54" s="345">
        <f t="shared" ca="1" si="89"/>
        <v>2.6770909090909112</v>
      </c>
      <c r="CK54" s="345">
        <f t="shared" ca="1" si="90"/>
        <v>53.221739130434777</v>
      </c>
      <c r="CL54" s="345">
        <f t="shared" ca="1" si="45"/>
        <v>51.874025974025983</v>
      </c>
      <c r="CM54" s="114">
        <v>20.66</v>
      </c>
      <c r="CN54" s="345">
        <f t="shared" si="17"/>
        <v>49.19047619047619</v>
      </c>
      <c r="CO54" s="345">
        <f t="shared" ca="1" si="46"/>
        <v>1.5500000000000007</v>
      </c>
      <c r="CP54" s="345">
        <f t="shared" ca="1" si="92"/>
        <v>1.7530909090909081</v>
      </c>
      <c r="CQ54" s="345">
        <f t="shared" ca="1" si="19"/>
        <v>49.674025974025966</v>
      </c>
      <c r="CR54" s="347">
        <f t="shared" ca="1" si="71"/>
        <v>-2.2000000000000171</v>
      </c>
      <c r="CS54" s="114">
        <v>21.605</v>
      </c>
      <c r="CT54" s="345">
        <f t="shared" si="20"/>
        <v>51.44047619047619</v>
      </c>
      <c r="CU54" s="345">
        <f t="shared" si="72"/>
        <v>0.29999999999999716</v>
      </c>
      <c r="CV54" s="345">
        <f t="shared" ca="1" si="91"/>
        <v>1.0499999999999943</v>
      </c>
      <c r="CW54" s="347">
        <f t="shared" ca="1" si="73"/>
        <v>52.92402597402598</v>
      </c>
      <c r="CX54" s="483">
        <v>0.20400000000000001</v>
      </c>
      <c r="CY54" s="190">
        <f t="shared" si="47"/>
        <v>2.3930384035295016E-4</v>
      </c>
      <c r="CZ54" s="190">
        <f t="shared" ca="1" si="78"/>
        <v>-0.03</v>
      </c>
      <c r="DA54" s="354">
        <f t="shared" ca="1" si="79"/>
        <v>0.17376069615964707</v>
      </c>
      <c r="DB54" s="483">
        <v>0.20400000000000001</v>
      </c>
      <c r="DC54" s="190">
        <f t="shared" si="49"/>
        <v>2.3930384035295016E-4</v>
      </c>
      <c r="DD54" s="190">
        <f t="shared" ca="1" si="82"/>
        <v>0.03</v>
      </c>
      <c r="DE54" s="354">
        <f t="shared" ca="1" si="83"/>
        <v>0.23376069615964706</v>
      </c>
      <c r="DG54" s="341"/>
      <c r="DH54" s="114">
        <v>16.41</v>
      </c>
      <c r="DI54" s="126">
        <f t="shared" ca="1" si="74"/>
        <v>-2.6999999999999993</v>
      </c>
      <c r="DJ54" s="126">
        <f t="shared" ca="1" si="22"/>
        <v>-2</v>
      </c>
      <c r="DK54" s="356">
        <f t="shared" ca="1" si="23"/>
        <v>17.11</v>
      </c>
      <c r="DL54" s="114">
        <v>13.86</v>
      </c>
      <c r="DM54" s="126">
        <f t="shared" ca="1" si="75"/>
        <v>-5.25</v>
      </c>
      <c r="DN54" s="126">
        <f t="shared" ca="1" si="24"/>
        <v>-3</v>
      </c>
      <c r="DO54" s="356">
        <f t="shared" ca="1" si="25"/>
        <v>16.11</v>
      </c>
      <c r="DP54" s="114">
        <v>13.11</v>
      </c>
      <c r="DQ54" s="126">
        <f t="shared" ca="1" si="76"/>
        <v>-6</v>
      </c>
      <c r="DR54" s="126">
        <f t="shared" ca="1" si="26"/>
        <v>-6</v>
      </c>
      <c r="DS54" s="356">
        <f t="shared" ca="1" si="27"/>
        <v>13.11</v>
      </c>
      <c r="DT54" s="114">
        <v>15.21</v>
      </c>
      <c r="DU54" s="126">
        <f t="shared" ca="1" si="77"/>
        <v>-3.8999999999999986</v>
      </c>
      <c r="DV54" s="126">
        <f t="shared" ca="1" si="28"/>
        <v>-5</v>
      </c>
      <c r="DW54" s="356">
        <f t="shared" ca="1" si="29"/>
        <v>14.11</v>
      </c>
    </row>
    <row r="55" spans="2:136" x14ac:dyDescent="0.25">
      <c r="B55" s="396">
        <v>37226</v>
      </c>
      <c r="C55" s="399">
        <v>37214</v>
      </c>
      <c r="I55" s="136">
        <f t="shared" ca="1" si="105"/>
        <v>38473</v>
      </c>
      <c r="J55" s="131">
        <f t="shared" ca="1" si="31"/>
        <v>38462</v>
      </c>
      <c r="K55" s="106">
        <f t="shared" ca="1" si="106"/>
        <v>0.68181818181818177</v>
      </c>
      <c r="L55" s="133">
        <f t="shared" ca="1" si="93"/>
        <v>105</v>
      </c>
      <c r="M55" s="134">
        <f t="shared" ca="1" si="94"/>
        <v>5</v>
      </c>
      <c r="N55" s="103">
        <f t="shared" ca="1" si="97"/>
        <v>22</v>
      </c>
      <c r="O55" s="104">
        <f t="shared" ca="1" si="33"/>
        <v>1514</v>
      </c>
      <c r="P55" s="105">
        <f t="shared" ca="1" si="95"/>
        <v>4.1587953456536617</v>
      </c>
      <c r="Q55" s="105">
        <f t="shared" ca="1" si="96"/>
        <v>4.2409308692676246</v>
      </c>
      <c r="R55" s="114">
        <v>19.114999999999998</v>
      </c>
      <c r="S55" s="198">
        <v>0</v>
      </c>
      <c r="T55" s="189">
        <f t="shared" si="34"/>
        <v>19.114999999999998</v>
      </c>
      <c r="U55" s="199">
        <f t="shared" ca="1" si="98"/>
        <v>19.095227272727275</v>
      </c>
      <c r="V55" s="379">
        <f t="shared" ca="1" si="99"/>
        <v>19.095227272727275</v>
      </c>
      <c r="W55" s="483">
        <v>0.20339969979396408</v>
      </c>
      <c r="X55" s="166" t="str">
        <f t="shared" ca="1" si="100"/>
        <v/>
      </c>
      <c r="Y55" s="91">
        <f t="shared" ca="1" si="108"/>
        <v>5.2208079909348637E-3</v>
      </c>
      <c r="Z55" s="91">
        <f t="shared" ca="1" si="109"/>
        <v>2.4606658871790038E-3</v>
      </c>
      <c r="AA55" s="91">
        <f t="shared" ca="1" si="110"/>
        <v>1.0257026411494721E-3</v>
      </c>
      <c r="AB55" s="91">
        <f t="shared" ca="1" si="111"/>
        <v>2.3107029099815311E-3</v>
      </c>
      <c r="AC55" s="91">
        <f t="shared" ca="1" si="112"/>
        <v>5.5433881106369447E-3</v>
      </c>
      <c r="AD55" s="91">
        <f t="shared" ca="1" si="113"/>
        <v>1.1761436241978016E-2</v>
      </c>
      <c r="AE55" s="124">
        <v>7.2608165122854021E-2</v>
      </c>
      <c r="AF55" s="191">
        <f t="shared" ca="1" si="57"/>
        <v>0.73899182463605939</v>
      </c>
      <c r="AG55" s="189">
        <f t="shared" ca="1" si="107"/>
        <v>1</v>
      </c>
      <c r="AH55" s="192">
        <f t="shared" ca="1" si="101"/>
        <v>0</v>
      </c>
      <c r="AI55" s="192">
        <f t="shared" ca="1" si="114"/>
        <v>0</v>
      </c>
      <c r="AJ55" s="192">
        <f t="shared" ca="1" si="103"/>
        <v>0</v>
      </c>
      <c r="AK55" s="192">
        <f t="shared" ca="1" si="115"/>
        <v>0</v>
      </c>
      <c r="AL55" s="191" t="str">
        <f t="shared" ca="1" si="60"/>
        <v/>
      </c>
      <c r="AM55" s="191" t="str">
        <f t="shared" ca="1" si="61"/>
        <v/>
      </c>
      <c r="AN55" s="191" t="str">
        <f t="shared" ca="1" si="62"/>
        <v/>
      </c>
      <c r="AO55" s="193" t="str">
        <f t="shared" ca="1" si="63"/>
        <v/>
      </c>
      <c r="AP55" s="194" t="str">
        <f t="shared" ca="1" si="36"/>
        <v/>
      </c>
      <c r="AQ55" s="194" t="str">
        <f t="shared" ca="1" si="37"/>
        <v/>
      </c>
      <c r="AR55" s="195">
        <f ca="1">IF(AH55,_xll.xASN(AL55,Strike1,AE55,AP55,0,N55,0,P55,Q55,IF(OptControl=4,0,1),0),0)</f>
        <v>0</v>
      </c>
      <c r="AS55" s="196">
        <f ca="1">IF(AH55,_xll.xASN(AL55,Strike1,AE55,AP55,0,N55,0,P55,Q55,IF(OptControl=4,0,1),1),0)</f>
        <v>0</v>
      </c>
      <c r="AT55" s="196">
        <f ca="1">IF(AH55,_xll.xASN(AL55,Strike1,AE55,AP55,0,N55,0,P55,Q55,IF(OptControl=4,0,1),2),0)</f>
        <v>0</v>
      </c>
      <c r="AU55" s="196">
        <f ca="1">IF(AH55,_xll.xASN(AL55,Strike1,AE55,AP55,0,N55,0,P55,Q55,IF(OptControl=4,0,1),3)/100,0)</f>
        <v>0</v>
      </c>
      <c r="AV55" s="196">
        <f ca="1">IF(AH55,_xll.xASN(AL55,Strike1,AE55,AP55,0,N55,0,P55-DaysForThetaCalculation/365.25,Q55-DaysForThetaCalculation/365.25,IF(OptControl=4,0,1),0)-_xll.xASN(AL55,Strike1,AE55,AP55,0,N55,0,P55,Q55,IF(OptControl=4,0,1),0),0)</f>
        <v>0</v>
      </c>
      <c r="AW55" s="196">
        <f ca="1">IF(AH55,_xll.xASN(AL55,Strike2,AE55,AQ55,0,N55,0,P55,Q55,IF(OptControl=3,1,0),0),0)</f>
        <v>0</v>
      </c>
      <c r="AX55" s="196">
        <f ca="1">IF(AH55,_xll.xASN(AL55,Strike2,AE55,AQ55,0,N55,0,P55,Q55,IF(OptControl=3,1,0),1),0)</f>
        <v>0</v>
      </c>
      <c r="AY55" s="196">
        <f ca="1">IF(AH55,_xll.xASN(AL55,Strike2,AE55,AQ55,0,N55,0,P55,Q55,IF(OptControl=3,1,0),2),0)</f>
        <v>0</v>
      </c>
      <c r="AZ55" s="196">
        <f ca="1">IF(AH55,_xll.xASN(AL55,Strike2,AE55,AQ55,0,N55,0,P55,Q55,IF(OptControl=3,1,0),3)/100,0)</f>
        <v>0</v>
      </c>
      <c r="BA55" s="196">
        <f ca="1">IF(AH55,_xll.xASN(AL55,Strike2,AE55,AQ55,0,N55,0,P55-DaysForThetaCalculation/365.25,Q55-DaysForThetaCalculation/365.25,IF(OptControl=3,1,0),0)-_xll.xASN(AL55,Strike2,AE55,AQ55,0,N55,0,P55,Q55,IF(OptControl=3,1,0),0),0)</f>
        <v>0</v>
      </c>
      <c r="BB55" s="126" t="str">
        <f t="shared" ca="1" si="64"/>
        <v/>
      </c>
      <c r="BC55" s="191" t="str">
        <f t="shared" ca="1" si="65"/>
        <v/>
      </c>
      <c r="BD55" s="191" t="str">
        <f t="shared" ca="1" si="66"/>
        <v/>
      </c>
      <c r="BE55" s="190" t="str">
        <f t="shared" ca="1" si="67"/>
        <v/>
      </c>
      <c r="BF55" s="194" t="str">
        <f t="shared" ca="1" si="68"/>
        <v/>
      </c>
      <c r="BG55" s="194" t="str">
        <f t="shared" ca="1" si="69"/>
        <v/>
      </c>
      <c r="BH55" s="195">
        <f ca="1">IF(AH55,_xll.xEURO(BB55,Strike1,AE55,AE55,BF55,O55,IF(OptControl=4,0,1),0),0)</f>
        <v>0</v>
      </c>
      <c r="BI55" s="196">
        <f ca="1">IF(AH55,_xll.xEURO(BB55,Strike1,AE55,AE55,BF55,O55,IF(OptControl=4,0,1),1),0)</f>
        <v>0</v>
      </c>
      <c r="BJ55" s="196">
        <f ca="1">IF(AH55,_xll.xEURO(BB55,Strike1,AE55,AE55,BF55,O55,IF(OptControl=4,0,1),2),0)</f>
        <v>0</v>
      </c>
      <c r="BK55" s="196">
        <f ca="1">IF(AH55,_xll.xEURO(BB55,Strike1,AE55,AE55,BF55,O55,IF(OptControl=4,0,1),3)/100,0)</f>
        <v>0</v>
      </c>
      <c r="BL55" s="196">
        <f ca="1">IF(AH55,_xll.xEURO(BB55,Strike1,AE55,AE55,BF55,O55-DaysForThetaCalculation,IF(OptControl=4,0,1),0)-_xll.xEURO(BB55,Strike1,AE55,AE55,BF55,O55,IF(OptControl=4,0,1),0),0)</f>
        <v>0</v>
      </c>
      <c r="BM55" s="196">
        <f ca="1">IF(AH55,_xll.xEURO(BB55,Strike2,AE55,AE55,BG55,O55,IF(OptControl=3,1,0),0),0)</f>
        <v>0</v>
      </c>
      <c r="BN55" s="196">
        <f ca="1">IF(AH55,_xll.xEURO(BB55,Strike2,AE55,AE55,BG55,O55,IF(OptControl=3,1,0),1),0)</f>
        <v>0</v>
      </c>
      <c r="BO55" s="196">
        <f ca="1">IF(AH55,_xll.xEURO(BB55,Strike2,AE55,AE55,BG55,O55,IF(OptControl=3,1,0),2),0)</f>
        <v>0</v>
      </c>
      <c r="BP55" s="196">
        <f ca="1">IF(AH55,_xll.xEURO(BB55,Strike2,AE55,AE55,BG55,O55,IF(OptControl=3,1,0),3)/100,0)</f>
        <v>0</v>
      </c>
      <c r="BQ55" s="197">
        <f ca="1">IF(AH55,_xll.xEURO(BB55,Strike2,AE55,AE55,BG55,O55-DaysForThetaCalculation,IF(OptControl=3,1,0),0)-_xll.xEURO(BB55,Strike2,AE55,AE55,BG55,O55,IF(OptControl=3,1,0),0),0)</f>
        <v>0</v>
      </c>
      <c r="BR55" s="301"/>
      <c r="BS55" s="114">
        <v>27.392000000000003</v>
      </c>
      <c r="BT55" s="345">
        <f t="shared" si="11"/>
        <v>65.219047619047629</v>
      </c>
      <c r="BU55" s="345">
        <f t="shared" ca="1" si="84"/>
        <v>7.725772727272723</v>
      </c>
      <c r="BV55" s="73"/>
      <c r="BW55" s="345">
        <f t="shared" ca="1" si="80"/>
        <v>8.1539130434782621</v>
      </c>
      <c r="BX55" s="345">
        <f t="shared" ca="1" si="85"/>
        <v>66.085034013605451</v>
      </c>
      <c r="BY55" s="373">
        <f t="shared" ca="1" si="41"/>
        <v>64.878905514775084</v>
      </c>
      <c r="BZ55" s="114">
        <v>24.931000000000001</v>
      </c>
      <c r="CA55" s="345">
        <f t="shared" si="12"/>
        <v>59.359523809523807</v>
      </c>
      <c r="CB55" s="345">
        <f t="shared" ca="1" si="86"/>
        <v>5.835772727272726</v>
      </c>
      <c r="CC55" s="345">
        <f t="shared" ca="1" si="81"/>
        <v>5.5289130434782621</v>
      </c>
      <c r="CD55" s="345">
        <f t="shared" ca="1" si="15"/>
        <v>58.628905514775084</v>
      </c>
      <c r="CE55" s="347">
        <f t="shared" ca="1" si="70"/>
        <v>-6.25</v>
      </c>
      <c r="CF55" s="114">
        <v>21.479000000000003</v>
      </c>
      <c r="CG55" s="345">
        <f t="shared" si="16"/>
        <v>51.140476190476193</v>
      </c>
      <c r="CH55" s="345">
        <f t="shared" ca="1" si="42"/>
        <v>1.9717727272727252</v>
      </c>
      <c r="CI55" s="73"/>
      <c r="CJ55" s="345">
        <f t="shared" ca="1" si="89"/>
        <v>2.2720869565217368</v>
      </c>
      <c r="CK55" s="345">
        <f t="shared" ca="1" si="90"/>
        <v>51.874025974025983</v>
      </c>
      <c r="CL55" s="345">
        <f t="shared" ca="1" si="45"/>
        <v>50.874557688688114</v>
      </c>
      <c r="CM55" s="114">
        <v>20.248000000000001</v>
      </c>
      <c r="CN55" s="345">
        <f t="shared" si="17"/>
        <v>48.209523809523816</v>
      </c>
      <c r="CO55" s="345">
        <f t="shared" ca="1" si="46"/>
        <v>1.1527727272727262</v>
      </c>
      <c r="CP55" s="345">
        <f t="shared" ca="1" si="92"/>
        <v>1.3480869565217408</v>
      </c>
      <c r="CQ55" s="345">
        <f t="shared" ca="1" si="19"/>
        <v>48.674557688688132</v>
      </c>
      <c r="CR55" s="347">
        <f t="shared" ca="1" si="71"/>
        <v>-2.1999999999999815</v>
      </c>
      <c r="CS55" s="114">
        <v>21.193000000000001</v>
      </c>
      <c r="CT55" s="345">
        <f t="shared" si="20"/>
        <v>50.459523809523816</v>
      </c>
      <c r="CU55" s="345">
        <f t="shared" si="72"/>
        <v>0.30000000000001137</v>
      </c>
      <c r="CV55" s="345">
        <f t="shared" ca="1" si="91"/>
        <v>1.0500000000000085</v>
      </c>
      <c r="CW55" s="347">
        <f t="shared" ca="1" si="73"/>
        <v>51.924557688688125</v>
      </c>
      <c r="CX55" s="483">
        <v>0.20300000000000001</v>
      </c>
      <c r="CY55" s="190">
        <f t="shared" si="47"/>
        <v>-3.9969979396406452E-4</v>
      </c>
      <c r="CZ55" s="190">
        <f t="shared" ca="1" si="78"/>
        <v>-0.03</v>
      </c>
      <c r="DA55" s="354">
        <f t="shared" ca="1" si="79"/>
        <v>0.17339969979396408</v>
      </c>
      <c r="DB55" s="483">
        <v>0.20300000000000001</v>
      </c>
      <c r="DC55" s="190">
        <f t="shared" si="49"/>
        <v>-3.9969979396406452E-4</v>
      </c>
      <c r="DD55" s="190">
        <f t="shared" ca="1" si="82"/>
        <v>0.03</v>
      </c>
      <c r="DE55" s="354">
        <f t="shared" ca="1" si="83"/>
        <v>0.23339969979396408</v>
      </c>
      <c r="DG55" s="341"/>
      <c r="DH55" s="114">
        <v>16.395</v>
      </c>
      <c r="DI55" s="126">
        <f t="shared" ca="1" si="74"/>
        <v>-2.7002272727272754</v>
      </c>
      <c r="DJ55" s="126">
        <f t="shared" ca="1" si="22"/>
        <v>-2</v>
      </c>
      <c r="DK55" s="356">
        <f t="shared" ca="1" si="23"/>
        <v>17.095227272727275</v>
      </c>
      <c r="DL55" s="114">
        <v>13.845000000000001</v>
      </c>
      <c r="DM55" s="126">
        <f t="shared" ca="1" si="75"/>
        <v>-5.2502272727272743</v>
      </c>
      <c r="DN55" s="126">
        <f t="shared" ca="1" si="24"/>
        <v>-3</v>
      </c>
      <c r="DO55" s="356">
        <f t="shared" ca="1" si="25"/>
        <v>16.095227272727275</v>
      </c>
      <c r="DP55" s="114">
        <v>13.095000000000001</v>
      </c>
      <c r="DQ55" s="126">
        <f t="shared" ca="1" si="76"/>
        <v>-6.0002272727272743</v>
      </c>
      <c r="DR55" s="126">
        <f t="shared" ca="1" si="26"/>
        <v>-6</v>
      </c>
      <c r="DS55" s="356">
        <f t="shared" ca="1" si="27"/>
        <v>13.095227272727275</v>
      </c>
      <c r="DT55" s="114">
        <v>15.195</v>
      </c>
      <c r="DU55" s="126">
        <f t="shared" ca="1" si="77"/>
        <v>-3.9002272727272747</v>
      </c>
      <c r="DV55" s="126">
        <f t="shared" ca="1" si="28"/>
        <v>-5</v>
      </c>
      <c r="DW55" s="356">
        <f t="shared" ca="1" si="29"/>
        <v>14.095227272727275</v>
      </c>
    </row>
    <row r="56" spans="2:136" x14ac:dyDescent="0.25">
      <c r="B56" s="396">
        <v>37257</v>
      </c>
      <c r="C56" s="400">
        <v>37244</v>
      </c>
      <c r="I56" s="136">
        <f t="shared" ca="1" si="105"/>
        <v>38504</v>
      </c>
      <c r="J56" s="131">
        <f t="shared" ca="1" si="31"/>
        <v>38494</v>
      </c>
      <c r="K56" s="106">
        <f t="shared" ca="1" si="106"/>
        <v>0.63636363636363635</v>
      </c>
      <c r="L56" s="133">
        <f t="shared" ca="1" si="93"/>
        <v>105</v>
      </c>
      <c r="M56" s="134">
        <f t="shared" ca="1" si="94"/>
        <v>6</v>
      </c>
      <c r="N56" s="103">
        <f t="shared" ca="1" si="97"/>
        <v>22</v>
      </c>
      <c r="O56" s="104">
        <f t="shared" ca="1" si="33"/>
        <v>1544</v>
      </c>
      <c r="P56" s="105">
        <f t="shared" ca="1" si="95"/>
        <v>4.2436687200547567</v>
      </c>
      <c r="Q56" s="105">
        <f t="shared" ca="1" si="96"/>
        <v>4.3230663928815876</v>
      </c>
      <c r="R56" s="114">
        <v>19.100000000000001</v>
      </c>
      <c r="S56" s="198">
        <v>0</v>
      </c>
      <c r="T56" s="189">
        <f t="shared" si="34"/>
        <v>19.100000000000001</v>
      </c>
      <c r="U56" s="199">
        <f t="shared" ca="1" si="98"/>
        <v>19.079545454545453</v>
      </c>
      <c r="V56" s="379">
        <f t="shared" ca="1" si="99"/>
        <v>19.079545454545453</v>
      </c>
      <c r="W56" s="483">
        <v>0.20151723338586702</v>
      </c>
      <c r="X56" s="166" t="str">
        <f t="shared" ca="1" si="100"/>
        <v/>
      </c>
      <c r="Y56" s="91">
        <f t="shared" ca="1" si="108"/>
        <v>5.1090384323182218E-3</v>
      </c>
      <c r="Z56" s="91">
        <f t="shared" ca="1" si="109"/>
        <v>2.395094286770053E-3</v>
      </c>
      <c r="AA56" s="91">
        <f t="shared" ca="1" si="110"/>
        <v>9.9569258749713022E-4</v>
      </c>
      <c r="AB56" s="91">
        <f t="shared" ca="1" si="111"/>
        <v>2.2430962611135353E-3</v>
      </c>
      <c r="AC56" s="91">
        <f t="shared" ca="1" si="112"/>
        <v>5.395668409235662E-3</v>
      </c>
      <c r="AD56" s="91">
        <f t="shared" ca="1" si="113"/>
        <v>1.1509641780326449E-2</v>
      </c>
      <c r="AE56" s="124">
        <v>7.2654018614125002E-2</v>
      </c>
      <c r="AF56" s="191">
        <f t="shared" ca="1" si="57"/>
        <v>0.73453494427895183</v>
      </c>
      <c r="AG56" s="189">
        <f t="shared" ca="1" si="107"/>
        <v>1</v>
      </c>
      <c r="AH56" s="192">
        <f t="shared" ca="1" si="101"/>
        <v>0</v>
      </c>
      <c r="AI56" s="192">
        <f t="shared" ca="1" si="114"/>
        <v>0</v>
      </c>
      <c r="AJ56" s="192">
        <f t="shared" ca="1" si="103"/>
        <v>0</v>
      </c>
      <c r="AK56" s="192">
        <f t="shared" ca="1" si="115"/>
        <v>0</v>
      </c>
      <c r="AL56" s="191" t="str">
        <f t="shared" ca="1" si="60"/>
        <v/>
      </c>
      <c r="AM56" s="191" t="str">
        <f t="shared" ca="1" si="61"/>
        <v/>
      </c>
      <c r="AN56" s="191" t="str">
        <f t="shared" ca="1" si="62"/>
        <v/>
      </c>
      <c r="AO56" s="193" t="str">
        <f t="shared" ca="1" si="63"/>
        <v/>
      </c>
      <c r="AP56" s="194" t="str">
        <f t="shared" ca="1" si="36"/>
        <v/>
      </c>
      <c r="AQ56" s="194" t="str">
        <f t="shared" ca="1" si="37"/>
        <v/>
      </c>
      <c r="AR56" s="195">
        <f ca="1">IF(AH56,_xll.xASN(AL56,Strike1,AE56,AP56,0,N56,0,P56,Q56,IF(OptControl=4,0,1),0),0)</f>
        <v>0</v>
      </c>
      <c r="AS56" s="196">
        <f ca="1">IF(AH56,_xll.xASN(AL56,Strike1,AE56,AP56,0,N56,0,P56,Q56,IF(OptControl=4,0,1),1),0)</f>
        <v>0</v>
      </c>
      <c r="AT56" s="196">
        <f ca="1">IF(AH56,_xll.xASN(AL56,Strike1,AE56,AP56,0,N56,0,P56,Q56,IF(OptControl=4,0,1),2),0)</f>
        <v>0</v>
      </c>
      <c r="AU56" s="196">
        <f ca="1">IF(AH56,_xll.xASN(AL56,Strike1,AE56,AP56,0,N56,0,P56,Q56,IF(OptControl=4,0,1),3)/100,0)</f>
        <v>0</v>
      </c>
      <c r="AV56" s="196">
        <f ca="1">IF(AH56,_xll.xASN(AL56,Strike1,AE56,AP56,0,N56,0,P56-DaysForThetaCalculation/365.25,Q56-DaysForThetaCalculation/365.25,IF(OptControl=4,0,1),0)-_xll.xASN(AL56,Strike1,AE56,AP56,0,N56,0,P56,Q56,IF(OptControl=4,0,1),0),0)</f>
        <v>0</v>
      </c>
      <c r="AW56" s="196">
        <f ca="1">IF(AH56,_xll.xASN(AL56,Strike2,AE56,AQ56,0,N56,0,P56,Q56,IF(OptControl=3,1,0),0),0)</f>
        <v>0</v>
      </c>
      <c r="AX56" s="196">
        <f ca="1">IF(AH56,_xll.xASN(AL56,Strike2,AE56,AQ56,0,N56,0,P56,Q56,IF(OptControl=3,1,0),1),0)</f>
        <v>0</v>
      </c>
      <c r="AY56" s="196">
        <f ca="1">IF(AH56,_xll.xASN(AL56,Strike2,AE56,AQ56,0,N56,0,P56,Q56,IF(OptControl=3,1,0),2),0)</f>
        <v>0</v>
      </c>
      <c r="AZ56" s="196">
        <f ca="1">IF(AH56,_xll.xASN(AL56,Strike2,AE56,AQ56,0,N56,0,P56,Q56,IF(OptControl=3,1,0),3)/100,0)</f>
        <v>0</v>
      </c>
      <c r="BA56" s="196">
        <f ca="1">IF(AH56,_xll.xASN(AL56,Strike2,AE56,AQ56,0,N56,0,P56-DaysForThetaCalculation/365.25,Q56-DaysForThetaCalculation/365.25,IF(OptControl=3,1,0),0)-_xll.xASN(AL56,Strike2,AE56,AQ56,0,N56,0,P56,Q56,IF(OptControl=3,1,0),0),0)</f>
        <v>0</v>
      </c>
      <c r="BB56" s="126" t="str">
        <f t="shared" ca="1" si="64"/>
        <v/>
      </c>
      <c r="BC56" s="191" t="str">
        <f t="shared" ca="1" si="65"/>
        <v/>
      </c>
      <c r="BD56" s="191" t="str">
        <f t="shared" ca="1" si="66"/>
        <v/>
      </c>
      <c r="BE56" s="190" t="str">
        <f t="shared" ca="1" si="67"/>
        <v/>
      </c>
      <c r="BF56" s="194" t="str">
        <f t="shared" ca="1" si="68"/>
        <v/>
      </c>
      <c r="BG56" s="194" t="str">
        <f t="shared" ca="1" si="69"/>
        <v/>
      </c>
      <c r="BH56" s="195">
        <f ca="1">IF(AH56,_xll.xEURO(BB56,Strike1,AE56,AE56,BF56,O56,IF(OptControl=4,0,1),0),0)</f>
        <v>0</v>
      </c>
      <c r="BI56" s="196">
        <f ca="1">IF(AH56,_xll.xEURO(BB56,Strike1,AE56,AE56,BF56,O56,IF(OptControl=4,0,1),1),0)</f>
        <v>0</v>
      </c>
      <c r="BJ56" s="196">
        <f ca="1">IF(AH56,_xll.xEURO(BB56,Strike1,AE56,AE56,BF56,O56,IF(OptControl=4,0,1),2),0)</f>
        <v>0</v>
      </c>
      <c r="BK56" s="196">
        <f ca="1">IF(AH56,_xll.xEURO(BB56,Strike1,AE56,AE56,BF56,O56,IF(OptControl=4,0,1),3)/100,0)</f>
        <v>0</v>
      </c>
      <c r="BL56" s="196">
        <f ca="1">IF(AH56,_xll.xEURO(BB56,Strike1,AE56,AE56,BF56,O56-DaysForThetaCalculation,IF(OptControl=4,0,1),0)-_xll.xEURO(BB56,Strike1,AE56,AE56,BF56,O56,IF(OptControl=4,0,1),0),0)</f>
        <v>0</v>
      </c>
      <c r="BM56" s="196">
        <f ca="1">IF(AH56,_xll.xEURO(BB56,Strike2,AE56,AE56,BG56,O56,IF(OptControl=3,1,0),0),0)</f>
        <v>0</v>
      </c>
      <c r="BN56" s="196">
        <f ca="1">IF(AH56,_xll.xEURO(BB56,Strike2,AE56,AE56,BG56,O56,IF(OptControl=3,1,0),1),0)</f>
        <v>0</v>
      </c>
      <c r="BO56" s="196">
        <f ca="1">IF(AH56,_xll.xEURO(BB56,Strike2,AE56,AE56,BG56,O56,IF(OptControl=3,1,0),2),0)</f>
        <v>0</v>
      </c>
      <c r="BP56" s="196">
        <f ca="1">IF(AH56,_xll.xEURO(BB56,Strike2,AE56,AE56,BG56,O56,IF(OptControl=3,1,0),3)/100,0)</f>
        <v>0</v>
      </c>
      <c r="BQ56" s="197">
        <f ca="1">IF(AH56,_xll.xEURO(BB56,Strike2,AE56,AE56,BG56,O56-DaysForThetaCalculation,IF(OptControl=3,1,0),0)-_xll.xEURO(BB56,Strike2,AE56,AE56,BG56,O56,IF(OptControl=3,1,0),0),0)</f>
        <v>0</v>
      </c>
      <c r="BR56" s="301"/>
      <c r="BS56" s="114">
        <v>26.820999999999998</v>
      </c>
      <c r="BT56" s="345">
        <f t="shared" si="11"/>
        <v>63.859523809523807</v>
      </c>
      <c r="BU56" s="345">
        <f t="shared" ca="1" si="84"/>
        <v>7.2924545454545502</v>
      </c>
      <c r="BV56" s="73"/>
      <c r="BW56" s="345">
        <f t="shared" ca="1" si="80"/>
        <v>7.6736666666666693</v>
      </c>
      <c r="BX56" s="345">
        <f t="shared" ca="1" si="85"/>
        <v>64.878905514775084</v>
      </c>
      <c r="BY56" s="373">
        <f t="shared" ca="1" si="41"/>
        <v>63.698124098124104</v>
      </c>
      <c r="BZ56" s="114">
        <v>24.482000000000003</v>
      </c>
      <c r="CA56" s="345">
        <f t="shared" si="12"/>
        <v>58.290476190476198</v>
      </c>
      <c r="CB56" s="345">
        <f t="shared" ca="1" si="86"/>
        <v>5.4024545454545496</v>
      </c>
      <c r="CC56" s="345">
        <f t="shared" ca="1" si="81"/>
        <v>5.0486666666666729</v>
      </c>
      <c r="CD56" s="345">
        <f t="shared" ca="1" si="15"/>
        <v>57.448124098124111</v>
      </c>
      <c r="CE56" s="347">
        <f t="shared" ca="1" si="70"/>
        <v>-6.2499999999999929</v>
      </c>
      <c r="CF56" s="114">
        <v>21.067</v>
      </c>
      <c r="CG56" s="345">
        <f t="shared" si="16"/>
        <v>50.159523809523805</v>
      </c>
      <c r="CH56" s="345">
        <f t="shared" ca="1" si="42"/>
        <v>2.0544545454545471</v>
      </c>
      <c r="CI56" s="73"/>
      <c r="CJ56" s="345">
        <f t="shared" ca="1" si="89"/>
        <v>2.3470000000000018</v>
      </c>
      <c r="CK56" s="345">
        <f t="shared" ca="1" si="90"/>
        <v>50.874557688688114</v>
      </c>
      <c r="CL56" s="345">
        <f t="shared" ca="1" si="45"/>
        <v>51.015584415584414</v>
      </c>
      <c r="CM56" s="114">
        <v>20.315000000000001</v>
      </c>
      <c r="CN56" s="345">
        <f t="shared" si="17"/>
        <v>48.369047619047628</v>
      </c>
      <c r="CO56" s="345">
        <f t="shared" ca="1" si="46"/>
        <v>1.235454545454548</v>
      </c>
      <c r="CP56" s="345">
        <f t="shared" ca="1" si="92"/>
        <v>1.4229999999999987</v>
      </c>
      <c r="CQ56" s="345">
        <f t="shared" ca="1" si="19"/>
        <v>48.815584415584411</v>
      </c>
      <c r="CR56" s="347">
        <f t="shared" ca="1" si="71"/>
        <v>-2.2000000000000028</v>
      </c>
      <c r="CS56" s="114">
        <v>21.26</v>
      </c>
      <c r="CT56" s="345">
        <f t="shared" si="20"/>
        <v>50.61904761904762</v>
      </c>
      <c r="CU56" s="345">
        <f t="shared" si="72"/>
        <v>0.29999999999999716</v>
      </c>
      <c r="CV56" s="345">
        <f t="shared" ca="1" si="91"/>
        <v>1.0499999999999943</v>
      </c>
      <c r="CW56" s="347">
        <f t="shared" ca="1" si="73"/>
        <v>52.065584415584411</v>
      </c>
      <c r="CX56" s="483">
        <v>0.20199999999999999</v>
      </c>
      <c r="CY56" s="190">
        <f t="shared" si="47"/>
        <v>4.8276661413296229E-4</v>
      </c>
      <c r="CZ56" s="190">
        <f t="shared" ca="1" si="78"/>
        <v>-0.03</v>
      </c>
      <c r="DA56" s="354">
        <f t="shared" ca="1" si="79"/>
        <v>0.17151723338586702</v>
      </c>
      <c r="DB56" s="483">
        <v>0.20199999999999999</v>
      </c>
      <c r="DC56" s="190">
        <f t="shared" si="49"/>
        <v>4.8276661413296229E-4</v>
      </c>
      <c r="DD56" s="190">
        <f t="shared" ca="1" si="82"/>
        <v>0.03</v>
      </c>
      <c r="DE56" s="354">
        <f t="shared" ca="1" si="83"/>
        <v>0.23151723338586702</v>
      </c>
      <c r="DG56" s="341"/>
      <c r="DH56" s="114">
        <v>16.38</v>
      </c>
      <c r="DI56" s="126">
        <f t="shared" ca="1" si="74"/>
        <v>-2.6995454545454542</v>
      </c>
      <c r="DJ56" s="126">
        <f t="shared" ca="1" si="22"/>
        <v>-2</v>
      </c>
      <c r="DK56" s="356">
        <f t="shared" ca="1" si="23"/>
        <v>17.079545454545453</v>
      </c>
      <c r="DL56" s="114">
        <v>13.83</v>
      </c>
      <c r="DM56" s="126">
        <f t="shared" ca="1" si="75"/>
        <v>-5.2495454545454532</v>
      </c>
      <c r="DN56" s="126">
        <f t="shared" ca="1" si="24"/>
        <v>-3</v>
      </c>
      <c r="DO56" s="356">
        <f t="shared" ca="1" si="25"/>
        <v>16.079545454545453</v>
      </c>
      <c r="DP56" s="114">
        <v>13.08</v>
      </c>
      <c r="DQ56" s="126">
        <f t="shared" ca="1" si="76"/>
        <v>-5.9995454545454532</v>
      </c>
      <c r="DR56" s="126">
        <f t="shared" ca="1" si="26"/>
        <v>-6</v>
      </c>
      <c r="DS56" s="356">
        <f t="shared" ca="1" si="27"/>
        <v>13.079545454545453</v>
      </c>
      <c r="DT56" s="114">
        <v>15.18</v>
      </c>
      <c r="DU56" s="126">
        <f t="shared" ca="1" si="77"/>
        <v>-3.8995454545454535</v>
      </c>
      <c r="DV56" s="126">
        <f t="shared" ca="1" si="28"/>
        <v>-5</v>
      </c>
      <c r="DW56" s="356">
        <f t="shared" ca="1" si="29"/>
        <v>14.079545454545453</v>
      </c>
    </row>
    <row r="57" spans="2:136" x14ac:dyDescent="0.25">
      <c r="B57" s="396">
        <v>37288</v>
      </c>
      <c r="C57" s="400">
        <v>37278</v>
      </c>
      <c r="I57" s="136">
        <f t="shared" ca="1" si="105"/>
        <v>38534</v>
      </c>
      <c r="J57" s="131">
        <f t="shared" ca="1" si="31"/>
        <v>38523</v>
      </c>
      <c r="K57" s="106">
        <f t="shared" ca="1" si="106"/>
        <v>0.66666666666666663</v>
      </c>
      <c r="L57" s="133">
        <f t="shared" ca="1" si="93"/>
        <v>105</v>
      </c>
      <c r="M57" s="134">
        <f t="shared" ca="1" si="94"/>
        <v>7</v>
      </c>
      <c r="N57" s="103">
        <f t="shared" ca="1" si="97"/>
        <v>21</v>
      </c>
      <c r="O57" s="104">
        <f t="shared" ca="1" si="33"/>
        <v>1576</v>
      </c>
      <c r="P57" s="105">
        <f t="shared" ca="1" si="95"/>
        <v>4.3258042436687196</v>
      </c>
      <c r="Q57" s="105">
        <f t="shared" ca="1" si="96"/>
        <v>4.4079397672826834</v>
      </c>
      <c r="R57" s="114">
        <v>19.085000000000001</v>
      </c>
      <c r="S57" s="198">
        <v>0</v>
      </c>
      <c r="T57" s="189">
        <f t="shared" si="34"/>
        <v>19.085000000000001</v>
      </c>
      <c r="U57" s="199">
        <f t="shared" ca="1" si="98"/>
        <v>19.065000000000001</v>
      </c>
      <c r="V57" s="379">
        <f t="shared" ca="1" si="99"/>
        <v>19.065000000000001</v>
      </c>
      <c r="W57" s="483">
        <v>0.20099480987603904</v>
      </c>
      <c r="X57" s="166" t="str">
        <f t="shared" ca="1" si="100"/>
        <v/>
      </c>
      <c r="Y57" s="91">
        <f t="shared" ca="1" si="108"/>
        <v>4.999661689958192E-3</v>
      </c>
      <c r="Z57" s="91">
        <f t="shared" ca="1" si="109"/>
        <v>2.3312700323956021E-3</v>
      </c>
      <c r="AA57" s="91">
        <f t="shared" ca="1" si="110"/>
        <v>9.6656056933391128E-4</v>
      </c>
      <c r="AB57" s="91">
        <f t="shared" ca="1" si="111"/>
        <v>2.1774676505954358E-3</v>
      </c>
      <c r="AC57" s="91">
        <f t="shared" ca="1" si="112"/>
        <v>5.2518851289809002E-3</v>
      </c>
      <c r="AD57" s="91">
        <f t="shared" ca="1" si="113"/>
        <v>1.1263237855137777E-2</v>
      </c>
      <c r="AE57" s="124">
        <v>7.2698392961177014E-2</v>
      </c>
      <c r="AF57" s="191">
        <f t="shared" ca="1" si="57"/>
        <v>0.72996150509512758</v>
      </c>
      <c r="AG57" s="189">
        <f t="shared" ca="1" si="107"/>
        <v>1</v>
      </c>
      <c r="AH57" s="192">
        <f t="shared" ca="1" si="101"/>
        <v>0</v>
      </c>
      <c r="AI57" s="192">
        <f t="shared" ca="1" si="114"/>
        <v>0</v>
      </c>
      <c r="AJ57" s="192">
        <f t="shared" ca="1" si="103"/>
        <v>0</v>
      </c>
      <c r="AK57" s="192">
        <f t="shared" ca="1" si="115"/>
        <v>0</v>
      </c>
      <c r="AL57" s="191" t="str">
        <f t="shared" ca="1" si="60"/>
        <v/>
      </c>
      <c r="AM57" s="191" t="str">
        <f t="shared" ca="1" si="61"/>
        <v/>
      </c>
      <c r="AN57" s="191" t="str">
        <f t="shared" ca="1" si="62"/>
        <v/>
      </c>
      <c r="AO57" s="193" t="str">
        <f t="shared" ca="1" si="63"/>
        <v/>
      </c>
      <c r="AP57" s="194" t="str">
        <f t="shared" ca="1" si="36"/>
        <v/>
      </c>
      <c r="AQ57" s="194" t="str">
        <f t="shared" ca="1" si="37"/>
        <v/>
      </c>
      <c r="AR57" s="195">
        <f ca="1">IF(AH57,_xll.xASN(AL57,Strike1,AE57,AP57,0,N57,0,P57,Q57,IF(OptControl=4,0,1),0),0)</f>
        <v>0</v>
      </c>
      <c r="AS57" s="196">
        <f ca="1">IF(AH57,_xll.xASN(AL57,Strike1,AE57,AP57,0,N57,0,P57,Q57,IF(OptControl=4,0,1),1),0)</f>
        <v>0</v>
      </c>
      <c r="AT57" s="196">
        <f ca="1">IF(AH57,_xll.xASN(AL57,Strike1,AE57,AP57,0,N57,0,P57,Q57,IF(OptControl=4,0,1),2),0)</f>
        <v>0</v>
      </c>
      <c r="AU57" s="196">
        <f ca="1">IF(AH57,_xll.xASN(AL57,Strike1,AE57,AP57,0,N57,0,P57,Q57,IF(OptControl=4,0,1),3)/100,0)</f>
        <v>0</v>
      </c>
      <c r="AV57" s="196">
        <f ca="1">IF(AH57,_xll.xASN(AL57,Strike1,AE57,AP57,0,N57,0,P57-DaysForThetaCalculation/365.25,Q57-DaysForThetaCalculation/365.25,IF(OptControl=4,0,1),0)-_xll.xASN(AL57,Strike1,AE57,AP57,0,N57,0,P57,Q57,IF(OptControl=4,0,1),0),0)</f>
        <v>0</v>
      </c>
      <c r="AW57" s="196">
        <f ca="1">IF(AH57,_xll.xASN(AL57,Strike2,AE57,AQ57,0,N57,0,P57,Q57,IF(OptControl=3,1,0),0),0)</f>
        <v>0</v>
      </c>
      <c r="AX57" s="196">
        <f ca="1">IF(AH57,_xll.xASN(AL57,Strike2,AE57,AQ57,0,N57,0,P57,Q57,IF(OptControl=3,1,0),1),0)</f>
        <v>0</v>
      </c>
      <c r="AY57" s="196">
        <f ca="1">IF(AH57,_xll.xASN(AL57,Strike2,AE57,AQ57,0,N57,0,P57,Q57,IF(OptControl=3,1,0),2),0)</f>
        <v>0</v>
      </c>
      <c r="AZ57" s="196">
        <f ca="1">IF(AH57,_xll.xASN(AL57,Strike2,AE57,AQ57,0,N57,0,P57,Q57,IF(OptControl=3,1,0),3)/100,0)</f>
        <v>0</v>
      </c>
      <c r="BA57" s="196">
        <f ca="1">IF(AH57,_xll.xASN(AL57,Strike2,AE57,AQ57,0,N57,0,P57-DaysForThetaCalculation/365.25,Q57-DaysForThetaCalculation/365.25,IF(OptControl=3,1,0),0)-_xll.xASN(AL57,Strike2,AE57,AQ57,0,N57,0,P57,Q57,IF(OptControl=3,1,0),0),0)</f>
        <v>0</v>
      </c>
      <c r="BB57" s="126" t="str">
        <f t="shared" ca="1" si="64"/>
        <v/>
      </c>
      <c r="BC57" s="191" t="str">
        <f t="shared" ca="1" si="65"/>
        <v/>
      </c>
      <c r="BD57" s="191" t="str">
        <f t="shared" ca="1" si="66"/>
        <v/>
      </c>
      <c r="BE57" s="190" t="str">
        <f t="shared" ca="1" si="67"/>
        <v/>
      </c>
      <c r="BF57" s="194" t="str">
        <f t="shared" ca="1" si="68"/>
        <v/>
      </c>
      <c r="BG57" s="194" t="str">
        <f t="shared" ca="1" si="69"/>
        <v/>
      </c>
      <c r="BH57" s="195">
        <f ca="1">IF(AH57,_xll.xEURO(BB57,Strike1,AE57,AE57,BF57,O57,IF(OptControl=4,0,1),0),0)</f>
        <v>0</v>
      </c>
      <c r="BI57" s="196">
        <f ca="1">IF(AH57,_xll.xEURO(BB57,Strike1,AE57,AE57,BF57,O57,IF(OptControl=4,0,1),1),0)</f>
        <v>0</v>
      </c>
      <c r="BJ57" s="196">
        <f ca="1">IF(AH57,_xll.xEURO(BB57,Strike1,AE57,AE57,BF57,O57,IF(OptControl=4,0,1),2),0)</f>
        <v>0</v>
      </c>
      <c r="BK57" s="196">
        <f ca="1">IF(AH57,_xll.xEURO(BB57,Strike1,AE57,AE57,BF57,O57,IF(OptControl=4,0,1),3)/100,0)</f>
        <v>0</v>
      </c>
      <c r="BL57" s="196">
        <f ca="1">IF(AH57,_xll.xEURO(BB57,Strike1,AE57,AE57,BF57,O57-DaysForThetaCalculation,IF(OptControl=4,0,1),0)-_xll.xEURO(BB57,Strike1,AE57,AE57,BF57,O57,IF(OptControl=4,0,1),0),0)</f>
        <v>0</v>
      </c>
      <c r="BM57" s="196">
        <f ca="1">IF(AH57,_xll.xEURO(BB57,Strike2,AE57,AE57,BG57,O57,IF(OptControl=3,1,0),0),0)</f>
        <v>0</v>
      </c>
      <c r="BN57" s="196">
        <f ca="1">IF(AH57,_xll.xEURO(BB57,Strike2,AE57,AE57,BG57,O57,IF(OptControl=3,1,0),1),0)</f>
        <v>0</v>
      </c>
      <c r="BO57" s="196">
        <f ca="1">IF(AH57,_xll.xEURO(BB57,Strike2,AE57,AE57,BG57,O57,IF(OptControl=3,1,0),2),0)</f>
        <v>0</v>
      </c>
      <c r="BP57" s="196">
        <f ca="1">IF(AH57,_xll.xEURO(BB57,Strike2,AE57,AE57,BG57,O57,IF(OptControl=3,1,0),3)/100,0)</f>
        <v>0</v>
      </c>
      <c r="BQ57" s="197">
        <f ca="1">IF(AH57,_xll.xEURO(BB57,Strike2,AE57,AE57,BG57,O57-DaysForThetaCalculation,IF(OptControl=3,1,0),0)-_xll.xEURO(BB57,Strike2,AE57,AE57,BG57,O57,IF(OptControl=3,1,0),0),0)</f>
        <v>0</v>
      </c>
      <c r="BR57" s="301"/>
      <c r="BS57" s="114">
        <v>26.372000000000003</v>
      </c>
      <c r="BT57" s="345">
        <f t="shared" si="11"/>
        <v>62.790476190476198</v>
      </c>
      <c r="BU57" s="345">
        <f t="shared" ca="1" si="84"/>
        <v>6.7609999999999992</v>
      </c>
      <c r="BV57" s="73"/>
      <c r="BW57" s="345">
        <f t="shared" ca="1" si="80"/>
        <v>7.1333636363636472</v>
      </c>
      <c r="BX57" s="345">
        <f t="shared" ca="1" si="85"/>
        <v>63.698124098124104</v>
      </c>
      <c r="BY57" s="373">
        <f t="shared" ca="1" si="41"/>
        <v>62.377056277056305</v>
      </c>
      <c r="BZ57" s="114">
        <v>23.936</v>
      </c>
      <c r="CA57" s="345">
        <f t="shared" si="12"/>
        <v>56.990476190476187</v>
      </c>
      <c r="CB57" s="345">
        <f t="shared" ca="1" si="86"/>
        <v>4.8709999999999987</v>
      </c>
      <c r="CC57" s="345">
        <f t="shared" ca="1" si="81"/>
        <v>4.7183636363636445</v>
      </c>
      <c r="CD57" s="345">
        <f t="shared" ca="1" si="15"/>
        <v>56.627056277056305</v>
      </c>
      <c r="CE57" s="347">
        <f t="shared" ca="1" si="70"/>
        <v>-5.75</v>
      </c>
      <c r="CF57" s="114">
        <v>21.134</v>
      </c>
      <c r="CG57" s="345">
        <f t="shared" si="16"/>
        <v>50.319047619047623</v>
      </c>
      <c r="CH57" s="345">
        <f t="shared" ca="1" si="42"/>
        <v>2.379999999999999</v>
      </c>
      <c r="CI57" s="73"/>
      <c r="CJ57" s="345">
        <f t="shared" ca="1" si="89"/>
        <v>2.6860434782608746</v>
      </c>
      <c r="CK57" s="345">
        <f t="shared" ca="1" si="90"/>
        <v>51.015584415584414</v>
      </c>
      <c r="CL57" s="345">
        <f t="shared" ca="1" si="45"/>
        <v>51.788198757763993</v>
      </c>
      <c r="CM57" s="114">
        <v>20.521000000000001</v>
      </c>
      <c r="CN57" s="345">
        <f t="shared" si="17"/>
        <v>48.859523809523807</v>
      </c>
      <c r="CO57" s="345">
        <f t="shared" ca="1" si="46"/>
        <v>1.4559999999999995</v>
      </c>
      <c r="CP57" s="345">
        <f t="shared" ca="1" si="92"/>
        <v>1.7620434782608716</v>
      </c>
      <c r="CQ57" s="345">
        <f t="shared" ca="1" si="19"/>
        <v>49.588198757763976</v>
      </c>
      <c r="CR57" s="347">
        <f t="shared" ca="1" si="71"/>
        <v>-2.2000000000000171</v>
      </c>
      <c r="CS57" s="114">
        <v>21.570999999999998</v>
      </c>
      <c r="CT57" s="345">
        <f t="shared" si="20"/>
        <v>51.359523809523807</v>
      </c>
      <c r="CU57" s="345">
        <f t="shared" si="72"/>
        <v>0.29999999999999716</v>
      </c>
      <c r="CV57" s="345">
        <f t="shared" ca="1" si="91"/>
        <v>1.0499999999999943</v>
      </c>
      <c r="CW57" s="347">
        <f t="shared" ca="1" si="73"/>
        <v>52.83819875776399</v>
      </c>
      <c r="CX57" s="483">
        <v>0.20100000000000001</v>
      </c>
      <c r="CY57" s="190">
        <f t="shared" si="47"/>
        <v>5.1901239609686289E-6</v>
      </c>
      <c r="CZ57" s="190">
        <f t="shared" ca="1" si="78"/>
        <v>-0.03</v>
      </c>
      <c r="DA57" s="354">
        <f t="shared" ca="1" si="79"/>
        <v>0.17099480987603904</v>
      </c>
      <c r="DB57" s="483">
        <v>0.20100000000000001</v>
      </c>
      <c r="DC57" s="190">
        <f t="shared" si="49"/>
        <v>5.1901239609686289E-6</v>
      </c>
      <c r="DD57" s="190">
        <f t="shared" ca="1" si="82"/>
        <v>0.03</v>
      </c>
      <c r="DE57" s="354">
        <f t="shared" ca="1" si="83"/>
        <v>0.23099480987603904</v>
      </c>
      <c r="DG57" s="341"/>
      <c r="DH57" s="114">
        <v>16.364999999999998</v>
      </c>
      <c r="DI57" s="126">
        <f t="shared" ca="1" si="74"/>
        <v>-2.7000000000000028</v>
      </c>
      <c r="DJ57" s="126">
        <f t="shared" ca="1" si="22"/>
        <v>-2</v>
      </c>
      <c r="DK57" s="356">
        <f t="shared" ca="1" si="23"/>
        <v>17.065000000000001</v>
      </c>
      <c r="DL57" s="114">
        <v>13.815</v>
      </c>
      <c r="DM57" s="126">
        <f t="shared" ca="1" si="75"/>
        <v>-5.2500000000000018</v>
      </c>
      <c r="DN57" s="126">
        <f t="shared" ca="1" si="24"/>
        <v>-3</v>
      </c>
      <c r="DO57" s="356">
        <f t="shared" ca="1" si="25"/>
        <v>16.065000000000001</v>
      </c>
      <c r="DP57" s="114">
        <v>13.065</v>
      </c>
      <c r="DQ57" s="126">
        <f t="shared" ca="1" si="76"/>
        <v>-6.0000000000000018</v>
      </c>
      <c r="DR57" s="126">
        <f t="shared" ca="1" si="26"/>
        <v>-6</v>
      </c>
      <c r="DS57" s="356">
        <f t="shared" ca="1" si="27"/>
        <v>13.065000000000001</v>
      </c>
      <c r="DT57" s="114">
        <v>15.315</v>
      </c>
      <c r="DU57" s="126">
        <f t="shared" ca="1" si="77"/>
        <v>-3.7500000000000018</v>
      </c>
      <c r="DV57" s="126">
        <f t="shared" ca="1" si="28"/>
        <v>-5</v>
      </c>
      <c r="DW57" s="356">
        <f t="shared" ca="1" si="29"/>
        <v>14.065000000000001</v>
      </c>
    </row>
    <row r="58" spans="2:136" x14ac:dyDescent="0.25">
      <c r="B58" s="396">
        <v>37316</v>
      </c>
      <c r="C58" s="400">
        <v>37307</v>
      </c>
      <c r="I58" s="136">
        <f t="shared" ca="1" si="105"/>
        <v>38565</v>
      </c>
      <c r="J58" s="131">
        <f t="shared" ca="1" si="31"/>
        <v>38553</v>
      </c>
      <c r="K58" s="106">
        <f t="shared" ca="1" si="106"/>
        <v>0.65217391304347827</v>
      </c>
      <c r="L58" s="133">
        <f t="shared" ca="1" si="93"/>
        <v>105</v>
      </c>
      <c r="M58" s="134">
        <f t="shared" ca="1" si="94"/>
        <v>8</v>
      </c>
      <c r="N58" s="103">
        <f t="shared" ca="1" si="97"/>
        <v>23</v>
      </c>
      <c r="O58" s="104">
        <f t="shared" ca="1" si="33"/>
        <v>1605</v>
      </c>
      <c r="P58" s="105">
        <f t="shared" ca="1" si="95"/>
        <v>4.4106776180698155</v>
      </c>
      <c r="Q58" s="105">
        <f t="shared" ca="1" si="96"/>
        <v>4.4928131416837784</v>
      </c>
      <c r="R58" s="114">
        <v>19.07</v>
      </c>
      <c r="S58" s="198">
        <v>0</v>
      </c>
      <c r="T58" s="189">
        <f t="shared" si="34"/>
        <v>19.07</v>
      </c>
      <c r="U58" s="199">
        <f t="shared" ca="1" si="98"/>
        <v>19.049782608695651</v>
      </c>
      <c r="V58" s="379">
        <f t="shared" ca="1" si="99"/>
        <v>19.049782608695651</v>
      </c>
      <c r="W58" s="483">
        <v>0.20068618021618501</v>
      </c>
      <c r="X58" s="166" t="str">
        <f t="shared" ca="1" si="100"/>
        <v/>
      </c>
      <c r="Y58" s="91">
        <f t="shared" ca="1" si="108"/>
        <v>4.8926265372980192E-3</v>
      </c>
      <c r="Z58" s="91">
        <f t="shared" ca="1" si="109"/>
        <v>2.269146560937697E-3</v>
      </c>
      <c r="AA58" s="91">
        <f t="shared" ca="1" si="110"/>
        <v>9.3828089705828746E-4</v>
      </c>
      <c r="AB58" s="91">
        <f t="shared" ca="1" si="111"/>
        <v>2.1137592048929106E-3</v>
      </c>
      <c r="AC58" s="91">
        <f t="shared" ca="1" si="112"/>
        <v>5.1119333724805325E-3</v>
      </c>
      <c r="AD58" s="91">
        <f t="shared" ca="1" si="113"/>
        <v>1.1022109063224945E-2</v>
      </c>
      <c r="AE58" s="124">
        <v>7.2744246453815026E-2</v>
      </c>
      <c r="AF58" s="191">
        <f t="shared" ca="1" si="57"/>
        <v>0.72540662047602911</v>
      </c>
      <c r="AG58" s="189">
        <f t="shared" ca="1" si="107"/>
        <v>1</v>
      </c>
      <c r="AH58" s="192">
        <f t="shared" ca="1" si="101"/>
        <v>0</v>
      </c>
      <c r="AI58" s="192">
        <f t="shared" ca="1" si="114"/>
        <v>0</v>
      </c>
      <c r="AJ58" s="192">
        <f t="shared" ca="1" si="103"/>
        <v>0</v>
      </c>
      <c r="AK58" s="192">
        <f t="shared" ca="1" si="115"/>
        <v>0</v>
      </c>
      <c r="AL58" s="191" t="str">
        <f t="shared" ca="1" si="60"/>
        <v/>
      </c>
      <c r="AM58" s="191" t="str">
        <f t="shared" ca="1" si="61"/>
        <v/>
      </c>
      <c r="AN58" s="191" t="str">
        <f t="shared" ca="1" si="62"/>
        <v/>
      </c>
      <c r="AO58" s="193" t="str">
        <f t="shared" ca="1" si="63"/>
        <v/>
      </c>
      <c r="AP58" s="194" t="str">
        <f t="shared" ca="1" si="36"/>
        <v/>
      </c>
      <c r="AQ58" s="194" t="str">
        <f t="shared" ca="1" si="37"/>
        <v/>
      </c>
      <c r="AR58" s="195">
        <f ca="1">IF(AH58,_xll.xASN(AL58,Strike1,AE58,AP58,0,N58,0,P58,Q58,IF(OptControl=4,0,1),0),0)</f>
        <v>0</v>
      </c>
      <c r="AS58" s="196">
        <f ca="1">IF(AH58,_xll.xASN(AL58,Strike1,AE58,AP58,0,N58,0,P58,Q58,IF(OptControl=4,0,1),1),0)</f>
        <v>0</v>
      </c>
      <c r="AT58" s="196">
        <f ca="1">IF(AH58,_xll.xASN(AL58,Strike1,AE58,AP58,0,N58,0,P58,Q58,IF(OptControl=4,0,1),2),0)</f>
        <v>0</v>
      </c>
      <c r="AU58" s="196">
        <f ca="1">IF(AH58,_xll.xASN(AL58,Strike1,AE58,AP58,0,N58,0,P58,Q58,IF(OptControl=4,0,1),3)/100,0)</f>
        <v>0</v>
      </c>
      <c r="AV58" s="196">
        <f ca="1">IF(AH58,_xll.xASN(AL58,Strike1,AE58,AP58,0,N58,0,P58-DaysForThetaCalculation/365.25,Q58-DaysForThetaCalculation/365.25,IF(OptControl=4,0,1),0)-_xll.xASN(AL58,Strike1,AE58,AP58,0,N58,0,P58,Q58,IF(OptControl=4,0,1),0),0)</f>
        <v>0</v>
      </c>
      <c r="AW58" s="196">
        <f ca="1">IF(AH58,_xll.xASN(AL58,Strike2,AE58,AQ58,0,N58,0,P58,Q58,IF(OptControl=3,1,0),0),0)</f>
        <v>0</v>
      </c>
      <c r="AX58" s="196">
        <f ca="1">IF(AH58,_xll.xASN(AL58,Strike2,AE58,AQ58,0,N58,0,P58,Q58,IF(OptControl=3,1,0),1),0)</f>
        <v>0</v>
      </c>
      <c r="AY58" s="196">
        <f ca="1">IF(AH58,_xll.xASN(AL58,Strike2,AE58,AQ58,0,N58,0,P58,Q58,IF(OptControl=3,1,0),2),0)</f>
        <v>0</v>
      </c>
      <c r="AZ58" s="196">
        <f ca="1">IF(AH58,_xll.xASN(AL58,Strike2,AE58,AQ58,0,N58,0,P58,Q58,IF(OptControl=3,1,0),3)/100,0)</f>
        <v>0</v>
      </c>
      <c r="BA58" s="196">
        <f ca="1">IF(AH58,_xll.xASN(AL58,Strike2,AE58,AQ58,0,N58,0,P58-DaysForThetaCalculation/365.25,Q58-DaysForThetaCalculation/365.25,IF(OptControl=3,1,0),0)-_xll.xASN(AL58,Strike2,AE58,AQ58,0,N58,0,P58,Q58,IF(OptControl=3,1,0),0),0)</f>
        <v>0</v>
      </c>
      <c r="BB58" s="126" t="str">
        <f t="shared" ca="1" si="64"/>
        <v/>
      </c>
      <c r="BC58" s="191" t="str">
        <f t="shared" ca="1" si="65"/>
        <v/>
      </c>
      <c r="BD58" s="191" t="str">
        <f t="shared" ca="1" si="66"/>
        <v/>
      </c>
      <c r="BE58" s="190" t="str">
        <f t="shared" ca="1" si="67"/>
        <v/>
      </c>
      <c r="BF58" s="194" t="str">
        <f t="shared" ca="1" si="68"/>
        <v/>
      </c>
      <c r="BG58" s="194" t="str">
        <f t="shared" ca="1" si="69"/>
        <v/>
      </c>
      <c r="BH58" s="195">
        <f ca="1">IF(AH58,_xll.xEURO(BB58,Strike1,AE58,AE58,BF58,O58,IF(OptControl=4,0,1),0),0)</f>
        <v>0</v>
      </c>
      <c r="BI58" s="196">
        <f ca="1">IF(AH58,_xll.xEURO(BB58,Strike1,AE58,AE58,BF58,O58,IF(OptControl=4,0,1),1),0)</f>
        <v>0</v>
      </c>
      <c r="BJ58" s="196">
        <f ca="1">IF(AH58,_xll.xEURO(BB58,Strike1,AE58,AE58,BF58,O58,IF(OptControl=4,0,1),2),0)</f>
        <v>0</v>
      </c>
      <c r="BK58" s="196">
        <f ca="1">IF(AH58,_xll.xEURO(BB58,Strike1,AE58,AE58,BF58,O58,IF(OptControl=4,0,1),3)/100,0)</f>
        <v>0</v>
      </c>
      <c r="BL58" s="196">
        <f ca="1">IF(AH58,_xll.xEURO(BB58,Strike1,AE58,AE58,BF58,O58-DaysForThetaCalculation,IF(OptControl=4,0,1),0)-_xll.xEURO(BB58,Strike1,AE58,AE58,BF58,O58,IF(OptControl=4,0,1),0),0)</f>
        <v>0</v>
      </c>
      <c r="BM58" s="196">
        <f ca="1">IF(AH58,_xll.xEURO(BB58,Strike2,AE58,AE58,BG58,O58,IF(OptControl=3,1,0),0),0)</f>
        <v>0</v>
      </c>
      <c r="BN58" s="196">
        <f ca="1">IF(AH58,_xll.xEURO(BB58,Strike2,AE58,AE58,BG58,O58,IF(OptControl=3,1,0),1),0)</f>
        <v>0</v>
      </c>
      <c r="BO58" s="196">
        <f ca="1">IF(AH58,_xll.xEURO(BB58,Strike2,AE58,AE58,BG58,O58,IF(OptControl=3,1,0),2),0)</f>
        <v>0</v>
      </c>
      <c r="BP58" s="196">
        <f ca="1">IF(AH58,_xll.xEURO(BB58,Strike2,AE58,AE58,BG58,O58,IF(OptControl=3,1,0),3)/100,0)</f>
        <v>0</v>
      </c>
      <c r="BQ58" s="197">
        <f ca="1">IF(AH58,_xll.xEURO(BB58,Strike2,AE58,AE58,BG58,O58-DaysForThetaCalculation,IF(OptControl=3,1,0),0)-_xll.xEURO(BB58,Strike2,AE58,AE58,BG58,O58,IF(OptControl=3,1,0),0),0)</f>
        <v>0</v>
      </c>
      <c r="BR58" s="301"/>
      <c r="BS58" s="114">
        <v>25.826000000000001</v>
      </c>
      <c r="BT58" s="345">
        <f t="shared" si="11"/>
        <v>61.490476190476187</v>
      </c>
      <c r="BU58" s="345">
        <f t="shared" ca="1" si="84"/>
        <v>6.2092173913043496</v>
      </c>
      <c r="BV58" s="73"/>
      <c r="BW58" s="345">
        <f t="shared" ca="1" si="80"/>
        <v>6.6318695652173894</v>
      </c>
      <c r="BX58" s="345">
        <f t="shared" ca="1" si="85"/>
        <v>62.377056277056305</v>
      </c>
      <c r="BY58" s="373">
        <f t="shared" ca="1" si="41"/>
        <v>61.146790890269145</v>
      </c>
      <c r="BZ58" s="114">
        <v>23.369</v>
      </c>
      <c r="CA58" s="345">
        <f t="shared" si="12"/>
        <v>55.640476190476193</v>
      </c>
      <c r="CB58" s="345">
        <f t="shared" ca="1" si="86"/>
        <v>4.319217391304349</v>
      </c>
      <c r="CC58" s="345">
        <f t="shared" ca="1" si="81"/>
        <v>4.2168695652173893</v>
      </c>
      <c r="CD58" s="345">
        <f t="shared" ca="1" si="15"/>
        <v>55.396790890269145</v>
      </c>
      <c r="CE58" s="347">
        <f t="shared" ca="1" si="70"/>
        <v>-5.75</v>
      </c>
      <c r="CF58" s="114">
        <v>21.445</v>
      </c>
      <c r="CG58" s="345">
        <f t="shared" si="16"/>
        <v>51.05952380952381</v>
      </c>
      <c r="CH58" s="345">
        <f t="shared" ca="1" si="42"/>
        <v>2.7982173913043518</v>
      </c>
      <c r="CI58" s="73"/>
      <c r="CJ58" s="345">
        <f t="shared" ca="1" si="89"/>
        <v>3.0934545454545455</v>
      </c>
      <c r="CK58" s="345">
        <f t="shared" ca="1" si="90"/>
        <v>51.788198757763993</v>
      </c>
      <c r="CL58" s="345">
        <f t="shared" ca="1" si="45"/>
        <v>52.721993224167136</v>
      </c>
      <c r="CM58" s="114">
        <v>20.924000000000003</v>
      </c>
      <c r="CN58" s="345">
        <f t="shared" si="17"/>
        <v>49.819047619047623</v>
      </c>
      <c r="CO58" s="345">
        <f t="shared" ca="1" si="46"/>
        <v>1.8742173913043523</v>
      </c>
      <c r="CP58" s="345">
        <f t="shared" ca="1" si="92"/>
        <v>2.169454545454546</v>
      </c>
      <c r="CQ58" s="345">
        <f t="shared" ca="1" si="19"/>
        <v>50.521993224167133</v>
      </c>
      <c r="CR58" s="347">
        <f t="shared" ca="1" si="71"/>
        <v>-2.2000000000000028</v>
      </c>
      <c r="CS58" s="114">
        <v>21.974</v>
      </c>
      <c r="CT58" s="345">
        <f t="shared" si="20"/>
        <v>52.319047619047623</v>
      </c>
      <c r="CU58" s="345">
        <f t="shared" si="72"/>
        <v>0.29999999999999716</v>
      </c>
      <c r="CV58" s="345">
        <f t="shared" ca="1" si="91"/>
        <v>1.0499999999999943</v>
      </c>
      <c r="CW58" s="347">
        <f t="shared" ca="1" si="73"/>
        <v>53.771993224167133</v>
      </c>
      <c r="CX58" s="483">
        <v>0.20100000000000001</v>
      </c>
      <c r="CY58" s="190">
        <f t="shared" si="47"/>
        <v>3.1381978381500586E-4</v>
      </c>
      <c r="CZ58" s="190">
        <f t="shared" ca="1" si="78"/>
        <v>-0.03</v>
      </c>
      <c r="DA58" s="354">
        <f t="shared" ca="1" si="79"/>
        <v>0.17068618021618501</v>
      </c>
      <c r="DB58" s="483">
        <v>0.20100000000000001</v>
      </c>
      <c r="DC58" s="190">
        <f t="shared" si="49"/>
        <v>3.1381978381500586E-4</v>
      </c>
      <c r="DD58" s="190">
        <f t="shared" ca="1" si="82"/>
        <v>0.03</v>
      </c>
      <c r="DE58" s="354">
        <f t="shared" ca="1" si="83"/>
        <v>0.23068618021618501</v>
      </c>
      <c r="DG58" s="341"/>
      <c r="DH58" s="114">
        <v>16.350000000000001</v>
      </c>
      <c r="DI58" s="126">
        <f t="shared" ca="1" si="74"/>
        <v>-2.6997826086956493</v>
      </c>
      <c r="DJ58" s="126">
        <f t="shared" ca="1" si="22"/>
        <v>-2</v>
      </c>
      <c r="DK58" s="356">
        <f t="shared" ca="1" si="23"/>
        <v>17.049782608695651</v>
      </c>
      <c r="DL58" s="114">
        <v>13.8</v>
      </c>
      <c r="DM58" s="126">
        <f t="shared" ca="1" si="75"/>
        <v>-5.2497826086956501</v>
      </c>
      <c r="DN58" s="126">
        <f t="shared" ca="1" si="24"/>
        <v>-3</v>
      </c>
      <c r="DO58" s="356">
        <f t="shared" ca="1" si="25"/>
        <v>16.049782608695651</v>
      </c>
      <c r="DP58" s="114">
        <v>13.05</v>
      </c>
      <c r="DQ58" s="126">
        <f t="shared" ca="1" si="76"/>
        <v>-5.9997826086956501</v>
      </c>
      <c r="DR58" s="126">
        <f t="shared" ca="1" si="26"/>
        <v>-6</v>
      </c>
      <c r="DS58" s="356">
        <f t="shared" ca="1" si="27"/>
        <v>13.049782608695651</v>
      </c>
      <c r="DT58" s="114">
        <v>15.3</v>
      </c>
      <c r="DU58" s="126">
        <f t="shared" ca="1" si="77"/>
        <v>-3.7497826086956501</v>
      </c>
      <c r="DV58" s="126">
        <f t="shared" ca="1" si="28"/>
        <v>-5</v>
      </c>
      <c r="DW58" s="356">
        <f t="shared" ca="1" si="29"/>
        <v>14.049782608695651</v>
      </c>
    </row>
    <row r="59" spans="2:136" x14ac:dyDescent="0.25">
      <c r="B59" s="396">
        <v>37347</v>
      </c>
      <c r="C59" s="400">
        <v>37335</v>
      </c>
      <c r="I59" s="136">
        <f t="shared" ca="1" si="105"/>
        <v>38596</v>
      </c>
      <c r="J59" s="131">
        <f t="shared" ca="1" si="31"/>
        <v>38585</v>
      </c>
      <c r="K59" s="106">
        <f t="shared" ca="1" si="106"/>
        <v>0.63636363636363635</v>
      </c>
      <c r="L59" s="133">
        <f t="shared" ca="1" si="93"/>
        <v>105</v>
      </c>
      <c r="M59" s="134">
        <f t="shared" ca="1" si="94"/>
        <v>9</v>
      </c>
      <c r="N59" s="103">
        <f t="shared" ca="1" si="97"/>
        <v>22</v>
      </c>
      <c r="O59" s="104">
        <f t="shared" ca="1" si="33"/>
        <v>1636</v>
      </c>
      <c r="P59" s="105">
        <f t="shared" ca="1" si="95"/>
        <v>4.4955509924709105</v>
      </c>
      <c r="Q59" s="105">
        <f t="shared" ca="1" si="96"/>
        <v>4.5749486652977414</v>
      </c>
      <c r="R59" s="114">
        <v>19.055</v>
      </c>
      <c r="S59" s="198">
        <v>0</v>
      </c>
      <c r="T59" s="189">
        <f t="shared" si="34"/>
        <v>19.055</v>
      </c>
      <c r="U59" s="199">
        <f t="shared" ca="1" si="98"/>
        <v>19.034545454545452</v>
      </c>
      <c r="V59" s="379">
        <f t="shared" ca="1" si="99"/>
        <v>19.034545454545452</v>
      </c>
      <c r="W59" s="483">
        <v>0.19990390591560503</v>
      </c>
      <c r="X59" s="166" t="str">
        <f t="shared" ca="1" si="100"/>
        <v/>
      </c>
      <c r="Y59" s="91">
        <f t="shared" ca="1" si="108"/>
        <v>4.7878828444636182E-3</v>
      </c>
      <c r="Z59" s="91">
        <f t="shared" ca="1" si="109"/>
        <v>2.2086785500881087E-3</v>
      </c>
      <c r="AA59" s="91">
        <f t="shared" ca="1" si="110"/>
        <v>9.1082863269623885E-4</v>
      </c>
      <c r="AB59" s="91">
        <f t="shared" ca="1" si="111"/>
        <v>2.0519147437380878E-3</v>
      </c>
      <c r="AC59" s="91">
        <f t="shared" ca="1" si="112"/>
        <v>4.9757110376385813E-3</v>
      </c>
      <c r="AD59" s="91">
        <f t="shared" ca="1" si="113"/>
        <v>1.078614247200761E-2</v>
      </c>
      <c r="AE59" s="124">
        <v>7.2790099947146997E-2</v>
      </c>
      <c r="AF59" s="191">
        <f t="shared" ca="1" si="57"/>
        <v>0.72101587028517877</v>
      </c>
      <c r="AG59" s="189">
        <f t="shared" ca="1" si="107"/>
        <v>1</v>
      </c>
      <c r="AH59" s="192">
        <f t="shared" ca="1" si="101"/>
        <v>0</v>
      </c>
      <c r="AI59" s="192">
        <f t="shared" ca="1" si="114"/>
        <v>0</v>
      </c>
      <c r="AJ59" s="192">
        <f t="shared" ca="1" si="103"/>
        <v>0</v>
      </c>
      <c r="AK59" s="192">
        <f t="shared" ca="1" si="115"/>
        <v>0</v>
      </c>
      <c r="AL59" s="191" t="str">
        <f t="shared" ca="1" si="60"/>
        <v/>
      </c>
      <c r="AM59" s="191" t="str">
        <f t="shared" ca="1" si="61"/>
        <v/>
      </c>
      <c r="AN59" s="191" t="str">
        <f t="shared" ca="1" si="62"/>
        <v/>
      </c>
      <c r="AO59" s="193" t="str">
        <f t="shared" ca="1" si="63"/>
        <v/>
      </c>
      <c r="AP59" s="194" t="str">
        <f t="shared" ca="1" si="36"/>
        <v/>
      </c>
      <c r="AQ59" s="194" t="str">
        <f t="shared" ca="1" si="37"/>
        <v/>
      </c>
      <c r="AR59" s="195">
        <f ca="1">IF(AH59,_xll.xASN(AL59,Strike1,AE59,AP59,0,N59,0,P59,Q59,IF(OptControl=4,0,1),0),0)</f>
        <v>0</v>
      </c>
      <c r="AS59" s="196">
        <f ca="1">IF(AH59,_xll.xASN(AL59,Strike1,AE59,AP59,0,N59,0,P59,Q59,IF(OptControl=4,0,1),1),0)</f>
        <v>0</v>
      </c>
      <c r="AT59" s="196">
        <f ca="1">IF(AH59,_xll.xASN(AL59,Strike1,AE59,AP59,0,N59,0,P59,Q59,IF(OptControl=4,0,1),2),0)</f>
        <v>0</v>
      </c>
      <c r="AU59" s="196">
        <f ca="1">IF(AH59,_xll.xASN(AL59,Strike1,AE59,AP59,0,N59,0,P59,Q59,IF(OptControl=4,0,1),3)/100,0)</f>
        <v>0</v>
      </c>
      <c r="AV59" s="196">
        <f ca="1">IF(AH59,_xll.xASN(AL59,Strike1,AE59,AP59,0,N59,0,P59-DaysForThetaCalculation/365.25,Q59-DaysForThetaCalculation/365.25,IF(OptControl=4,0,1),0)-_xll.xASN(AL59,Strike1,AE59,AP59,0,N59,0,P59,Q59,IF(OptControl=4,0,1),0),0)</f>
        <v>0</v>
      </c>
      <c r="AW59" s="196">
        <f ca="1">IF(AH59,_xll.xASN(AL59,Strike2,AE59,AQ59,0,N59,0,P59,Q59,IF(OptControl=3,1,0),0),0)</f>
        <v>0</v>
      </c>
      <c r="AX59" s="196">
        <f ca="1">IF(AH59,_xll.xASN(AL59,Strike2,AE59,AQ59,0,N59,0,P59,Q59,IF(OptControl=3,1,0),1),0)</f>
        <v>0</v>
      </c>
      <c r="AY59" s="196">
        <f ca="1">IF(AH59,_xll.xASN(AL59,Strike2,AE59,AQ59,0,N59,0,P59,Q59,IF(OptControl=3,1,0),2),0)</f>
        <v>0</v>
      </c>
      <c r="AZ59" s="196">
        <f ca="1">IF(AH59,_xll.xASN(AL59,Strike2,AE59,AQ59,0,N59,0,P59,Q59,IF(OptControl=3,1,0),3)/100,0)</f>
        <v>0</v>
      </c>
      <c r="BA59" s="196">
        <f ca="1">IF(AH59,_xll.xASN(AL59,Strike2,AE59,AQ59,0,N59,0,P59-DaysForThetaCalculation/365.25,Q59-DaysForThetaCalculation/365.25,IF(OptControl=3,1,0),0)-_xll.xASN(AL59,Strike2,AE59,AQ59,0,N59,0,P59,Q59,IF(OptControl=3,1,0),0),0)</f>
        <v>0</v>
      </c>
      <c r="BB59" s="126" t="str">
        <f t="shared" ca="1" si="64"/>
        <v/>
      </c>
      <c r="BC59" s="191" t="str">
        <f t="shared" ca="1" si="65"/>
        <v/>
      </c>
      <c r="BD59" s="191" t="str">
        <f t="shared" ca="1" si="66"/>
        <v/>
      </c>
      <c r="BE59" s="190" t="str">
        <f t="shared" ca="1" si="67"/>
        <v/>
      </c>
      <c r="BF59" s="194" t="str">
        <f t="shared" ca="1" si="68"/>
        <v/>
      </c>
      <c r="BG59" s="194" t="str">
        <f t="shared" ca="1" si="69"/>
        <v/>
      </c>
      <c r="BH59" s="195">
        <f ca="1">IF(AH59,_xll.xEURO(BB59,Strike1,AE59,AE59,BF59,O59,IF(OptControl=4,0,1),0),0)</f>
        <v>0</v>
      </c>
      <c r="BI59" s="196">
        <f ca="1">IF(AH59,_xll.xEURO(BB59,Strike1,AE59,AE59,BF59,O59,IF(OptControl=4,0,1),1),0)</f>
        <v>0</v>
      </c>
      <c r="BJ59" s="196">
        <f ca="1">IF(AH59,_xll.xEURO(BB59,Strike1,AE59,AE59,BF59,O59,IF(OptControl=4,0,1),2),0)</f>
        <v>0</v>
      </c>
      <c r="BK59" s="196">
        <f ca="1">IF(AH59,_xll.xEURO(BB59,Strike1,AE59,AE59,BF59,O59,IF(OptControl=4,0,1),3)/100,0)</f>
        <v>0</v>
      </c>
      <c r="BL59" s="196">
        <f ca="1">IF(AH59,_xll.xEURO(BB59,Strike1,AE59,AE59,BF59,O59-DaysForThetaCalculation,IF(OptControl=4,0,1),0)-_xll.xEURO(BB59,Strike1,AE59,AE59,BF59,O59,IF(OptControl=4,0,1),0),0)</f>
        <v>0</v>
      </c>
      <c r="BM59" s="196">
        <f ca="1">IF(AH59,_xll.xEURO(BB59,Strike2,AE59,AE59,BG59,O59,IF(OptControl=3,1,0),0),0)</f>
        <v>0</v>
      </c>
      <c r="BN59" s="196">
        <f ca="1">IF(AH59,_xll.xEURO(BB59,Strike2,AE59,AE59,BG59,O59,IF(OptControl=3,1,0),1),0)</f>
        <v>0</v>
      </c>
      <c r="BO59" s="196">
        <f ca="1">IF(AH59,_xll.xEURO(BB59,Strike2,AE59,AE59,BG59,O59,IF(OptControl=3,1,0),2),0)</f>
        <v>0</v>
      </c>
      <c r="BP59" s="196">
        <f ca="1">IF(AH59,_xll.xEURO(BB59,Strike2,AE59,AE59,BG59,O59,IF(OptControl=3,1,0),3)/100,0)</f>
        <v>0</v>
      </c>
      <c r="BQ59" s="197">
        <f ca="1">IF(AH59,_xll.xEURO(BB59,Strike2,AE59,AE59,BG59,O59-DaysForThetaCalculation,IF(OptControl=3,1,0),0)-_xll.xEURO(BB59,Strike2,AE59,AE59,BG59,O59,IF(OptControl=3,1,0),0),0)</f>
        <v>0</v>
      </c>
      <c r="BR59" s="301"/>
      <c r="BS59" s="114">
        <v>25.259</v>
      </c>
      <c r="BT59" s="345">
        <f t="shared" si="11"/>
        <v>60.140476190476193</v>
      </c>
      <c r="BU59" s="345">
        <f t="shared" ca="1" si="84"/>
        <v>5.1654545454545477</v>
      </c>
      <c r="BV59" s="73"/>
      <c r="BW59" s="345">
        <f t="shared" ca="1" si="80"/>
        <v>5.549000000000003</v>
      </c>
      <c r="BX59" s="345">
        <f t="shared" ca="1" si="85"/>
        <v>61.146790890269145</v>
      </c>
      <c r="BY59" s="373">
        <f t="shared" ca="1" si="41"/>
        <v>58.532251082251086</v>
      </c>
      <c r="BZ59" s="114">
        <v>22.31</v>
      </c>
      <c r="CA59" s="345">
        <f t="shared" si="12"/>
        <v>53.11904761904762</v>
      </c>
      <c r="CB59" s="345">
        <f t="shared" ca="1" si="86"/>
        <v>3.2754545454545472</v>
      </c>
      <c r="CC59" s="345">
        <f t="shared" ca="1" si="81"/>
        <v>3.1340000000000021</v>
      </c>
      <c r="CD59" s="345">
        <f t="shared" ca="1" si="15"/>
        <v>52.782251082251072</v>
      </c>
      <c r="CE59" s="347">
        <f t="shared" ca="1" si="70"/>
        <v>-5.7500000000000142</v>
      </c>
      <c r="CF59" s="114">
        <v>21.848000000000003</v>
      </c>
      <c r="CG59" s="345">
        <f t="shared" si="16"/>
        <v>52.019047619047626</v>
      </c>
      <c r="CH59" s="345">
        <f t="shared" ca="1" si="42"/>
        <v>3.2544545454545499</v>
      </c>
      <c r="CI59" s="73"/>
      <c r="CJ59" s="345">
        <f t="shared" ca="1" si="89"/>
        <v>3.4410000000000007</v>
      </c>
      <c r="CK59" s="345">
        <f t="shared" ca="1" si="90"/>
        <v>52.721993224167136</v>
      </c>
      <c r="CL59" s="345">
        <f t="shared" ca="1" si="45"/>
        <v>53.51320346320346</v>
      </c>
      <c r="CM59" s="114">
        <v>21.364999999999998</v>
      </c>
      <c r="CN59" s="345">
        <f t="shared" si="17"/>
        <v>50.86904761904762</v>
      </c>
      <c r="CO59" s="345">
        <f t="shared" ca="1" si="46"/>
        <v>2.3304545454545469</v>
      </c>
      <c r="CP59" s="345">
        <f t="shared" ca="1" si="92"/>
        <v>2.6302857142857126</v>
      </c>
      <c r="CQ59" s="345">
        <f t="shared" ca="1" si="19"/>
        <v>51.582931354359914</v>
      </c>
      <c r="CR59" s="347">
        <f t="shared" ca="1" si="71"/>
        <v>-1.9302721088435462</v>
      </c>
      <c r="CS59" s="114">
        <v>22.414999999999999</v>
      </c>
      <c r="CT59" s="345">
        <f t="shared" si="20"/>
        <v>53.36904761904762</v>
      </c>
      <c r="CU59" s="345">
        <f t="shared" si="72"/>
        <v>0.29999999999999716</v>
      </c>
      <c r="CV59" s="345">
        <f t="shared" ca="1" si="91"/>
        <v>1.0500000000000085</v>
      </c>
      <c r="CW59" s="347">
        <f t="shared" ca="1" si="73"/>
        <v>54.563203463203472</v>
      </c>
      <c r="CX59" s="483">
        <v>0.2</v>
      </c>
      <c r="CY59" s="190">
        <f t="shared" si="47"/>
        <v>9.6094084394982016E-5</v>
      </c>
      <c r="CZ59" s="190">
        <f t="shared" ca="1" si="78"/>
        <v>-0.03</v>
      </c>
      <c r="DA59" s="354">
        <f t="shared" ca="1" si="79"/>
        <v>0.16990390591560503</v>
      </c>
      <c r="DB59" s="483">
        <v>0.2</v>
      </c>
      <c r="DC59" s="190">
        <f t="shared" si="49"/>
        <v>9.6094084394982016E-5</v>
      </c>
      <c r="DD59" s="190">
        <f t="shared" ca="1" si="82"/>
        <v>0.03</v>
      </c>
      <c r="DE59" s="354">
        <f t="shared" ca="1" si="83"/>
        <v>0.22990390591560503</v>
      </c>
      <c r="DG59" s="341"/>
      <c r="DH59" s="114">
        <v>16.335000000000001</v>
      </c>
      <c r="DI59" s="126">
        <f t="shared" ca="1" si="74"/>
        <v>-2.6995454545454507</v>
      </c>
      <c r="DJ59" s="126">
        <f t="shared" ca="1" si="22"/>
        <v>-2</v>
      </c>
      <c r="DK59" s="356">
        <f t="shared" ca="1" si="23"/>
        <v>17.034545454545452</v>
      </c>
      <c r="DL59" s="114">
        <v>13.785</v>
      </c>
      <c r="DM59" s="126">
        <f t="shared" ca="1" si="75"/>
        <v>-5.2495454545454514</v>
      </c>
      <c r="DN59" s="126">
        <f t="shared" ca="1" si="24"/>
        <v>-3</v>
      </c>
      <c r="DO59" s="356">
        <f t="shared" ca="1" si="25"/>
        <v>16.034545454545452</v>
      </c>
      <c r="DP59" s="114">
        <v>13.035</v>
      </c>
      <c r="DQ59" s="126">
        <f t="shared" ca="1" si="76"/>
        <v>-5.9995454545454514</v>
      </c>
      <c r="DR59" s="126">
        <f t="shared" ca="1" si="26"/>
        <v>-6</v>
      </c>
      <c r="DS59" s="356">
        <f t="shared" ca="1" si="27"/>
        <v>13.034545454545452</v>
      </c>
      <c r="DT59" s="114">
        <v>15.285</v>
      </c>
      <c r="DU59" s="126">
        <f t="shared" ca="1" si="77"/>
        <v>-3.7495454545454514</v>
      </c>
      <c r="DV59" s="126">
        <f t="shared" ca="1" si="28"/>
        <v>-5</v>
      </c>
      <c r="DW59" s="356">
        <f t="shared" ca="1" si="29"/>
        <v>14.034545454545452</v>
      </c>
    </row>
    <row r="60" spans="2:136" x14ac:dyDescent="0.25">
      <c r="B60" s="396">
        <v>37377</v>
      </c>
      <c r="C60" s="400">
        <v>37366</v>
      </c>
      <c r="I60" s="136">
        <f t="shared" ca="1" si="105"/>
        <v>38626</v>
      </c>
      <c r="J60" s="131">
        <f t="shared" ca="1" si="31"/>
        <v>38615</v>
      </c>
      <c r="K60" s="106">
        <f t="shared" ca="1" si="106"/>
        <v>0.7142857142857143</v>
      </c>
      <c r="L60" s="133">
        <f t="shared" ca="1" si="93"/>
        <v>105</v>
      </c>
      <c r="M60" s="134">
        <f t="shared" ca="1" si="94"/>
        <v>10</v>
      </c>
      <c r="N60" s="103">
        <f t="shared" ca="1" si="97"/>
        <v>21</v>
      </c>
      <c r="O60" s="104">
        <f t="shared" ca="1" si="33"/>
        <v>1668</v>
      </c>
      <c r="P60" s="105">
        <f t="shared" ca="1" si="95"/>
        <v>4.5776865160848734</v>
      </c>
      <c r="Q60" s="105">
        <f t="shared" ca="1" si="96"/>
        <v>4.6598220396988363</v>
      </c>
      <c r="R60" s="114">
        <v>19.04</v>
      </c>
      <c r="S60" s="198">
        <v>0</v>
      </c>
      <c r="T60" s="189">
        <f t="shared" si="34"/>
        <v>19.04</v>
      </c>
      <c r="U60" s="199">
        <f t="shared" ca="1" si="98"/>
        <v>19.020714285714284</v>
      </c>
      <c r="V60" s="379">
        <f t="shared" ca="1" si="99"/>
        <v>19.020714285714284</v>
      </c>
      <c r="W60" s="483">
        <v>0.19896936744985605</v>
      </c>
      <c r="X60" s="166" t="str">
        <f t="shared" ca="1" si="100"/>
        <v/>
      </c>
      <c r="Y60" s="91">
        <f t="shared" ca="1" si="108"/>
        <v>4.6853815547852626E-3</v>
      </c>
      <c r="Z60" s="91">
        <f t="shared" ca="1" si="109"/>
        <v>2.1498218852833502E-3</v>
      </c>
      <c r="AA60" s="91">
        <f t="shared" ca="1" si="110"/>
        <v>8.8417956791010254E-4</v>
      </c>
      <c r="AB60" s="91">
        <f t="shared" ca="1" si="111"/>
        <v>1.9918797305878799E-3</v>
      </c>
      <c r="AC60" s="91">
        <f t="shared" ca="1" si="112"/>
        <v>4.8431187431664221E-3</v>
      </c>
      <c r="AD60" s="91">
        <f t="shared" ca="1" si="113"/>
        <v>1.0555227566620215E-2</v>
      </c>
      <c r="AE60" s="124">
        <v>7.2834474296192997E-2</v>
      </c>
      <c r="AF60" s="191">
        <f t="shared" ca="1" si="57"/>
        <v>0.71651090135986595</v>
      </c>
      <c r="AG60" s="189">
        <f t="shared" ca="1" si="107"/>
        <v>1</v>
      </c>
      <c r="AH60" s="192">
        <f t="shared" ca="1" si="101"/>
        <v>0</v>
      </c>
      <c r="AI60" s="192">
        <f t="shared" ca="1" si="114"/>
        <v>0</v>
      </c>
      <c r="AJ60" s="192">
        <f t="shared" ca="1" si="103"/>
        <v>0</v>
      </c>
      <c r="AK60" s="192">
        <f t="shared" ca="1" si="115"/>
        <v>0</v>
      </c>
      <c r="AL60" s="191" t="str">
        <f t="shared" ca="1" si="60"/>
        <v/>
      </c>
      <c r="AM60" s="191" t="str">
        <f t="shared" ca="1" si="61"/>
        <v/>
      </c>
      <c r="AN60" s="191" t="str">
        <f t="shared" ca="1" si="62"/>
        <v/>
      </c>
      <c r="AO60" s="193" t="str">
        <f t="shared" ca="1" si="63"/>
        <v/>
      </c>
      <c r="AP60" s="194" t="str">
        <f t="shared" ca="1" si="36"/>
        <v/>
      </c>
      <c r="AQ60" s="194" t="str">
        <f t="shared" ca="1" si="37"/>
        <v/>
      </c>
      <c r="AR60" s="195">
        <f ca="1">IF(AH60,_xll.xASN(AL60,Strike1,AE60,AP60,0,N60,0,P60,Q60,IF(OptControl=4,0,1),0),0)</f>
        <v>0</v>
      </c>
      <c r="AS60" s="196">
        <f ca="1">IF(AH60,_xll.xASN(AL60,Strike1,AE60,AP60,0,N60,0,P60,Q60,IF(OptControl=4,0,1),1),0)</f>
        <v>0</v>
      </c>
      <c r="AT60" s="196">
        <f ca="1">IF(AH60,_xll.xASN(AL60,Strike1,AE60,AP60,0,N60,0,P60,Q60,IF(OptControl=4,0,1),2),0)</f>
        <v>0</v>
      </c>
      <c r="AU60" s="196">
        <f ca="1">IF(AH60,_xll.xASN(AL60,Strike1,AE60,AP60,0,N60,0,P60,Q60,IF(OptControl=4,0,1),3)/100,0)</f>
        <v>0</v>
      </c>
      <c r="AV60" s="196">
        <f ca="1">IF(AH60,_xll.xASN(AL60,Strike1,AE60,AP60,0,N60,0,P60-DaysForThetaCalculation/365.25,Q60-DaysForThetaCalculation/365.25,IF(OptControl=4,0,1),0)-_xll.xASN(AL60,Strike1,AE60,AP60,0,N60,0,P60,Q60,IF(OptControl=4,0,1),0),0)</f>
        <v>0</v>
      </c>
      <c r="AW60" s="196">
        <f ca="1">IF(AH60,_xll.xASN(AL60,Strike2,AE60,AQ60,0,N60,0,P60,Q60,IF(OptControl=3,1,0),0),0)</f>
        <v>0</v>
      </c>
      <c r="AX60" s="196">
        <f ca="1">IF(AH60,_xll.xASN(AL60,Strike2,AE60,AQ60,0,N60,0,P60,Q60,IF(OptControl=3,1,0),1),0)</f>
        <v>0</v>
      </c>
      <c r="AY60" s="196">
        <f ca="1">IF(AH60,_xll.xASN(AL60,Strike2,AE60,AQ60,0,N60,0,P60,Q60,IF(OptControl=3,1,0),2),0)</f>
        <v>0</v>
      </c>
      <c r="AZ60" s="196">
        <f ca="1">IF(AH60,_xll.xASN(AL60,Strike2,AE60,AQ60,0,N60,0,P60,Q60,IF(OptControl=3,1,0),3)/100,0)</f>
        <v>0</v>
      </c>
      <c r="BA60" s="196">
        <f ca="1">IF(AH60,_xll.xASN(AL60,Strike2,AE60,AQ60,0,N60,0,P60-DaysForThetaCalculation/365.25,Q60-DaysForThetaCalculation/365.25,IF(OptControl=3,1,0),0)-_xll.xASN(AL60,Strike2,AE60,AQ60,0,N60,0,P60,Q60,IF(OptControl=3,1,0),0),0)</f>
        <v>0</v>
      </c>
      <c r="BB60" s="126" t="str">
        <f t="shared" ca="1" si="64"/>
        <v/>
      </c>
      <c r="BC60" s="191" t="str">
        <f t="shared" ca="1" si="65"/>
        <v/>
      </c>
      <c r="BD60" s="191" t="str">
        <f t="shared" ca="1" si="66"/>
        <v/>
      </c>
      <c r="BE60" s="190" t="str">
        <f t="shared" ca="1" si="67"/>
        <v/>
      </c>
      <c r="BF60" s="194" t="str">
        <f t="shared" ca="1" si="68"/>
        <v/>
      </c>
      <c r="BG60" s="194" t="str">
        <f t="shared" ca="1" si="69"/>
        <v/>
      </c>
      <c r="BH60" s="195">
        <f ca="1">IF(AH60,_xll.xEURO(BB60,Strike1,AE60,AE60,BF60,O60,IF(OptControl=4,0,1),0),0)</f>
        <v>0</v>
      </c>
      <c r="BI60" s="196">
        <f ca="1">IF(AH60,_xll.xEURO(BB60,Strike1,AE60,AE60,BF60,O60,IF(OptControl=4,0,1),1),0)</f>
        <v>0</v>
      </c>
      <c r="BJ60" s="196">
        <f ca="1">IF(AH60,_xll.xEURO(BB60,Strike1,AE60,AE60,BF60,O60,IF(OptControl=4,0,1),2),0)</f>
        <v>0</v>
      </c>
      <c r="BK60" s="196">
        <f ca="1">IF(AH60,_xll.xEURO(BB60,Strike1,AE60,AE60,BF60,O60,IF(OptControl=4,0,1),3)/100,0)</f>
        <v>0</v>
      </c>
      <c r="BL60" s="196">
        <f ca="1">IF(AH60,_xll.xEURO(BB60,Strike1,AE60,AE60,BF60,O60-DaysForThetaCalculation,IF(OptControl=4,0,1),0)-_xll.xEURO(BB60,Strike1,AE60,AE60,BF60,O60,IF(OptControl=4,0,1),0),0)</f>
        <v>0</v>
      </c>
      <c r="BM60" s="196">
        <f ca="1">IF(AH60,_xll.xEURO(BB60,Strike2,AE60,AE60,BG60,O60,IF(OptControl=3,1,0),0),0)</f>
        <v>0</v>
      </c>
      <c r="BN60" s="196">
        <f ca="1">IF(AH60,_xll.xEURO(BB60,Strike2,AE60,AE60,BG60,O60,IF(OptControl=3,1,0),1),0)</f>
        <v>0</v>
      </c>
      <c r="BO60" s="196">
        <f ca="1">IF(AH60,_xll.xEURO(BB60,Strike2,AE60,AE60,BG60,O60,IF(OptControl=3,1,0),2),0)</f>
        <v>0</v>
      </c>
      <c r="BP60" s="196">
        <f ca="1">IF(AH60,_xll.xEURO(BB60,Strike2,AE60,AE60,BG60,O60,IF(OptControl=3,1,0),3)/100,0)</f>
        <v>0</v>
      </c>
      <c r="BQ60" s="197">
        <f ca="1">IF(AH60,_xll.xEURO(BB60,Strike2,AE60,AE60,BG60,O60-DaysForThetaCalculation,IF(OptControl=3,1,0),0)-_xll.xEURO(BB60,Strike2,AE60,AE60,BG60,O60,IF(OptControl=3,1,0),0),0)</f>
        <v>0</v>
      </c>
      <c r="BR60" s="301"/>
      <c r="BS60" s="114">
        <v>24.2</v>
      </c>
      <c r="BT60" s="345">
        <f t="shared" si="11"/>
        <v>57.61904761904762</v>
      </c>
      <c r="BU60" s="345">
        <f t="shared" ca="1" si="84"/>
        <v>4.7472857142857166</v>
      </c>
      <c r="BV60" s="73"/>
      <c r="BW60" s="345">
        <f t="shared" ca="1" si="80"/>
        <v>5.1417826086956566</v>
      </c>
      <c r="BX60" s="345">
        <f t="shared" ca="1" si="85"/>
        <v>58.532251082251086</v>
      </c>
      <c r="BY60" s="373">
        <f t="shared" ca="1" si="41"/>
        <v>57.529754510499863</v>
      </c>
      <c r="BZ60" s="114">
        <v>21.458000000000002</v>
      </c>
      <c r="CA60" s="345">
        <f t="shared" si="12"/>
        <v>51.090476190476195</v>
      </c>
      <c r="CB60" s="345">
        <f t="shared" ca="1" si="86"/>
        <v>2.4372857142857178</v>
      </c>
      <c r="CC60" s="345">
        <f t="shared" ca="1" si="81"/>
        <v>2.8317826086956561</v>
      </c>
      <c r="CD60" s="345">
        <f t="shared" ca="1" si="15"/>
        <v>52.029754510499849</v>
      </c>
      <c r="CE60" s="347">
        <f t="shared" ca="1" si="70"/>
        <v>-5.5000000000000142</v>
      </c>
      <c r="CF60" s="114">
        <v>22.289000000000001</v>
      </c>
      <c r="CG60" s="345">
        <f t="shared" si="16"/>
        <v>53.069047619047623</v>
      </c>
      <c r="CH60" s="345">
        <f t="shared" ca="1" si="42"/>
        <v>3.8062857142857176</v>
      </c>
      <c r="CI60" s="73"/>
      <c r="CJ60" s="345">
        <f t="shared" ca="1" si="89"/>
        <v>3.9997826086956518</v>
      </c>
      <c r="CK60" s="345">
        <f t="shared" ca="1" si="90"/>
        <v>53.51320346320346</v>
      </c>
      <c r="CL60" s="345">
        <f t="shared" ca="1" si="45"/>
        <v>54.810706891452234</v>
      </c>
      <c r="CM60" s="114">
        <v>21.588000000000001</v>
      </c>
      <c r="CN60" s="345">
        <f t="shared" si="17"/>
        <v>51.400000000000006</v>
      </c>
      <c r="CO60" s="345">
        <f t="shared" ca="1" si="46"/>
        <v>2.5672857142857168</v>
      </c>
      <c r="CP60" s="345">
        <f t="shared" ca="1" si="92"/>
        <v>2.8027826086956527</v>
      </c>
      <c r="CQ60" s="345">
        <f t="shared" ca="1" si="19"/>
        <v>51.960706891452233</v>
      </c>
      <c r="CR60" s="347">
        <f t="shared" ca="1" si="71"/>
        <v>-2.8500000000000014</v>
      </c>
      <c r="CS60" s="114">
        <v>22.953000000000003</v>
      </c>
      <c r="CT60" s="345">
        <f t="shared" si="20"/>
        <v>54.650000000000006</v>
      </c>
      <c r="CU60" s="345">
        <f t="shared" si="72"/>
        <v>0.29999999999999716</v>
      </c>
      <c r="CV60" s="345">
        <f t="shared" ca="1" si="91"/>
        <v>1.2000000000000084</v>
      </c>
      <c r="CW60" s="347">
        <f t="shared" ca="1" si="73"/>
        <v>56.010706891452244</v>
      </c>
      <c r="CX60" s="483">
        <v>0.19900000000000004</v>
      </c>
      <c r="CY60" s="190">
        <f t="shared" si="47"/>
        <v>3.0632550143988579E-5</v>
      </c>
      <c r="CZ60" s="190">
        <f t="shared" ca="1" si="78"/>
        <v>-0.03</v>
      </c>
      <c r="DA60" s="354">
        <f t="shared" ca="1" si="79"/>
        <v>0.16896936744985605</v>
      </c>
      <c r="DB60" s="483">
        <v>0.19900000000000004</v>
      </c>
      <c r="DC60" s="190">
        <f t="shared" si="49"/>
        <v>3.0632550143988579E-5</v>
      </c>
      <c r="DD60" s="190">
        <f t="shared" ca="1" si="82"/>
        <v>0.03</v>
      </c>
      <c r="DE60" s="354">
        <f t="shared" ca="1" si="83"/>
        <v>0.22896936744985605</v>
      </c>
      <c r="DG60" s="341"/>
      <c r="DH60" s="114">
        <v>16.32</v>
      </c>
      <c r="DI60" s="126">
        <f t="shared" ca="1" si="74"/>
        <v>-2.7007142857142838</v>
      </c>
      <c r="DJ60" s="126">
        <f t="shared" ca="1" si="22"/>
        <v>-2</v>
      </c>
      <c r="DK60" s="356">
        <f t="shared" ca="1" si="23"/>
        <v>17.020714285714284</v>
      </c>
      <c r="DL60" s="114">
        <v>13.77</v>
      </c>
      <c r="DM60" s="126">
        <f t="shared" ca="1" si="75"/>
        <v>-5.2507142857142846</v>
      </c>
      <c r="DN60" s="126">
        <f t="shared" ca="1" si="24"/>
        <v>-3</v>
      </c>
      <c r="DO60" s="356">
        <f t="shared" ca="1" si="25"/>
        <v>16.020714285714284</v>
      </c>
      <c r="DP60" s="114">
        <v>13.02</v>
      </c>
      <c r="DQ60" s="126">
        <f t="shared" ca="1" si="76"/>
        <v>-6.0007142857142846</v>
      </c>
      <c r="DR60" s="126">
        <f t="shared" ca="1" si="26"/>
        <v>-6</v>
      </c>
      <c r="DS60" s="356">
        <f t="shared" ca="1" si="27"/>
        <v>13.020714285714284</v>
      </c>
      <c r="DT60" s="114">
        <v>15.27</v>
      </c>
      <c r="DU60" s="126">
        <f t="shared" ca="1" si="77"/>
        <v>-3.7507142857142846</v>
      </c>
      <c r="DV60" s="126">
        <f t="shared" ca="1" si="28"/>
        <v>-5</v>
      </c>
      <c r="DW60" s="356">
        <f t="shared" ca="1" si="29"/>
        <v>14.020714285714284</v>
      </c>
    </row>
    <row r="61" spans="2:136" x14ac:dyDescent="0.25">
      <c r="B61" s="396">
        <v>37408</v>
      </c>
      <c r="C61" s="400">
        <v>37398</v>
      </c>
      <c r="I61" s="136">
        <f t="shared" ca="1" si="105"/>
        <v>38657</v>
      </c>
      <c r="J61" s="131">
        <f t="shared" ca="1" si="31"/>
        <v>38647</v>
      </c>
      <c r="K61" s="106">
        <f t="shared" ca="1" si="106"/>
        <v>0.63636363636363635</v>
      </c>
      <c r="L61" s="133">
        <f t="shared" ca="1" si="93"/>
        <v>105</v>
      </c>
      <c r="M61" s="134">
        <f t="shared" ca="1" si="94"/>
        <v>11</v>
      </c>
      <c r="N61" s="103">
        <f t="shared" ca="1" si="97"/>
        <v>22</v>
      </c>
      <c r="O61" s="104">
        <f t="shared" ca="1" si="33"/>
        <v>1697</v>
      </c>
      <c r="P61" s="105">
        <f t="shared" ca="1" si="95"/>
        <v>4.6625598904859684</v>
      </c>
      <c r="Q61" s="105">
        <f t="shared" ca="1" si="96"/>
        <v>4.7419575633127993</v>
      </c>
      <c r="R61" s="114">
        <v>19.024999999999999</v>
      </c>
      <c r="S61" s="198">
        <v>0</v>
      </c>
      <c r="T61" s="189">
        <f t="shared" si="34"/>
        <v>19.024999999999999</v>
      </c>
      <c r="U61" s="199">
        <f t="shared" ca="1" si="98"/>
        <v>19.008181818181818</v>
      </c>
      <c r="V61" s="379">
        <f t="shared" ca="1" si="99"/>
        <v>19.008181818181818</v>
      </c>
      <c r="W61" s="483">
        <v>0.198786420030716</v>
      </c>
      <c r="X61" s="166" t="str">
        <f t="shared" ca="1" si="100"/>
        <v/>
      </c>
      <c r="Y61" s="91">
        <f t="shared" ca="1" si="108"/>
        <v>4.585074661821913E-3</v>
      </c>
      <c r="Z61" s="91">
        <f t="shared" ca="1" si="109"/>
        <v>2.0925336275208033E-3</v>
      </c>
      <c r="AA61" s="91">
        <f t="shared" ca="1" si="110"/>
        <v>8.5831020265083918E-4</v>
      </c>
      <c r="AB61" s="91">
        <f t="shared" ca="1" si="111"/>
        <v>1.9336012245318116E-3</v>
      </c>
      <c r="AC61" s="91">
        <f t="shared" ca="1" si="112"/>
        <v>4.7140597560789569E-3</v>
      </c>
      <c r="AD61" s="91">
        <f t="shared" ca="1" si="113"/>
        <v>1.0329256198152385E-2</v>
      </c>
      <c r="AE61" s="124">
        <v>7.2880327790891014E-2</v>
      </c>
      <c r="AF61" s="191">
        <f t="shared" ca="1" si="57"/>
        <v>0.71216364702047685</v>
      </c>
      <c r="AG61" s="189">
        <f t="shared" ca="1" si="107"/>
        <v>1</v>
      </c>
      <c r="AH61" s="192">
        <f t="shared" ca="1" si="101"/>
        <v>0</v>
      </c>
      <c r="AI61" s="192">
        <f t="shared" ca="1" si="114"/>
        <v>0</v>
      </c>
      <c r="AJ61" s="192">
        <f t="shared" ca="1" si="103"/>
        <v>0</v>
      </c>
      <c r="AK61" s="192">
        <f t="shared" ca="1" si="115"/>
        <v>0</v>
      </c>
      <c r="AL61" s="191" t="str">
        <f t="shared" ca="1" si="60"/>
        <v/>
      </c>
      <c r="AM61" s="191" t="str">
        <f t="shared" ca="1" si="61"/>
        <v/>
      </c>
      <c r="AN61" s="191" t="str">
        <f t="shared" ca="1" si="62"/>
        <v/>
      </c>
      <c r="AO61" s="193" t="str">
        <f t="shared" ca="1" si="63"/>
        <v/>
      </c>
      <c r="AP61" s="194" t="str">
        <f t="shared" ca="1" si="36"/>
        <v/>
      </c>
      <c r="AQ61" s="194" t="str">
        <f t="shared" ca="1" si="37"/>
        <v/>
      </c>
      <c r="AR61" s="195">
        <f ca="1">IF(AH61,_xll.xASN(AL61,Strike1,AE61,AP61,0,N61,0,P61,Q61,IF(OptControl=4,0,1),0),0)</f>
        <v>0</v>
      </c>
      <c r="AS61" s="196">
        <f ca="1">IF(AH61,_xll.xASN(AL61,Strike1,AE61,AP61,0,N61,0,P61,Q61,IF(OptControl=4,0,1),1),0)</f>
        <v>0</v>
      </c>
      <c r="AT61" s="196">
        <f ca="1">IF(AH61,_xll.xASN(AL61,Strike1,AE61,AP61,0,N61,0,P61,Q61,IF(OptControl=4,0,1),2),0)</f>
        <v>0</v>
      </c>
      <c r="AU61" s="196">
        <f ca="1">IF(AH61,_xll.xASN(AL61,Strike1,AE61,AP61,0,N61,0,P61,Q61,IF(OptControl=4,0,1),3)/100,0)</f>
        <v>0</v>
      </c>
      <c r="AV61" s="196">
        <f ca="1">IF(AH61,_xll.xASN(AL61,Strike1,AE61,AP61,0,N61,0,P61-DaysForThetaCalculation/365.25,Q61-DaysForThetaCalculation/365.25,IF(OptControl=4,0,1),0)-_xll.xASN(AL61,Strike1,AE61,AP61,0,N61,0,P61,Q61,IF(OptControl=4,0,1),0),0)</f>
        <v>0</v>
      </c>
      <c r="AW61" s="196">
        <f ca="1">IF(AH61,_xll.xASN(AL61,Strike2,AE61,AQ61,0,N61,0,P61,Q61,IF(OptControl=3,1,0),0),0)</f>
        <v>0</v>
      </c>
      <c r="AX61" s="196">
        <f ca="1">IF(AH61,_xll.xASN(AL61,Strike2,AE61,AQ61,0,N61,0,P61,Q61,IF(OptControl=3,1,0),1),0)</f>
        <v>0</v>
      </c>
      <c r="AY61" s="196">
        <f ca="1">IF(AH61,_xll.xASN(AL61,Strike2,AE61,AQ61,0,N61,0,P61,Q61,IF(OptControl=3,1,0),2),0)</f>
        <v>0</v>
      </c>
      <c r="AZ61" s="196">
        <f ca="1">IF(AH61,_xll.xASN(AL61,Strike2,AE61,AQ61,0,N61,0,P61,Q61,IF(OptControl=3,1,0),3)/100,0)</f>
        <v>0</v>
      </c>
      <c r="BA61" s="196">
        <f ca="1">IF(AH61,_xll.xASN(AL61,Strike2,AE61,AQ61,0,N61,0,P61-DaysForThetaCalculation/365.25,Q61-DaysForThetaCalculation/365.25,IF(OptControl=3,1,0),0)-_xll.xASN(AL61,Strike2,AE61,AQ61,0,N61,0,P61,Q61,IF(OptControl=3,1,0),0),0)</f>
        <v>0</v>
      </c>
      <c r="BB61" s="126" t="str">
        <f t="shared" ca="1" si="64"/>
        <v/>
      </c>
      <c r="BC61" s="191" t="str">
        <f t="shared" ca="1" si="65"/>
        <v/>
      </c>
      <c r="BD61" s="191" t="str">
        <f t="shared" ca="1" si="66"/>
        <v/>
      </c>
      <c r="BE61" s="190" t="str">
        <f t="shared" ca="1" si="67"/>
        <v/>
      </c>
      <c r="BF61" s="194" t="str">
        <f t="shared" ca="1" si="68"/>
        <v/>
      </c>
      <c r="BG61" s="194" t="str">
        <f t="shared" ca="1" si="69"/>
        <v/>
      </c>
      <c r="BH61" s="195">
        <f ca="1">IF(AH61,_xll.xEURO(BB61,Strike1,AE61,AE61,BF61,O61,IF(OptControl=4,0,1),0),0)</f>
        <v>0</v>
      </c>
      <c r="BI61" s="196">
        <f ca="1">IF(AH61,_xll.xEURO(BB61,Strike1,AE61,AE61,BF61,O61,IF(OptControl=4,0,1),1),0)</f>
        <v>0</v>
      </c>
      <c r="BJ61" s="196">
        <f ca="1">IF(AH61,_xll.xEURO(BB61,Strike1,AE61,AE61,BF61,O61,IF(OptControl=4,0,1),2),0)</f>
        <v>0</v>
      </c>
      <c r="BK61" s="196">
        <f ca="1">IF(AH61,_xll.xEURO(BB61,Strike1,AE61,AE61,BF61,O61,IF(OptControl=4,0,1),3)/100,0)</f>
        <v>0</v>
      </c>
      <c r="BL61" s="196">
        <f ca="1">IF(AH61,_xll.xEURO(BB61,Strike1,AE61,AE61,BF61,O61-DaysForThetaCalculation,IF(OptControl=4,0,1),0)-_xll.xEURO(BB61,Strike1,AE61,AE61,BF61,O61,IF(OptControl=4,0,1),0),0)</f>
        <v>0</v>
      </c>
      <c r="BM61" s="196">
        <f ca="1">IF(AH61,_xll.xEURO(BB61,Strike2,AE61,AE61,BG61,O61,IF(OptControl=3,1,0),0),0)</f>
        <v>0</v>
      </c>
      <c r="BN61" s="196">
        <f ca="1">IF(AH61,_xll.xEURO(BB61,Strike2,AE61,AE61,BG61,O61,IF(OptControl=3,1,0),1),0)</f>
        <v>0</v>
      </c>
      <c r="BO61" s="196">
        <f ca="1">IF(AH61,_xll.xEURO(BB61,Strike2,AE61,AE61,BG61,O61,IF(OptControl=3,1,0),2),0)</f>
        <v>0</v>
      </c>
      <c r="BP61" s="196">
        <f ca="1">IF(AH61,_xll.xEURO(BB61,Strike2,AE61,AE61,BG61,O61,IF(OptControl=3,1,0),3)/100,0)</f>
        <v>0</v>
      </c>
      <c r="BQ61" s="197">
        <f ca="1">IF(AH61,_xll.xEURO(BB61,Strike2,AE61,AE61,BG61,O61-DaysForThetaCalculation,IF(OptControl=3,1,0),0)-_xll.xEURO(BB61,Strike2,AE61,AE61,BG61,O61,IF(OptControl=3,1,0),0),0)</f>
        <v>0</v>
      </c>
      <c r="BR61" s="301"/>
      <c r="BS61" s="114">
        <v>23.768000000000001</v>
      </c>
      <c r="BT61" s="345">
        <f t="shared" si="11"/>
        <v>56.590476190476195</v>
      </c>
      <c r="BU61" s="345">
        <f t="shared" ca="1" si="84"/>
        <v>4.5958181818181849</v>
      </c>
      <c r="BV61" s="73"/>
      <c r="BW61" s="345">
        <f t="shared" ca="1" si="80"/>
        <v>4.9944545454545519</v>
      </c>
      <c r="BX61" s="345">
        <f t="shared" ca="1" si="85"/>
        <v>57.529754510499863</v>
      </c>
      <c r="BY61" s="373">
        <f t="shared" ca="1" si="41"/>
        <v>57.149134199134217</v>
      </c>
      <c r="BZ61" s="114">
        <v>21.294</v>
      </c>
      <c r="CA61" s="345">
        <f t="shared" si="12"/>
        <v>50.7</v>
      </c>
      <c r="CB61" s="345">
        <f t="shared" ca="1" si="86"/>
        <v>2.2858181818181826</v>
      </c>
      <c r="CC61" s="345">
        <f t="shared" ca="1" si="81"/>
        <v>2.6844545454545479</v>
      </c>
      <c r="CD61" s="345">
        <f t="shared" ca="1" si="15"/>
        <v>51.649134199134203</v>
      </c>
      <c r="CE61" s="347">
        <f t="shared" ca="1" si="70"/>
        <v>-5.5000000000000142</v>
      </c>
      <c r="CF61" s="114">
        <v>22.827000000000002</v>
      </c>
      <c r="CG61" s="345">
        <f t="shared" si="16"/>
        <v>54.350000000000009</v>
      </c>
      <c r="CH61" s="345">
        <f t="shared" ca="1" si="42"/>
        <v>4.3648181818181833</v>
      </c>
      <c r="CI61" s="73"/>
      <c r="CJ61" s="345">
        <f t="shared" ca="1" si="89"/>
        <v>4.5664545454545475</v>
      </c>
      <c r="CK61" s="345">
        <f t="shared" ca="1" si="90"/>
        <v>54.810706891452234</v>
      </c>
      <c r="CL61" s="345">
        <f t="shared" ca="1" si="45"/>
        <v>56.130086580086584</v>
      </c>
      <c r="CM61" s="114">
        <v>22.134</v>
      </c>
      <c r="CN61" s="345">
        <f t="shared" si="17"/>
        <v>52.7</v>
      </c>
      <c r="CO61" s="345">
        <f t="shared" ca="1" si="46"/>
        <v>3.1258181818181825</v>
      </c>
      <c r="CP61" s="345">
        <f t="shared" ca="1" si="92"/>
        <v>3.3694545454545501</v>
      </c>
      <c r="CQ61" s="345">
        <f t="shared" ca="1" si="19"/>
        <v>53.280086580086596</v>
      </c>
      <c r="CR61" s="347">
        <f t="shared" ca="1" si="71"/>
        <v>-2.8499999999999872</v>
      </c>
      <c r="CS61" s="114">
        <v>23.499000000000002</v>
      </c>
      <c r="CT61" s="345">
        <f t="shared" si="20"/>
        <v>55.95</v>
      </c>
      <c r="CU61" s="345">
        <f t="shared" si="72"/>
        <v>0.29999999999999716</v>
      </c>
      <c r="CV61" s="345">
        <f t="shared" ca="1" si="91"/>
        <v>1.2000000000000084</v>
      </c>
      <c r="CW61" s="347">
        <f t="shared" ca="1" si="73"/>
        <v>57.330086580086594</v>
      </c>
      <c r="CX61" s="483">
        <v>0.19900000000000004</v>
      </c>
      <c r="CY61" s="190">
        <f t="shared" si="47"/>
        <v>2.1357996928403344E-4</v>
      </c>
      <c r="CZ61" s="190">
        <f t="shared" ca="1" si="78"/>
        <v>-0.03</v>
      </c>
      <c r="DA61" s="354">
        <f t="shared" ca="1" si="79"/>
        <v>0.16878642003071601</v>
      </c>
      <c r="DB61" s="483">
        <v>0.19900000000000004</v>
      </c>
      <c r="DC61" s="190">
        <f t="shared" si="49"/>
        <v>2.1357996928403344E-4</v>
      </c>
      <c r="DD61" s="190">
        <f t="shared" ca="1" si="82"/>
        <v>0.03</v>
      </c>
      <c r="DE61" s="354">
        <f t="shared" ca="1" si="83"/>
        <v>0.228786420030716</v>
      </c>
      <c r="DG61" s="341"/>
      <c r="DH61" s="114">
        <v>16.308</v>
      </c>
      <c r="DI61" s="126">
        <f t="shared" ca="1" si="74"/>
        <v>-2.700181818181818</v>
      </c>
      <c r="DJ61" s="126">
        <f t="shared" ca="1" si="22"/>
        <v>-2</v>
      </c>
      <c r="DK61" s="356">
        <f t="shared" ca="1" si="23"/>
        <v>17.008181818181818</v>
      </c>
      <c r="DL61" s="114">
        <v>13.757999999999999</v>
      </c>
      <c r="DM61" s="126">
        <f t="shared" ca="1" si="75"/>
        <v>-5.2501818181818187</v>
      </c>
      <c r="DN61" s="126">
        <f t="shared" ca="1" si="24"/>
        <v>-3</v>
      </c>
      <c r="DO61" s="356">
        <f t="shared" ca="1" si="25"/>
        <v>16.008181818181818</v>
      </c>
      <c r="DP61" s="114">
        <v>13.007999999999999</v>
      </c>
      <c r="DQ61" s="126">
        <f t="shared" ca="1" si="76"/>
        <v>-6.0001818181818187</v>
      </c>
      <c r="DR61" s="126">
        <f t="shared" ca="1" si="26"/>
        <v>-6</v>
      </c>
      <c r="DS61" s="356">
        <f t="shared" ca="1" si="27"/>
        <v>13.008181818181818</v>
      </c>
      <c r="DT61" s="114">
        <v>15.257999999999999</v>
      </c>
      <c r="DU61" s="126">
        <f t="shared" ca="1" si="77"/>
        <v>-3.7501818181818187</v>
      </c>
      <c r="DV61" s="126">
        <f t="shared" ca="1" si="28"/>
        <v>-5</v>
      </c>
      <c r="DW61" s="356">
        <f t="shared" ca="1" si="29"/>
        <v>14.008181818181818</v>
      </c>
    </row>
    <row r="62" spans="2:136" x14ac:dyDescent="0.25">
      <c r="B62" s="396">
        <v>37438</v>
      </c>
      <c r="C62" s="400">
        <v>37427</v>
      </c>
      <c r="I62" s="136">
        <f t="shared" ca="1" si="105"/>
        <v>38687</v>
      </c>
      <c r="J62" s="131">
        <f t="shared" ca="1" si="31"/>
        <v>38675</v>
      </c>
      <c r="K62" s="106">
        <f t="shared" ca="1" si="106"/>
        <v>0.59090909090909094</v>
      </c>
      <c r="L62" s="133">
        <f t="shared" ca="1" si="93"/>
        <v>105</v>
      </c>
      <c r="M62" s="134">
        <f t="shared" ca="1" si="94"/>
        <v>12</v>
      </c>
      <c r="N62" s="103">
        <f t="shared" ca="1" si="97"/>
        <v>22</v>
      </c>
      <c r="O62" s="104">
        <f t="shared" ca="1" si="33"/>
        <v>1727</v>
      </c>
      <c r="P62" s="105">
        <f t="shared" ca="1" si="95"/>
        <v>4.7446954140999313</v>
      </c>
      <c r="Q62" s="105">
        <f t="shared" ca="1" si="96"/>
        <v>4.8268309377138943</v>
      </c>
      <c r="R62" s="114">
        <v>19.010000000000002</v>
      </c>
      <c r="S62" s="198">
        <v>0</v>
      </c>
      <c r="T62" s="189">
        <f t="shared" si="34"/>
        <v>19.010000000000002</v>
      </c>
      <c r="U62" s="199">
        <f t="shared" ca="1" si="98"/>
        <v>19.002954545454546</v>
      </c>
      <c r="V62" s="379">
        <f t="shared" ca="1" si="99"/>
        <v>19.002954545454546</v>
      </c>
      <c r="W62" s="483">
        <v>0.19865622039892805</v>
      </c>
      <c r="X62" s="166" t="str">
        <f t="shared" ca="1" si="100"/>
        <v/>
      </c>
      <c r="Y62" s="91">
        <f t="shared" ca="1" si="108"/>
        <v>4.48691518687742E-3</v>
      </c>
      <c r="Z62" s="91">
        <f t="shared" ca="1" si="109"/>
        <v>2.0367719820324798E-3</v>
      </c>
      <c r="AA62" s="91">
        <f t="shared" ca="1" si="110"/>
        <v>8.3319772443489319E-4</v>
      </c>
      <c r="AB62" s="91">
        <f t="shared" ca="1" si="111"/>
        <v>1.8770278336069288E-3</v>
      </c>
      <c r="AC62" s="91">
        <f t="shared" ca="1" si="112"/>
        <v>4.5884399211228626E-3</v>
      </c>
      <c r="AD62" s="91">
        <f t="shared" ca="1" si="113"/>
        <v>1.0108122532997433E-2</v>
      </c>
      <c r="AE62" s="124">
        <v>7.2924702141259998E-2</v>
      </c>
      <c r="AF62" s="191">
        <f t="shared" ca="1" si="57"/>
        <v>0.70770370421392337</v>
      </c>
      <c r="AG62" s="189">
        <f t="shared" ca="1" si="107"/>
        <v>1</v>
      </c>
      <c r="AH62" s="192">
        <f t="shared" ca="1" si="101"/>
        <v>0</v>
      </c>
      <c r="AI62" s="192">
        <f t="shared" ca="1" si="114"/>
        <v>0</v>
      </c>
      <c r="AJ62" s="192">
        <f t="shared" ca="1" si="103"/>
        <v>0</v>
      </c>
      <c r="AK62" s="192">
        <f t="shared" ca="1" si="115"/>
        <v>0</v>
      </c>
      <c r="AL62" s="191" t="str">
        <f t="shared" ca="1" si="60"/>
        <v/>
      </c>
      <c r="AM62" s="191" t="str">
        <f t="shared" ca="1" si="61"/>
        <v/>
      </c>
      <c r="AN62" s="191" t="str">
        <f t="shared" ca="1" si="62"/>
        <v/>
      </c>
      <c r="AO62" s="193" t="str">
        <f t="shared" ca="1" si="63"/>
        <v/>
      </c>
      <c r="AP62" s="194" t="str">
        <f t="shared" ca="1" si="36"/>
        <v/>
      </c>
      <c r="AQ62" s="194" t="str">
        <f t="shared" ca="1" si="37"/>
        <v/>
      </c>
      <c r="AR62" s="195">
        <f ca="1">IF(AH62,_xll.xASN(AL62,Strike1,AE62,AP62,0,N62,0,P62,Q62,IF(OptControl=4,0,1),0),0)</f>
        <v>0</v>
      </c>
      <c r="AS62" s="196">
        <f ca="1">IF(AH62,_xll.xASN(AL62,Strike1,AE62,AP62,0,N62,0,P62,Q62,IF(OptControl=4,0,1),1),0)</f>
        <v>0</v>
      </c>
      <c r="AT62" s="196">
        <f ca="1">IF(AH62,_xll.xASN(AL62,Strike1,AE62,AP62,0,N62,0,P62,Q62,IF(OptControl=4,0,1),2),0)</f>
        <v>0</v>
      </c>
      <c r="AU62" s="196">
        <f ca="1">IF(AH62,_xll.xASN(AL62,Strike1,AE62,AP62,0,N62,0,P62,Q62,IF(OptControl=4,0,1),3)/100,0)</f>
        <v>0</v>
      </c>
      <c r="AV62" s="196">
        <f ca="1">IF(AH62,_xll.xASN(AL62,Strike1,AE62,AP62,0,N62,0,P62-DaysForThetaCalculation/365.25,Q62-DaysForThetaCalculation/365.25,IF(OptControl=4,0,1),0)-_xll.xASN(AL62,Strike1,AE62,AP62,0,N62,0,P62,Q62,IF(OptControl=4,0,1),0),0)</f>
        <v>0</v>
      </c>
      <c r="AW62" s="196">
        <f ca="1">IF(AH62,_xll.xASN(AL62,Strike2,AE62,AQ62,0,N62,0,P62,Q62,IF(OptControl=3,1,0),0),0)</f>
        <v>0</v>
      </c>
      <c r="AX62" s="196">
        <f ca="1">IF(AH62,_xll.xASN(AL62,Strike2,AE62,AQ62,0,N62,0,P62,Q62,IF(OptControl=3,1,0),1),0)</f>
        <v>0</v>
      </c>
      <c r="AY62" s="196">
        <f ca="1">IF(AH62,_xll.xASN(AL62,Strike2,AE62,AQ62,0,N62,0,P62,Q62,IF(OptControl=3,1,0),2),0)</f>
        <v>0</v>
      </c>
      <c r="AZ62" s="196">
        <f ca="1">IF(AH62,_xll.xASN(AL62,Strike2,AE62,AQ62,0,N62,0,P62,Q62,IF(OptControl=3,1,0),3)/100,0)</f>
        <v>0</v>
      </c>
      <c r="BA62" s="196">
        <f ca="1">IF(AH62,_xll.xASN(AL62,Strike2,AE62,AQ62,0,N62,0,P62-DaysForThetaCalculation/365.25,Q62-DaysForThetaCalculation/365.25,IF(OptControl=3,1,0),0)-_xll.xASN(AL62,Strike2,AE62,AQ62,0,N62,0,P62,Q62,IF(OptControl=3,1,0),0),0)</f>
        <v>0</v>
      </c>
      <c r="BB62" s="126" t="str">
        <f t="shared" ca="1" si="64"/>
        <v/>
      </c>
      <c r="BC62" s="191" t="str">
        <f t="shared" ca="1" si="65"/>
        <v/>
      </c>
      <c r="BD62" s="191" t="str">
        <f t="shared" ca="1" si="66"/>
        <v/>
      </c>
      <c r="BE62" s="190" t="str">
        <f t="shared" ca="1" si="67"/>
        <v/>
      </c>
      <c r="BF62" s="194" t="str">
        <f t="shared" ca="1" si="68"/>
        <v/>
      </c>
      <c r="BG62" s="194" t="str">
        <f t="shared" ca="1" si="69"/>
        <v/>
      </c>
      <c r="BH62" s="195">
        <f ca="1">IF(AH62,_xll.xEURO(BB62,Strike1,AE62,AE62,BF62,O62,IF(OptControl=4,0,1),0),0)</f>
        <v>0</v>
      </c>
      <c r="BI62" s="196">
        <f ca="1">IF(AH62,_xll.xEURO(BB62,Strike1,AE62,AE62,BF62,O62,IF(OptControl=4,0,1),1),0)</f>
        <v>0</v>
      </c>
      <c r="BJ62" s="196">
        <f ca="1">IF(AH62,_xll.xEURO(BB62,Strike1,AE62,AE62,BF62,O62,IF(OptControl=4,0,1),2),0)</f>
        <v>0</v>
      </c>
      <c r="BK62" s="196">
        <f ca="1">IF(AH62,_xll.xEURO(BB62,Strike1,AE62,AE62,BF62,O62,IF(OptControl=4,0,1),3)/100,0)</f>
        <v>0</v>
      </c>
      <c r="BL62" s="196">
        <f ca="1">IF(AH62,_xll.xEURO(BB62,Strike1,AE62,AE62,BF62,O62-DaysForThetaCalculation,IF(OptControl=4,0,1),0)-_xll.xEURO(BB62,Strike1,AE62,AE62,BF62,O62,IF(OptControl=4,0,1),0),0)</f>
        <v>0</v>
      </c>
      <c r="BM62" s="196">
        <f ca="1">IF(AH62,_xll.xEURO(BB62,Strike2,AE62,AE62,BG62,O62,IF(OptControl=3,1,0),0),0)</f>
        <v>0</v>
      </c>
      <c r="BN62" s="196">
        <f ca="1">IF(AH62,_xll.xEURO(BB62,Strike2,AE62,AE62,BG62,O62,IF(OptControl=3,1,0),1),0)</f>
        <v>0</v>
      </c>
      <c r="BO62" s="196">
        <f ca="1">IF(AH62,_xll.xEURO(BB62,Strike2,AE62,AE62,BG62,O62,IF(OptControl=3,1,0),2),0)</f>
        <v>0</v>
      </c>
      <c r="BP62" s="196">
        <f ca="1">IF(AH62,_xll.xEURO(BB62,Strike2,AE62,AE62,BG62,O62,IF(OptControl=3,1,0),3)/100,0)</f>
        <v>0</v>
      </c>
      <c r="BQ62" s="197">
        <f ca="1">IF(AH62,_xll.xEURO(BB62,Strike2,AE62,AE62,BG62,O62-DaysForThetaCalculation,IF(OptControl=3,1,0),0)-_xll.xEURO(BB62,Strike2,AE62,AE62,BG62,O62,IF(OptControl=3,1,0),0),0)</f>
        <v>0</v>
      </c>
      <c r="BR62" s="301"/>
      <c r="BS62" s="114">
        <v>23.604000000000003</v>
      </c>
      <c r="BT62" s="345">
        <f t="shared" si="11"/>
        <v>56.2</v>
      </c>
      <c r="BU62" s="345">
        <f t="shared" ca="1" si="84"/>
        <v>4.756045454545454</v>
      </c>
      <c r="BV62" s="73"/>
      <c r="BW62" s="345">
        <f t="shared" ca="1" si="80"/>
        <v>5.1671428571428599</v>
      </c>
      <c r="BX62" s="345">
        <f t="shared" ca="1" si="85"/>
        <v>57.149134199134217</v>
      </c>
      <c r="BY62" s="373">
        <f t="shared" ca="1" si="41"/>
        <v>57.547850958565256</v>
      </c>
      <c r="BZ62" s="114">
        <v>21.449000000000002</v>
      </c>
      <c r="CA62" s="345">
        <f t="shared" si="12"/>
        <v>51.069047619047623</v>
      </c>
      <c r="CB62" s="345">
        <f t="shared" ca="1" si="86"/>
        <v>2.4460454545454553</v>
      </c>
      <c r="CC62" s="345">
        <f t="shared" ca="1" si="81"/>
        <v>2.8571428571428594</v>
      </c>
      <c r="CD62" s="345">
        <f t="shared" ca="1" si="15"/>
        <v>52.047850958565242</v>
      </c>
      <c r="CE62" s="347">
        <f t="shared" ca="1" si="70"/>
        <v>-5.5000000000000142</v>
      </c>
      <c r="CF62" s="114">
        <v>23.373000000000001</v>
      </c>
      <c r="CG62" s="345">
        <f t="shared" si="16"/>
        <v>55.650000000000006</v>
      </c>
      <c r="CH62" s="345">
        <f t="shared" ca="1" si="42"/>
        <v>4.7190454545454585</v>
      </c>
      <c r="CI62" s="73"/>
      <c r="CJ62" s="345">
        <f t="shared" ca="1" si="89"/>
        <v>4.9281428571428592</v>
      </c>
      <c r="CK62" s="345">
        <f t="shared" ca="1" si="90"/>
        <v>56.130086580086584</v>
      </c>
      <c r="CL62" s="345">
        <f t="shared" ca="1" si="45"/>
        <v>56.978803339517633</v>
      </c>
      <c r="CM62" s="114">
        <v>22.483000000000001</v>
      </c>
      <c r="CN62" s="345">
        <f t="shared" si="17"/>
        <v>53.530952380952385</v>
      </c>
      <c r="CO62" s="345">
        <f t="shared" ca="1" si="46"/>
        <v>3.4800454545454542</v>
      </c>
      <c r="CP62" s="345">
        <f t="shared" ca="1" si="92"/>
        <v>3.7311428571428618</v>
      </c>
      <c r="CQ62" s="345">
        <f t="shared" ca="1" si="19"/>
        <v>54.128803339517638</v>
      </c>
      <c r="CR62" s="347">
        <f t="shared" ca="1" si="71"/>
        <v>-2.8499999999999943</v>
      </c>
      <c r="CS62" s="114">
        <v>23.848000000000003</v>
      </c>
      <c r="CT62" s="345">
        <f t="shared" si="20"/>
        <v>56.780952380952385</v>
      </c>
      <c r="CU62" s="345">
        <f t="shared" si="72"/>
        <v>0.29999999999999716</v>
      </c>
      <c r="CV62" s="345">
        <f t="shared" ca="1" si="91"/>
        <v>1.2000000000000084</v>
      </c>
      <c r="CW62" s="347">
        <f t="shared" ca="1" si="73"/>
        <v>58.178803339517643</v>
      </c>
      <c r="CX62" s="483">
        <v>0.19900000000000004</v>
      </c>
      <c r="CY62" s="190">
        <f t="shared" si="47"/>
        <v>3.4377960107198624E-4</v>
      </c>
      <c r="CZ62" s="190">
        <f t="shared" ca="1" si="78"/>
        <v>-0.03</v>
      </c>
      <c r="DA62" s="354">
        <f t="shared" ca="1" si="79"/>
        <v>0.16865622039892805</v>
      </c>
      <c r="DB62" s="483">
        <v>0.19900000000000004</v>
      </c>
      <c r="DC62" s="190">
        <f t="shared" si="49"/>
        <v>3.4377960107198624E-4</v>
      </c>
      <c r="DD62" s="190">
        <f t="shared" ca="1" si="82"/>
        <v>0.03</v>
      </c>
      <c r="DE62" s="354">
        <f t="shared" ca="1" si="83"/>
        <v>0.22865622039892805</v>
      </c>
      <c r="DG62" s="341"/>
      <c r="DH62" s="114">
        <v>16.303000000000001</v>
      </c>
      <c r="DI62" s="126">
        <f t="shared" ca="1" si="74"/>
        <v>-2.6999545454545455</v>
      </c>
      <c r="DJ62" s="126">
        <f t="shared" ca="1" si="22"/>
        <v>-2</v>
      </c>
      <c r="DK62" s="356">
        <f t="shared" ca="1" si="23"/>
        <v>17.002954545454546</v>
      </c>
      <c r="DL62" s="114">
        <v>13.753</v>
      </c>
      <c r="DM62" s="126">
        <f t="shared" ca="1" si="75"/>
        <v>-5.2499545454545462</v>
      </c>
      <c r="DN62" s="126">
        <f t="shared" ca="1" si="24"/>
        <v>-3</v>
      </c>
      <c r="DO62" s="356">
        <f t="shared" ca="1" si="25"/>
        <v>16.002954545454546</v>
      </c>
      <c r="DP62" s="114">
        <v>13.003</v>
      </c>
      <c r="DQ62" s="126">
        <f t="shared" ca="1" si="76"/>
        <v>-5.9999545454545462</v>
      </c>
      <c r="DR62" s="126">
        <f t="shared" ca="1" si="26"/>
        <v>-6</v>
      </c>
      <c r="DS62" s="356">
        <f t="shared" ca="1" si="27"/>
        <v>13.002954545454546</v>
      </c>
      <c r="DT62" s="114">
        <v>15.253</v>
      </c>
      <c r="DU62" s="126">
        <f t="shared" ca="1" si="77"/>
        <v>-3.7499545454545462</v>
      </c>
      <c r="DV62" s="126">
        <f t="shared" ca="1" si="28"/>
        <v>-5</v>
      </c>
      <c r="DW62" s="356">
        <f t="shared" ca="1" si="29"/>
        <v>14.002954545454546</v>
      </c>
    </row>
    <row r="63" spans="2:136" x14ac:dyDescent="0.25">
      <c r="B63" s="396">
        <v>37469</v>
      </c>
      <c r="C63" s="400">
        <v>37457</v>
      </c>
      <c r="I63" s="136">
        <f t="shared" ca="1" si="105"/>
        <v>38718</v>
      </c>
      <c r="J63" s="131">
        <f t="shared" ca="1" si="31"/>
        <v>38705</v>
      </c>
      <c r="K63" s="106">
        <f t="shared" ca="1" si="106"/>
        <v>0.68181818181818177</v>
      </c>
      <c r="L63" s="133">
        <f t="shared" ca="1" si="93"/>
        <v>106</v>
      </c>
      <c r="M63" s="134">
        <f t="shared" ca="1" si="94"/>
        <v>1</v>
      </c>
      <c r="N63" s="103">
        <f t="shared" ca="1" si="97"/>
        <v>22</v>
      </c>
      <c r="O63" s="104">
        <f t="shared" ca="1" si="33"/>
        <v>1759</v>
      </c>
      <c r="P63" s="105">
        <f t="shared" ca="1" si="95"/>
        <v>4.8295687885010263</v>
      </c>
      <c r="Q63" s="105">
        <f t="shared" ca="1" si="96"/>
        <v>4.9117043121149901</v>
      </c>
      <c r="R63" s="114">
        <v>19.004999999999999</v>
      </c>
      <c r="S63" s="198">
        <v>0</v>
      </c>
      <c r="T63" s="189">
        <f t="shared" si="34"/>
        <v>19.004999999999999</v>
      </c>
      <c r="U63" s="199">
        <f t="shared" ca="1" si="98"/>
        <v>18.998409090909092</v>
      </c>
      <c r="V63" s="379">
        <f t="shared" ca="1" si="99"/>
        <v>18.998409090909092</v>
      </c>
      <c r="W63" s="483">
        <v>0.198594286948375</v>
      </c>
      <c r="X63" s="166" t="str">
        <f t="shared" ca="1" si="100"/>
        <v/>
      </c>
      <c r="Y63" s="91">
        <f t="shared" ca="1" si="108"/>
        <v>4.3908571569980653E-3</v>
      </c>
      <c r="Z63" s="91">
        <f t="shared" ca="1" si="109"/>
        <v>1.9824962677935623E-3</v>
      </c>
      <c r="AA63" s="91">
        <f t="shared" ca="1" si="110"/>
        <v>8.0881998822737104E-4</v>
      </c>
      <c r="AB63" s="91">
        <f t="shared" ca="1" si="111"/>
        <v>1.8221096694786233E-3</v>
      </c>
      <c r="AC63" s="91">
        <f t="shared" ca="1" si="112"/>
        <v>4.4661675920854293E-3</v>
      </c>
      <c r="AD63" s="91">
        <f t="shared" ca="1" si="113"/>
        <v>9.8917230032852261E-3</v>
      </c>
      <c r="AE63" s="124">
        <v>7.2970555637324019E-2</v>
      </c>
      <c r="AF63" s="191">
        <f t="shared" ca="1" si="57"/>
        <v>0.70326165462229517</v>
      </c>
      <c r="AG63" s="189">
        <f t="shared" ca="1" si="107"/>
        <v>1</v>
      </c>
      <c r="AH63" s="192">
        <f t="shared" ca="1" si="101"/>
        <v>0</v>
      </c>
      <c r="AI63" s="192">
        <f t="shared" ca="1" si="114"/>
        <v>0</v>
      </c>
      <c r="AJ63" s="192">
        <f t="shared" ca="1" si="103"/>
        <v>0</v>
      </c>
      <c r="AK63" s="192">
        <f t="shared" ca="1" si="115"/>
        <v>0</v>
      </c>
      <c r="AL63" s="191" t="str">
        <f t="shared" ca="1" si="60"/>
        <v/>
      </c>
      <c r="AM63" s="191" t="str">
        <f t="shared" ca="1" si="61"/>
        <v/>
      </c>
      <c r="AN63" s="191" t="str">
        <f t="shared" ca="1" si="62"/>
        <v/>
      </c>
      <c r="AO63" s="193" t="str">
        <f t="shared" ca="1" si="63"/>
        <v/>
      </c>
      <c r="AP63" s="194" t="str">
        <f t="shared" ca="1" si="36"/>
        <v/>
      </c>
      <c r="AQ63" s="194" t="str">
        <f t="shared" ca="1" si="37"/>
        <v/>
      </c>
      <c r="AR63" s="195">
        <f ca="1">IF(AH63,_xll.xASN(AL63,Strike1,AE63,AP63,0,N63,0,P63,Q63,IF(OptControl=4,0,1),0),0)</f>
        <v>0</v>
      </c>
      <c r="AS63" s="196">
        <f ca="1">IF(AH63,_xll.xASN(AL63,Strike1,AE63,AP63,0,N63,0,P63,Q63,IF(OptControl=4,0,1),1),0)</f>
        <v>0</v>
      </c>
      <c r="AT63" s="196">
        <f ca="1">IF(AH63,_xll.xASN(AL63,Strike1,AE63,AP63,0,N63,0,P63,Q63,IF(OptControl=4,0,1),2),0)</f>
        <v>0</v>
      </c>
      <c r="AU63" s="196">
        <f ca="1">IF(AH63,_xll.xASN(AL63,Strike1,AE63,AP63,0,N63,0,P63,Q63,IF(OptControl=4,0,1),3)/100,0)</f>
        <v>0</v>
      </c>
      <c r="AV63" s="196">
        <f ca="1">IF(AH63,_xll.xASN(AL63,Strike1,AE63,AP63,0,N63,0,P63-DaysForThetaCalculation/365.25,Q63-DaysForThetaCalculation/365.25,IF(OptControl=4,0,1),0)-_xll.xASN(AL63,Strike1,AE63,AP63,0,N63,0,P63,Q63,IF(OptControl=4,0,1),0),0)</f>
        <v>0</v>
      </c>
      <c r="AW63" s="196">
        <f ca="1">IF(AH63,_xll.xASN(AL63,Strike2,AE63,AQ63,0,N63,0,P63,Q63,IF(OptControl=3,1,0),0),0)</f>
        <v>0</v>
      </c>
      <c r="AX63" s="196">
        <f ca="1">IF(AH63,_xll.xASN(AL63,Strike2,AE63,AQ63,0,N63,0,P63,Q63,IF(OptControl=3,1,0),1),0)</f>
        <v>0</v>
      </c>
      <c r="AY63" s="196">
        <f ca="1">IF(AH63,_xll.xASN(AL63,Strike2,AE63,AQ63,0,N63,0,P63,Q63,IF(OptControl=3,1,0),2),0)</f>
        <v>0</v>
      </c>
      <c r="AZ63" s="196">
        <f ca="1">IF(AH63,_xll.xASN(AL63,Strike2,AE63,AQ63,0,N63,0,P63,Q63,IF(OptControl=3,1,0),3)/100,0)</f>
        <v>0</v>
      </c>
      <c r="BA63" s="196">
        <f ca="1">IF(AH63,_xll.xASN(AL63,Strike2,AE63,AQ63,0,N63,0,P63-DaysForThetaCalculation/365.25,Q63-DaysForThetaCalculation/365.25,IF(OptControl=3,1,0),0)-_xll.xASN(AL63,Strike2,AE63,AQ63,0,N63,0,P63,Q63,IF(OptControl=3,1,0),0),0)</f>
        <v>0</v>
      </c>
      <c r="BB63" s="126" t="str">
        <f t="shared" ca="1" si="64"/>
        <v/>
      </c>
      <c r="BC63" s="191" t="str">
        <f t="shared" ca="1" si="65"/>
        <v/>
      </c>
      <c r="BD63" s="191" t="str">
        <f t="shared" ca="1" si="66"/>
        <v/>
      </c>
      <c r="BE63" s="190" t="str">
        <f t="shared" ca="1" si="67"/>
        <v/>
      </c>
      <c r="BF63" s="194" t="str">
        <f t="shared" ca="1" si="68"/>
        <v/>
      </c>
      <c r="BG63" s="194" t="str">
        <f t="shared" ca="1" si="69"/>
        <v/>
      </c>
      <c r="BH63" s="195">
        <f ca="1">IF(AH63,_xll.xEURO(BB63,Strike1,AE63,AE63,BF63,O63,IF(OptControl=4,0,1),0),0)</f>
        <v>0</v>
      </c>
      <c r="BI63" s="196">
        <f ca="1">IF(AH63,_xll.xEURO(BB63,Strike1,AE63,AE63,BF63,O63,IF(OptControl=4,0,1),1),0)</f>
        <v>0</v>
      </c>
      <c r="BJ63" s="196">
        <f ca="1">IF(AH63,_xll.xEURO(BB63,Strike1,AE63,AE63,BF63,O63,IF(OptControl=4,0,1),2),0)</f>
        <v>0</v>
      </c>
      <c r="BK63" s="196">
        <f ca="1">IF(AH63,_xll.xEURO(BB63,Strike1,AE63,AE63,BF63,O63,IF(OptControl=4,0,1),3)/100,0)</f>
        <v>0</v>
      </c>
      <c r="BL63" s="196">
        <f ca="1">IF(AH63,_xll.xEURO(BB63,Strike1,AE63,AE63,BF63,O63-DaysForThetaCalculation,IF(OptControl=4,0,1),0)-_xll.xEURO(BB63,Strike1,AE63,AE63,BF63,O63,IF(OptControl=4,0,1),0),0)</f>
        <v>0</v>
      </c>
      <c r="BM63" s="196">
        <f ca="1">IF(AH63,_xll.xEURO(BB63,Strike2,AE63,AE63,BG63,O63,IF(OptControl=3,1,0),0),0)</f>
        <v>0</v>
      </c>
      <c r="BN63" s="196">
        <f ca="1">IF(AH63,_xll.xEURO(BB63,Strike2,AE63,AE63,BG63,O63,IF(OptControl=3,1,0),1),0)</f>
        <v>0</v>
      </c>
      <c r="BO63" s="196">
        <f ca="1">IF(AH63,_xll.xEURO(BB63,Strike2,AE63,AE63,BG63,O63,IF(OptControl=3,1,0),2),0)</f>
        <v>0</v>
      </c>
      <c r="BP63" s="196">
        <f ca="1">IF(AH63,_xll.xEURO(BB63,Strike2,AE63,AE63,BG63,O63,IF(OptControl=3,1,0),3)/100,0)</f>
        <v>0</v>
      </c>
      <c r="BQ63" s="197">
        <f ca="1">IF(AH63,_xll.xEURO(BB63,Strike2,AE63,AE63,BG63,O63-DaysForThetaCalculation,IF(OptControl=3,1,0),0)-_xll.xEURO(BB63,Strike2,AE63,AE63,BG63,O63,IF(OptControl=3,1,0),0),0)</f>
        <v>0</v>
      </c>
      <c r="BR63" s="301"/>
      <c r="BS63" s="114">
        <v>23.759</v>
      </c>
      <c r="BT63" s="345">
        <f t="shared" si="11"/>
        <v>56.569047619047623</v>
      </c>
      <c r="BU63" s="345">
        <f t="shared" ca="1" si="84"/>
        <v>5.7055909090909083</v>
      </c>
      <c r="BV63" s="73"/>
      <c r="BW63" s="345">
        <f t="shared" ca="1" si="80"/>
        <v>5.409478260869566</v>
      </c>
      <c r="BX63" s="345">
        <f t="shared" ca="1" si="85"/>
        <v>57.547850958565256</v>
      </c>
      <c r="BY63" s="373">
        <f t="shared" ca="1" si="41"/>
        <v>58.114017504234901</v>
      </c>
      <c r="BZ63" s="114">
        <v>22.499000000000002</v>
      </c>
      <c r="CA63" s="345">
        <f t="shared" si="12"/>
        <v>53.569047619047623</v>
      </c>
      <c r="CB63" s="345">
        <f t="shared" ca="1" si="86"/>
        <v>3.50059090909091</v>
      </c>
      <c r="CC63" s="345">
        <f t="shared" ca="1" si="81"/>
        <v>3.8974782608695673</v>
      </c>
      <c r="CD63" s="345">
        <f t="shared" ca="1" si="15"/>
        <v>54.514017504234907</v>
      </c>
      <c r="CE63" s="347">
        <f t="shared" ca="1" si="70"/>
        <v>-3.5999999999999943</v>
      </c>
      <c r="CF63" s="114">
        <v>23.722000000000005</v>
      </c>
      <c r="CG63" s="345">
        <f t="shared" si="16"/>
        <v>56.480952380952388</v>
      </c>
      <c r="CH63" s="345">
        <f t="shared" ca="1" si="42"/>
        <v>4.2825909090909065</v>
      </c>
      <c r="CI63" s="73"/>
      <c r="CJ63" s="345">
        <f t="shared" ca="1" si="89"/>
        <v>4.7294782608695662</v>
      </c>
      <c r="CK63" s="345">
        <f t="shared" ca="1" si="90"/>
        <v>56.978803339517633</v>
      </c>
      <c r="CL63" s="345">
        <f t="shared" ca="1" si="45"/>
        <v>56.494969885187281</v>
      </c>
      <c r="CM63" s="114">
        <v>22.147000000000002</v>
      </c>
      <c r="CN63" s="345">
        <f t="shared" si="17"/>
        <v>52.730952380952388</v>
      </c>
      <c r="CO63" s="345">
        <f t="shared" ca="1" si="46"/>
        <v>3.1485909090909097</v>
      </c>
      <c r="CP63" s="345">
        <f t="shared" ca="1" si="92"/>
        <v>3.6164782608695685</v>
      </c>
      <c r="CQ63" s="345">
        <f t="shared" ca="1" si="19"/>
        <v>53.84496988518729</v>
      </c>
      <c r="CR63" s="347">
        <f t="shared" ca="1" si="71"/>
        <v>-2.6499999999999915</v>
      </c>
      <c r="CS63" s="114">
        <v>23.407000000000004</v>
      </c>
      <c r="CT63" s="345">
        <f t="shared" si="20"/>
        <v>55.730952380952388</v>
      </c>
      <c r="CU63" s="345">
        <f t="shared" si="72"/>
        <v>0.30000000000001137</v>
      </c>
      <c r="CV63" s="345">
        <f t="shared" ca="1" si="91"/>
        <v>1.2000000000000084</v>
      </c>
      <c r="CW63" s="347">
        <f t="shared" ca="1" si="73"/>
        <v>57.694969885187291</v>
      </c>
      <c r="CX63" s="483">
        <v>0.19900000000000004</v>
      </c>
      <c r="CY63" s="190">
        <f t="shared" si="47"/>
        <v>4.0571305162503957E-4</v>
      </c>
      <c r="CZ63" s="190">
        <f t="shared" ca="1" si="78"/>
        <v>-0.03</v>
      </c>
      <c r="DA63" s="354">
        <f t="shared" ca="1" si="79"/>
        <v>0.168594286948375</v>
      </c>
      <c r="DB63" s="483">
        <v>0.19900000000000004</v>
      </c>
      <c r="DC63" s="190">
        <f t="shared" si="49"/>
        <v>4.0571305162503957E-4</v>
      </c>
      <c r="DD63" s="190">
        <f t="shared" ca="1" si="82"/>
        <v>0.03</v>
      </c>
      <c r="DE63" s="354">
        <f t="shared" ca="1" si="83"/>
        <v>0.228594286948375</v>
      </c>
      <c r="DG63" s="341"/>
      <c r="DH63" s="114">
        <v>16.347999999999999</v>
      </c>
      <c r="DI63" s="126">
        <f t="shared" ca="1" si="74"/>
        <v>-2.6504090909090934</v>
      </c>
      <c r="DJ63" s="126">
        <f t="shared" ca="1" si="22"/>
        <v>-2</v>
      </c>
      <c r="DK63" s="356">
        <f t="shared" ca="1" si="23"/>
        <v>16.998409090909092</v>
      </c>
      <c r="DL63" s="114">
        <v>13.747999999999999</v>
      </c>
      <c r="DM63" s="126">
        <f t="shared" ca="1" si="75"/>
        <v>-5.250409090909093</v>
      </c>
      <c r="DN63" s="126">
        <f t="shared" ca="1" si="24"/>
        <v>-3</v>
      </c>
      <c r="DO63" s="356">
        <f t="shared" ca="1" si="25"/>
        <v>15.998409090909092</v>
      </c>
      <c r="DP63" s="114">
        <v>12.997999999999999</v>
      </c>
      <c r="DQ63" s="126">
        <f t="shared" ca="1" si="76"/>
        <v>-6.000409090909093</v>
      </c>
      <c r="DR63" s="126">
        <f t="shared" ca="1" si="26"/>
        <v>-6</v>
      </c>
      <c r="DS63" s="356">
        <f t="shared" ca="1" si="27"/>
        <v>12.998409090909092</v>
      </c>
      <c r="DT63" s="114">
        <v>15.048</v>
      </c>
      <c r="DU63" s="126">
        <f t="shared" ca="1" si="77"/>
        <v>-3.9504090909090923</v>
      </c>
      <c r="DV63" s="126">
        <f t="shared" ca="1" si="28"/>
        <v>-5</v>
      </c>
      <c r="DW63" s="356">
        <f t="shared" ca="1" si="29"/>
        <v>13.998409090909092</v>
      </c>
    </row>
    <row r="64" spans="2:136" x14ac:dyDescent="0.25">
      <c r="B64" s="396">
        <v>37500</v>
      </c>
      <c r="C64" s="400">
        <v>37489</v>
      </c>
      <c r="I64" s="136">
        <f t="shared" ca="1" si="105"/>
        <v>38749</v>
      </c>
      <c r="J64" s="131">
        <f t="shared" ca="1" si="31"/>
        <v>38739</v>
      </c>
      <c r="K64" s="106">
        <f t="shared" ca="1" si="106"/>
        <v>0.7</v>
      </c>
      <c r="L64" s="133">
        <f t="shared" ca="1" si="93"/>
        <v>106</v>
      </c>
      <c r="M64" s="134">
        <f t="shared" ca="1" si="94"/>
        <v>2</v>
      </c>
      <c r="N64" s="103">
        <f t="shared" ca="1" si="97"/>
        <v>20</v>
      </c>
      <c r="O64" s="104">
        <f t="shared" ca="1" si="33"/>
        <v>1789</v>
      </c>
      <c r="P64" s="105">
        <f t="shared" ca="1" si="95"/>
        <v>4.9144421629021222</v>
      </c>
      <c r="Q64" s="105">
        <f t="shared" ca="1" si="96"/>
        <v>4.9883641341546889</v>
      </c>
      <c r="R64" s="114">
        <v>19</v>
      </c>
      <c r="S64" s="198">
        <v>0</v>
      </c>
      <c r="T64" s="189">
        <f t="shared" si="34"/>
        <v>19</v>
      </c>
      <c r="U64" s="199">
        <f t="shared" ca="1" si="98"/>
        <v>18.993500000000001</v>
      </c>
      <c r="V64" s="379">
        <f t="shared" ca="1" si="99"/>
        <v>18.993500000000001</v>
      </c>
      <c r="W64" s="483">
        <v>0.19830412337469505</v>
      </c>
      <c r="X64" s="166" t="str">
        <f t="shared" ca="1" si="100"/>
        <v/>
      </c>
      <c r="Y64" s="91">
        <f t="shared" ca="1" si="108"/>
        <v>4.29685558344115E-3</v>
      </c>
      <c r="Z64" s="91">
        <f t="shared" ca="1" si="109"/>
        <v>1.9296668878434761E-3</v>
      </c>
      <c r="AA64" s="91">
        <f t="shared" ca="1" si="110"/>
        <v>7.8515549691379836E-4</v>
      </c>
      <c r="AB64" s="91">
        <f t="shared" ca="1" si="111"/>
        <v>1.7687983034474072E-3</v>
      </c>
      <c r="AC64" s="91">
        <f t="shared" ca="1" si="112"/>
        <v>4.3471535649338752E-3</v>
      </c>
      <c r="AD64" s="91">
        <f t="shared" ca="1" si="113"/>
        <v>9.6799562583762093E-3</v>
      </c>
      <c r="AE64" s="124">
        <v>7.3016409134082014E-2</v>
      </c>
      <c r="AF64" s="191">
        <f t="shared" ca="1" si="57"/>
        <v>0.69925400638543556</v>
      </c>
      <c r="AG64" s="189">
        <f t="shared" ca="1" si="107"/>
        <v>1</v>
      </c>
      <c r="AH64" s="192">
        <f t="shared" ca="1" si="101"/>
        <v>0</v>
      </c>
      <c r="AI64" s="192">
        <f t="shared" ca="1" si="114"/>
        <v>0</v>
      </c>
      <c r="AJ64" s="192">
        <f t="shared" ca="1" si="103"/>
        <v>0</v>
      </c>
      <c r="AK64" s="192">
        <f t="shared" ca="1" si="115"/>
        <v>0</v>
      </c>
      <c r="AL64" s="191" t="str">
        <f t="shared" ca="1" si="60"/>
        <v/>
      </c>
      <c r="AM64" s="191" t="str">
        <f t="shared" ca="1" si="61"/>
        <v/>
      </c>
      <c r="AN64" s="191" t="str">
        <f t="shared" ca="1" si="62"/>
        <v/>
      </c>
      <c r="AO64" s="193" t="str">
        <f t="shared" ca="1" si="63"/>
        <v/>
      </c>
      <c r="AP64" s="194" t="str">
        <f t="shared" ca="1" si="36"/>
        <v/>
      </c>
      <c r="AQ64" s="194" t="str">
        <f t="shared" ca="1" si="37"/>
        <v/>
      </c>
      <c r="AR64" s="195">
        <f ca="1">IF(AH64,_xll.xASN(AL64,Strike1,AE64,AP64,0,N64,0,P64,Q64,IF(OptControl=4,0,1),0),0)</f>
        <v>0</v>
      </c>
      <c r="AS64" s="196">
        <f ca="1">IF(AH64,_xll.xASN(AL64,Strike1,AE64,AP64,0,N64,0,P64,Q64,IF(OptControl=4,0,1),1),0)</f>
        <v>0</v>
      </c>
      <c r="AT64" s="196">
        <f ca="1">IF(AH64,_xll.xASN(AL64,Strike1,AE64,AP64,0,N64,0,P64,Q64,IF(OptControl=4,0,1),2),0)</f>
        <v>0</v>
      </c>
      <c r="AU64" s="196">
        <f ca="1">IF(AH64,_xll.xASN(AL64,Strike1,AE64,AP64,0,N64,0,P64,Q64,IF(OptControl=4,0,1),3)/100,0)</f>
        <v>0</v>
      </c>
      <c r="AV64" s="196">
        <f ca="1">IF(AH64,_xll.xASN(AL64,Strike1,AE64,AP64,0,N64,0,P64-DaysForThetaCalculation/365.25,Q64-DaysForThetaCalculation/365.25,IF(OptControl=4,0,1),0)-_xll.xASN(AL64,Strike1,AE64,AP64,0,N64,0,P64,Q64,IF(OptControl=4,0,1),0),0)</f>
        <v>0</v>
      </c>
      <c r="AW64" s="196">
        <f ca="1">IF(AH64,_xll.xASN(AL64,Strike2,AE64,AQ64,0,N64,0,P64,Q64,IF(OptControl=3,1,0),0),0)</f>
        <v>0</v>
      </c>
      <c r="AX64" s="196">
        <f ca="1">IF(AH64,_xll.xASN(AL64,Strike2,AE64,AQ64,0,N64,0,P64,Q64,IF(OptControl=3,1,0),1),0)</f>
        <v>0</v>
      </c>
      <c r="AY64" s="196">
        <f ca="1">IF(AH64,_xll.xASN(AL64,Strike2,AE64,AQ64,0,N64,0,P64,Q64,IF(OptControl=3,1,0),2),0)</f>
        <v>0</v>
      </c>
      <c r="AZ64" s="196">
        <f ca="1">IF(AH64,_xll.xASN(AL64,Strike2,AE64,AQ64,0,N64,0,P64,Q64,IF(OptControl=3,1,0),3)/100,0)</f>
        <v>0</v>
      </c>
      <c r="BA64" s="196">
        <f ca="1">IF(AH64,_xll.xASN(AL64,Strike2,AE64,AQ64,0,N64,0,P64-DaysForThetaCalculation/365.25,Q64-DaysForThetaCalculation/365.25,IF(OptControl=3,1,0),0)-_xll.xASN(AL64,Strike2,AE64,AQ64,0,N64,0,P64,Q64,IF(OptControl=3,1,0),0),0)</f>
        <v>0</v>
      </c>
      <c r="BB64" s="126" t="str">
        <f t="shared" ca="1" si="64"/>
        <v/>
      </c>
      <c r="BC64" s="191" t="str">
        <f t="shared" ca="1" si="65"/>
        <v/>
      </c>
      <c r="BD64" s="191" t="str">
        <f t="shared" ca="1" si="66"/>
        <v/>
      </c>
      <c r="BE64" s="190" t="str">
        <f t="shared" ca="1" si="67"/>
        <v/>
      </c>
      <c r="BF64" s="194" t="str">
        <f t="shared" ca="1" si="68"/>
        <v/>
      </c>
      <c r="BG64" s="194" t="str">
        <f t="shared" ca="1" si="69"/>
        <v/>
      </c>
      <c r="BH64" s="195">
        <f ca="1">IF(AH64,_xll.xEURO(BB64,Strike1,AE64,AE64,BF64,O64,IF(OptControl=4,0,1),0),0)</f>
        <v>0</v>
      </c>
      <c r="BI64" s="196">
        <f ca="1">IF(AH64,_xll.xEURO(BB64,Strike1,AE64,AE64,BF64,O64,IF(OptControl=4,0,1),1),0)</f>
        <v>0</v>
      </c>
      <c r="BJ64" s="196">
        <f ca="1">IF(AH64,_xll.xEURO(BB64,Strike1,AE64,AE64,BF64,O64,IF(OptControl=4,0,1),2),0)</f>
        <v>0</v>
      </c>
      <c r="BK64" s="196">
        <f ca="1">IF(AH64,_xll.xEURO(BB64,Strike1,AE64,AE64,BF64,O64,IF(OptControl=4,0,1),3)/100,0)</f>
        <v>0</v>
      </c>
      <c r="BL64" s="196">
        <f ca="1">IF(AH64,_xll.xEURO(BB64,Strike1,AE64,AE64,BF64,O64-DaysForThetaCalculation,IF(OptControl=4,0,1),0)-_xll.xEURO(BB64,Strike1,AE64,AE64,BF64,O64,IF(OptControl=4,0,1),0),0)</f>
        <v>0</v>
      </c>
      <c r="BM64" s="196">
        <f ca="1">IF(AH64,_xll.xEURO(BB64,Strike2,AE64,AE64,BG64,O64,IF(OptControl=3,1,0),0),0)</f>
        <v>0</v>
      </c>
      <c r="BN64" s="196">
        <f ca="1">IF(AH64,_xll.xEURO(BB64,Strike2,AE64,AE64,BG64,O64,IF(OptControl=3,1,0),1),0)</f>
        <v>0</v>
      </c>
      <c r="BO64" s="196">
        <f ca="1">IF(AH64,_xll.xEURO(BB64,Strike2,AE64,AE64,BG64,O64,IF(OptControl=3,1,0),2),0)</f>
        <v>0</v>
      </c>
      <c r="BP64" s="196">
        <f ca="1">IF(AH64,_xll.xEURO(BB64,Strike2,AE64,AE64,BG64,O64,IF(OptControl=3,1,0),3)/100,0)</f>
        <v>0</v>
      </c>
      <c r="BQ64" s="197">
        <f ca="1">IF(AH64,_xll.xEURO(BB64,Strike2,AE64,AE64,BG64,O64-DaysForThetaCalculation,IF(OptControl=3,1,0),0)-_xll.xEURO(BB64,Strike2,AE64,AE64,BG64,O64,IF(OptControl=3,1,0),0),0)</f>
        <v>0</v>
      </c>
      <c r="BR64" s="301"/>
      <c r="BS64" s="114">
        <v>24.704000000000001</v>
      </c>
      <c r="BT64" s="345">
        <f t="shared" si="11"/>
        <v>58.819047619047623</v>
      </c>
      <c r="BU64" s="345">
        <f t="shared" ca="1" si="84"/>
        <v>6.0385000000000026</v>
      </c>
      <c r="BV64" s="73"/>
      <c r="BW64" s="345">
        <f t="shared" ca="1" si="80"/>
        <v>5.7899999999999991</v>
      </c>
      <c r="BX64" s="345">
        <f t="shared" ca="1" si="85"/>
        <v>58.114017504234901</v>
      </c>
      <c r="BY64" s="373">
        <f t="shared" ca="1" si="41"/>
        <v>59.008333333333333</v>
      </c>
      <c r="BZ64" s="114">
        <v>22.827000000000002</v>
      </c>
      <c r="CA64" s="345">
        <f t="shared" si="12"/>
        <v>54.350000000000009</v>
      </c>
      <c r="CB64" s="345">
        <f t="shared" ca="1" si="86"/>
        <v>3.8335000000000008</v>
      </c>
      <c r="CC64" s="345">
        <f t="shared" ca="1" si="81"/>
        <v>4.2319999999999984</v>
      </c>
      <c r="CD64" s="345">
        <f t="shared" ca="1" si="15"/>
        <v>55.298809523809531</v>
      </c>
      <c r="CE64" s="347">
        <f t="shared" ca="1" si="70"/>
        <v>-3.7095238095238017</v>
      </c>
      <c r="CF64" s="114">
        <v>23.280999999999999</v>
      </c>
      <c r="CG64" s="345">
        <f t="shared" si="16"/>
        <v>55.430952380952377</v>
      </c>
      <c r="CH64" s="345">
        <f t="shared" ca="1" si="42"/>
        <v>3.5685000000000038</v>
      </c>
      <c r="CI64" s="73"/>
      <c r="CJ64" s="345">
        <f t="shared" ca="1" si="89"/>
        <v>4.0179999999999954</v>
      </c>
      <c r="CK64" s="345">
        <f t="shared" ca="1" si="90"/>
        <v>56.494969885187281</v>
      </c>
      <c r="CL64" s="345">
        <f t="shared" ca="1" si="45"/>
        <v>54.789285714285704</v>
      </c>
      <c r="CM64" s="114">
        <v>21.428000000000001</v>
      </c>
      <c r="CN64" s="345">
        <f t="shared" si="17"/>
        <v>51.019047619047626</v>
      </c>
      <c r="CO64" s="345">
        <f t="shared" ca="1" si="46"/>
        <v>2.4344999999999999</v>
      </c>
      <c r="CP64" s="345">
        <f t="shared" ca="1" si="92"/>
        <v>2.9049999999999994</v>
      </c>
      <c r="CQ64" s="345">
        <f t="shared" ca="1" si="19"/>
        <v>52.139285714285712</v>
      </c>
      <c r="CR64" s="347">
        <f t="shared" ca="1" si="71"/>
        <v>-2.6499999999999915</v>
      </c>
      <c r="CS64" s="114">
        <v>22.688000000000002</v>
      </c>
      <c r="CT64" s="345">
        <f t="shared" si="20"/>
        <v>54.019047619047626</v>
      </c>
      <c r="CU64" s="345">
        <f t="shared" si="72"/>
        <v>0.29999999999999716</v>
      </c>
      <c r="CV64" s="345">
        <f t="shared" ca="1" si="91"/>
        <v>1.2000000000000084</v>
      </c>
      <c r="CW64" s="347">
        <f t="shared" ca="1" si="73"/>
        <v>55.989285714285714</v>
      </c>
      <c r="CX64" s="483">
        <v>0.19800000000000001</v>
      </c>
      <c r="CY64" s="190">
        <f t="shared" si="47"/>
        <v>-3.0412337469504225E-4</v>
      </c>
      <c r="CZ64" s="190">
        <f t="shared" ca="1" si="78"/>
        <v>-0.03</v>
      </c>
      <c r="DA64" s="354">
        <f t="shared" ca="1" si="79"/>
        <v>0.16830412337469505</v>
      </c>
      <c r="DB64" s="483">
        <v>0.19800000000000001</v>
      </c>
      <c r="DC64" s="190">
        <f t="shared" si="49"/>
        <v>-3.0412337469504225E-4</v>
      </c>
      <c r="DD64" s="190">
        <f t="shared" ca="1" si="82"/>
        <v>0.03</v>
      </c>
      <c r="DE64" s="354">
        <f t="shared" ca="1" si="83"/>
        <v>0.22830412337469505</v>
      </c>
      <c r="DG64" s="341"/>
      <c r="DH64" s="114">
        <v>16.344000000000001</v>
      </c>
      <c r="DI64" s="126">
        <f t="shared" ca="1" si="74"/>
        <v>-2.6494999999999997</v>
      </c>
      <c r="DJ64" s="126">
        <f t="shared" ca="1" si="22"/>
        <v>-2</v>
      </c>
      <c r="DK64" s="356">
        <f t="shared" ca="1" si="23"/>
        <v>16.993500000000001</v>
      </c>
      <c r="DL64" s="114">
        <v>13.744000000000002</v>
      </c>
      <c r="DM64" s="126">
        <f t="shared" ca="1" si="75"/>
        <v>-5.2494999999999994</v>
      </c>
      <c r="DN64" s="126">
        <f t="shared" ca="1" si="24"/>
        <v>-3</v>
      </c>
      <c r="DO64" s="356">
        <f t="shared" ca="1" si="25"/>
        <v>15.993500000000001</v>
      </c>
      <c r="DP64" s="114">
        <v>12.994000000000002</v>
      </c>
      <c r="DQ64" s="126">
        <f t="shared" ca="1" si="76"/>
        <v>-5.9994999999999994</v>
      </c>
      <c r="DR64" s="126">
        <f t="shared" ca="1" si="26"/>
        <v>-6</v>
      </c>
      <c r="DS64" s="356">
        <f t="shared" ca="1" si="27"/>
        <v>12.993500000000001</v>
      </c>
      <c r="DT64" s="114">
        <v>15.044</v>
      </c>
      <c r="DU64" s="126">
        <f t="shared" ca="1" si="77"/>
        <v>-3.9495000000000005</v>
      </c>
      <c r="DV64" s="126">
        <f t="shared" ca="1" si="28"/>
        <v>-5</v>
      </c>
      <c r="DW64" s="356">
        <f t="shared" ca="1" si="29"/>
        <v>13.993500000000001</v>
      </c>
    </row>
    <row r="65" spans="2:127" x14ac:dyDescent="0.25">
      <c r="B65" s="396">
        <v>37530</v>
      </c>
      <c r="C65" s="400">
        <v>37519</v>
      </c>
      <c r="I65" s="136">
        <f t="shared" ca="1" si="105"/>
        <v>38777</v>
      </c>
      <c r="J65" s="131">
        <f t="shared" ca="1" si="31"/>
        <v>38768</v>
      </c>
      <c r="K65" s="106">
        <f t="shared" ca="1" si="106"/>
        <v>0.60869565217391308</v>
      </c>
      <c r="L65" s="133">
        <f t="shared" ca="1" si="93"/>
        <v>106</v>
      </c>
      <c r="M65" s="134">
        <f t="shared" ca="1" si="94"/>
        <v>3</v>
      </c>
      <c r="N65" s="103">
        <f t="shared" ca="1" si="97"/>
        <v>23</v>
      </c>
      <c r="O65" s="104">
        <f t="shared" ca="1" si="33"/>
        <v>1817</v>
      </c>
      <c r="P65" s="105">
        <f t="shared" ca="1" si="95"/>
        <v>4.991101984941821</v>
      </c>
      <c r="Q65" s="105">
        <f t="shared" ca="1" si="96"/>
        <v>5.0732375085557839</v>
      </c>
      <c r="R65" s="114">
        <v>18.995000000000001</v>
      </c>
      <c r="S65" s="198">
        <v>0</v>
      </c>
      <c r="T65" s="189">
        <f t="shared" si="34"/>
        <v>18.995000000000001</v>
      </c>
      <c r="U65" s="199">
        <f t="shared" ca="1" si="98"/>
        <v>18.988043478260867</v>
      </c>
      <c r="V65" s="379">
        <f t="shared" ca="1" si="99"/>
        <v>18.988043478260867</v>
      </c>
      <c r="W65" s="483">
        <v>0.19830017508722</v>
      </c>
      <c r="X65" s="166" t="str">
        <f t="shared" ca="1" si="100"/>
        <v/>
      </c>
      <c r="Y65" s="91">
        <f t="shared" ca="1" si="108"/>
        <v>4.204866440604531E-3</v>
      </c>
      <c r="Z65" s="91">
        <f t="shared" ca="1" si="109"/>
        <v>1.8782453003978452E-3</v>
      </c>
      <c r="AA65" s="91">
        <f t="shared" ca="1" si="110"/>
        <v>7.6218338234323557E-4</v>
      </c>
      <c r="AB65" s="91">
        <f t="shared" ca="1" si="111"/>
        <v>1.7170467237428437E-3</v>
      </c>
      <c r="AC65" s="91">
        <f t="shared" ca="1" si="112"/>
        <v>4.2313110127363577E-3</v>
      </c>
      <c r="AD65" s="91">
        <f t="shared" ca="1" si="113"/>
        <v>9.4727231173938747E-3</v>
      </c>
      <c r="AE65" s="124">
        <v>7.3057825196266996E-2</v>
      </c>
      <c r="AF65" s="191">
        <f t="shared" ca="1" si="57"/>
        <v>0.69486990787106739</v>
      </c>
      <c r="AG65" s="189">
        <f t="shared" ca="1" si="107"/>
        <v>1</v>
      </c>
      <c r="AH65" s="192">
        <f t="shared" ca="1" si="101"/>
        <v>0</v>
      </c>
      <c r="AI65" s="192">
        <f t="shared" ca="1" si="114"/>
        <v>0</v>
      </c>
      <c r="AJ65" s="192">
        <f t="shared" ca="1" si="103"/>
        <v>0</v>
      </c>
      <c r="AK65" s="192">
        <f t="shared" ca="1" si="115"/>
        <v>0</v>
      </c>
      <c r="AL65" s="191" t="str">
        <f t="shared" ca="1" si="60"/>
        <v/>
      </c>
      <c r="AM65" s="191" t="str">
        <f t="shared" ca="1" si="61"/>
        <v/>
      </c>
      <c r="AN65" s="191" t="str">
        <f t="shared" ca="1" si="62"/>
        <v/>
      </c>
      <c r="AO65" s="193" t="str">
        <f t="shared" ca="1" si="63"/>
        <v/>
      </c>
      <c r="AP65" s="194" t="str">
        <f t="shared" ca="1" si="36"/>
        <v/>
      </c>
      <c r="AQ65" s="194" t="str">
        <f t="shared" ca="1" si="37"/>
        <v/>
      </c>
      <c r="AR65" s="195">
        <f ca="1">IF(AH65,_xll.xASN(AL65,Strike1,AE65,AP65,0,N65,0,P65,Q65,IF(OptControl=4,0,1),0),0)</f>
        <v>0</v>
      </c>
      <c r="AS65" s="196">
        <f ca="1">IF(AH65,_xll.xASN(AL65,Strike1,AE65,AP65,0,N65,0,P65,Q65,IF(OptControl=4,0,1),1),0)</f>
        <v>0</v>
      </c>
      <c r="AT65" s="196">
        <f ca="1">IF(AH65,_xll.xASN(AL65,Strike1,AE65,AP65,0,N65,0,P65,Q65,IF(OptControl=4,0,1),2),0)</f>
        <v>0</v>
      </c>
      <c r="AU65" s="196">
        <f ca="1">IF(AH65,_xll.xASN(AL65,Strike1,AE65,AP65,0,N65,0,P65,Q65,IF(OptControl=4,0,1),3)/100,0)</f>
        <v>0</v>
      </c>
      <c r="AV65" s="196">
        <f ca="1">IF(AH65,_xll.xASN(AL65,Strike1,AE65,AP65,0,N65,0,P65-DaysForThetaCalculation/365.25,Q65-DaysForThetaCalculation/365.25,IF(OptControl=4,0,1),0)-_xll.xASN(AL65,Strike1,AE65,AP65,0,N65,0,P65,Q65,IF(OptControl=4,0,1),0),0)</f>
        <v>0</v>
      </c>
      <c r="AW65" s="196">
        <f ca="1">IF(AH65,_xll.xASN(AL65,Strike2,AE65,AQ65,0,N65,0,P65,Q65,IF(OptControl=3,1,0),0),0)</f>
        <v>0</v>
      </c>
      <c r="AX65" s="196">
        <f ca="1">IF(AH65,_xll.xASN(AL65,Strike2,AE65,AQ65,0,N65,0,P65,Q65,IF(OptControl=3,1,0),1),0)</f>
        <v>0</v>
      </c>
      <c r="AY65" s="196">
        <f ca="1">IF(AH65,_xll.xASN(AL65,Strike2,AE65,AQ65,0,N65,0,P65,Q65,IF(OptControl=3,1,0),2),0)</f>
        <v>0</v>
      </c>
      <c r="AZ65" s="196">
        <f ca="1">IF(AH65,_xll.xASN(AL65,Strike2,AE65,AQ65,0,N65,0,P65,Q65,IF(OptControl=3,1,0),3)/100,0)</f>
        <v>0</v>
      </c>
      <c r="BA65" s="196">
        <f ca="1">IF(AH65,_xll.xASN(AL65,Strike2,AE65,AQ65,0,N65,0,P65-DaysForThetaCalculation/365.25,Q65-DaysForThetaCalculation/365.25,IF(OptControl=3,1,0),0)-_xll.xASN(AL65,Strike2,AE65,AQ65,0,N65,0,P65,Q65,IF(OptControl=3,1,0),0),0)</f>
        <v>0</v>
      </c>
      <c r="BB65" s="126" t="str">
        <f t="shared" ca="1" si="64"/>
        <v/>
      </c>
      <c r="BC65" s="191" t="str">
        <f t="shared" ca="1" si="65"/>
        <v/>
      </c>
      <c r="BD65" s="191" t="str">
        <f t="shared" ca="1" si="66"/>
        <v/>
      </c>
      <c r="BE65" s="190" t="str">
        <f t="shared" ca="1" si="67"/>
        <v/>
      </c>
      <c r="BF65" s="194" t="str">
        <f t="shared" ca="1" si="68"/>
        <v/>
      </c>
      <c r="BG65" s="194" t="str">
        <f t="shared" ca="1" si="69"/>
        <v/>
      </c>
      <c r="BH65" s="195">
        <f ca="1">IF(AH65,_xll.xEURO(BB65,Strike1,AE65,AE65,BF65,O65,IF(OptControl=4,0,1),0),0)</f>
        <v>0</v>
      </c>
      <c r="BI65" s="196">
        <f ca="1">IF(AH65,_xll.xEURO(BB65,Strike1,AE65,AE65,BF65,O65,IF(OptControl=4,0,1),1),0)</f>
        <v>0</v>
      </c>
      <c r="BJ65" s="196">
        <f ca="1">IF(AH65,_xll.xEURO(BB65,Strike1,AE65,AE65,BF65,O65,IF(OptControl=4,0,1),2),0)</f>
        <v>0</v>
      </c>
      <c r="BK65" s="196">
        <f ca="1">IF(AH65,_xll.xEURO(BB65,Strike1,AE65,AE65,BF65,O65,IF(OptControl=4,0,1),3)/100,0)</f>
        <v>0</v>
      </c>
      <c r="BL65" s="196">
        <f ca="1">IF(AH65,_xll.xEURO(BB65,Strike1,AE65,AE65,BF65,O65-DaysForThetaCalculation,IF(OptControl=4,0,1),0)-_xll.xEURO(BB65,Strike1,AE65,AE65,BF65,O65,IF(OptControl=4,0,1),0),0)</f>
        <v>0</v>
      </c>
      <c r="BM65" s="196">
        <f ca="1">IF(AH65,_xll.xEURO(BB65,Strike2,AE65,AE65,BG65,O65,IF(OptControl=3,1,0),0),0)</f>
        <v>0</v>
      </c>
      <c r="BN65" s="196">
        <f ca="1">IF(AH65,_xll.xEURO(BB65,Strike2,AE65,AE65,BG65,O65,IF(OptControl=3,1,0),1),0)</f>
        <v>0</v>
      </c>
      <c r="BO65" s="196">
        <f ca="1">IF(AH65,_xll.xEURO(BB65,Strike2,AE65,AE65,BG65,O65,IF(OptControl=3,1,0),2),0)</f>
        <v>0</v>
      </c>
      <c r="BP65" s="196">
        <f ca="1">IF(AH65,_xll.xEURO(BB65,Strike2,AE65,AE65,BG65,O65,IF(OptControl=3,1,0),3)/100,0)</f>
        <v>0</v>
      </c>
      <c r="BQ65" s="197">
        <f ca="1">IF(AH65,_xll.xEURO(BB65,Strike2,AE65,AE65,BG65,O65-DaysForThetaCalculation,IF(OptControl=3,1,0),0)-_xll.xEURO(BB65,Strike2,AE65,AE65,BG65,O65,IF(OptControl=3,1,0),0),0)</f>
        <v>0</v>
      </c>
      <c r="BR65" s="301"/>
      <c r="BS65" s="114">
        <v>25.032000000000004</v>
      </c>
      <c r="BT65" s="345">
        <f t="shared" si="11"/>
        <v>59.600000000000009</v>
      </c>
      <c r="BU65" s="345">
        <f t="shared" ca="1" si="84"/>
        <v>9.7899565217391356</v>
      </c>
      <c r="BV65" s="73"/>
      <c r="BW65" s="345">
        <f t="shared" ca="1" si="80"/>
        <v>9.8560000000000034</v>
      </c>
      <c r="BX65" s="345">
        <f t="shared" ca="1" si="85"/>
        <v>59.008333333333333</v>
      </c>
      <c r="BY65" s="373">
        <f t="shared" ca="1" si="41"/>
        <v>68.676293995859226</v>
      </c>
      <c r="BZ65" s="114">
        <v>24.998000000000001</v>
      </c>
      <c r="CA65" s="345">
        <f t="shared" si="12"/>
        <v>59.519047619047626</v>
      </c>
      <c r="CB65" s="345">
        <f t="shared" ca="1" si="86"/>
        <v>6.0099565217391344</v>
      </c>
      <c r="CC65" s="345">
        <f t="shared" ca="1" si="81"/>
        <v>6.3980000000000032</v>
      </c>
      <c r="CD65" s="345">
        <f t="shared" ca="1" si="15"/>
        <v>60.442960662525884</v>
      </c>
      <c r="CE65" s="347">
        <f t="shared" ca="1" si="70"/>
        <v>-8.2333333333333414</v>
      </c>
      <c r="CF65" s="114">
        <v>22.562000000000005</v>
      </c>
      <c r="CG65" s="345">
        <f t="shared" si="16"/>
        <v>53.719047619047629</v>
      </c>
      <c r="CH65" s="345">
        <f t="shared" ca="1" si="42"/>
        <v>2.9399565217391341</v>
      </c>
      <c r="CI65" s="73"/>
      <c r="CJ65" s="345">
        <f t="shared" ca="1" si="89"/>
        <v>3.3789999999999996</v>
      </c>
      <c r="CK65" s="345">
        <f t="shared" ca="1" si="90"/>
        <v>54.789285714285704</v>
      </c>
      <c r="CL65" s="345">
        <f t="shared" ca="1" si="45"/>
        <v>53.254865424430633</v>
      </c>
      <c r="CM65" s="114">
        <v>20.794</v>
      </c>
      <c r="CN65" s="345">
        <f t="shared" si="17"/>
        <v>49.509523809523813</v>
      </c>
      <c r="CO65" s="345">
        <f t="shared" ca="1" si="46"/>
        <v>1.8059565217391338</v>
      </c>
      <c r="CP65" s="345">
        <f t="shared" ca="1" si="92"/>
        <v>2.266</v>
      </c>
      <c r="CQ65" s="345">
        <f t="shared" ca="1" si="19"/>
        <v>50.604865424430642</v>
      </c>
      <c r="CR65" s="347">
        <f t="shared" ca="1" si="71"/>
        <v>-2.6499999999999915</v>
      </c>
      <c r="CS65" s="114">
        <v>22.054000000000002</v>
      </c>
      <c r="CT65" s="345">
        <f t="shared" si="20"/>
        <v>52.509523809523813</v>
      </c>
      <c r="CU65" s="345">
        <f t="shared" si="72"/>
        <v>0.29999999999999716</v>
      </c>
      <c r="CV65" s="345">
        <f t="shared" ca="1" si="91"/>
        <v>1.1999999999999942</v>
      </c>
      <c r="CW65" s="347">
        <f t="shared" ca="1" si="73"/>
        <v>54.454865424430629</v>
      </c>
      <c r="CX65" s="483">
        <v>0.19800000000000001</v>
      </c>
      <c r="CY65" s="190">
        <f t="shared" si="47"/>
        <v>-3.0017508721999486E-4</v>
      </c>
      <c r="CZ65" s="190">
        <f t="shared" ca="1" si="78"/>
        <v>-0.03</v>
      </c>
      <c r="DA65" s="354">
        <f t="shared" ca="1" si="79"/>
        <v>0.16830017508722001</v>
      </c>
      <c r="DB65" s="483">
        <v>0.19800000000000001</v>
      </c>
      <c r="DC65" s="190">
        <f t="shared" si="49"/>
        <v>-3.0017508721999486E-4</v>
      </c>
      <c r="DD65" s="190">
        <f t="shared" ca="1" si="82"/>
        <v>0.03</v>
      </c>
      <c r="DE65" s="354">
        <f t="shared" ca="1" si="83"/>
        <v>0.22830017508722</v>
      </c>
      <c r="DG65" s="341"/>
      <c r="DH65" s="114">
        <v>16.338000000000001</v>
      </c>
      <c r="DI65" s="126">
        <f t="shared" ca="1" si="74"/>
        <v>-2.6500434782608657</v>
      </c>
      <c r="DJ65" s="126">
        <f t="shared" ca="1" si="22"/>
        <v>-2</v>
      </c>
      <c r="DK65" s="356">
        <f t="shared" ca="1" si="23"/>
        <v>16.988043478260867</v>
      </c>
      <c r="DL65" s="114">
        <v>13.738</v>
      </c>
      <c r="DM65" s="126">
        <f t="shared" ca="1" si="75"/>
        <v>-5.2500434782608671</v>
      </c>
      <c r="DN65" s="126">
        <f t="shared" ca="1" si="24"/>
        <v>-3</v>
      </c>
      <c r="DO65" s="356">
        <f t="shared" ca="1" si="25"/>
        <v>15.988043478260867</v>
      </c>
      <c r="DP65" s="114">
        <v>12.988</v>
      </c>
      <c r="DQ65" s="126">
        <f t="shared" ca="1" si="76"/>
        <v>-6.0000434782608671</v>
      </c>
      <c r="DR65" s="126">
        <f t="shared" ca="1" si="26"/>
        <v>-6</v>
      </c>
      <c r="DS65" s="356">
        <f t="shared" ca="1" si="27"/>
        <v>12.988043478260867</v>
      </c>
      <c r="DT65" s="114">
        <v>15.038</v>
      </c>
      <c r="DU65" s="126">
        <f t="shared" ca="1" si="77"/>
        <v>-3.9500434782608664</v>
      </c>
      <c r="DV65" s="126">
        <f t="shared" ca="1" si="28"/>
        <v>-5</v>
      </c>
      <c r="DW65" s="356">
        <f t="shared" ca="1" si="29"/>
        <v>13.988043478260867</v>
      </c>
    </row>
    <row r="66" spans="2:127" x14ac:dyDescent="0.25">
      <c r="B66" s="396">
        <v>37561</v>
      </c>
      <c r="C66" s="400">
        <v>37551</v>
      </c>
      <c r="I66" s="136">
        <f t="shared" ca="1" si="105"/>
        <v>38808</v>
      </c>
      <c r="J66" s="131">
        <f t="shared" ca="1" si="31"/>
        <v>38796</v>
      </c>
      <c r="K66" s="106">
        <f t="shared" ca="1" si="106"/>
        <v>0.7</v>
      </c>
      <c r="L66" s="133">
        <f t="shared" ca="1" si="93"/>
        <v>106</v>
      </c>
      <c r="M66" s="134">
        <f t="shared" ca="1" si="94"/>
        <v>4</v>
      </c>
      <c r="N66" s="103">
        <f t="shared" ca="1" si="97"/>
        <v>20</v>
      </c>
      <c r="O66" s="104">
        <f t="shared" ca="1" si="33"/>
        <v>1850</v>
      </c>
      <c r="P66" s="105">
        <f t="shared" ca="1" si="95"/>
        <v>5.075975359342916</v>
      </c>
      <c r="Q66" s="105">
        <f t="shared" ca="1" si="96"/>
        <v>5.1553730321697468</v>
      </c>
      <c r="R66" s="114">
        <v>18.989999999999998</v>
      </c>
      <c r="S66" s="198">
        <v>0</v>
      </c>
      <c r="T66" s="189">
        <f t="shared" si="34"/>
        <v>18.989999999999998</v>
      </c>
      <c r="U66" s="199">
        <f t="shared" ca="1" si="98"/>
        <v>18.983499999999999</v>
      </c>
      <c r="V66" s="379">
        <f t="shared" ca="1" si="99"/>
        <v>18.983499999999999</v>
      </c>
      <c r="W66" s="483">
        <v>0.19783511305308404</v>
      </c>
      <c r="X66" s="166" t="str">
        <f t="shared" ca="1" si="100"/>
        <v/>
      </c>
      <c r="Y66" s="91">
        <f t="shared" ca="1" si="108"/>
        <v>4.1148466454072477E-3</v>
      </c>
      <c r="Z66" s="91">
        <f t="shared" ca="1" si="109"/>
        <v>1.8281939907302529E-3</v>
      </c>
      <c r="AA66" s="91">
        <f t="shared" ca="1" si="110"/>
        <v>7.3988338692603461E-4</v>
      </c>
      <c r="AB66" s="91">
        <f t="shared" ca="1" si="111"/>
        <v>1.6668092940669737E-3</v>
      </c>
      <c r="AC66" s="91">
        <f t="shared" ca="1" si="112"/>
        <v>4.1185554223172058E-3</v>
      </c>
      <c r="AD66" s="91">
        <f t="shared" ca="1" si="113"/>
        <v>9.2699265227734352E-3</v>
      </c>
      <c r="AE66" s="124">
        <v>7.3093764487798016E-2</v>
      </c>
      <c r="AF66" s="191">
        <f t="shared" ca="1" si="57"/>
        <v>0.69066317112399211</v>
      </c>
      <c r="AG66" s="189">
        <f t="shared" ca="1" si="107"/>
        <v>1</v>
      </c>
      <c r="AH66" s="192">
        <f t="shared" ca="1" si="101"/>
        <v>0</v>
      </c>
      <c r="AI66" s="192">
        <f t="shared" ca="1" si="114"/>
        <v>0</v>
      </c>
      <c r="AJ66" s="192">
        <f t="shared" ca="1" si="103"/>
        <v>0</v>
      </c>
      <c r="AK66" s="192">
        <f t="shared" ca="1" si="115"/>
        <v>0</v>
      </c>
      <c r="AL66" s="191" t="str">
        <f t="shared" ca="1" si="60"/>
        <v/>
      </c>
      <c r="AM66" s="191" t="str">
        <f t="shared" ca="1" si="61"/>
        <v/>
      </c>
      <c r="AN66" s="191" t="str">
        <f t="shared" ca="1" si="62"/>
        <v/>
      </c>
      <c r="AO66" s="193" t="str">
        <f t="shared" ca="1" si="63"/>
        <v/>
      </c>
      <c r="AP66" s="194" t="str">
        <f t="shared" ca="1" si="36"/>
        <v/>
      </c>
      <c r="AQ66" s="194" t="str">
        <f t="shared" ca="1" si="37"/>
        <v/>
      </c>
      <c r="AR66" s="195">
        <f ca="1">IF(AH66,_xll.xASN(AL66,Strike1,AE66,AP66,0,N66,0,P66,Q66,IF(OptControl=4,0,1),0),0)</f>
        <v>0</v>
      </c>
      <c r="AS66" s="196">
        <f ca="1">IF(AH66,_xll.xASN(AL66,Strike1,AE66,AP66,0,N66,0,P66,Q66,IF(OptControl=4,0,1),1),0)</f>
        <v>0</v>
      </c>
      <c r="AT66" s="196">
        <f ca="1">IF(AH66,_xll.xASN(AL66,Strike1,AE66,AP66,0,N66,0,P66,Q66,IF(OptControl=4,0,1),2),0)</f>
        <v>0</v>
      </c>
      <c r="AU66" s="196">
        <f ca="1">IF(AH66,_xll.xASN(AL66,Strike1,AE66,AP66,0,N66,0,P66,Q66,IF(OptControl=4,0,1),3)/100,0)</f>
        <v>0</v>
      </c>
      <c r="AV66" s="196">
        <f ca="1">IF(AH66,_xll.xASN(AL66,Strike1,AE66,AP66,0,N66,0,P66-DaysForThetaCalculation/365.25,Q66-DaysForThetaCalculation/365.25,IF(OptControl=4,0,1),0)-_xll.xASN(AL66,Strike1,AE66,AP66,0,N66,0,P66,Q66,IF(OptControl=4,0,1),0),0)</f>
        <v>0</v>
      </c>
      <c r="AW66" s="196">
        <f ca="1">IF(AH66,_xll.xASN(AL66,Strike2,AE66,AQ66,0,N66,0,P66,Q66,IF(OptControl=3,1,0),0),0)</f>
        <v>0</v>
      </c>
      <c r="AX66" s="196">
        <f ca="1">IF(AH66,_xll.xASN(AL66,Strike2,AE66,AQ66,0,N66,0,P66,Q66,IF(OptControl=3,1,0),1),0)</f>
        <v>0</v>
      </c>
      <c r="AY66" s="196">
        <f ca="1">IF(AH66,_xll.xASN(AL66,Strike2,AE66,AQ66,0,N66,0,P66,Q66,IF(OptControl=3,1,0),2),0)</f>
        <v>0</v>
      </c>
      <c r="AZ66" s="196">
        <f ca="1">IF(AH66,_xll.xASN(AL66,Strike2,AE66,AQ66,0,N66,0,P66,Q66,IF(OptControl=3,1,0),3)/100,0)</f>
        <v>0</v>
      </c>
      <c r="BA66" s="196">
        <f ca="1">IF(AH66,_xll.xASN(AL66,Strike2,AE66,AQ66,0,N66,0,P66-DaysForThetaCalculation/365.25,Q66-DaysForThetaCalculation/365.25,IF(OptControl=3,1,0),0)-_xll.xASN(AL66,Strike2,AE66,AQ66,0,N66,0,P66,Q66,IF(OptControl=3,1,0),0),0)</f>
        <v>0</v>
      </c>
      <c r="BB66" s="126" t="str">
        <f t="shared" ca="1" si="64"/>
        <v/>
      </c>
      <c r="BC66" s="191" t="str">
        <f t="shared" ca="1" si="65"/>
        <v/>
      </c>
      <c r="BD66" s="191" t="str">
        <f t="shared" ca="1" si="66"/>
        <v/>
      </c>
      <c r="BE66" s="190" t="str">
        <f t="shared" ca="1" si="67"/>
        <v/>
      </c>
      <c r="BF66" s="194" t="str">
        <f t="shared" ca="1" si="68"/>
        <v/>
      </c>
      <c r="BG66" s="194" t="str">
        <f t="shared" ca="1" si="69"/>
        <v/>
      </c>
      <c r="BH66" s="195">
        <f ca="1">IF(AH66,_xll.xEURO(BB66,Strike1,AE66,AE66,BF66,O66,IF(OptControl=4,0,1),0),0)</f>
        <v>0</v>
      </c>
      <c r="BI66" s="196">
        <f ca="1">IF(AH66,_xll.xEURO(BB66,Strike1,AE66,AE66,BF66,O66,IF(OptControl=4,0,1),1),0)</f>
        <v>0</v>
      </c>
      <c r="BJ66" s="196">
        <f ca="1">IF(AH66,_xll.xEURO(BB66,Strike1,AE66,AE66,BF66,O66,IF(OptControl=4,0,1),2),0)</f>
        <v>0</v>
      </c>
      <c r="BK66" s="196">
        <f ca="1">IF(AH66,_xll.xEURO(BB66,Strike1,AE66,AE66,BF66,O66,IF(OptControl=4,0,1),3)/100,0)</f>
        <v>0</v>
      </c>
      <c r="BL66" s="196">
        <f ca="1">IF(AH66,_xll.xEURO(BB66,Strike1,AE66,AE66,BF66,O66-DaysForThetaCalculation,IF(OptControl=4,0,1),0)-_xll.xEURO(BB66,Strike1,AE66,AE66,BF66,O66,IF(OptControl=4,0,1),0),0)</f>
        <v>0</v>
      </c>
      <c r="BM66" s="196">
        <f ca="1">IF(AH66,_xll.xEURO(BB66,Strike2,AE66,AE66,BG66,O66,IF(OptControl=3,1,0),0),0)</f>
        <v>0</v>
      </c>
      <c r="BN66" s="196">
        <f ca="1">IF(AH66,_xll.xEURO(BB66,Strike2,AE66,AE66,BG66,O66,IF(OptControl=3,1,0),1),0)</f>
        <v>0</v>
      </c>
      <c r="BO66" s="196">
        <f ca="1">IF(AH66,_xll.xEURO(BB66,Strike2,AE66,AE66,BG66,O66,IF(OptControl=3,1,0),2),0)</f>
        <v>0</v>
      </c>
      <c r="BP66" s="196">
        <f ca="1">IF(AH66,_xll.xEURO(BB66,Strike2,AE66,AE66,BG66,O66,IF(OptControl=3,1,0),3)/100,0)</f>
        <v>0</v>
      </c>
      <c r="BQ66" s="197">
        <f ca="1">IF(AH66,_xll.xEURO(BB66,Strike2,AE66,AE66,BG66,O66-DaysForThetaCalculation,IF(OptControl=3,1,0),0)-_xll.xEURO(BB66,Strike2,AE66,AE66,BG66,O66,IF(OptControl=3,1,0),0),0)</f>
        <v>0</v>
      </c>
      <c r="BR66" s="301"/>
      <c r="BS66" s="114">
        <v>28.778000000000002</v>
      </c>
      <c r="BT66" s="345">
        <f t="shared" si="11"/>
        <v>68.519047619047626</v>
      </c>
      <c r="BU66" s="345">
        <f t="shared" ca="1" si="84"/>
        <v>8.2824999999999989</v>
      </c>
      <c r="BV66" s="73"/>
      <c r="BW66" s="345">
        <f t="shared" ca="1" si="80"/>
        <v>8.795714285714288</v>
      </c>
      <c r="BX66" s="345">
        <f t="shared" ca="1" si="85"/>
        <v>68.676293995859226</v>
      </c>
      <c r="BY66" s="373">
        <f t="shared" ca="1" si="41"/>
        <v>66.140986394557828</v>
      </c>
      <c r="BZ66" s="114">
        <v>25.376000000000001</v>
      </c>
      <c r="CA66" s="345">
        <f t="shared" si="12"/>
        <v>60.419047619047618</v>
      </c>
      <c r="CB66" s="345">
        <f t="shared" ca="1" si="86"/>
        <v>6.3925000000000018</v>
      </c>
      <c r="CC66" s="345">
        <f t="shared" ca="1" si="81"/>
        <v>6.170714285714288</v>
      </c>
      <c r="CD66" s="345">
        <f t="shared" ca="1" si="15"/>
        <v>59.890986394557828</v>
      </c>
      <c r="CE66" s="347">
        <f t="shared" ca="1" si="70"/>
        <v>-6.25</v>
      </c>
      <c r="CF66" s="114">
        <v>21.928000000000001</v>
      </c>
      <c r="CG66" s="345">
        <f t="shared" si="16"/>
        <v>52.209523809523816</v>
      </c>
      <c r="CH66" s="345">
        <f t="shared" ca="1" si="42"/>
        <v>2.3695000000000022</v>
      </c>
      <c r="CI66" s="73"/>
      <c r="CJ66" s="345">
        <f t="shared" ca="1" si="89"/>
        <v>2.8270909090909111</v>
      </c>
      <c r="CK66" s="345">
        <f t="shared" ca="1" si="90"/>
        <v>53.254865424430633</v>
      </c>
      <c r="CL66" s="345">
        <f t="shared" ca="1" si="45"/>
        <v>51.92997835497836</v>
      </c>
      <c r="CM66" s="114">
        <v>20.534000000000002</v>
      </c>
      <c r="CN66" s="345">
        <f t="shared" si="17"/>
        <v>48.890476190476193</v>
      </c>
      <c r="CO66" s="345">
        <f t="shared" ca="1" si="46"/>
        <v>1.5505000000000031</v>
      </c>
      <c r="CP66" s="345">
        <f t="shared" ca="1" si="92"/>
        <v>1.9030909090909081</v>
      </c>
      <c r="CQ66" s="345">
        <f t="shared" ca="1" si="19"/>
        <v>49.729978354978343</v>
      </c>
      <c r="CR66" s="347">
        <f t="shared" ca="1" si="71"/>
        <v>-2.2000000000000171</v>
      </c>
      <c r="CS66" s="114">
        <v>21.479000000000003</v>
      </c>
      <c r="CT66" s="345">
        <f t="shared" si="20"/>
        <v>51.140476190476193</v>
      </c>
      <c r="CU66" s="345">
        <f t="shared" si="72"/>
        <v>0.29999999999999716</v>
      </c>
      <c r="CV66" s="345">
        <f t="shared" ca="1" si="91"/>
        <v>1.1999999999999942</v>
      </c>
      <c r="CW66" s="347">
        <f t="shared" ca="1" si="73"/>
        <v>53.129978354978356</v>
      </c>
      <c r="CX66" s="483">
        <v>0.19800000000000001</v>
      </c>
      <c r="CY66" s="190">
        <f t="shared" si="47"/>
        <v>1.6488694691596528E-4</v>
      </c>
      <c r="CZ66" s="190">
        <f t="shared" ca="1" si="78"/>
        <v>-0.03</v>
      </c>
      <c r="DA66" s="354">
        <f t="shared" ca="1" si="79"/>
        <v>0.16783511305308405</v>
      </c>
      <c r="DB66" s="483">
        <v>0.19800000000000001</v>
      </c>
      <c r="DC66" s="190">
        <f t="shared" si="49"/>
        <v>1.6488694691596528E-4</v>
      </c>
      <c r="DD66" s="190">
        <f t="shared" ca="1" si="82"/>
        <v>0.03</v>
      </c>
      <c r="DE66" s="354">
        <f t="shared" ca="1" si="83"/>
        <v>0.22783511305308404</v>
      </c>
      <c r="DG66" s="341"/>
      <c r="DH66" s="114">
        <v>16.332999999999998</v>
      </c>
      <c r="DI66" s="126">
        <f t="shared" ca="1" si="74"/>
        <v>-2.650500000000001</v>
      </c>
      <c r="DJ66" s="126">
        <f t="shared" ca="1" si="22"/>
        <v>-2</v>
      </c>
      <c r="DK66" s="356">
        <f t="shared" ca="1" si="23"/>
        <v>16.983499999999999</v>
      </c>
      <c r="DL66" s="114">
        <v>13.733000000000001</v>
      </c>
      <c r="DM66" s="126">
        <f t="shared" ca="1" si="75"/>
        <v>-5.2504999999999988</v>
      </c>
      <c r="DN66" s="126">
        <f t="shared" ca="1" si="24"/>
        <v>-3</v>
      </c>
      <c r="DO66" s="356">
        <f t="shared" ca="1" si="25"/>
        <v>15.983499999999999</v>
      </c>
      <c r="DP66" s="114">
        <v>12.983000000000001</v>
      </c>
      <c r="DQ66" s="126">
        <f t="shared" ca="1" si="76"/>
        <v>-6.0004999999999988</v>
      </c>
      <c r="DR66" s="126">
        <f t="shared" ca="1" si="26"/>
        <v>-6</v>
      </c>
      <c r="DS66" s="356">
        <f t="shared" ca="1" si="27"/>
        <v>12.983499999999999</v>
      </c>
      <c r="DT66" s="114">
        <v>15.132999999999999</v>
      </c>
      <c r="DU66" s="126">
        <f t="shared" ca="1" si="77"/>
        <v>-3.8505000000000003</v>
      </c>
      <c r="DV66" s="126">
        <f t="shared" ca="1" si="28"/>
        <v>-5</v>
      </c>
      <c r="DW66" s="356">
        <f t="shared" ca="1" si="29"/>
        <v>13.983499999999999</v>
      </c>
    </row>
    <row r="67" spans="2:127" x14ac:dyDescent="0.25">
      <c r="B67" s="396">
        <v>37591</v>
      </c>
      <c r="C67" s="400">
        <v>37579</v>
      </c>
      <c r="I67" s="136">
        <f t="shared" ca="1" si="105"/>
        <v>38838</v>
      </c>
      <c r="J67" s="131">
        <f t="shared" ca="1" si="31"/>
        <v>38827</v>
      </c>
      <c r="K67" s="106">
        <f t="shared" ca="1" si="106"/>
        <v>0.69565217391304346</v>
      </c>
      <c r="L67" s="133">
        <f t="shared" ca="1" si="93"/>
        <v>106</v>
      </c>
      <c r="M67" s="134">
        <f t="shared" ca="1" si="94"/>
        <v>5</v>
      </c>
      <c r="N67" s="103">
        <f t="shared" ca="1" si="97"/>
        <v>23</v>
      </c>
      <c r="O67" s="104">
        <f t="shared" ca="1" si="33"/>
        <v>1878</v>
      </c>
      <c r="P67" s="105">
        <f t="shared" ca="1" si="95"/>
        <v>5.1581108829568789</v>
      </c>
      <c r="Q67" s="105">
        <f t="shared" ca="1" si="96"/>
        <v>5.2402464065708418</v>
      </c>
      <c r="R67" s="114">
        <v>18.984999999999999</v>
      </c>
      <c r="S67" s="198">
        <v>0</v>
      </c>
      <c r="T67" s="189">
        <f t="shared" si="34"/>
        <v>18.984999999999999</v>
      </c>
      <c r="U67" s="199">
        <f t="shared" ca="1" si="98"/>
        <v>18.978478260869565</v>
      </c>
      <c r="V67" s="379">
        <f t="shared" ca="1" si="99"/>
        <v>18.978478260869565</v>
      </c>
      <c r="W67" s="483">
        <v>0.19718264306442504</v>
      </c>
      <c r="X67" s="166" t="str">
        <f t="shared" ca="1" si="100"/>
        <v/>
      </c>
      <c r="Y67" s="91">
        <f t="shared" ca="1" si="108"/>
        <v>4.0267540371115773E-3</v>
      </c>
      <c r="Z67" s="91">
        <f t="shared" ca="1" si="109"/>
        <v>1.7794764438032943E-3</v>
      </c>
      <c r="AA67" s="91">
        <f t="shared" ca="1" si="110"/>
        <v>7.1823584577000938E-4</v>
      </c>
      <c r="AB67" s="91">
        <f t="shared" ca="1" si="111"/>
        <v>1.6180417133506804E-3</v>
      </c>
      <c r="AC67" s="91">
        <f t="shared" ca="1" si="112"/>
        <v>4.0088045326001544E-3</v>
      </c>
      <c r="AD67" s="91">
        <f t="shared" ca="1" si="113"/>
        <v>9.0714714948049464E-3</v>
      </c>
      <c r="AE67" s="124">
        <v>7.3111100095930026E-2</v>
      </c>
      <c r="AF67" s="191">
        <f t="shared" ca="1" si="57"/>
        <v>0.68640756840258255</v>
      </c>
      <c r="AG67" s="189">
        <f t="shared" ca="1" si="107"/>
        <v>1</v>
      </c>
      <c r="AH67" s="192">
        <f t="shared" ca="1" si="101"/>
        <v>0</v>
      </c>
      <c r="AI67" s="192">
        <f t="shared" ca="1" si="114"/>
        <v>0</v>
      </c>
      <c r="AJ67" s="192">
        <f t="shared" ca="1" si="103"/>
        <v>0</v>
      </c>
      <c r="AK67" s="192">
        <f t="shared" ca="1" si="115"/>
        <v>0</v>
      </c>
      <c r="AL67" s="191" t="str">
        <f t="shared" ca="1" si="60"/>
        <v/>
      </c>
      <c r="AM67" s="191" t="str">
        <f t="shared" ca="1" si="61"/>
        <v/>
      </c>
      <c r="AN67" s="191" t="str">
        <f t="shared" ca="1" si="62"/>
        <v/>
      </c>
      <c r="AO67" s="193" t="str">
        <f t="shared" ca="1" si="63"/>
        <v/>
      </c>
      <c r="AP67" s="194" t="str">
        <f t="shared" ca="1" si="36"/>
        <v/>
      </c>
      <c r="AQ67" s="194" t="str">
        <f t="shared" ca="1" si="37"/>
        <v/>
      </c>
      <c r="AR67" s="195">
        <f ca="1">IF(AH67,_xll.xASN(AL67,Strike1,AE67,AP67,0,N67,0,P67,Q67,IF(OptControl=4,0,1),0),0)</f>
        <v>0</v>
      </c>
      <c r="AS67" s="196">
        <f ca="1">IF(AH67,_xll.xASN(AL67,Strike1,AE67,AP67,0,N67,0,P67,Q67,IF(OptControl=4,0,1),1),0)</f>
        <v>0</v>
      </c>
      <c r="AT67" s="196">
        <f ca="1">IF(AH67,_xll.xASN(AL67,Strike1,AE67,AP67,0,N67,0,P67,Q67,IF(OptControl=4,0,1),2),0)</f>
        <v>0</v>
      </c>
      <c r="AU67" s="196">
        <f ca="1">IF(AH67,_xll.xASN(AL67,Strike1,AE67,AP67,0,N67,0,P67,Q67,IF(OptControl=4,0,1),3)/100,0)</f>
        <v>0</v>
      </c>
      <c r="AV67" s="196">
        <f ca="1">IF(AH67,_xll.xASN(AL67,Strike1,AE67,AP67,0,N67,0,P67-DaysForThetaCalculation/365.25,Q67-DaysForThetaCalculation/365.25,IF(OptControl=4,0,1),0)-_xll.xASN(AL67,Strike1,AE67,AP67,0,N67,0,P67,Q67,IF(OptControl=4,0,1),0),0)</f>
        <v>0</v>
      </c>
      <c r="AW67" s="196">
        <f ca="1">IF(AH67,_xll.xASN(AL67,Strike2,AE67,AQ67,0,N67,0,P67,Q67,IF(OptControl=3,1,0),0),0)</f>
        <v>0</v>
      </c>
      <c r="AX67" s="196">
        <f ca="1">IF(AH67,_xll.xASN(AL67,Strike2,AE67,AQ67,0,N67,0,P67,Q67,IF(OptControl=3,1,0),1),0)</f>
        <v>0</v>
      </c>
      <c r="AY67" s="196">
        <f ca="1">IF(AH67,_xll.xASN(AL67,Strike2,AE67,AQ67,0,N67,0,P67,Q67,IF(OptControl=3,1,0),2),0)</f>
        <v>0</v>
      </c>
      <c r="AZ67" s="196">
        <f ca="1">IF(AH67,_xll.xASN(AL67,Strike2,AE67,AQ67,0,N67,0,P67,Q67,IF(OptControl=3,1,0),3)/100,0)</f>
        <v>0</v>
      </c>
      <c r="BA67" s="196">
        <f ca="1">IF(AH67,_xll.xASN(AL67,Strike2,AE67,AQ67,0,N67,0,P67-DaysForThetaCalculation/365.25,Q67-DaysForThetaCalculation/365.25,IF(OptControl=3,1,0),0)-_xll.xASN(AL67,Strike2,AE67,AQ67,0,N67,0,P67,Q67,IF(OptControl=3,1,0),0),0)</f>
        <v>0</v>
      </c>
      <c r="BB67" s="126" t="str">
        <f t="shared" ca="1" si="64"/>
        <v/>
      </c>
      <c r="BC67" s="191" t="str">
        <f t="shared" ca="1" si="65"/>
        <v/>
      </c>
      <c r="BD67" s="191" t="str">
        <f t="shared" ca="1" si="66"/>
        <v/>
      </c>
      <c r="BE67" s="190" t="str">
        <f t="shared" ca="1" si="67"/>
        <v/>
      </c>
      <c r="BF67" s="194" t="str">
        <f t="shared" ca="1" si="68"/>
        <v/>
      </c>
      <c r="BG67" s="194" t="str">
        <f t="shared" ca="1" si="69"/>
        <v/>
      </c>
      <c r="BH67" s="195">
        <f ca="1">IF(AH67,_xll.xEURO(BB67,Strike1,AE67,AE67,BF67,O67,IF(OptControl=4,0,1),0),0)</f>
        <v>0</v>
      </c>
      <c r="BI67" s="196">
        <f ca="1">IF(AH67,_xll.xEURO(BB67,Strike1,AE67,AE67,BF67,O67,IF(OptControl=4,0,1),1),0)</f>
        <v>0</v>
      </c>
      <c r="BJ67" s="196">
        <f ca="1">IF(AH67,_xll.xEURO(BB67,Strike1,AE67,AE67,BF67,O67,IF(OptControl=4,0,1),2),0)</f>
        <v>0</v>
      </c>
      <c r="BK67" s="196">
        <f ca="1">IF(AH67,_xll.xEURO(BB67,Strike1,AE67,AE67,BF67,O67,IF(OptControl=4,0,1),3)/100,0)</f>
        <v>0</v>
      </c>
      <c r="BL67" s="196">
        <f ca="1">IF(AH67,_xll.xEURO(BB67,Strike1,AE67,AE67,BF67,O67-DaysForThetaCalculation,IF(OptControl=4,0,1),0)-_xll.xEURO(BB67,Strike1,AE67,AE67,BF67,O67,IF(OptControl=4,0,1),0),0)</f>
        <v>0</v>
      </c>
      <c r="BM67" s="196">
        <f ca="1">IF(AH67,_xll.xEURO(BB67,Strike2,AE67,AE67,BG67,O67,IF(OptControl=3,1,0),0),0)</f>
        <v>0</v>
      </c>
      <c r="BN67" s="196">
        <f ca="1">IF(AH67,_xll.xEURO(BB67,Strike2,AE67,AE67,BG67,O67,IF(OptControl=3,1,0),1),0)</f>
        <v>0</v>
      </c>
      <c r="BO67" s="196">
        <f ca="1">IF(AH67,_xll.xEURO(BB67,Strike2,AE67,AE67,BG67,O67,IF(OptControl=3,1,0),2),0)</f>
        <v>0</v>
      </c>
      <c r="BP67" s="196">
        <f ca="1">IF(AH67,_xll.xEURO(BB67,Strike2,AE67,AE67,BG67,O67,IF(OptControl=3,1,0),3)/100,0)</f>
        <v>0</v>
      </c>
      <c r="BQ67" s="197">
        <f ca="1">IF(AH67,_xll.xEURO(BB67,Strike2,AE67,AE67,BG67,O67-DaysForThetaCalculation,IF(OptControl=3,1,0),0)-_xll.xEURO(BB67,Strike2,AE67,AE67,BG67,O67,IF(OptControl=3,1,0),0),0)</f>
        <v>0</v>
      </c>
      <c r="BR67" s="301"/>
      <c r="BS67" s="114">
        <v>27.265999999999998</v>
      </c>
      <c r="BT67" s="345">
        <f t="shared" si="11"/>
        <v>64.919047619047618</v>
      </c>
      <c r="BU67" s="345">
        <f t="shared" ca="1" si="84"/>
        <v>7.7255217391304356</v>
      </c>
      <c r="BV67" s="73"/>
      <c r="BW67" s="345">
        <f t="shared" ca="1" si="80"/>
        <v>8.3039130434782624</v>
      </c>
      <c r="BX67" s="345">
        <f t="shared" ca="1" si="85"/>
        <v>66.140986394557828</v>
      </c>
      <c r="BY67" s="373">
        <f t="shared" ca="1" si="41"/>
        <v>64.958074534161483</v>
      </c>
      <c r="BZ67" s="114">
        <v>24.814</v>
      </c>
      <c r="CA67" s="345">
        <f t="shared" si="12"/>
        <v>59.080952380952382</v>
      </c>
      <c r="CB67" s="345">
        <f t="shared" ca="1" si="86"/>
        <v>5.835521739130435</v>
      </c>
      <c r="CC67" s="345">
        <f t="shared" ca="1" si="81"/>
        <v>5.6789130434782624</v>
      </c>
      <c r="CD67" s="345">
        <f t="shared" ca="1" si="15"/>
        <v>58.70807453416149</v>
      </c>
      <c r="CE67" s="347">
        <f t="shared" ca="1" si="70"/>
        <v>-6.2499999999999929</v>
      </c>
      <c r="CF67" s="114">
        <v>21.353000000000002</v>
      </c>
      <c r="CG67" s="345">
        <f t="shared" si="16"/>
        <v>50.840476190476195</v>
      </c>
      <c r="CH67" s="345">
        <f t="shared" ca="1" si="42"/>
        <v>1.9715217391304343</v>
      </c>
      <c r="CI67" s="73"/>
      <c r="CJ67" s="345">
        <f t="shared" ca="1" si="89"/>
        <v>2.4220869565217367</v>
      </c>
      <c r="CK67" s="345">
        <f t="shared" ca="1" si="90"/>
        <v>51.92997835497836</v>
      </c>
      <c r="CL67" s="345">
        <f t="shared" ca="1" si="45"/>
        <v>50.953726708074534</v>
      </c>
      <c r="CM67" s="114">
        <v>20.131</v>
      </c>
      <c r="CN67" s="345">
        <f t="shared" si="17"/>
        <v>47.930952380952377</v>
      </c>
      <c r="CO67" s="345">
        <f t="shared" ca="1" si="46"/>
        <v>1.1525217391304352</v>
      </c>
      <c r="CP67" s="345">
        <f t="shared" ca="1" si="92"/>
        <v>1.4980869565217407</v>
      </c>
      <c r="CQ67" s="345">
        <f t="shared" ca="1" si="19"/>
        <v>48.753726708074531</v>
      </c>
      <c r="CR67" s="347">
        <f t="shared" ca="1" si="71"/>
        <v>-2.2000000000000028</v>
      </c>
      <c r="CS67" s="114">
        <v>21.076000000000001</v>
      </c>
      <c r="CT67" s="345">
        <f t="shared" si="20"/>
        <v>50.180952380952377</v>
      </c>
      <c r="CU67" s="345">
        <f t="shared" si="72"/>
        <v>0.29999999999999716</v>
      </c>
      <c r="CV67" s="345">
        <f t="shared" ca="1" si="91"/>
        <v>1.2000000000000084</v>
      </c>
      <c r="CW67" s="347">
        <f t="shared" ca="1" si="73"/>
        <v>52.153726708074544</v>
      </c>
      <c r="CX67" s="483">
        <v>0.19700000000000001</v>
      </c>
      <c r="CY67" s="190">
        <f t="shared" si="47"/>
        <v>-1.8264306442503098E-4</v>
      </c>
      <c r="CZ67" s="190">
        <f t="shared" ca="1" si="78"/>
        <v>-0.03</v>
      </c>
      <c r="DA67" s="354">
        <f t="shared" ca="1" si="79"/>
        <v>0.16718264306442504</v>
      </c>
      <c r="DB67" s="483">
        <v>0.19700000000000001</v>
      </c>
      <c r="DC67" s="190">
        <f t="shared" si="49"/>
        <v>-1.8264306442503098E-4</v>
      </c>
      <c r="DD67" s="190">
        <f t="shared" ca="1" si="82"/>
        <v>0.03</v>
      </c>
      <c r="DE67" s="354">
        <f t="shared" ca="1" si="83"/>
        <v>0.22718264306442504</v>
      </c>
      <c r="DG67" s="341"/>
      <c r="DH67" s="114">
        <v>16.327999999999999</v>
      </c>
      <c r="DI67" s="126">
        <f t="shared" ca="1" si="74"/>
        <v>-2.6504782608695656</v>
      </c>
      <c r="DJ67" s="126">
        <f t="shared" ca="1" si="22"/>
        <v>-2</v>
      </c>
      <c r="DK67" s="356">
        <f t="shared" ca="1" si="23"/>
        <v>16.978478260869565</v>
      </c>
      <c r="DL67" s="114">
        <v>13.728</v>
      </c>
      <c r="DM67" s="126">
        <f t="shared" ca="1" si="75"/>
        <v>-5.2504782608695653</v>
      </c>
      <c r="DN67" s="126">
        <f t="shared" ca="1" si="24"/>
        <v>-3</v>
      </c>
      <c r="DO67" s="356">
        <f t="shared" ca="1" si="25"/>
        <v>15.978478260869565</v>
      </c>
      <c r="DP67" s="114">
        <v>12.978</v>
      </c>
      <c r="DQ67" s="126">
        <f t="shared" ca="1" si="76"/>
        <v>-6.0004782608695653</v>
      </c>
      <c r="DR67" s="126">
        <f t="shared" ca="1" si="26"/>
        <v>-6</v>
      </c>
      <c r="DS67" s="356">
        <f t="shared" ca="1" si="27"/>
        <v>12.978478260869565</v>
      </c>
      <c r="DT67" s="114">
        <v>15.128</v>
      </c>
      <c r="DU67" s="126">
        <f t="shared" ca="1" si="77"/>
        <v>-3.8504782608695649</v>
      </c>
      <c r="DV67" s="126">
        <f t="shared" ca="1" si="28"/>
        <v>-5</v>
      </c>
      <c r="DW67" s="356">
        <f t="shared" ca="1" si="29"/>
        <v>13.978478260869565</v>
      </c>
    </row>
    <row r="68" spans="2:127" x14ac:dyDescent="0.25">
      <c r="B68" s="396">
        <v>37622</v>
      </c>
      <c r="C68" s="400">
        <v>37609</v>
      </c>
      <c r="I68" s="136">
        <f t="shared" ca="1" si="105"/>
        <v>38869</v>
      </c>
      <c r="J68" s="131">
        <f t="shared" ca="1" si="31"/>
        <v>38859</v>
      </c>
      <c r="K68" s="106">
        <f t="shared" ca="1" si="106"/>
        <v>0.63636363636363635</v>
      </c>
      <c r="L68" s="133">
        <f t="shared" ca="1" si="93"/>
        <v>106</v>
      </c>
      <c r="M68" s="134">
        <f t="shared" ca="1" si="94"/>
        <v>6</v>
      </c>
      <c r="N68" s="103">
        <f t="shared" ca="1" si="97"/>
        <v>22</v>
      </c>
      <c r="O68" s="104">
        <f t="shared" ca="1" si="33"/>
        <v>1909</v>
      </c>
      <c r="P68" s="105">
        <f t="shared" ca="1" si="95"/>
        <v>5.2429842573579739</v>
      </c>
      <c r="Q68" s="105">
        <f t="shared" ca="1" si="96"/>
        <v>5.3223819301848048</v>
      </c>
      <c r="R68" s="114">
        <v>18.98</v>
      </c>
      <c r="S68" s="198">
        <v>0</v>
      </c>
      <c r="T68" s="189">
        <f t="shared" si="34"/>
        <v>18.98</v>
      </c>
      <c r="U68" s="199">
        <f t="shared" ca="1" si="98"/>
        <v>18.973181818181818</v>
      </c>
      <c r="V68" s="379">
        <f t="shared" ca="1" si="99"/>
        <v>18.973181818181818</v>
      </c>
      <c r="W68" s="483">
        <v>0.19675970824803904</v>
      </c>
      <c r="X68" s="166" t="str">
        <f t="shared" ca="1" si="100"/>
        <v/>
      </c>
      <c r="Y68" s="91">
        <f t="shared" ca="1" si="108"/>
        <v>3.940547357577066E-3</v>
      </c>
      <c r="Z68" s="91">
        <f t="shared" ca="1" si="109"/>
        <v>1.7320571176289554E-3</v>
      </c>
      <c r="AA68" s="91">
        <f t="shared" ca="1" si="110"/>
        <v>6.972216693392671E-4</v>
      </c>
      <c r="AB68" s="91">
        <f t="shared" ca="1" si="111"/>
        <v>1.5707009766875043E-3</v>
      </c>
      <c r="AC68" s="91">
        <f t="shared" ca="1" si="112"/>
        <v>3.9019782745946044E-3</v>
      </c>
      <c r="AD68" s="91">
        <f t="shared" ca="1" si="113"/>
        <v>8.8772650871495988E-3</v>
      </c>
      <c r="AE68" s="124">
        <v>7.3129013557770003E-2</v>
      </c>
      <c r="AF68" s="191">
        <f t="shared" ca="1" si="57"/>
        <v>0.68230838367491697</v>
      </c>
      <c r="AG68" s="189">
        <f t="shared" ca="1" si="107"/>
        <v>1</v>
      </c>
      <c r="AH68" s="192">
        <f t="shared" ca="1" si="101"/>
        <v>0</v>
      </c>
      <c r="AI68" s="192">
        <f t="shared" ca="1" si="114"/>
        <v>0</v>
      </c>
      <c r="AJ68" s="192">
        <f t="shared" ca="1" si="103"/>
        <v>0</v>
      </c>
      <c r="AK68" s="192">
        <f t="shared" ca="1" si="115"/>
        <v>0</v>
      </c>
      <c r="AL68" s="191" t="str">
        <f t="shared" ca="1" si="60"/>
        <v/>
      </c>
      <c r="AM68" s="191" t="str">
        <f t="shared" ca="1" si="61"/>
        <v/>
      </c>
      <c r="AN68" s="191" t="str">
        <f t="shared" ca="1" si="62"/>
        <v/>
      </c>
      <c r="AO68" s="193" t="str">
        <f t="shared" ca="1" si="63"/>
        <v/>
      </c>
      <c r="AP68" s="194" t="str">
        <f t="shared" ca="1" si="36"/>
        <v/>
      </c>
      <c r="AQ68" s="194" t="str">
        <f t="shared" ca="1" si="37"/>
        <v/>
      </c>
      <c r="AR68" s="195">
        <f ca="1">IF(AH68,_xll.xASN(AL68,Strike1,AE68,AP68,0,N68,0,P68,Q68,IF(OptControl=4,0,1),0),0)</f>
        <v>0</v>
      </c>
      <c r="AS68" s="196">
        <f ca="1">IF(AH68,_xll.xASN(AL68,Strike1,AE68,AP68,0,N68,0,P68,Q68,IF(OptControl=4,0,1),1),0)</f>
        <v>0</v>
      </c>
      <c r="AT68" s="196">
        <f ca="1">IF(AH68,_xll.xASN(AL68,Strike1,AE68,AP68,0,N68,0,P68,Q68,IF(OptControl=4,0,1),2),0)</f>
        <v>0</v>
      </c>
      <c r="AU68" s="196">
        <f ca="1">IF(AH68,_xll.xASN(AL68,Strike1,AE68,AP68,0,N68,0,P68,Q68,IF(OptControl=4,0,1),3)/100,0)</f>
        <v>0</v>
      </c>
      <c r="AV68" s="196">
        <f ca="1">IF(AH68,_xll.xASN(AL68,Strike1,AE68,AP68,0,N68,0,P68-DaysForThetaCalculation/365.25,Q68-DaysForThetaCalculation/365.25,IF(OptControl=4,0,1),0)-_xll.xASN(AL68,Strike1,AE68,AP68,0,N68,0,P68,Q68,IF(OptControl=4,0,1),0),0)</f>
        <v>0</v>
      </c>
      <c r="AW68" s="196">
        <f ca="1">IF(AH68,_xll.xASN(AL68,Strike2,AE68,AQ68,0,N68,0,P68,Q68,IF(OptControl=3,1,0),0),0)</f>
        <v>0</v>
      </c>
      <c r="AX68" s="196">
        <f ca="1">IF(AH68,_xll.xASN(AL68,Strike2,AE68,AQ68,0,N68,0,P68,Q68,IF(OptControl=3,1,0),1),0)</f>
        <v>0</v>
      </c>
      <c r="AY68" s="196">
        <f ca="1">IF(AH68,_xll.xASN(AL68,Strike2,AE68,AQ68,0,N68,0,P68,Q68,IF(OptControl=3,1,0),2),0)</f>
        <v>0</v>
      </c>
      <c r="AZ68" s="196">
        <f ca="1">IF(AH68,_xll.xASN(AL68,Strike2,AE68,AQ68,0,N68,0,P68,Q68,IF(OptControl=3,1,0),3)/100,0)</f>
        <v>0</v>
      </c>
      <c r="BA68" s="196">
        <f ca="1">IF(AH68,_xll.xASN(AL68,Strike2,AE68,AQ68,0,N68,0,P68-DaysForThetaCalculation/365.25,Q68-DaysForThetaCalculation/365.25,IF(OptControl=3,1,0),0)-_xll.xASN(AL68,Strike2,AE68,AQ68,0,N68,0,P68,Q68,IF(OptControl=3,1,0),0),0)</f>
        <v>0</v>
      </c>
      <c r="BB68" s="126" t="str">
        <f t="shared" ca="1" si="64"/>
        <v/>
      </c>
      <c r="BC68" s="191" t="str">
        <f t="shared" ca="1" si="65"/>
        <v/>
      </c>
      <c r="BD68" s="191" t="str">
        <f t="shared" ca="1" si="66"/>
        <v/>
      </c>
      <c r="BE68" s="190" t="str">
        <f t="shared" ca="1" si="67"/>
        <v/>
      </c>
      <c r="BF68" s="194" t="str">
        <f t="shared" ca="1" si="68"/>
        <v/>
      </c>
      <c r="BG68" s="194" t="str">
        <f t="shared" ca="1" si="69"/>
        <v/>
      </c>
      <c r="BH68" s="195">
        <f ca="1">IF(AH68,_xll.xEURO(BB68,Strike1,AE68,AE68,BF68,O68,IF(OptControl=4,0,1),0),0)</f>
        <v>0</v>
      </c>
      <c r="BI68" s="196">
        <f ca="1">IF(AH68,_xll.xEURO(BB68,Strike1,AE68,AE68,BF68,O68,IF(OptControl=4,0,1),1),0)</f>
        <v>0</v>
      </c>
      <c r="BJ68" s="196">
        <f ca="1">IF(AH68,_xll.xEURO(BB68,Strike1,AE68,AE68,BF68,O68,IF(OptControl=4,0,1),2),0)</f>
        <v>0</v>
      </c>
      <c r="BK68" s="196">
        <f ca="1">IF(AH68,_xll.xEURO(BB68,Strike1,AE68,AE68,BF68,O68,IF(OptControl=4,0,1),3)/100,0)</f>
        <v>0</v>
      </c>
      <c r="BL68" s="196">
        <f ca="1">IF(AH68,_xll.xEURO(BB68,Strike1,AE68,AE68,BF68,O68-DaysForThetaCalculation,IF(OptControl=4,0,1),0)-_xll.xEURO(BB68,Strike1,AE68,AE68,BF68,O68,IF(OptControl=4,0,1),0),0)</f>
        <v>0</v>
      </c>
      <c r="BM68" s="196">
        <f ca="1">IF(AH68,_xll.xEURO(BB68,Strike2,AE68,AE68,BG68,O68,IF(OptControl=3,1,0),0),0)</f>
        <v>0</v>
      </c>
      <c r="BN68" s="196">
        <f ca="1">IF(AH68,_xll.xEURO(BB68,Strike2,AE68,AE68,BG68,O68,IF(OptControl=3,1,0),1),0)</f>
        <v>0</v>
      </c>
      <c r="BO68" s="196">
        <f ca="1">IF(AH68,_xll.xEURO(BB68,Strike2,AE68,AE68,BG68,O68,IF(OptControl=3,1,0),2),0)</f>
        <v>0</v>
      </c>
      <c r="BP68" s="196">
        <f ca="1">IF(AH68,_xll.xEURO(BB68,Strike2,AE68,AE68,BG68,O68,IF(OptControl=3,1,0),3)/100,0)</f>
        <v>0</v>
      </c>
      <c r="BQ68" s="197">
        <f ca="1">IF(AH68,_xll.xEURO(BB68,Strike2,AE68,AE68,BG68,O68-DaysForThetaCalculation,IF(OptControl=3,1,0),0)-_xll.xEURO(BB68,Strike2,AE68,AE68,BG68,O68,IF(OptControl=3,1,0),0),0)</f>
        <v>0</v>
      </c>
      <c r="BR68" s="301"/>
      <c r="BS68" s="114">
        <v>26.704000000000001</v>
      </c>
      <c r="BT68" s="345">
        <f t="shared" si="11"/>
        <v>63.580952380952382</v>
      </c>
      <c r="BU68" s="345">
        <f t="shared" ca="1" si="84"/>
        <v>7.2938181818181853</v>
      </c>
      <c r="BV68" s="73"/>
      <c r="BW68" s="345">
        <f t="shared" ca="1" si="80"/>
        <v>7.8236666666666697</v>
      </c>
      <c r="BX68" s="345">
        <f t="shared" ca="1" si="85"/>
        <v>64.958074534161483</v>
      </c>
      <c r="BY68" s="373">
        <f t="shared" ca="1" si="41"/>
        <v>63.802020202020209</v>
      </c>
      <c r="BZ68" s="114">
        <v>24.377000000000002</v>
      </c>
      <c r="CA68" s="345">
        <f t="shared" si="12"/>
        <v>58.040476190476198</v>
      </c>
      <c r="CB68" s="345">
        <f t="shared" ca="1" si="86"/>
        <v>5.4038181818181847</v>
      </c>
      <c r="CC68" s="345">
        <f t="shared" ca="1" si="81"/>
        <v>5.1986666666666732</v>
      </c>
      <c r="CD68" s="345">
        <f t="shared" ca="1" si="15"/>
        <v>57.552020202020209</v>
      </c>
      <c r="CE68" s="347">
        <f t="shared" ca="1" si="70"/>
        <v>-6.25</v>
      </c>
      <c r="CF68" s="114">
        <v>20.95</v>
      </c>
      <c r="CG68" s="345">
        <f t="shared" si="16"/>
        <v>49.88095238095238</v>
      </c>
      <c r="CH68" s="345">
        <f t="shared" ca="1" si="42"/>
        <v>2.0558181818181822</v>
      </c>
      <c r="CI68" s="73"/>
      <c r="CJ68" s="345">
        <f t="shared" ca="1" si="89"/>
        <v>2.4970000000000017</v>
      </c>
      <c r="CK68" s="345">
        <f t="shared" ca="1" si="90"/>
        <v>50.953726708074534</v>
      </c>
      <c r="CL68" s="345">
        <f t="shared" ca="1" si="45"/>
        <v>51.119480519480533</v>
      </c>
      <c r="CM68" s="114">
        <v>20.21</v>
      </c>
      <c r="CN68" s="345">
        <f t="shared" si="17"/>
        <v>48.11904761904762</v>
      </c>
      <c r="CO68" s="345">
        <f t="shared" ca="1" si="46"/>
        <v>1.2368181818181831</v>
      </c>
      <c r="CP68" s="345">
        <f t="shared" ca="1" si="92"/>
        <v>1.5729999999999986</v>
      </c>
      <c r="CQ68" s="345">
        <f t="shared" ca="1" si="19"/>
        <v>48.919480519480508</v>
      </c>
      <c r="CR68" s="347">
        <f t="shared" ca="1" si="71"/>
        <v>-2.2000000000000242</v>
      </c>
      <c r="CS68" s="114">
        <v>21.155000000000001</v>
      </c>
      <c r="CT68" s="345">
        <f t="shared" si="20"/>
        <v>50.36904761904762</v>
      </c>
      <c r="CU68" s="345">
        <f t="shared" si="72"/>
        <v>0.29999999999999716</v>
      </c>
      <c r="CV68" s="345">
        <f t="shared" ca="1" si="91"/>
        <v>1.1999999999999942</v>
      </c>
      <c r="CW68" s="347">
        <f t="shared" ca="1" si="73"/>
        <v>52.319480519480528</v>
      </c>
      <c r="CX68" s="483">
        <v>0.19700000000000001</v>
      </c>
      <c r="CY68" s="190">
        <f t="shared" si="47"/>
        <v>2.402917519609693E-4</v>
      </c>
      <c r="CZ68" s="190">
        <f t="shared" ca="1" si="78"/>
        <v>-0.03</v>
      </c>
      <c r="DA68" s="354">
        <f t="shared" ca="1" si="79"/>
        <v>0.16675970824803904</v>
      </c>
      <c r="DB68" s="483">
        <v>0.19700000000000001</v>
      </c>
      <c r="DC68" s="190">
        <f t="shared" si="49"/>
        <v>2.402917519609693E-4</v>
      </c>
      <c r="DD68" s="190">
        <f t="shared" ca="1" si="82"/>
        <v>0.03</v>
      </c>
      <c r="DE68" s="354">
        <f t="shared" ca="1" si="83"/>
        <v>0.22675970824803904</v>
      </c>
      <c r="DG68" s="341"/>
      <c r="DH68" s="114">
        <v>16.323</v>
      </c>
      <c r="DI68" s="126">
        <f t="shared" ca="1" si="74"/>
        <v>-2.6501818181818173</v>
      </c>
      <c r="DJ68" s="126">
        <f t="shared" ca="1" si="22"/>
        <v>-2</v>
      </c>
      <c r="DK68" s="356">
        <f t="shared" ca="1" si="23"/>
        <v>16.973181818181818</v>
      </c>
      <c r="DL68" s="114">
        <v>13.722999999999999</v>
      </c>
      <c r="DM68" s="126">
        <f t="shared" ca="1" si="75"/>
        <v>-5.2501818181818187</v>
      </c>
      <c r="DN68" s="126">
        <f t="shared" ca="1" si="24"/>
        <v>-3</v>
      </c>
      <c r="DO68" s="356">
        <f t="shared" ca="1" si="25"/>
        <v>15.973181818181818</v>
      </c>
      <c r="DP68" s="114">
        <v>12.972999999999999</v>
      </c>
      <c r="DQ68" s="126">
        <f t="shared" ca="1" si="76"/>
        <v>-6.0001818181818187</v>
      </c>
      <c r="DR68" s="126">
        <f t="shared" ca="1" si="26"/>
        <v>-6</v>
      </c>
      <c r="DS68" s="356">
        <f t="shared" ca="1" si="27"/>
        <v>12.973181818181818</v>
      </c>
      <c r="DT68" s="114">
        <v>15.122999999999999</v>
      </c>
      <c r="DU68" s="126">
        <f t="shared" ca="1" si="77"/>
        <v>-3.8501818181818184</v>
      </c>
      <c r="DV68" s="126">
        <f t="shared" ca="1" si="28"/>
        <v>-5</v>
      </c>
      <c r="DW68" s="356">
        <f t="shared" ca="1" si="29"/>
        <v>13.973181818181818</v>
      </c>
    </row>
    <row r="69" spans="2:127" x14ac:dyDescent="0.25">
      <c r="B69" s="396">
        <v>37653</v>
      </c>
      <c r="C69" s="400">
        <v>37643</v>
      </c>
      <c r="I69" s="136">
        <f t="shared" ca="1" si="105"/>
        <v>38899</v>
      </c>
      <c r="J69" s="131">
        <f t="shared" ca="1" si="31"/>
        <v>38888</v>
      </c>
      <c r="K69" s="106">
        <f t="shared" ca="1" si="106"/>
        <v>0.66666666666666663</v>
      </c>
      <c r="L69" s="133">
        <f t="shared" ca="1" si="93"/>
        <v>106</v>
      </c>
      <c r="M69" s="134">
        <f t="shared" ca="1" si="94"/>
        <v>7</v>
      </c>
      <c r="N69" s="103">
        <f t="shared" ref="N69:N100" ca="1" si="116">NETWORKDAYS(I69,I70-1)</f>
        <v>21</v>
      </c>
      <c r="O69" s="104">
        <f t="shared" ca="1" si="33"/>
        <v>1941</v>
      </c>
      <c r="P69" s="105">
        <f t="shared" ca="1" si="95"/>
        <v>5.3251197809719368</v>
      </c>
      <c r="Q69" s="105">
        <f t="shared" ca="1" si="96"/>
        <v>5.4072553045858998</v>
      </c>
      <c r="R69" s="114">
        <v>18.975000000000001</v>
      </c>
      <c r="S69" s="198">
        <v>0</v>
      </c>
      <c r="T69" s="189">
        <f t="shared" si="34"/>
        <v>18.975000000000001</v>
      </c>
      <c r="U69" s="199">
        <f t="shared" ref="U69:U100" ca="1" si="117">R70*K69+R71*(1-K69)</f>
        <v>18.968333333333334</v>
      </c>
      <c r="V69" s="379">
        <f t="shared" ref="V69:V100" ca="1" si="118">T70*K69+T71*(1-K69)</f>
        <v>18.968333333333334</v>
      </c>
      <c r="W69" s="483">
        <v>0.19633317284935803</v>
      </c>
      <c r="X69" s="166" t="str">
        <f t="shared" ref="X69:X100" ca="1" si="119">IF($I69-DateToday+1&gt;=$A$10,"",IF($I69-DateToday+1&lt;$A$5,1,MATCH($I69-DateToday+1,$A$5:$A$10)))</f>
        <v/>
      </c>
      <c r="Y69" s="91">
        <f t="shared" ca="1" si="108"/>
        <v>3.856186231937299E-3</v>
      </c>
      <c r="Z69" s="91">
        <f t="shared" ca="1" si="109"/>
        <v>1.6859014173388808E-3</v>
      </c>
      <c r="AA69" s="91">
        <f t="shared" ca="1" si="110"/>
        <v>6.7682232662040801E-4</v>
      </c>
      <c r="AB69" s="91">
        <f t="shared" ca="1" si="111"/>
        <v>1.5247453374104586E-3</v>
      </c>
      <c r="AC69" s="91">
        <f t="shared" ca="1" si="112"/>
        <v>3.7979987129811246E-3</v>
      </c>
      <c r="AD69" s="91">
        <f t="shared" ca="1" si="113"/>
        <v>8.687216343308329E-3</v>
      </c>
      <c r="AE69" s="124">
        <v>7.3146349166104019E-2</v>
      </c>
      <c r="AF69" s="191">
        <f t="shared" ca="1" si="57"/>
        <v>0.67810040985213638</v>
      </c>
      <c r="AG69" s="189">
        <f t="shared" ca="1" si="107"/>
        <v>1</v>
      </c>
      <c r="AH69" s="192">
        <f t="shared" ref="AH69:AH100" ca="1" si="120">IF(OR(DateStart&gt;=I70,DateEnd&lt;I69),0,Volume*AG69)</f>
        <v>0</v>
      </c>
      <c r="AI69" s="192">
        <f t="shared" ref="AI69:AI84" ca="1" si="121">AH69*AF69</f>
        <v>0</v>
      </c>
      <c r="AJ69" s="192">
        <f t="shared" ref="AJ69:AJ100" ca="1" si="122">IF(OR(DateStart2&gt;=I70,DateEnd2&lt;I69),0,VolumeSwaption*AG69)</f>
        <v>0</v>
      </c>
      <c r="AK69" s="192">
        <f t="shared" ref="AK69:AK84" ca="1" si="123">AJ69*AF69</f>
        <v>0</v>
      </c>
      <c r="AL69" s="191" t="str">
        <f t="shared" ca="1" si="60"/>
        <v/>
      </c>
      <c r="AM69" s="191" t="str">
        <f t="shared" ca="1" si="61"/>
        <v/>
      </c>
      <c r="AN69" s="191" t="str">
        <f t="shared" ca="1" si="62"/>
        <v/>
      </c>
      <c r="AO69" s="193" t="str">
        <f t="shared" ca="1" si="63"/>
        <v/>
      </c>
      <c r="AP69" s="194" t="str">
        <f t="shared" ca="1" si="36"/>
        <v/>
      </c>
      <c r="AQ69" s="194" t="str">
        <f t="shared" ca="1" si="37"/>
        <v/>
      </c>
      <c r="AR69" s="195">
        <f ca="1">IF(AH69,_xll.xASN(AL69,Strike1,AE69,AP69,0,N69,0,P69,Q69,IF(OptControl=4,0,1),0),0)</f>
        <v>0</v>
      </c>
      <c r="AS69" s="196">
        <f ca="1">IF(AH69,_xll.xASN(AL69,Strike1,AE69,AP69,0,N69,0,P69,Q69,IF(OptControl=4,0,1),1),0)</f>
        <v>0</v>
      </c>
      <c r="AT69" s="196">
        <f ca="1">IF(AH69,_xll.xASN(AL69,Strike1,AE69,AP69,0,N69,0,P69,Q69,IF(OptControl=4,0,1),2),0)</f>
        <v>0</v>
      </c>
      <c r="AU69" s="196">
        <f ca="1">IF(AH69,_xll.xASN(AL69,Strike1,AE69,AP69,0,N69,0,P69,Q69,IF(OptControl=4,0,1),3)/100,0)</f>
        <v>0</v>
      </c>
      <c r="AV69" s="196">
        <f ca="1">IF(AH69,_xll.xASN(AL69,Strike1,AE69,AP69,0,N69,0,P69-DaysForThetaCalculation/365.25,Q69-DaysForThetaCalculation/365.25,IF(OptControl=4,0,1),0)-_xll.xASN(AL69,Strike1,AE69,AP69,0,N69,0,P69,Q69,IF(OptControl=4,0,1),0),0)</f>
        <v>0</v>
      </c>
      <c r="AW69" s="196">
        <f ca="1">IF(AH69,_xll.xASN(AL69,Strike2,AE69,AQ69,0,N69,0,P69,Q69,IF(OptControl=3,1,0),0),0)</f>
        <v>0</v>
      </c>
      <c r="AX69" s="196">
        <f ca="1">IF(AH69,_xll.xASN(AL69,Strike2,AE69,AQ69,0,N69,0,P69,Q69,IF(OptControl=3,1,0),1),0)</f>
        <v>0</v>
      </c>
      <c r="AY69" s="196">
        <f ca="1">IF(AH69,_xll.xASN(AL69,Strike2,AE69,AQ69,0,N69,0,P69,Q69,IF(OptControl=3,1,0),2),0)</f>
        <v>0</v>
      </c>
      <c r="AZ69" s="196">
        <f ca="1">IF(AH69,_xll.xASN(AL69,Strike2,AE69,AQ69,0,N69,0,P69,Q69,IF(OptControl=3,1,0),3)/100,0)</f>
        <v>0</v>
      </c>
      <c r="BA69" s="196">
        <f ca="1">IF(AH69,_xll.xASN(AL69,Strike2,AE69,AQ69,0,N69,0,P69-DaysForThetaCalculation/365.25,Q69-DaysForThetaCalculation/365.25,IF(OptControl=3,1,0),0)-_xll.xASN(AL69,Strike2,AE69,AQ69,0,N69,0,P69,Q69,IF(OptControl=3,1,0),0),0)</f>
        <v>0</v>
      </c>
      <c r="BB69" s="126" t="str">
        <f t="shared" ca="1" si="64"/>
        <v/>
      </c>
      <c r="BC69" s="191" t="str">
        <f t="shared" ca="1" si="65"/>
        <v/>
      </c>
      <c r="BD69" s="191" t="str">
        <f t="shared" ca="1" si="66"/>
        <v/>
      </c>
      <c r="BE69" s="190" t="str">
        <f t="shared" ca="1" si="67"/>
        <v/>
      </c>
      <c r="BF69" s="194" t="str">
        <f t="shared" ca="1" si="68"/>
        <v/>
      </c>
      <c r="BG69" s="194" t="str">
        <f t="shared" ca="1" si="69"/>
        <v/>
      </c>
      <c r="BH69" s="195">
        <f ca="1">IF(AH69,_xll.xEURO(BB69,Strike1,AE69,AE69,BF69,O69,IF(OptControl=4,0,1),0),0)</f>
        <v>0</v>
      </c>
      <c r="BI69" s="196">
        <f ca="1">IF(AH69,_xll.xEURO(BB69,Strike1,AE69,AE69,BF69,O69,IF(OptControl=4,0,1),1),0)</f>
        <v>0</v>
      </c>
      <c r="BJ69" s="196">
        <f ca="1">IF(AH69,_xll.xEURO(BB69,Strike1,AE69,AE69,BF69,O69,IF(OptControl=4,0,1),2),0)</f>
        <v>0</v>
      </c>
      <c r="BK69" s="196">
        <f ca="1">IF(AH69,_xll.xEURO(BB69,Strike1,AE69,AE69,BF69,O69,IF(OptControl=4,0,1),3)/100,0)</f>
        <v>0</v>
      </c>
      <c r="BL69" s="196">
        <f ca="1">IF(AH69,_xll.xEURO(BB69,Strike1,AE69,AE69,BF69,O69-DaysForThetaCalculation,IF(OptControl=4,0,1),0)-_xll.xEURO(BB69,Strike1,AE69,AE69,BF69,O69,IF(OptControl=4,0,1),0),0)</f>
        <v>0</v>
      </c>
      <c r="BM69" s="196">
        <f ca="1">IF(AH69,_xll.xEURO(BB69,Strike2,AE69,AE69,BG69,O69,IF(OptControl=3,1,0),0),0)</f>
        <v>0</v>
      </c>
      <c r="BN69" s="196">
        <f ca="1">IF(AH69,_xll.xEURO(BB69,Strike2,AE69,AE69,BG69,O69,IF(OptControl=3,1,0),1),0)</f>
        <v>0</v>
      </c>
      <c r="BO69" s="196">
        <f ca="1">IF(AH69,_xll.xEURO(BB69,Strike2,AE69,AE69,BG69,O69,IF(OptControl=3,1,0),2),0)</f>
        <v>0</v>
      </c>
      <c r="BP69" s="196">
        <f ca="1">IF(AH69,_xll.xEURO(BB69,Strike2,AE69,AE69,BG69,O69,IF(OptControl=3,1,0),3)/100,0)</f>
        <v>0</v>
      </c>
      <c r="BQ69" s="197">
        <f ca="1">IF(AH69,_xll.xEURO(BB69,Strike2,AE69,AE69,BG69,O69-DaysForThetaCalculation,IF(OptControl=3,1,0),0)-_xll.xEURO(BB69,Strike2,AE69,AE69,BG69,O69,IF(OptControl=3,1,0),0),0)</f>
        <v>0</v>
      </c>
      <c r="BR69" s="301"/>
      <c r="BS69" s="114">
        <v>26.267000000000003</v>
      </c>
      <c r="BT69" s="345">
        <f t="shared" si="11"/>
        <v>62.540476190476198</v>
      </c>
      <c r="BU69" s="345">
        <f t="shared" ca="1" si="84"/>
        <v>6.760666666666669</v>
      </c>
      <c r="BV69" s="73"/>
      <c r="BW69" s="345">
        <f t="shared" ca="1" si="80"/>
        <v>7.2833636363636476</v>
      </c>
      <c r="BX69" s="345">
        <f t="shared" ca="1" si="85"/>
        <v>63.802020202020209</v>
      </c>
      <c r="BY69" s="373">
        <f t="shared" ca="1" si="41"/>
        <v>62.504040404040424</v>
      </c>
      <c r="BZ69" s="114">
        <v>23.839000000000002</v>
      </c>
      <c r="CA69" s="345">
        <f t="shared" si="12"/>
        <v>56.759523809523813</v>
      </c>
      <c r="CB69" s="345">
        <f t="shared" ca="1" si="86"/>
        <v>4.8706666666666685</v>
      </c>
      <c r="CC69" s="345">
        <f t="shared" ca="1" si="81"/>
        <v>4.8683636363636449</v>
      </c>
      <c r="CD69" s="345">
        <f t="shared" ca="1" si="15"/>
        <v>56.754040404040431</v>
      </c>
      <c r="CE69" s="347">
        <f t="shared" ca="1" si="70"/>
        <v>-5.7499999999999929</v>
      </c>
      <c r="CF69" s="114">
        <v>21.029</v>
      </c>
      <c r="CG69" s="345">
        <f t="shared" si="16"/>
        <v>50.069047619047623</v>
      </c>
      <c r="CH69" s="345">
        <f t="shared" ca="1" si="42"/>
        <v>2.3846666666666678</v>
      </c>
      <c r="CI69" s="73"/>
      <c r="CJ69" s="345">
        <f t="shared" ca="1" si="89"/>
        <v>2.8360434782608746</v>
      </c>
      <c r="CK69" s="345">
        <f t="shared" ca="1" si="90"/>
        <v>51.119480519480533</v>
      </c>
      <c r="CL69" s="345">
        <f t="shared" ca="1" si="45"/>
        <v>51.91518288474812</v>
      </c>
      <c r="CM69" s="114">
        <v>20.429000000000002</v>
      </c>
      <c r="CN69" s="345">
        <f t="shared" si="17"/>
        <v>48.640476190476193</v>
      </c>
      <c r="CO69" s="345">
        <f t="shared" ca="1" si="46"/>
        <v>1.4606666666666683</v>
      </c>
      <c r="CP69" s="345">
        <f t="shared" ca="1" si="92"/>
        <v>1.9120434782608715</v>
      </c>
      <c r="CQ69" s="345">
        <f t="shared" ca="1" si="19"/>
        <v>49.71518288474811</v>
      </c>
      <c r="CR69" s="347">
        <f t="shared" ca="1" si="71"/>
        <v>-2.2000000000000099</v>
      </c>
      <c r="CS69" s="114">
        <v>21.479000000000003</v>
      </c>
      <c r="CT69" s="345">
        <f t="shared" si="20"/>
        <v>51.140476190476193</v>
      </c>
      <c r="CU69" s="345">
        <f t="shared" si="72"/>
        <v>0.29999999999999716</v>
      </c>
      <c r="CV69" s="345">
        <f t="shared" ca="1" si="91"/>
        <v>1.1999999999999942</v>
      </c>
      <c r="CW69" s="347">
        <f t="shared" ca="1" si="73"/>
        <v>53.115182884748116</v>
      </c>
      <c r="CX69" s="483">
        <v>0.19600000000000001</v>
      </c>
      <c r="CY69" s="190">
        <f t="shared" si="47"/>
        <v>-3.3317284935802105E-4</v>
      </c>
      <c r="CZ69" s="190">
        <f t="shared" ca="1" si="78"/>
        <v>-0.03</v>
      </c>
      <c r="DA69" s="354">
        <f t="shared" ca="1" si="79"/>
        <v>0.16633317284935803</v>
      </c>
      <c r="DB69" s="483">
        <v>0.19600000000000001</v>
      </c>
      <c r="DC69" s="190">
        <f t="shared" si="49"/>
        <v>-3.3317284935802105E-4</v>
      </c>
      <c r="DD69" s="190">
        <f t="shared" ca="1" si="82"/>
        <v>0.03</v>
      </c>
      <c r="DE69" s="354">
        <f t="shared" ca="1" si="83"/>
        <v>0.22633317284935803</v>
      </c>
      <c r="DG69" s="341"/>
      <c r="DH69" s="114">
        <v>16.318000000000001</v>
      </c>
      <c r="DI69" s="126">
        <f t="shared" ca="1" si="74"/>
        <v>-2.6503333333333323</v>
      </c>
      <c r="DJ69" s="126">
        <f t="shared" ref="DJ69:DJ132" ca="1" si="124">VLOOKUP(1900+$L69,ResidSpreadTable,2)</f>
        <v>-2</v>
      </c>
      <c r="DK69" s="356">
        <f t="shared" ref="DK69:DK132" ca="1" si="125">$V69+DJ69</f>
        <v>16.968333333333334</v>
      </c>
      <c r="DL69" s="114">
        <v>13.718</v>
      </c>
      <c r="DM69" s="126">
        <f t="shared" ca="1" si="75"/>
        <v>-5.2503333333333337</v>
      </c>
      <c r="DN69" s="126">
        <f t="shared" ca="1" si="24"/>
        <v>-3</v>
      </c>
      <c r="DO69" s="356">
        <f t="shared" ref="DO69:DO132" ca="1" si="126">$V69+DN69</f>
        <v>15.968333333333334</v>
      </c>
      <c r="DP69" s="114">
        <v>12.968</v>
      </c>
      <c r="DQ69" s="126">
        <f t="shared" ca="1" si="76"/>
        <v>-6.0003333333333337</v>
      </c>
      <c r="DR69" s="126">
        <f t="shared" ca="1" si="26"/>
        <v>-6</v>
      </c>
      <c r="DS69" s="356">
        <f t="shared" ref="DS69:DS132" ca="1" si="127">$V69+DR69</f>
        <v>12.968333333333334</v>
      </c>
      <c r="DT69" s="114">
        <v>15.268000000000001</v>
      </c>
      <c r="DU69" s="126">
        <f t="shared" ca="1" si="77"/>
        <v>-3.700333333333333</v>
      </c>
      <c r="DV69" s="126">
        <f t="shared" ca="1" si="28"/>
        <v>-5</v>
      </c>
      <c r="DW69" s="356">
        <f t="shared" ref="DW69:DW132" ca="1" si="128">$V69+DV69</f>
        <v>13.968333333333334</v>
      </c>
    </row>
    <row r="70" spans="2:127" x14ac:dyDescent="0.25">
      <c r="B70" s="396">
        <v>37681</v>
      </c>
      <c r="C70" s="400">
        <v>37672</v>
      </c>
      <c r="I70" s="136">
        <f t="shared" ref="I70:I101" ca="1" si="129">EOMONTH(I69,0)+1</f>
        <v>38930</v>
      </c>
      <c r="J70" s="131">
        <f t="shared" ref="J70:J133" ca="1" si="130">VLOOKUP(I70,$B$12:$C$332,2)</f>
        <v>38918</v>
      </c>
      <c r="K70" s="106">
        <f t="shared" ref="K70:K101" ca="1" si="131">NETWORKDAYS(I70,J71)/N70</f>
        <v>0.65217391304347827</v>
      </c>
      <c r="L70" s="133">
        <f t="shared" ca="1" si="93"/>
        <v>106</v>
      </c>
      <c r="M70" s="134">
        <f t="shared" ca="1" si="94"/>
        <v>8</v>
      </c>
      <c r="N70" s="103">
        <f t="shared" ca="1" si="116"/>
        <v>23</v>
      </c>
      <c r="O70" s="104">
        <f t="shared" ref="O70:O133" ca="1" si="132">I70-DateToday-IF(EuroExpDateToggle=1,3+IF(WEEKDAY(I70-1)=7,1,IF(WEEKDAY(I70-1)&lt;5,2,0)),1+IF(WEEKDAY(I70-1)=7,1,IF(WEEKDAY(I70-1)&lt;3,2,0)))</f>
        <v>1970</v>
      </c>
      <c r="P70" s="105">
        <f t="shared" ca="1" si="95"/>
        <v>5.4099931553730318</v>
      </c>
      <c r="Q70" s="105">
        <f t="shared" ca="1" si="96"/>
        <v>5.4921286789869956</v>
      </c>
      <c r="R70" s="114">
        <v>18.97</v>
      </c>
      <c r="S70" s="198">
        <v>0</v>
      </c>
      <c r="T70" s="189">
        <f t="shared" ref="T70:T133" si="133">R70+S70/100</f>
        <v>18.97</v>
      </c>
      <c r="U70" s="199">
        <f t="shared" ca="1" si="117"/>
        <v>18.963260869565218</v>
      </c>
      <c r="V70" s="379">
        <f t="shared" ca="1" si="118"/>
        <v>18.963260869565218</v>
      </c>
      <c r="W70" s="483">
        <v>0.196185198431161</v>
      </c>
      <c r="X70" s="166" t="str">
        <f t="shared" ca="1" si="119"/>
        <v/>
      </c>
      <c r="Y70" s="91">
        <f t="shared" ca="1" si="108"/>
        <v>3.7736311496903421E-3</v>
      </c>
      <c r="Z70" s="91">
        <f t="shared" ca="1" si="109"/>
        <v>1.6409756699456157E-3</v>
      </c>
      <c r="AA70" s="91">
        <f t="shared" ca="1" si="110"/>
        <v>6.5701982878124958E-4</v>
      </c>
      <c r="AB70" s="91">
        <f t="shared" ca="1" si="111"/>
        <v>1.4801342702784027E-3</v>
      </c>
      <c r="AC70" s="91">
        <f t="shared" ca="1" si="112"/>
        <v>3.6967899892535773E-3</v>
      </c>
      <c r="AD70" s="91">
        <f t="shared" ca="1" si="113"/>
        <v>8.5012362540223835E-3</v>
      </c>
      <c r="AE70" s="124">
        <v>7.3164262628154023E-2</v>
      </c>
      <c r="AF70" s="191">
        <f t="shared" ca="1" si="57"/>
        <v>0.67391441177867883</v>
      </c>
      <c r="AG70" s="189">
        <f t="shared" ref="AG70:AG101" ca="1" si="134">AG69*(1+IF(AND(M70=1,L70&gt;YearStart),Escalation,0))</f>
        <v>1</v>
      </c>
      <c r="AH70" s="192">
        <f t="shared" ca="1" si="120"/>
        <v>0</v>
      </c>
      <c r="AI70" s="192">
        <f t="shared" ca="1" si="121"/>
        <v>0</v>
      </c>
      <c r="AJ70" s="192">
        <f t="shared" ca="1" si="122"/>
        <v>0</v>
      </c>
      <c r="AK70" s="192">
        <f t="shared" ca="1" si="123"/>
        <v>0</v>
      </c>
      <c r="AL70" s="191" t="str">
        <f t="shared" ca="1" si="60"/>
        <v/>
      </c>
      <c r="AM70" s="191" t="str">
        <f t="shared" ca="1" si="61"/>
        <v/>
      </c>
      <c r="AN70" s="191" t="str">
        <f t="shared" ca="1" si="62"/>
        <v/>
      </c>
      <c r="AO70" s="193" t="str">
        <f t="shared" ca="1" si="63"/>
        <v/>
      </c>
      <c r="AP70" s="194" t="str">
        <f t="shared" ref="AP70:AP133" ca="1" si="135">IF($AH70,$AO70+IF(SkewFlag=1,IF(AM70&gt;0,$AA70*MIN(AM70/10%,1)+($Z70-$AA70)*MAX(0,MIN(AM70/10%-1,1))+($Y70-$Z70)*MAX(0,AM70/10%-2),$AB70*MIN(-AM70/10%,1)+($AC70-$AB70)*MAX(0,MIN(-AM70/10%-1,1))+($AD70-$AC70)*MAX(0,-AM70/10%-2)),0),"")</f>
        <v/>
      </c>
      <c r="AQ70" s="194" t="str">
        <f t="shared" ref="AQ70:AQ133" ca="1" si="136">IF($AH70,$AO70+IF(SkewFlag=1,IF(AN70&gt;0,$AA70*MIN(AN70/10%,1)+($Z70-$AA70)*MAX(0,MIN(AN70/10%-1,1))+($Y70-$Z70)*MAX(0,AN70/10%-2),$AB70*MIN(-AN70/10%,1)+($AC70-$AB70)*MAX(0,MIN(-AN70/10%-1,1))+($AD70-$AC70)*MAX(0,-AN70/10%-2)),0),"")</f>
        <v/>
      </c>
      <c r="AR70" s="195">
        <f ca="1">IF(AH70,_xll.xASN(AL70,Strike1,AE70,AP70,0,N70,0,P70,Q70,IF(OptControl=4,0,1),0),0)</f>
        <v>0</v>
      </c>
      <c r="AS70" s="196">
        <f ca="1">IF(AH70,_xll.xASN(AL70,Strike1,AE70,AP70,0,N70,0,P70,Q70,IF(OptControl=4,0,1),1),0)</f>
        <v>0</v>
      </c>
      <c r="AT70" s="196">
        <f ca="1">IF(AH70,_xll.xASN(AL70,Strike1,AE70,AP70,0,N70,0,P70,Q70,IF(OptControl=4,0,1),2),0)</f>
        <v>0</v>
      </c>
      <c r="AU70" s="196">
        <f ca="1">IF(AH70,_xll.xASN(AL70,Strike1,AE70,AP70,0,N70,0,P70,Q70,IF(OptControl=4,0,1),3)/100,0)</f>
        <v>0</v>
      </c>
      <c r="AV70" s="196">
        <f ca="1">IF(AH70,_xll.xASN(AL70,Strike1,AE70,AP70,0,N70,0,P70-DaysForThetaCalculation/365.25,Q70-DaysForThetaCalculation/365.25,IF(OptControl=4,0,1),0)-_xll.xASN(AL70,Strike1,AE70,AP70,0,N70,0,P70,Q70,IF(OptControl=4,0,1),0),0)</f>
        <v>0</v>
      </c>
      <c r="AW70" s="196">
        <f ca="1">IF(AH70,_xll.xASN(AL70,Strike2,AE70,AQ70,0,N70,0,P70,Q70,IF(OptControl=3,1,0),0),0)</f>
        <v>0</v>
      </c>
      <c r="AX70" s="196">
        <f ca="1">IF(AH70,_xll.xASN(AL70,Strike2,AE70,AQ70,0,N70,0,P70,Q70,IF(OptControl=3,1,0),1),0)</f>
        <v>0</v>
      </c>
      <c r="AY70" s="196">
        <f ca="1">IF(AH70,_xll.xASN(AL70,Strike2,AE70,AQ70,0,N70,0,P70,Q70,IF(OptControl=3,1,0),2),0)</f>
        <v>0</v>
      </c>
      <c r="AZ70" s="196">
        <f ca="1">IF(AH70,_xll.xASN(AL70,Strike2,AE70,AQ70,0,N70,0,P70,Q70,IF(OptControl=3,1,0),3)/100,0)</f>
        <v>0</v>
      </c>
      <c r="BA70" s="196">
        <f ca="1">IF(AH70,_xll.xASN(AL70,Strike2,AE70,AQ70,0,N70,0,P70-DaysForThetaCalculation/365.25,Q70-DaysForThetaCalculation/365.25,IF(OptControl=3,1,0),0)-_xll.xASN(AL70,Strike2,AE70,AQ70,0,N70,0,P70,Q70,IF(OptControl=3,1,0),0),0)</f>
        <v>0</v>
      </c>
      <c r="BB70" s="126" t="str">
        <f t="shared" ca="1" si="64"/>
        <v/>
      </c>
      <c r="BC70" s="191" t="str">
        <f t="shared" ca="1" si="65"/>
        <v/>
      </c>
      <c r="BD70" s="191" t="str">
        <f t="shared" ca="1" si="66"/>
        <v/>
      </c>
      <c r="BE70" s="190" t="str">
        <f t="shared" ca="1" si="67"/>
        <v/>
      </c>
      <c r="BF70" s="194" t="str">
        <f t="shared" ca="1" si="68"/>
        <v/>
      </c>
      <c r="BG70" s="194" t="str">
        <f t="shared" ca="1" si="69"/>
        <v/>
      </c>
      <c r="BH70" s="195">
        <f ca="1">IF(AH70,_xll.xEURO(BB70,Strike1,AE70,AE70,BF70,O70,IF(OptControl=4,0,1),0),0)</f>
        <v>0</v>
      </c>
      <c r="BI70" s="196">
        <f ca="1">IF(AH70,_xll.xEURO(BB70,Strike1,AE70,AE70,BF70,O70,IF(OptControl=4,0,1),1),0)</f>
        <v>0</v>
      </c>
      <c r="BJ70" s="196">
        <f ca="1">IF(AH70,_xll.xEURO(BB70,Strike1,AE70,AE70,BF70,O70,IF(OptControl=4,0,1),2),0)</f>
        <v>0</v>
      </c>
      <c r="BK70" s="196">
        <f ca="1">IF(AH70,_xll.xEURO(BB70,Strike1,AE70,AE70,BF70,O70,IF(OptControl=4,0,1),3)/100,0)</f>
        <v>0</v>
      </c>
      <c r="BL70" s="196">
        <f ca="1">IF(AH70,_xll.xEURO(BB70,Strike1,AE70,AE70,BF70,O70-DaysForThetaCalculation,IF(OptControl=4,0,1),0)-_xll.xEURO(BB70,Strike1,AE70,AE70,BF70,O70,IF(OptControl=4,0,1),0),0)</f>
        <v>0</v>
      </c>
      <c r="BM70" s="196">
        <f ca="1">IF(AH70,_xll.xEURO(BB70,Strike2,AE70,AE70,BG70,O70,IF(OptControl=3,1,0),0),0)</f>
        <v>0</v>
      </c>
      <c r="BN70" s="196">
        <f ca="1">IF(AH70,_xll.xEURO(BB70,Strike2,AE70,AE70,BG70,O70,IF(OptControl=3,1,0),1),0)</f>
        <v>0</v>
      </c>
      <c r="BO70" s="196">
        <f ca="1">IF(AH70,_xll.xEURO(BB70,Strike2,AE70,AE70,BG70,O70,IF(OptControl=3,1,0),2),0)</f>
        <v>0</v>
      </c>
      <c r="BP70" s="196">
        <f ca="1">IF(AH70,_xll.xEURO(BB70,Strike2,AE70,AE70,BG70,O70,IF(OptControl=3,1,0),3)/100,0)</f>
        <v>0</v>
      </c>
      <c r="BQ70" s="197">
        <f ca="1">IF(AH70,_xll.xEURO(BB70,Strike2,AE70,AE70,BG70,O70-DaysForThetaCalculation,IF(OptControl=3,1,0),0)-_xll.xEURO(BB70,Strike2,AE70,AE70,BG70,O70,IF(OptControl=3,1,0),0),0)</f>
        <v>0</v>
      </c>
      <c r="BR70" s="301"/>
      <c r="BS70" s="114">
        <v>25.729000000000003</v>
      </c>
      <c r="BT70" s="345">
        <f t="shared" ref="BT70:BT133" si="137">BS70*100/42</f>
        <v>61.259523809523813</v>
      </c>
      <c r="BU70" s="345">
        <f t="shared" ca="1" si="84"/>
        <v>6.2117391304347827</v>
      </c>
      <c r="BV70" s="73"/>
      <c r="BW70" s="345">
        <f t="shared" ca="1" si="80"/>
        <v>6.7818695652173897</v>
      </c>
      <c r="BX70" s="345">
        <f t="shared" ca="1" si="85"/>
        <v>62.504040404040424</v>
      </c>
      <c r="BY70" s="373">
        <f t="shared" ref="BY70:BY133" ca="1" si="138">BX71</f>
        <v>61.29792960662526</v>
      </c>
      <c r="BZ70" s="114">
        <v>23.285</v>
      </c>
      <c r="CA70" s="345">
        <f t="shared" ref="CA70:CA133" si="139">BZ70*100/42</f>
        <v>55.44047619047619</v>
      </c>
      <c r="CB70" s="345">
        <f t="shared" ca="1" si="86"/>
        <v>4.3217391304347821</v>
      </c>
      <c r="CC70" s="345">
        <f t="shared" ca="1" si="81"/>
        <v>4.3668695652173897</v>
      </c>
      <c r="CD70" s="345">
        <f t="shared" ref="CD70:CD133" ca="1" si="140">($V70+CC70)*100/42</f>
        <v>55.54792960662526</v>
      </c>
      <c r="CE70" s="347">
        <f t="shared" ca="1" si="70"/>
        <v>-5.75</v>
      </c>
      <c r="CF70" s="114">
        <v>21.353000000000002</v>
      </c>
      <c r="CG70" s="345">
        <f t="shared" ref="CG70:CG133" si="141">CF70*100/42</f>
        <v>50.840476190476195</v>
      </c>
      <c r="CH70" s="345">
        <f t="shared" ref="CH70:CH133" ca="1" si="142">CF71-$U70</f>
        <v>2.7967391304347835</v>
      </c>
      <c r="CI70" s="73"/>
      <c r="CJ70" s="345">
        <f t="shared" ca="1" si="89"/>
        <v>3.2434545454545454</v>
      </c>
      <c r="CK70" s="345">
        <f t="shared" ca="1" si="90"/>
        <v>51.91518288474812</v>
      </c>
      <c r="CL70" s="345">
        <f t="shared" ref="CL70:CL133" ca="1" si="143">CK71</f>
        <v>52.873131940523251</v>
      </c>
      <c r="CM70" s="114">
        <v>20.835999999999999</v>
      </c>
      <c r="CN70" s="345">
        <f t="shared" ref="CN70:CN133" si="144">CM70*100/42</f>
        <v>49.609523809523807</v>
      </c>
      <c r="CO70" s="345">
        <f t="shared" ref="CO70:CO133" ca="1" si="145">CM70-$U70</f>
        <v>1.8727391304347805</v>
      </c>
      <c r="CP70" s="345">
        <f t="shared" ca="1" si="92"/>
        <v>2.3194545454545459</v>
      </c>
      <c r="CQ70" s="345">
        <f t="shared" ref="CQ70:CQ133" ca="1" si="146">($V70+CP70)*100/42</f>
        <v>50.673131940523248</v>
      </c>
      <c r="CR70" s="347">
        <f t="shared" ca="1" si="71"/>
        <v>-2.2000000000000028</v>
      </c>
      <c r="CS70" s="114">
        <v>21.885999999999999</v>
      </c>
      <c r="CT70" s="345">
        <f t="shared" ref="CT70:CT133" si="147">CS70*100/42</f>
        <v>52.109523809523807</v>
      </c>
      <c r="CU70" s="345">
        <f t="shared" si="72"/>
        <v>0.29999999999999716</v>
      </c>
      <c r="CV70" s="345">
        <f t="shared" ca="1" si="91"/>
        <v>1.1999999999999942</v>
      </c>
      <c r="CW70" s="347">
        <f t="shared" ca="1" si="73"/>
        <v>54.073131940523247</v>
      </c>
      <c r="CX70" s="483">
        <v>0.19600000000000001</v>
      </c>
      <c r="CY70" s="190">
        <f t="shared" ref="CY70:CY133" si="148">CX70-$W70</f>
        <v>-1.8519843116099333E-4</v>
      </c>
      <c r="CZ70" s="190">
        <f t="shared" ca="1" si="78"/>
        <v>-0.03</v>
      </c>
      <c r="DA70" s="354">
        <f t="shared" ref="DA70:DA133" ca="1" si="149">$W70+CZ70</f>
        <v>0.166185198431161</v>
      </c>
      <c r="DB70" s="483">
        <v>0.19600000000000001</v>
      </c>
      <c r="DC70" s="190">
        <f t="shared" ref="DC70:DC133" si="150">DB70-$W70</f>
        <v>-1.8519843116099333E-4</v>
      </c>
      <c r="DD70" s="190">
        <f t="shared" ca="1" si="82"/>
        <v>0.03</v>
      </c>
      <c r="DE70" s="354">
        <f t="shared" ref="DE70:DE133" ca="1" si="151">$W70+DD70</f>
        <v>0.226185198431161</v>
      </c>
      <c r="DG70" s="341"/>
      <c r="DH70" s="114">
        <v>16.312999999999999</v>
      </c>
      <c r="DI70" s="126">
        <f t="shared" ca="1" si="74"/>
        <v>-2.6502608695652192</v>
      </c>
      <c r="DJ70" s="126">
        <f t="shared" ca="1" si="124"/>
        <v>-2</v>
      </c>
      <c r="DK70" s="356">
        <f t="shared" ca="1" si="125"/>
        <v>16.963260869565218</v>
      </c>
      <c r="DL70" s="114">
        <v>13.712999999999999</v>
      </c>
      <c r="DM70" s="126">
        <f t="shared" ca="1" si="75"/>
        <v>-5.2502608695652189</v>
      </c>
      <c r="DN70" s="126">
        <f t="shared" ref="DN70:DN133" ca="1" si="152">VLOOKUP(1900+$L70,ResidSpreadTable,3)</f>
        <v>-3</v>
      </c>
      <c r="DO70" s="356">
        <f t="shared" ca="1" si="126"/>
        <v>15.963260869565218</v>
      </c>
      <c r="DP70" s="114">
        <v>12.962999999999999</v>
      </c>
      <c r="DQ70" s="126">
        <f t="shared" ca="1" si="76"/>
        <v>-6.0002608695652189</v>
      </c>
      <c r="DR70" s="126">
        <f t="shared" ref="DR70:DR133" ca="1" si="153">VLOOKUP(1900+$L70,ResidSpreadTable,4)</f>
        <v>-6</v>
      </c>
      <c r="DS70" s="356">
        <f t="shared" ca="1" si="127"/>
        <v>12.963260869565218</v>
      </c>
      <c r="DT70" s="114">
        <v>15.263</v>
      </c>
      <c r="DU70" s="126">
        <f t="shared" ca="1" si="77"/>
        <v>-3.7002608695652182</v>
      </c>
      <c r="DV70" s="126">
        <f t="shared" ref="DV70:DV133" ca="1" si="154">VLOOKUP(1900+$L70,ResidSpreadTable,5)</f>
        <v>-5</v>
      </c>
      <c r="DW70" s="356">
        <f t="shared" ca="1" si="128"/>
        <v>13.963260869565218</v>
      </c>
    </row>
    <row r="71" spans="2:127" x14ac:dyDescent="0.25">
      <c r="B71" s="396">
        <v>37712</v>
      </c>
      <c r="C71" s="400">
        <v>37700</v>
      </c>
      <c r="I71" s="136">
        <f t="shared" ca="1" si="129"/>
        <v>38961</v>
      </c>
      <c r="J71" s="131">
        <f t="shared" ca="1" si="130"/>
        <v>38950</v>
      </c>
      <c r="K71" s="106">
        <f t="shared" ca="1" si="131"/>
        <v>0.66666666666666663</v>
      </c>
      <c r="L71" s="133">
        <f t="shared" ca="1" si="93"/>
        <v>106</v>
      </c>
      <c r="M71" s="134">
        <f t="shared" ca="1" si="94"/>
        <v>9</v>
      </c>
      <c r="N71" s="103">
        <f t="shared" ca="1" si="116"/>
        <v>21</v>
      </c>
      <c r="O71" s="104">
        <f t="shared" ca="1" si="132"/>
        <v>2003</v>
      </c>
      <c r="P71" s="105">
        <f t="shared" ca="1" si="95"/>
        <v>5.4948665297741277</v>
      </c>
      <c r="Q71" s="105">
        <f t="shared" ca="1" si="96"/>
        <v>5.5742642026009586</v>
      </c>
      <c r="R71" s="114">
        <v>18.965</v>
      </c>
      <c r="S71" s="198">
        <v>0</v>
      </c>
      <c r="T71" s="189">
        <f t="shared" si="133"/>
        <v>18.965</v>
      </c>
      <c r="U71" s="199">
        <f t="shared" ca="1" si="117"/>
        <v>18.958333333333336</v>
      </c>
      <c r="V71" s="379">
        <f t="shared" ca="1" si="118"/>
        <v>18.958333333333336</v>
      </c>
      <c r="W71" s="483">
        <v>0.19575834101776102</v>
      </c>
      <c r="X71" s="166" t="str">
        <f t="shared" ca="1" si="119"/>
        <v/>
      </c>
      <c r="Y71" s="91">
        <f t="shared" ref="Y71:Y102" ca="1" si="155">IF($X71="",Y70^2/Y69,INDEX(B$5:B$10,$X71)^((INDEX($A$5:$A$10,$X71+1)-($I71-DateToday+1))/(INDEX($A$5:$A$10,$X71+1)-INDEX($A$5:$A$10,$X71)))/INDEX(B$5:B$10,$X71+1)^((INDEX($A$5:$A$10,$X71)-($I71-DateToday+1))/(INDEX($A$5:$A$10,$X71+1)-INDEX($A$5:$A$10,$X71))))</f>
        <v>3.6928434461940165E-3</v>
      </c>
      <c r="Z71" s="91">
        <f t="shared" ref="Z71:Z102" ca="1" si="156">IF($X71="",Z70^2/Z69,INDEX(C$5:C$10,$X71)^((INDEX($A$5:$A$10,$X71+1)-($I71-DateToday+1))/(INDEX($A$5:$A$10,$X71+1)-INDEX($A$5:$A$10,$X71)))/INDEX(C$5:C$10,$X71+1)^((INDEX($A$5:$A$10,$X71)-($I71-DateToday+1))/(INDEX($A$5:$A$10,$X71+1)-INDEX($A$5:$A$10,$X71))))</f>
        <v>1.5972470997764076E-3</v>
      </c>
      <c r="AA71" s="91">
        <f t="shared" ref="AA71:AA102" ca="1" si="157">IF($X71="",AA70^2/AA69,INDEX(D$5:D$10,$X71)^((INDEX($A$5:$A$10,$X71+1)-($I71-DateToday+1))/(INDEX($A$5:$A$10,$X71+1)-INDEX($A$5:$A$10,$X71)))/INDEX(D$5:D$10,$X71+1)^((INDEX($A$5:$A$10,$X71)-($I71-DateToday+1))/(INDEX($A$5:$A$10,$X71+1)-INDEX($A$5:$A$10,$X71))))</f>
        <v>6.3779671330766406E-4</v>
      </c>
      <c r="AB71" s="91">
        <f t="shared" ref="AB71:AB102" ca="1" si="158">IF($X71="",AB70^2/AB69,INDEX(E$5:E$10,$X71)^((INDEX($A$5:$A$10,$X71+1)-($I71-DateToday+1))/(INDEX($A$5:$A$10,$X71+1)-INDEX($A$5:$A$10,$X71)))/INDEX(E$5:E$10,$X71+1)^((INDEX($A$5:$A$10,$X71)-($I71-DateToday+1))/(INDEX($A$5:$A$10,$X71+1)-INDEX($A$5:$A$10,$X71))))</f>
        <v>1.4368284357395094E-3</v>
      </c>
      <c r="AC71" s="91">
        <f t="shared" ref="AC71:AC102" ca="1" si="159">IF($X71="",AC70^2/AC69,INDEX(F$5:F$10,$X71)^((INDEX($A$5:$A$10,$X71+1)-($I71-DateToday+1))/(INDEX($A$5:$A$10,$X71+1)-INDEX($A$5:$A$10,$X71)))/INDEX(F$5:F$10,$X71+1)^((INDEX($A$5:$A$10,$X71)-($I71-DateToday+1))/(INDEX($A$5:$A$10,$X71+1)-INDEX($A$5:$A$10,$X71))))</f>
        <v>3.5982782663763857E-3</v>
      </c>
      <c r="AD71" s="91">
        <f t="shared" ref="AD71:AD102" ca="1" si="160">IF($X71="",AD70^2/AD69,INDEX(G$5:G$10,$X71)^((INDEX($A$5:$A$10,$X71+1)-($I71-DateToday+1))/(INDEX($A$5:$A$10,$X71+1)-INDEX($A$5:$A$10,$X71)))/INDEX(G$5:G$10,$X71+1)^((INDEX($A$5:$A$10,$X71)-($I71-DateToday+1))/(INDEX($A$5:$A$10,$X71+1)-INDEX($A$5:$A$10,$X71))))</f>
        <v>8.3192377155858598E-3</v>
      </c>
      <c r="AE71" s="124">
        <v>7.3182176090309026E-2</v>
      </c>
      <c r="AF71" s="191">
        <f t="shared" ref="AF71:AF134" ca="1" si="161">(1+AE71/2)^(-2*(I72-DateToday)/365.25)</f>
        <v>0.66988409921726211</v>
      </c>
      <c r="AG71" s="189">
        <f t="shared" ca="1" si="134"/>
        <v>1</v>
      </c>
      <c r="AH71" s="192">
        <f t="shared" ca="1" si="120"/>
        <v>0</v>
      </c>
      <c r="AI71" s="192">
        <f t="shared" ca="1" si="121"/>
        <v>0</v>
      </c>
      <c r="AJ71" s="192">
        <f t="shared" ca="1" si="122"/>
        <v>0</v>
      </c>
      <c r="AK71" s="192">
        <f t="shared" ca="1" si="123"/>
        <v>0</v>
      </c>
      <c r="AL71" s="191" t="str">
        <f t="shared" ref="AL71:AL134" ca="1" si="162">IF(AH71,OFFSET(BY71,0,HorizontalPriceOffset)+PriceSpreadAsian,"")</f>
        <v/>
      </c>
      <c r="AM71" s="191" t="str">
        <f t="shared" ref="AM71:AM134" ca="1" si="163">IF(AH71,Strike1/AL71-1,"")</f>
        <v/>
      </c>
      <c r="AN71" s="191" t="str">
        <f t="shared" ref="AN71:AN134" ca="1" si="164">IF(AH71,Strike2/AL71-1,"")</f>
        <v/>
      </c>
      <c r="AO71" s="193" t="str">
        <f t="shared" ref="AO71:AO134" ca="1" si="165">IF(AH71,IF(VolOverrideAsian,VolOverrideAsian,IF(ProductGroup=1,IF(Product&lt;3,DA72,DE72),W72)+VolSpreadAsian),"")</f>
        <v/>
      </c>
      <c r="AP71" s="194" t="str">
        <f t="shared" ca="1" si="135"/>
        <v/>
      </c>
      <c r="AQ71" s="194" t="str">
        <f t="shared" ca="1" si="136"/>
        <v/>
      </c>
      <c r="AR71" s="195">
        <f ca="1">IF(AH71,_xll.xASN(AL71,Strike1,AE71,AP71,0,N71,0,P71,Q71,IF(OptControl=4,0,1),0),0)</f>
        <v>0</v>
      </c>
      <c r="AS71" s="196">
        <f ca="1">IF(AH71,_xll.xASN(AL71,Strike1,AE71,AP71,0,N71,0,P71,Q71,IF(OptControl=4,0,1),1),0)</f>
        <v>0</v>
      </c>
      <c r="AT71" s="196">
        <f ca="1">IF(AH71,_xll.xASN(AL71,Strike1,AE71,AP71,0,N71,0,P71,Q71,IF(OptControl=4,0,1),2),0)</f>
        <v>0</v>
      </c>
      <c r="AU71" s="196">
        <f ca="1">IF(AH71,_xll.xASN(AL71,Strike1,AE71,AP71,0,N71,0,P71,Q71,IF(OptControl=4,0,1),3)/100,0)</f>
        <v>0</v>
      </c>
      <c r="AV71" s="196">
        <f ca="1">IF(AH71,_xll.xASN(AL71,Strike1,AE71,AP71,0,N71,0,P71-DaysForThetaCalculation/365.25,Q71-DaysForThetaCalculation/365.25,IF(OptControl=4,0,1),0)-_xll.xASN(AL71,Strike1,AE71,AP71,0,N71,0,P71,Q71,IF(OptControl=4,0,1),0),0)</f>
        <v>0</v>
      </c>
      <c r="AW71" s="196">
        <f ca="1">IF(AH71,_xll.xASN(AL71,Strike2,AE71,AQ71,0,N71,0,P71,Q71,IF(OptControl=3,1,0),0),0)</f>
        <v>0</v>
      </c>
      <c r="AX71" s="196">
        <f ca="1">IF(AH71,_xll.xASN(AL71,Strike2,AE71,AQ71,0,N71,0,P71,Q71,IF(OptControl=3,1,0),1),0)</f>
        <v>0</v>
      </c>
      <c r="AY71" s="196">
        <f ca="1">IF(AH71,_xll.xASN(AL71,Strike2,AE71,AQ71,0,N71,0,P71,Q71,IF(OptControl=3,1,0),2),0)</f>
        <v>0</v>
      </c>
      <c r="AZ71" s="196">
        <f ca="1">IF(AH71,_xll.xASN(AL71,Strike2,AE71,AQ71,0,N71,0,P71,Q71,IF(OptControl=3,1,0),3)/100,0)</f>
        <v>0</v>
      </c>
      <c r="BA71" s="196">
        <f ca="1">IF(AH71,_xll.xASN(AL71,Strike2,AE71,AQ71,0,N71,0,P71-DaysForThetaCalculation/365.25,Q71-DaysForThetaCalculation/365.25,IF(OptControl=3,1,0),0)-_xll.xASN(AL71,Strike2,AE71,AQ71,0,N71,0,P71,Q71,IF(OptControl=3,1,0),0),0)</f>
        <v>0</v>
      </c>
      <c r="BB71" s="126" t="str">
        <f t="shared" ref="BB71:BB134" ca="1" si="166">IF(AH71,IF(ProductGroup=1,IF(Product=1,BX71+PriceSpreadEuro,IF(Product=3,CK71+PriceSpreadEuro,"N/A")),"N/A"),"")</f>
        <v/>
      </c>
      <c r="BC71" s="191" t="str">
        <f t="shared" ref="BC71:BC134" ca="1" si="167">IF(AH71,Strike1/BB71-1,"")</f>
        <v/>
      </c>
      <c r="BD71" s="191" t="str">
        <f t="shared" ref="BD71:BD134" ca="1" si="168">IF(AH71,Strike2/BB71-1,"")</f>
        <v/>
      </c>
      <c r="BE71" s="190" t="str">
        <f t="shared" ref="BE71:BE134" ca="1" si="169">IF(AH71,IF(VolOverrideEuro,VolOverrideEuro,IF(ProductGroup=1,IF(Product&lt;3,DA71,DE71)+VolSpreadEuro,"N/A")),"")</f>
        <v/>
      </c>
      <c r="BF71" s="194" t="str">
        <f t="shared" ref="BF71:BF134" ca="1" si="170">IF($AH71,$BE71+IF(SkewFlag=1,IF(BC71&gt;0,$AA71*MIN(BC71/10%,1)+($Z71-$AA71)*MAX(0,MIN(BC71/10%-1,1))+($Y71-$Z71)*MAX(0,BC71/10%-2),$AB71*MIN(-BC71/10%,1)+($AC71-$AB71)*MAX(0,MIN(-BC71/10%-1,1))+($AD71-$AC71)*MAX(0,-BC71/10%-2)),0),"")</f>
        <v/>
      </c>
      <c r="BG71" s="194" t="str">
        <f t="shared" ref="BG71:BG134" ca="1" si="171">IF($AH71,$BE71+IF(SkewFlag=1,IF(BD71&gt;0,$AA71*MIN(BD71/10%,1)+($Z71-$AA71)*MAX(0,MIN(BD71/10%-1,1))+($Y71-$Z71)*MAX(0,BD71/10%-2),$AB71*MIN(-BD71/10%,1)+($AC71-$AB71)*MAX(0,MIN(-BD71/10%-1,1))+($AD71-$AC71)*MAX(0,-BD71/10%-2)),0),"")</f>
        <v/>
      </c>
      <c r="BH71" s="195">
        <f ca="1">IF(AH71,_xll.xEURO(BB71,Strike1,AE71,AE71,BF71,O71,IF(OptControl=4,0,1),0),0)</f>
        <v>0</v>
      </c>
      <c r="BI71" s="196">
        <f ca="1">IF(AH71,_xll.xEURO(BB71,Strike1,AE71,AE71,BF71,O71,IF(OptControl=4,0,1),1),0)</f>
        <v>0</v>
      </c>
      <c r="BJ71" s="196">
        <f ca="1">IF(AH71,_xll.xEURO(BB71,Strike1,AE71,AE71,BF71,O71,IF(OptControl=4,0,1),2),0)</f>
        <v>0</v>
      </c>
      <c r="BK71" s="196">
        <f ca="1">IF(AH71,_xll.xEURO(BB71,Strike1,AE71,AE71,BF71,O71,IF(OptControl=4,0,1),3)/100,0)</f>
        <v>0</v>
      </c>
      <c r="BL71" s="196">
        <f ca="1">IF(AH71,_xll.xEURO(BB71,Strike1,AE71,AE71,BF71,O71-DaysForThetaCalculation,IF(OptControl=4,0,1),0)-_xll.xEURO(BB71,Strike1,AE71,AE71,BF71,O71,IF(OptControl=4,0,1),0),0)</f>
        <v>0</v>
      </c>
      <c r="BM71" s="196">
        <f ca="1">IF(AH71,_xll.xEURO(BB71,Strike2,AE71,AE71,BG71,O71,IF(OptControl=3,1,0),0),0)</f>
        <v>0</v>
      </c>
      <c r="BN71" s="196">
        <f ca="1">IF(AH71,_xll.xEURO(BB71,Strike2,AE71,AE71,BG71,O71,IF(OptControl=3,1,0),1),0)</f>
        <v>0</v>
      </c>
      <c r="BO71" s="196">
        <f ca="1">IF(AH71,_xll.xEURO(BB71,Strike2,AE71,AE71,BG71,O71,IF(OptControl=3,1,0),2),0)</f>
        <v>0</v>
      </c>
      <c r="BP71" s="196">
        <f ca="1">IF(AH71,_xll.xEURO(BB71,Strike2,AE71,AE71,BG71,O71,IF(OptControl=3,1,0),3)/100,0)</f>
        <v>0</v>
      </c>
      <c r="BQ71" s="197">
        <f ca="1">IF(AH71,_xll.xEURO(BB71,Strike2,AE71,AE71,BG71,O71-DaysForThetaCalculation,IF(OptControl=3,1,0),0)-_xll.xEURO(BB71,Strike2,AE71,AE71,BG71,O71,IF(OptControl=3,1,0),0),0)</f>
        <v>0</v>
      </c>
      <c r="BR71" s="301"/>
      <c r="BS71" s="114">
        <v>25.175000000000001</v>
      </c>
      <c r="BT71" s="345">
        <f t="shared" si="137"/>
        <v>59.94047619047619</v>
      </c>
      <c r="BU71" s="345">
        <f t="shared" ca="1" si="84"/>
        <v>5.162666666666663</v>
      </c>
      <c r="BV71" s="73"/>
      <c r="BW71" s="345">
        <f t="shared" ca="1" si="80"/>
        <v>5.6990000000000034</v>
      </c>
      <c r="BX71" s="345">
        <f t="shared" ca="1" si="85"/>
        <v>61.29792960662526</v>
      </c>
      <c r="BY71" s="373">
        <f t="shared" ca="1" si="138"/>
        <v>58.707936507936523</v>
      </c>
      <c r="BZ71" s="114">
        <v>22.230999999999998</v>
      </c>
      <c r="CA71" s="345">
        <f t="shared" si="139"/>
        <v>52.930952380952377</v>
      </c>
      <c r="CB71" s="345">
        <f t="shared" ca="1" si="86"/>
        <v>3.2726666666666624</v>
      </c>
      <c r="CC71" s="345">
        <f t="shared" ca="1" si="81"/>
        <v>3.284000000000002</v>
      </c>
      <c r="CD71" s="345">
        <f t="shared" ca="1" si="140"/>
        <v>52.957936507936523</v>
      </c>
      <c r="CE71" s="347">
        <f t="shared" ref="CE71:CE134" ca="1" si="172">CD71-BY71</f>
        <v>-5.75</v>
      </c>
      <c r="CF71" s="114">
        <v>21.76</v>
      </c>
      <c r="CG71" s="345">
        <f t="shared" si="141"/>
        <v>51.80952380952381</v>
      </c>
      <c r="CH71" s="345">
        <f t="shared" ca="1" si="142"/>
        <v>3.2556666666666665</v>
      </c>
      <c r="CI71" s="73"/>
      <c r="CJ71" s="345">
        <f t="shared" ca="1" si="89"/>
        <v>3.5910000000000006</v>
      </c>
      <c r="CK71" s="345">
        <f t="shared" ca="1" si="90"/>
        <v>52.873131940523251</v>
      </c>
      <c r="CL71" s="345">
        <f t="shared" ca="1" si="143"/>
        <v>53.688888888888904</v>
      </c>
      <c r="CM71" s="114">
        <v>21.29</v>
      </c>
      <c r="CN71" s="345">
        <f t="shared" si="144"/>
        <v>50.69047619047619</v>
      </c>
      <c r="CO71" s="345">
        <f t="shared" ca="1" si="145"/>
        <v>2.3316666666666634</v>
      </c>
      <c r="CP71" s="345">
        <f t="shared" ca="1" si="92"/>
        <v>2.7802857142857125</v>
      </c>
      <c r="CQ71" s="345">
        <f t="shared" ca="1" si="146"/>
        <v>51.758616780045344</v>
      </c>
      <c r="CR71" s="347">
        <f t="shared" ref="CR71:CR134" ca="1" si="173">CQ71-CL71</f>
        <v>-1.9302721088435604</v>
      </c>
      <c r="CS71" s="114">
        <v>22.34</v>
      </c>
      <c r="CT71" s="345">
        <f t="shared" si="147"/>
        <v>53.19047619047619</v>
      </c>
      <c r="CU71" s="345">
        <f t="shared" ref="CU71:CU134" si="174">CT71-CG72</f>
        <v>0.29999999999999716</v>
      </c>
      <c r="CV71" s="345">
        <f t="shared" ca="1" si="91"/>
        <v>1.2000000000000084</v>
      </c>
      <c r="CW71" s="347">
        <f t="shared" ref="CW71:CW134" ca="1" si="175">CL71+CV71</f>
        <v>54.888888888888914</v>
      </c>
      <c r="CX71" s="483">
        <v>0.19600000000000001</v>
      </c>
      <c r="CY71" s="190">
        <f t="shared" si="148"/>
        <v>2.4165898223899029E-4</v>
      </c>
      <c r="CZ71" s="190">
        <f t="shared" ca="1" si="78"/>
        <v>-0.03</v>
      </c>
      <c r="DA71" s="354">
        <f t="shared" ca="1" si="149"/>
        <v>0.16575834101776102</v>
      </c>
      <c r="DB71" s="483">
        <v>0.19600000000000001</v>
      </c>
      <c r="DC71" s="190">
        <f t="shared" si="150"/>
        <v>2.4165898223899029E-4</v>
      </c>
      <c r="DD71" s="190">
        <f t="shared" ca="1" si="82"/>
        <v>0.03</v>
      </c>
      <c r="DE71" s="354">
        <f t="shared" ca="1" si="151"/>
        <v>0.22575834101776102</v>
      </c>
      <c r="DG71" s="341"/>
      <c r="DH71" s="114">
        <v>16.308</v>
      </c>
      <c r="DI71" s="126">
        <f t="shared" ref="DI71:DI134" ca="1" si="176">DH71-$U71</f>
        <v>-2.6503333333333359</v>
      </c>
      <c r="DJ71" s="126">
        <f t="shared" ca="1" si="124"/>
        <v>-2</v>
      </c>
      <c r="DK71" s="356">
        <f t="shared" ca="1" si="125"/>
        <v>16.958333333333336</v>
      </c>
      <c r="DL71" s="114">
        <v>13.708</v>
      </c>
      <c r="DM71" s="126">
        <f t="shared" ref="DM71:DM134" ca="1" si="177">DL71-$U71</f>
        <v>-5.2503333333333355</v>
      </c>
      <c r="DN71" s="126">
        <f t="shared" ca="1" si="152"/>
        <v>-3</v>
      </c>
      <c r="DO71" s="356">
        <f t="shared" ca="1" si="126"/>
        <v>15.958333333333336</v>
      </c>
      <c r="DP71" s="114">
        <v>12.958</v>
      </c>
      <c r="DQ71" s="126">
        <f t="shared" ref="DQ71:DQ134" ca="1" si="178">DP71-$U71</f>
        <v>-6.0003333333333355</v>
      </c>
      <c r="DR71" s="126">
        <f t="shared" ca="1" si="153"/>
        <v>-6</v>
      </c>
      <c r="DS71" s="356">
        <f t="shared" ca="1" si="127"/>
        <v>12.958333333333336</v>
      </c>
      <c r="DT71" s="114">
        <v>15.257999999999999</v>
      </c>
      <c r="DU71" s="126">
        <f t="shared" ref="DU71:DU134" ca="1" si="179">DT71-$U71</f>
        <v>-3.7003333333333366</v>
      </c>
      <c r="DV71" s="126">
        <f t="shared" ca="1" si="154"/>
        <v>-5</v>
      </c>
      <c r="DW71" s="356">
        <f t="shared" ca="1" si="128"/>
        <v>13.958333333333336</v>
      </c>
    </row>
    <row r="72" spans="2:127" x14ac:dyDescent="0.25">
      <c r="B72" s="396">
        <v>37742</v>
      </c>
      <c r="C72" s="400">
        <v>37731</v>
      </c>
      <c r="I72" s="136">
        <f t="shared" ca="1" si="129"/>
        <v>38991</v>
      </c>
      <c r="J72" s="131">
        <f t="shared" ca="1" si="130"/>
        <v>38980</v>
      </c>
      <c r="K72" s="106">
        <f t="shared" ca="1" si="131"/>
        <v>0.68181818181818177</v>
      </c>
      <c r="L72" s="133">
        <f t="shared" ca="1" si="93"/>
        <v>106</v>
      </c>
      <c r="M72" s="134">
        <f t="shared" ca="1" si="94"/>
        <v>10</v>
      </c>
      <c r="N72" s="103">
        <f t="shared" ca="1" si="116"/>
        <v>22</v>
      </c>
      <c r="O72" s="104">
        <f t="shared" ca="1" si="132"/>
        <v>2032</v>
      </c>
      <c r="P72" s="105">
        <f t="shared" ca="1" si="95"/>
        <v>5.5770020533880906</v>
      </c>
      <c r="Q72" s="105">
        <f t="shared" ca="1" si="96"/>
        <v>5.6591375770020536</v>
      </c>
      <c r="R72" s="114">
        <v>18.96</v>
      </c>
      <c r="S72" s="198">
        <v>0</v>
      </c>
      <c r="T72" s="189">
        <f t="shared" si="133"/>
        <v>18.96</v>
      </c>
      <c r="U72" s="199">
        <f t="shared" ca="1" si="117"/>
        <v>18.953409090909091</v>
      </c>
      <c r="V72" s="379">
        <f t="shared" ca="1" si="118"/>
        <v>18.953409090909091</v>
      </c>
      <c r="W72" s="483">
        <v>0.19532812431805305</v>
      </c>
      <c r="X72" s="166" t="str">
        <f t="shared" ca="1" si="119"/>
        <v/>
      </c>
      <c r="Y72" s="91">
        <f t="shared" ca="1" si="155"/>
        <v>3.6137852845573256E-3</v>
      </c>
      <c r="Z72" s="91">
        <f t="shared" ca="1" si="156"/>
        <v>1.5546838045616459E-3</v>
      </c>
      <c r="AA72" s="91">
        <f t="shared" ca="1" si="157"/>
        <v>6.1913602860454143E-4</v>
      </c>
      <c r="AB72" s="91">
        <f t="shared" ca="1" si="158"/>
        <v>1.3947896452403147E-3</v>
      </c>
      <c r="AC72" s="91">
        <f t="shared" ca="1" si="159"/>
        <v>3.5023916749165706E-3</v>
      </c>
      <c r="AD72" s="91">
        <f t="shared" ca="1" si="160"/>
        <v>8.1411354890507208E-3</v>
      </c>
      <c r="AE72" s="124">
        <v>7.319951169894702E-2</v>
      </c>
      <c r="AF72" s="191">
        <f t="shared" ca="1" si="161"/>
        <v>0.66574704843076227</v>
      </c>
      <c r="AG72" s="189">
        <f t="shared" ca="1" si="134"/>
        <v>1</v>
      </c>
      <c r="AH72" s="192">
        <f t="shared" ca="1" si="120"/>
        <v>0</v>
      </c>
      <c r="AI72" s="192">
        <f t="shared" ca="1" si="121"/>
        <v>0</v>
      </c>
      <c r="AJ72" s="192">
        <f t="shared" ca="1" si="122"/>
        <v>0</v>
      </c>
      <c r="AK72" s="192">
        <f t="shared" ca="1" si="123"/>
        <v>0</v>
      </c>
      <c r="AL72" s="191" t="str">
        <f t="shared" ca="1" si="162"/>
        <v/>
      </c>
      <c r="AM72" s="191" t="str">
        <f t="shared" ca="1" si="163"/>
        <v/>
      </c>
      <c r="AN72" s="191" t="str">
        <f t="shared" ca="1" si="164"/>
        <v/>
      </c>
      <c r="AO72" s="193" t="str">
        <f t="shared" ca="1" si="165"/>
        <v/>
      </c>
      <c r="AP72" s="194" t="str">
        <f t="shared" ca="1" si="135"/>
        <v/>
      </c>
      <c r="AQ72" s="194" t="str">
        <f t="shared" ca="1" si="136"/>
        <v/>
      </c>
      <c r="AR72" s="195">
        <f ca="1">IF(AH72,_xll.xASN(AL72,Strike1,AE72,AP72,0,N72,0,P72,Q72,IF(OptControl=4,0,1),0),0)</f>
        <v>0</v>
      </c>
      <c r="AS72" s="196">
        <f ca="1">IF(AH72,_xll.xASN(AL72,Strike1,AE72,AP72,0,N72,0,P72,Q72,IF(OptControl=4,0,1),1),0)</f>
        <v>0</v>
      </c>
      <c r="AT72" s="196">
        <f ca="1">IF(AH72,_xll.xASN(AL72,Strike1,AE72,AP72,0,N72,0,P72,Q72,IF(OptControl=4,0,1),2),0)</f>
        <v>0</v>
      </c>
      <c r="AU72" s="196">
        <f ca="1">IF(AH72,_xll.xASN(AL72,Strike1,AE72,AP72,0,N72,0,P72,Q72,IF(OptControl=4,0,1),3)/100,0)</f>
        <v>0</v>
      </c>
      <c r="AV72" s="196">
        <f ca="1">IF(AH72,_xll.xASN(AL72,Strike1,AE72,AP72,0,N72,0,P72-DaysForThetaCalculation/365.25,Q72-DaysForThetaCalculation/365.25,IF(OptControl=4,0,1),0)-_xll.xASN(AL72,Strike1,AE72,AP72,0,N72,0,P72,Q72,IF(OptControl=4,0,1),0),0)</f>
        <v>0</v>
      </c>
      <c r="AW72" s="196">
        <f ca="1">IF(AH72,_xll.xASN(AL72,Strike2,AE72,AQ72,0,N72,0,P72,Q72,IF(OptControl=3,1,0),0),0)</f>
        <v>0</v>
      </c>
      <c r="AX72" s="196">
        <f ca="1">IF(AH72,_xll.xASN(AL72,Strike2,AE72,AQ72,0,N72,0,P72,Q72,IF(OptControl=3,1,0),1),0)</f>
        <v>0</v>
      </c>
      <c r="AY72" s="196">
        <f ca="1">IF(AH72,_xll.xASN(AL72,Strike2,AE72,AQ72,0,N72,0,P72,Q72,IF(OptControl=3,1,0),2),0)</f>
        <v>0</v>
      </c>
      <c r="AZ72" s="196">
        <f ca="1">IF(AH72,_xll.xASN(AL72,Strike2,AE72,AQ72,0,N72,0,P72,Q72,IF(OptControl=3,1,0),3)/100,0)</f>
        <v>0</v>
      </c>
      <c r="BA72" s="196">
        <f ca="1">IF(AH72,_xll.xASN(AL72,Strike2,AE72,AQ72,0,N72,0,P72-DaysForThetaCalculation/365.25,Q72-DaysForThetaCalculation/365.25,IF(OptControl=3,1,0),0)-_xll.xASN(AL72,Strike2,AE72,AQ72,0,N72,0,P72,Q72,IF(OptControl=3,1,0),0),0)</f>
        <v>0</v>
      </c>
      <c r="BB72" s="126" t="str">
        <f t="shared" ca="1" si="166"/>
        <v/>
      </c>
      <c r="BC72" s="191" t="str">
        <f t="shared" ca="1" si="167"/>
        <v/>
      </c>
      <c r="BD72" s="191" t="str">
        <f t="shared" ca="1" si="168"/>
        <v/>
      </c>
      <c r="BE72" s="190" t="str">
        <f t="shared" ca="1" si="169"/>
        <v/>
      </c>
      <c r="BF72" s="194" t="str">
        <f t="shared" ca="1" si="170"/>
        <v/>
      </c>
      <c r="BG72" s="194" t="str">
        <f t="shared" ca="1" si="171"/>
        <v/>
      </c>
      <c r="BH72" s="195">
        <f ca="1">IF(AH72,_xll.xEURO(BB72,Strike1,AE72,AE72,BF72,O72,IF(OptControl=4,0,1),0),0)</f>
        <v>0</v>
      </c>
      <c r="BI72" s="196">
        <f ca="1">IF(AH72,_xll.xEURO(BB72,Strike1,AE72,AE72,BF72,O72,IF(OptControl=4,0,1),1),0)</f>
        <v>0</v>
      </c>
      <c r="BJ72" s="196">
        <f ca="1">IF(AH72,_xll.xEURO(BB72,Strike1,AE72,AE72,BF72,O72,IF(OptControl=4,0,1),2),0)</f>
        <v>0</v>
      </c>
      <c r="BK72" s="196">
        <f ca="1">IF(AH72,_xll.xEURO(BB72,Strike1,AE72,AE72,BF72,O72,IF(OptControl=4,0,1),3)/100,0)</f>
        <v>0</v>
      </c>
      <c r="BL72" s="196">
        <f ca="1">IF(AH72,_xll.xEURO(BB72,Strike1,AE72,AE72,BF72,O72-DaysForThetaCalculation,IF(OptControl=4,0,1),0)-_xll.xEURO(BB72,Strike1,AE72,AE72,BF72,O72,IF(OptControl=4,0,1),0),0)</f>
        <v>0</v>
      </c>
      <c r="BM72" s="196">
        <f ca="1">IF(AH72,_xll.xEURO(BB72,Strike2,AE72,AE72,BG72,O72,IF(OptControl=3,1,0),0),0)</f>
        <v>0</v>
      </c>
      <c r="BN72" s="196">
        <f ca="1">IF(AH72,_xll.xEURO(BB72,Strike2,AE72,AE72,BG72,O72,IF(OptControl=3,1,0),1),0)</f>
        <v>0</v>
      </c>
      <c r="BO72" s="196">
        <f ca="1">IF(AH72,_xll.xEURO(BB72,Strike2,AE72,AE72,BG72,O72,IF(OptControl=3,1,0),2),0)</f>
        <v>0</v>
      </c>
      <c r="BP72" s="196">
        <f ca="1">IF(AH72,_xll.xEURO(BB72,Strike2,AE72,AE72,BG72,O72,IF(OptControl=3,1,0),3)/100,0)</f>
        <v>0</v>
      </c>
      <c r="BQ72" s="197">
        <f ca="1">IF(AH72,_xll.xEURO(BB72,Strike2,AE72,AE72,BG72,O72-DaysForThetaCalculation,IF(OptControl=3,1,0),0)-_xll.xEURO(BB72,Strike2,AE72,AE72,BG72,O72,IF(OptControl=3,1,0),0),0)</f>
        <v>0</v>
      </c>
      <c r="BR72" s="301"/>
      <c r="BS72" s="114">
        <v>24.120999999999999</v>
      </c>
      <c r="BT72" s="345">
        <f t="shared" si="137"/>
        <v>57.430952380952377</v>
      </c>
      <c r="BU72" s="345">
        <f t="shared" ca="1" si="84"/>
        <v>4.7475909090909099</v>
      </c>
      <c r="BV72" s="73"/>
      <c r="BW72" s="345">
        <f t="shared" ca="1" si="80"/>
        <v>5.291782608695657</v>
      </c>
      <c r="BX72" s="345">
        <f t="shared" ca="1" si="85"/>
        <v>58.707936507936523</v>
      </c>
      <c r="BY72" s="373">
        <f t="shared" ca="1" si="138"/>
        <v>57.726646903820829</v>
      </c>
      <c r="BZ72" s="114">
        <v>21.390999999999998</v>
      </c>
      <c r="CA72" s="345">
        <f t="shared" si="139"/>
        <v>50.930952380952377</v>
      </c>
      <c r="CB72" s="345">
        <f t="shared" ca="1" si="86"/>
        <v>2.4375909090909076</v>
      </c>
      <c r="CC72" s="345">
        <f t="shared" ca="1" si="81"/>
        <v>2.981782608695656</v>
      </c>
      <c r="CD72" s="345">
        <f t="shared" ca="1" si="140"/>
        <v>52.226646903820829</v>
      </c>
      <c r="CE72" s="347">
        <f t="shared" ca="1" si="172"/>
        <v>-5.5</v>
      </c>
      <c r="CF72" s="114">
        <v>22.214000000000002</v>
      </c>
      <c r="CG72" s="345">
        <f t="shared" si="141"/>
        <v>52.890476190476193</v>
      </c>
      <c r="CH72" s="345">
        <f t="shared" ca="1" si="142"/>
        <v>3.8065909090909109</v>
      </c>
      <c r="CI72" s="73"/>
      <c r="CJ72" s="345">
        <f t="shared" ca="1" si="89"/>
        <v>4.1497826086956522</v>
      </c>
      <c r="CK72" s="345">
        <f t="shared" ca="1" si="90"/>
        <v>53.688888888888904</v>
      </c>
      <c r="CL72" s="345">
        <f t="shared" ca="1" si="143"/>
        <v>55.0075992847732</v>
      </c>
      <c r="CM72" s="114">
        <v>21.521000000000001</v>
      </c>
      <c r="CN72" s="345">
        <f t="shared" si="144"/>
        <v>51.240476190476187</v>
      </c>
      <c r="CO72" s="345">
        <f t="shared" ca="1" si="145"/>
        <v>2.5675909090909101</v>
      </c>
      <c r="CP72" s="345">
        <f t="shared" ca="1" si="92"/>
        <v>2.9527826086956526</v>
      </c>
      <c r="CQ72" s="345">
        <f t="shared" ca="1" si="146"/>
        <v>52.157599284773198</v>
      </c>
      <c r="CR72" s="347">
        <f t="shared" ca="1" si="173"/>
        <v>-2.8500000000000014</v>
      </c>
      <c r="CS72" s="114">
        <v>22.885999999999999</v>
      </c>
      <c r="CT72" s="345">
        <f t="shared" si="147"/>
        <v>54.490476190476187</v>
      </c>
      <c r="CU72" s="345">
        <f t="shared" si="174"/>
        <v>0.29999999999999716</v>
      </c>
      <c r="CV72" s="345">
        <f t="shared" ca="1" si="91"/>
        <v>1.3500000000000083</v>
      </c>
      <c r="CW72" s="347">
        <f t="shared" ca="1" si="175"/>
        <v>56.357599284773208</v>
      </c>
      <c r="CX72" s="483">
        <v>0.19500000000000001</v>
      </c>
      <c r="CY72" s="190">
        <f t="shared" si="148"/>
        <v>-3.2812431805304132E-4</v>
      </c>
      <c r="CZ72" s="190">
        <f t="shared" ca="1" si="78"/>
        <v>-0.03</v>
      </c>
      <c r="DA72" s="354">
        <f t="shared" ca="1" si="149"/>
        <v>0.16532812431805305</v>
      </c>
      <c r="DB72" s="483">
        <v>0.19500000000000001</v>
      </c>
      <c r="DC72" s="190">
        <f t="shared" si="150"/>
        <v>-3.2812431805304132E-4</v>
      </c>
      <c r="DD72" s="190">
        <f t="shared" ca="1" si="82"/>
        <v>0.03</v>
      </c>
      <c r="DE72" s="354">
        <f t="shared" ca="1" si="151"/>
        <v>0.22532812431805305</v>
      </c>
      <c r="DG72" s="341"/>
      <c r="DH72" s="114">
        <v>16.303000000000001</v>
      </c>
      <c r="DI72" s="126">
        <f t="shared" ca="1" si="176"/>
        <v>-2.6504090909090898</v>
      </c>
      <c r="DJ72" s="126">
        <f t="shared" ca="1" si="124"/>
        <v>-2</v>
      </c>
      <c r="DK72" s="356">
        <f t="shared" ca="1" si="125"/>
        <v>16.953409090909091</v>
      </c>
      <c r="DL72" s="114">
        <v>13.702999999999999</v>
      </c>
      <c r="DM72" s="126">
        <f t="shared" ca="1" si="177"/>
        <v>-5.2504090909090912</v>
      </c>
      <c r="DN72" s="126">
        <f t="shared" ca="1" si="152"/>
        <v>-3</v>
      </c>
      <c r="DO72" s="356">
        <f t="shared" ca="1" si="126"/>
        <v>15.953409090909091</v>
      </c>
      <c r="DP72" s="114">
        <v>12.952999999999999</v>
      </c>
      <c r="DQ72" s="126">
        <f t="shared" ca="1" si="178"/>
        <v>-6.0004090909090912</v>
      </c>
      <c r="DR72" s="126">
        <f t="shared" ca="1" si="153"/>
        <v>-6</v>
      </c>
      <c r="DS72" s="356">
        <f t="shared" ca="1" si="127"/>
        <v>12.953409090909091</v>
      </c>
      <c r="DT72" s="114">
        <v>15.253</v>
      </c>
      <c r="DU72" s="126">
        <f t="shared" ca="1" si="179"/>
        <v>-3.7004090909090905</v>
      </c>
      <c r="DV72" s="126">
        <f t="shared" ca="1" si="154"/>
        <v>-5</v>
      </c>
      <c r="DW72" s="356">
        <f t="shared" ca="1" si="128"/>
        <v>13.953409090909091</v>
      </c>
    </row>
    <row r="73" spans="2:127" x14ac:dyDescent="0.25">
      <c r="B73" s="396">
        <v>37773</v>
      </c>
      <c r="C73" s="400">
        <v>37763</v>
      </c>
      <c r="I73" s="136">
        <f t="shared" ca="1" si="129"/>
        <v>39022</v>
      </c>
      <c r="J73" s="131">
        <f t="shared" ca="1" si="130"/>
        <v>39012</v>
      </c>
      <c r="K73" s="106">
        <f t="shared" ca="1" si="131"/>
        <v>0.59090909090909094</v>
      </c>
      <c r="L73" s="133">
        <f t="shared" ca="1" si="93"/>
        <v>106</v>
      </c>
      <c r="M73" s="134">
        <f t="shared" ca="1" si="94"/>
        <v>11</v>
      </c>
      <c r="N73" s="103">
        <f t="shared" ca="1" si="116"/>
        <v>22</v>
      </c>
      <c r="O73" s="104">
        <f t="shared" ca="1" si="132"/>
        <v>2062</v>
      </c>
      <c r="P73" s="105">
        <f t="shared" ca="1" si="95"/>
        <v>5.6618754277891856</v>
      </c>
      <c r="Q73" s="105">
        <f t="shared" ca="1" si="96"/>
        <v>5.7412731006160165</v>
      </c>
      <c r="R73" s="114">
        <v>18.954999999999998</v>
      </c>
      <c r="S73" s="198">
        <v>0</v>
      </c>
      <c r="T73" s="189">
        <f t="shared" si="133"/>
        <v>18.954999999999998</v>
      </c>
      <c r="U73" s="199">
        <f t="shared" ca="1" si="117"/>
        <v>18.95</v>
      </c>
      <c r="V73" s="379">
        <f t="shared" ca="1" si="118"/>
        <v>18.95</v>
      </c>
      <c r="W73" s="483">
        <v>0.19469999999999998</v>
      </c>
      <c r="X73" s="166" t="str">
        <f t="shared" ca="1" si="119"/>
        <v/>
      </c>
      <c r="Y73" s="91">
        <f t="shared" ca="1" si="155"/>
        <v>3.5364196379195621E-3</v>
      </c>
      <c r="Z73" s="91">
        <f t="shared" ca="1" si="156"/>
        <v>1.5132547321604942E-3</v>
      </c>
      <c r="AA73" s="91">
        <f t="shared" ca="1" si="157"/>
        <v>6.0102131904729789E-4</v>
      </c>
      <c r="AB73" s="91">
        <f t="shared" ca="1" si="158"/>
        <v>1.3539808275497567E-3</v>
      </c>
      <c r="AC73" s="91">
        <f t="shared" ca="1" si="159"/>
        <v>3.4090602606112563E-3</v>
      </c>
      <c r="AD73" s="91">
        <f t="shared" ca="1" si="160"/>
        <v>7.9668461603051664E-3</v>
      </c>
      <c r="AE73" s="124">
        <v>7.3217425161309996E-2</v>
      </c>
      <c r="AF73" s="191">
        <f t="shared" ca="1" si="161"/>
        <v>0.66176182327327426</v>
      </c>
      <c r="AG73" s="189">
        <f t="shared" ca="1" si="134"/>
        <v>1</v>
      </c>
      <c r="AH73" s="192">
        <f t="shared" ca="1" si="120"/>
        <v>0</v>
      </c>
      <c r="AI73" s="192">
        <f t="shared" ca="1" si="121"/>
        <v>0</v>
      </c>
      <c r="AJ73" s="192">
        <f t="shared" ca="1" si="122"/>
        <v>0</v>
      </c>
      <c r="AK73" s="192">
        <f t="shared" ca="1" si="123"/>
        <v>0</v>
      </c>
      <c r="AL73" s="191" t="str">
        <f t="shared" ca="1" si="162"/>
        <v/>
      </c>
      <c r="AM73" s="191" t="str">
        <f t="shared" ca="1" si="163"/>
        <v/>
      </c>
      <c r="AN73" s="191" t="str">
        <f t="shared" ca="1" si="164"/>
        <v/>
      </c>
      <c r="AO73" s="193" t="str">
        <f t="shared" ca="1" si="165"/>
        <v/>
      </c>
      <c r="AP73" s="194" t="str">
        <f t="shared" ca="1" si="135"/>
        <v/>
      </c>
      <c r="AQ73" s="194" t="str">
        <f t="shared" ca="1" si="136"/>
        <v/>
      </c>
      <c r="AR73" s="195">
        <f ca="1">IF(AH73,_xll.xASN(AL73,Strike1,AE73,AP73,0,N73,0,P73,Q73,IF(OptControl=4,0,1),0),0)</f>
        <v>0</v>
      </c>
      <c r="AS73" s="196">
        <f ca="1">IF(AH73,_xll.xASN(AL73,Strike1,AE73,AP73,0,N73,0,P73,Q73,IF(OptControl=4,0,1),1),0)</f>
        <v>0</v>
      </c>
      <c r="AT73" s="196">
        <f ca="1">IF(AH73,_xll.xASN(AL73,Strike1,AE73,AP73,0,N73,0,P73,Q73,IF(OptControl=4,0,1),2),0)</f>
        <v>0</v>
      </c>
      <c r="AU73" s="196">
        <f ca="1">IF(AH73,_xll.xASN(AL73,Strike1,AE73,AP73,0,N73,0,P73,Q73,IF(OptControl=4,0,1),3)/100,0)</f>
        <v>0</v>
      </c>
      <c r="AV73" s="196">
        <f ca="1">IF(AH73,_xll.xASN(AL73,Strike1,AE73,AP73,0,N73,0,P73-DaysForThetaCalculation/365.25,Q73-DaysForThetaCalculation/365.25,IF(OptControl=4,0,1),0)-_xll.xASN(AL73,Strike1,AE73,AP73,0,N73,0,P73,Q73,IF(OptControl=4,0,1),0),0)</f>
        <v>0</v>
      </c>
      <c r="AW73" s="196">
        <f ca="1">IF(AH73,_xll.xASN(AL73,Strike2,AE73,AQ73,0,N73,0,P73,Q73,IF(OptControl=3,1,0),0),0)</f>
        <v>0</v>
      </c>
      <c r="AX73" s="196">
        <f ca="1">IF(AH73,_xll.xASN(AL73,Strike2,AE73,AQ73,0,N73,0,P73,Q73,IF(OptControl=3,1,0),1),0)</f>
        <v>0</v>
      </c>
      <c r="AY73" s="196">
        <f ca="1">IF(AH73,_xll.xASN(AL73,Strike2,AE73,AQ73,0,N73,0,P73,Q73,IF(OptControl=3,1,0),2),0)</f>
        <v>0</v>
      </c>
      <c r="AZ73" s="196">
        <f ca="1">IF(AH73,_xll.xASN(AL73,Strike2,AE73,AQ73,0,N73,0,P73,Q73,IF(OptControl=3,1,0),3)/100,0)</f>
        <v>0</v>
      </c>
      <c r="BA73" s="196">
        <f ca="1">IF(AH73,_xll.xASN(AL73,Strike2,AE73,AQ73,0,N73,0,P73-DaysForThetaCalculation/365.25,Q73-DaysForThetaCalculation/365.25,IF(OptControl=3,1,0),0)-_xll.xASN(AL73,Strike2,AE73,AQ73,0,N73,0,P73,Q73,IF(OptControl=3,1,0),0),0)</f>
        <v>0</v>
      </c>
      <c r="BB73" s="126" t="str">
        <f t="shared" ca="1" si="166"/>
        <v/>
      </c>
      <c r="BC73" s="191" t="str">
        <f t="shared" ca="1" si="167"/>
        <v/>
      </c>
      <c r="BD73" s="191" t="str">
        <f t="shared" ca="1" si="168"/>
        <v/>
      </c>
      <c r="BE73" s="190" t="str">
        <f t="shared" ca="1" si="169"/>
        <v/>
      </c>
      <c r="BF73" s="194" t="str">
        <f t="shared" ca="1" si="170"/>
        <v/>
      </c>
      <c r="BG73" s="194" t="str">
        <f t="shared" ca="1" si="171"/>
        <v/>
      </c>
      <c r="BH73" s="195">
        <f ca="1">IF(AH73,_xll.xEURO(BB73,Strike1,AE73,AE73,BF73,O73,IF(OptControl=4,0,1),0),0)</f>
        <v>0</v>
      </c>
      <c r="BI73" s="196">
        <f ca="1">IF(AH73,_xll.xEURO(BB73,Strike1,AE73,AE73,BF73,O73,IF(OptControl=4,0,1),1),0)</f>
        <v>0</v>
      </c>
      <c r="BJ73" s="196">
        <f ca="1">IF(AH73,_xll.xEURO(BB73,Strike1,AE73,AE73,BF73,O73,IF(OptControl=4,0,1),2),0)</f>
        <v>0</v>
      </c>
      <c r="BK73" s="196">
        <f ca="1">IF(AH73,_xll.xEURO(BB73,Strike1,AE73,AE73,BF73,O73,IF(OptControl=4,0,1),3)/100,0)</f>
        <v>0</v>
      </c>
      <c r="BL73" s="196">
        <f ca="1">IF(AH73,_xll.xEURO(BB73,Strike1,AE73,AE73,BF73,O73-DaysForThetaCalculation,IF(OptControl=4,0,1),0)-_xll.xEURO(BB73,Strike1,AE73,AE73,BF73,O73,IF(OptControl=4,0,1),0),0)</f>
        <v>0</v>
      </c>
      <c r="BM73" s="196">
        <f ca="1">IF(AH73,_xll.xEURO(BB73,Strike2,AE73,AE73,BG73,O73,IF(OptControl=3,1,0),0),0)</f>
        <v>0</v>
      </c>
      <c r="BN73" s="196">
        <f ca="1">IF(AH73,_xll.xEURO(BB73,Strike2,AE73,AE73,BG73,O73,IF(OptControl=3,1,0),1),0)</f>
        <v>0</v>
      </c>
      <c r="BO73" s="196">
        <f ca="1">IF(AH73,_xll.xEURO(BB73,Strike2,AE73,AE73,BG73,O73,IF(OptControl=3,1,0),2),0)</f>
        <v>0</v>
      </c>
      <c r="BP73" s="196">
        <f ca="1">IF(AH73,_xll.xEURO(BB73,Strike2,AE73,AE73,BG73,O73,IF(OptControl=3,1,0),3)/100,0)</f>
        <v>0</v>
      </c>
      <c r="BQ73" s="197">
        <f ca="1">IF(AH73,_xll.xEURO(BB73,Strike2,AE73,AE73,BG73,O73-DaysForThetaCalculation,IF(OptControl=3,1,0),0)-_xll.xEURO(BB73,Strike2,AE73,AE73,BG73,O73,IF(OptControl=3,1,0),0),0)</f>
        <v>0</v>
      </c>
      <c r="BR73" s="301"/>
      <c r="BS73" s="114">
        <v>23.701000000000001</v>
      </c>
      <c r="BT73" s="345">
        <f t="shared" si="137"/>
        <v>56.430952380952377</v>
      </c>
      <c r="BU73" s="345">
        <f t="shared" ca="1" si="84"/>
        <v>4.5950000000000024</v>
      </c>
      <c r="BV73" s="73"/>
      <c r="BW73" s="345">
        <f t="shared" ca="1" si="80"/>
        <v>5.1444545454545523</v>
      </c>
      <c r="BX73" s="345">
        <f t="shared" ca="1" si="85"/>
        <v>57.726646903820829</v>
      </c>
      <c r="BY73" s="373">
        <f t="shared" ca="1" si="138"/>
        <v>57.367748917748941</v>
      </c>
      <c r="BZ73" s="114">
        <v>21.234999999999999</v>
      </c>
      <c r="CA73" s="345">
        <f t="shared" si="139"/>
        <v>50.55952380952381</v>
      </c>
      <c r="CB73" s="345">
        <f t="shared" ca="1" si="86"/>
        <v>2.2850000000000001</v>
      </c>
      <c r="CC73" s="345">
        <f t="shared" ca="1" si="81"/>
        <v>2.8344545454545478</v>
      </c>
      <c r="CD73" s="345">
        <f t="shared" ca="1" si="140"/>
        <v>51.867748917748919</v>
      </c>
      <c r="CE73" s="347">
        <f t="shared" ca="1" si="172"/>
        <v>-5.5000000000000213</v>
      </c>
      <c r="CF73" s="114">
        <v>22.76</v>
      </c>
      <c r="CG73" s="345">
        <f t="shared" si="141"/>
        <v>54.19047619047619</v>
      </c>
      <c r="CH73" s="345">
        <f t="shared" ca="1" si="142"/>
        <v>4.3640000000000008</v>
      </c>
      <c r="CI73" s="73"/>
      <c r="CJ73" s="345">
        <f t="shared" ca="1" si="89"/>
        <v>4.7164545454545479</v>
      </c>
      <c r="CK73" s="345">
        <f t="shared" ca="1" si="90"/>
        <v>55.0075992847732</v>
      </c>
      <c r="CL73" s="345">
        <f t="shared" ca="1" si="143"/>
        <v>56.348701298701307</v>
      </c>
      <c r="CM73" s="114">
        <v>22.074999999999999</v>
      </c>
      <c r="CN73" s="345">
        <f t="shared" si="144"/>
        <v>52.55952380952381</v>
      </c>
      <c r="CO73" s="345">
        <f t="shared" ca="1" si="145"/>
        <v>3.125</v>
      </c>
      <c r="CP73" s="345">
        <f t="shared" ca="1" si="92"/>
        <v>3.5194545454545501</v>
      </c>
      <c r="CQ73" s="345">
        <f t="shared" ca="1" si="146"/>
        <v>53.498701298701313</v>
      </c>
      <c r="CR73" s="347">
        <f t="shared" ca="1" si="173"/>
        <v>-2.8499999999999943</v>
      </c>
      <c r="CS73" s="114">
        <v>23.44</v>
      </c>
      <c r="CT73" s="345">
        <f t="shared" si="147"/>
        <v>55.80952380952381</v>
      </c>
      <c r="CU73" s="345">
        <f t="shared" si="174"/>
        <v>0.29999999999999716</v>
      </c>
      <c r="CV73" s="345">
        <f t="shared" ca="1" si="91"/>
        <v>1.3500000000000083</v>
      </c>
      <c r="CW73" s="347">
        <f t="shared" ca="1" si="175"/>
        <v>57.698701298701316</v>
      </c>
      <c r="CX73" s="483">
        <v>0.19500000000000001</v>
      </c>
      <c r="CY73" s="190">
        <f t="shared" si="148"/>
        <v>3.0000000000002247E-4</v>
      </c>
      <c r="CZ73" s="190">
        <f t="shared" ca="1" si="78"/>
        <v>-0.03</v>
      </c>
      <c r="DA73" s="354">
        <f t="shared" ca="1" si="149"/>
        <v>0.16469999999999999</v>
      </c>
      <c r="DB73" s="483">
        <v>0.19500000000000001</v>
      </c>
      <c r="DC73" s="190">
        <f t="shared" si="150"/>
        <v>3.0000000000002247E-4</v>
      </c>
      <c r="DD73" s="190">
        <f t="shared" ca="1" si="82"/>
        <v>0.03</v>
      </c>
      <c r="DE73" s="354">
        <f t="shared" ca="1" si="151"/>
        <v>0.22469999999999998</v>
      </c>
      <c r="DG73" s="341"/>
      <c r="DH73" s="114">
        <v>16.3</v>
      </c>
      <c r="DI73" s="126">
        <f t="shared" ca="1" si="176"/>
        <v>-2.6499999999999986</v>
      </c>
      <c r="DJ73" s="126">
        <f t="shared" ca="1" si="124"/>
        <v>-2</v>
      </c>
      <c r="DK73" s="356">
        <f t="shared" ca="1" si="125"/>
        <v>16.95</v>
      </c>
      <c r="DL73" s="114">
        <v>13.7</v>
      </c>
      <c r="DM73" s="126">
        <f t="shared" ca="1" si="177"/>
        <v>-5.25</v>
      </c>
      <c r="DN73" s="126">
        <f t="shared" ca="1" si="152"/>
        <v>-3</v>
      </c>
      <c r="DO73" s="356">
        <f t="shared" ca="1" si="126"/>
        <v>15.95</v>
      </c>
      <c r="DP73" s="114">
        <v>12.95</v>
      </c>
      <c r="DQ73" s="126">
        <f t="shared" ca="1" si="178"/>
        <v>-6</v>
      </c>
      <c r="DR73" s="126">
        <f t="shared" ca="1" si="153"/>
        <v>-6</v>
      </c>
      <c r="DS73" s="356">
        <f t="shared" ca="1" si="127"/>
        <v>12.95</v>
      </c>
      <c r="DT73" s="114">
        <v>15.25</v>
      </c>
      <c r="DU73" s="126">
        <f t="shared" ca="1" si="179"/>
        <v>-3.6999999999999993</v>
      </c>
      <c r="DV73" s="126">
        <f t="shared" ca="1" si="154"/>
        <v>-5</v>
      </c>
      <c r="DW73" s="356">
        <f t="shared" ca="1" si="128"/>
        <v>13.95</v>
      </c>
    </row>
    <row r="74" spans="2:127" x14ac:dyDescent="0.25">
      <c r="B74" s="396">
        <v>37803</v>
      </c>
      <c r="C74" s="400">
        <v>37792</v>
      </c>
      <c r="I74" s="136">
        <f t="shared" ca="1" si="129"/>
        <v>39052</v>
      </c>
      <c r="J74" s="131">
        <f t="shared" ca="1" si="130"/>
        <v>39040</v>
      </c>
      <c r="K74" s="106">
        <f t="shared" ca="1" si="131"/>
        <v>0.61904761904761907</v>
      </c>
      <c r="L74" s="133">
        <f t="shared" ca="1" si="93"/>
        <v>106</v>
      </c>
      <c r="M74" s="134">
        <f t="shared" ca="1" si="94"/>
        <v>12</v>
      </c>
      <c r="N74" s="103">
        <f t="shared" ca="1" si="116"/>
        <v>21</v>
      </c>
      <c r="O74" s="104">
        <f t="shared" ca="1" si="132"/>
        <v>2094</v>
      </c>
      <c r="P74" s="105">
        <f t="shared" ca="1" si="95"/>
        <v>5.7440109514031485</v>
      </c>
      <c r="Q74" s="105">
        <f t="shared" ca="1" si="96"/>
        <v>5.8261464750171115</v>
      </c>
      <c r="R74" s="114">
        <v>18.95</v>
      </c>
      <c r="S74" s="198">
        <v>0</v>
      </c>
      <c r="T74" s="189">
        <f t="shared" si="133"/>
        <v>18.95</v>
      </c>
      <c r="U74" s="199">
        <f t="shared" ca="1" si="117"/>
        <v>18.95</v>
      </c>
      <c r="V74" s="379">
        <f t="shared" ca="1" si="118"/>
        <v>18.95</v>
      </c>
      <c r="W74" s="483">
        <v>0.19409999999999999</v>
      </c>
      <c r="X74" s="166" t="str">
        <f t="shared" ca="1" si="119"/>
        <v/>
      </c>
      <c r="Y74" s="91">
        <f t="shared" ca="1" si="155"/>
        <v>3.4607102721087909E-3</v>
      </c>
      <c r="Z74" s="91">
        <f t="shared" ca="1" si="156"/>
        <v>1.4729296579067369E-3</v>
      </c>
      <c r="AA74" s="91">
        <f t="shared" ca="1" si="157"/>
        <v>5.8343661047074817E-4</v>
      </c>
      <c r="AB74" s="91">
        <f t="shared" ca="1" si="158"/>
        <v>1.3143659960685055E-3</v>
      </c>
      <c r="AC74" s="91">
        <f t="shared" ca="1" si="159"/>
        <v>3.3182159333323916E-3</v>
      </c>
      <c r="AD74" s="91">
        <f t="shared" ca="1" si="160"/>
        <v>7.7962881010066607E-3</v>
      </c>
      <c r="AE74" s="124">
        <v>7.3234760770149995E-2</v>
      </c>
      <c r="AF74" s="191">
        <f t="shared" ca="1" si="161"/>
        <v>0.65767119992179535</v>
      </c>
      <c r="AG74" s="189">
        <f t="shared" ca="1" si="134"/>
        <v>1</v>
      </c>
      <c r="AH74" s="192">
        <f t="shared" ca="1" si="120"/>
        <v>0</v>
      </c>
      <c r="AI74" s="192">
        <f t="shared" ca="1" si="121"/>
        <v>0</v>
      </c>
      <c r="AJ74" s="192">
        <f t="shared" ca="1" si="122"/>
        <v>0</v>
      </c>
      <c r="AK74" s="192">
        <f t="shared" ca="1" si="123"/>
        <v>0</v>
      </c>
      <c r="AL74" s="191" t="str">
        <f t="shared" ca="1" si="162"/>
        <v/>
      </c>
      <c r="AM74" s="191" t="str">
        <f t="shared" ca="1" si="163"/>
        <v/>
      </c>
      <c r="AN74" s="191" t="str">
        <f t="shared" ca="1" si="164"/>
        <v/>
      </c>
      <c r="AO74" s="193" t="str">
        <f t="shared" ca="1" si="165"/>
        <v/>
      </c>
      <c r="AP74" s="194" t="str">
        <f t="shared" ca="1" si="135"/>
        <v/>
      </c>
      <c r="AQ74" s="194" t="str">
        <f t="shared" ca="1" si="136"/>
        <v/>
      </c>
      <c r="AR74" s="195">
        <f ca="1">IF(AH74,_xll.xASN(AL74,Strike1,AE74,AP74,0,N74,0,P74,Q74,IF(OptControl=4,0,1),0),0)</f>
        <v>0</v>
      </c>
      <c r="AS74" s="196">
        <f ca="1">IF(AH74,_xll.xASN(AL74,Strike1,AE74,AP74,0,N74,0,P74,Q74,IF(OptControl=4,0,1),1),0)</f>
        <v>0</v>
      </c>
      <c r="AT74" s="196">
        <f ca="1">IF(AH74,_xll.xASN(AL74,Strike1,AE74,AP74,0,N74,0,P74,Q74,IF(OptControl=4,0,1),2),0)</f>
        <v>0</v>
      </c>
      <c r="AU74" s="196">
        <f ca="1">IF(AH74,_xll.xASN(AL74,Strike1,AE74,AP74,0,N74,0,P74,Q74,IF(OptControl=4,0,1),3)/100,0)</f>
        <v>0</v>
      </c>
      <c r="AV74" s="196">
        <f ca="1">IF(AH74,_xll.xASN(AL74,Strike1,AE74,AP74,0,N74,0,P74-DaysForThetaCalculation/365.25,Q74-DaysForThetaCalculation/365.25,IF(OptControl=4,0,1),0)-_xll.xASN(AL74,Strike1,AE74,AP74,0,N74,0,P74,Q74,IF(OptControl=4,0,1),0),0)</f>
        <v>0</v>
      </c>
      <c r="AW74" s="196">
        <f ca="1">IF(AH74,_xll.xASN(AL74,Strike2,AE74,AQ74,0,N74,0,P74,Q74,IF(OptControl=3,1,0),0),0)</f>
        <v>0</v>
      </c>
      <c r="AX74" s="196">
        <f ca="1">IF(AH74,_xll.xASN(AL74,Strike2,AE74,AQ74,0,N74,0,P74,Q74,IF(OptControl=3,1,0),1),0)</f>
        <v>0</v>
      </c>
      <c r="AY74" s="196">
        <f ca="1">IF(AH74,_xll.xASN(AL74,Strike2,AE74,AQ74,0,N74,0,P74,Q74,IF(OptControl=3,1,0),2),0)</f>
        <v>0</v>
      </c>
      <c r="AZ74" s="196">
        <f ca="1">IF(AH74,_xll.xASN(AL74,Strike2,AE74,AQ74,0,N74,0,P74,Q74,IF(OptControl=3,1,0),3)/100,0)</f>
        <v>0</v>
      </c>
      <c r="BA74" s="196">
        <f ca="1">IF(AH74,_xll.xASN(AL74,Strike2,AE74,AQ74,0,N74,0,P74-DaysForThetaCalculation/365.25,Q74-DaysForThetaCalculation/365.25,IF(OptControl=3,1,0),0)-_xll.xASN(AL74,Strike2,AE74,AQ74,0,N74,0,P74,Q74,IF(OptControl=3,1,0),0),0)</f>
        <v>0</v>
      </c>
      <c r="BB74" s="126" t="str">
        <f t="shared" ca="1" si="166"/>
        <v/>
      </c>
      <c r="BC74" s="191" t="str">
        <f t="shared" ca="1" si="167"/>
        <v/>
      </c>
      <c r="BD74" s="191" t="str">
        <f t="shared" ca="1" si="168"/>
        <v/>
      </c>
      <c r="BE74" s="190" t="str">
        <f t="shared" ca="1" si="169"/>
        <v/>
      </c>
      <c r="BF74" s="194" t="str">
        <f t="shared" ca="1" si="170"/>
        <v/>
      </c>
      <c r="BG74" s="194" t="str">
        <f t="shared" ca="1" si="171"/>
        <v/>
      </c>
      <c r="BH74" s="195">
        <f ca="1">IF(AH74,_xll.xEURO(BB74,Strike1,AE74,AE74,BF74,O74,IF(OptControl=4,0,1),0),0)</f>
        <v>0</v>
      </c>
      <c r="BI74" s="196">
        <f ca="1">IF(AH74,_xll.xEURO(BB74,Strike1,AE74,AE74,BF74,O74,IF(OptControl=4,0,1),1),0)</f>
        <v>0</v>
      </c>
      <c r="BJ74" s="196">
        <f ca="1">IF(AH74,_xll.xEURO(BB74,Strike1,AE74,AE74,BF74,O74,IF(OptControl=4,0,1),2),0)</f>
        <v>0</v>
      </c>
      <c r="BK74" s="196">
        <f ca="1">IF(AH74,_xll.xEURO(BB74,Strike1,AE74,AE74,BF74,O74,IF(OptControl=4,0,1),3)/100,0)</f>
        <v>0</v>
      </c>
      <c r="BL74" s="196">
        <f ca="1">IF(AH74,_xll.xEURO(BB74,Strike1,AE74,AE74,BF74,O74-DaysForThetaCalculation,IF(OptControl=4,0,1),0)-_xll.xEURO(BB74,Strike1,AE74,AE74,BF74,O74,IF(OptControl=4,0,1),0),0)</f>
        <v>0</v>
      </c>
      <c r="BM74" s="196">
        <f ca="1">IF(AH74,_xll.xEURO(BB74,Strike2,AE74,AE74,BG74,O74,IF(OptControl=3,1,0),0),0)</f>
        <v>0</v>
      </c>
      <c r="BN74" s="196">
        <f ca="1">IF(AH74,_xll.xEURO(BB74,Strike2,AE74,AE74,BG74,O74,IF(OptControl=3,1,0),1),0)</f>
        <v>0</v>
      </c>
      <c r="BO74" s="196">
        <f ca="1">IF(AH74,_xll.xEURO(BB74,Strike2,AE74,AE74,BG74,O74,IF(OptControl=3,1,0),2),0)</f>
        <v>0</v>
      </c>
      <c r="BP74" s="196">
        <f ca="1">IF(AH74,_xll.xEURO(BB74,Strike2,AE74,AE74,BG74,O74,IF(OptControl=3,1,0),3)/100,0)</f>
        <v>0</v>
      </c>
      <c r="BQ74" s="197">
        <f ca="1">IF(AH74,_xll.xEURO(BB74,Strike2,AE74,AE74,BG74,O74-DaysForThetaCalculation,IF(OptControl=3,1,0),0)-_xll.xEURO(BB74,Strike2,AE74,AE74,BG74,O74,IF(OptControl=3,1,0),0),0)</f>
        <v>0</v>
      </c>
      <c r="BR74" s="301"/>
      <c r="BS74" s="114">
        <v>23.545000000000002</v>
      </c>
      <c r="BT74" s="345">
        <f t="shared" si="137"/>
        <v>56.05952380952381</v>
      </c>
      <c r="BU74" s="345">
        <f t="shared" ca="1" si="84"/>
        <v>4.754999999999999</v>
      </c>
      <c r="BV74" s="73"/>
      <c r="BW74" s="345">
        <f t="shared" ca="1" si="80"/>
        <v>5.3171428571428603</v>
      </c>
      <c r="BX74" s="345">
        <f t="shared" ca="1" si="85"/>
        <v>57.367748917748941</v>
      </c>
      <c r="BY74" s="373">
        <f t="shared" ca="1" si="138"/>
        <v>57.778911564625851</v>
      </c>
      <c r="BZ74" s="114">
        <v>21.395</v>
      </c>
      <c r="CA74" s="345">
        <f t="shared" si="139"/>
        <v>50.94047619047619</v>
      </c>
      <c r="CB74" s="345">
        <f t="shared" ca="1" si="86"/>
        <v>2.4450000000000003</v>
      </c>
      <c r="CC74" s="345">
        <f t="shared" ca="1" si="81"/>
        <v>3.0071428571428593</v>
      </c>
      <c r="CD74" s="345">
        <f t="shared" ca="1" si="140"/>
        <v>52.278911564625851</v>
      </c>
      <c r="CE74" s="347">
        <f t="shared" ca="1" si="172"/>
        <v>-5.5</v>
      </c>
      <c r="CF74" s="114">
        <v>23.314</v>
      </c>
      <c r="CG74" s="345">
        <f t="shared" si="141"/>
        <v>55.509523809523813</v>
      </c>
      <c r="CH74" s="345">
        <f t="shared" ca="1" si="142"/>
        <v>4.7170000000000023</v>
      </c>
      <c r="CI74" s="73"/>
      <c r="CJ74" s="345">
        <f t="shared" ca="1" si="89"/>
        <v>5.0781428571428595</v>
      </c>
      <c r="CK74" s="345">
        <f t="shared" ca="1" si="90"/>
        <v>56.348701298701307</v>
      </c>
      <c r="CL74" s="345">
        <f t="shared" ca="1" si="143"/>
        <v>57.209863945578242</v>
      </c>
      <c r="CM74" s="114">
        <v>22.428000000000001</v>
      </c>
      <c r="CN74" s="345">
        <f t="shared" si="144"/>
        <v>53.400000000000006</v>
      </c>
      <c r="CO74" s="345">
        <f t="shared" ca="1" si="145"/>
        <v>3.4780000000000015</v>
      </c>
      <c r="CP74" s="345">
        <f t="shared" ca="1" si="92"/>
        <v>3.8811428571428617</v>
      </c>
      <c r="CQ74" s="345">
        <f t="shared" ca="1" si="146"/>
        <v>54.359863945578248</v>
      </c>
      <c r="CR74" s="347">
        <f t="shared" ca="1" si="173"/>
        <v>-2.8499999999999943</v>
      </c>
      <c r="CS74" s="114">
        <v>23.793000000000003</v>
      </c>
      <c r="CT74" s="345">
        <f t="shared" si="147"/>
        <v>56.650000000000006</v>
      </c>
      <c r="CU74" s="345">
        <f t="shared" si="174"/>
        <v>0.29999999999999716</v>
      </c>
      <c r="CV74" s="345">
        <f t="shared" ca="1" si="91"/>
        <v>1.3500000000000083</v>
      </c>
      <c r="CW74" s="347">
        <f t="shared" ca="1" si="175"/>
        <v>58.55986394557825</v>
      </c>
      <c r="CX74" s="483">
        <v>0.19400000000000003</v>
      </c>
      <c r="CY74" s="190">
        <f t="shared" si="148"/>
        <v>-9.9999999999961231E-5</v>
      </c>
      <c r="CZ74" s="190">
        <f t="shared" ca="1" si="78"/>
        <v>-0.03</v>
      </c>
      <c r="DA74" s="354">
        <f t="shared" ca="1" si="149"/>
        <v>0.1641</v>
      </c>
      <c r="DB74" s="483">
        <v>0.19400000000000003</v>
      </c>
      <c r="DC74" s="190">
        <f t="shared" si="150"/>
        <v>-9.9999999999961231E-5</v>
      </c>
      <c r="DD74" s="190">
        <f t="shared" ca="1" si="82"/>
        <v>0.03</v>
      </c>
      <c r="DE74" s="354">
        <f t="shared" ca="1" si="151"/>
        <v>0.22409999999999999</v>
      </c>
      <c r="DG74" s="341"/>
      <c r="DH74" s="114">
        <v>16.3</v>
      </c>
      <c r="DI74" s="126">
        <f t="shared" ca="1" si="176"/>
        <v>-2.6499999999999986</v>
      </c>
      <c r="DJ74" s="126">
        <f t="shared" ca="1" si="124"/>
        <v>-2</v>
      </c>
      <c r="DK74" s="356">
        <f t="shared" ca="1" si="125"/>
        <v>16.95</v>
      </c>
      <c r="DL74" s="114">
        <v>13.7</v>
      </c>
      <c r="DM74" s="126">
        <f t="shared" ca="1" si="177"/>
        <v>-5.25</v>
      </c>
      <c r="DN74" s="126">
        <f t="shared" ca="1" si="152"/>
        <v>-3</v>
      </c>
      <c r="DO74" s="356">
        <f t="shared" ca="1" si="126"/>
        <v>15.95</v>
      </c>
      <c r="DP74" s="114">
        <v>12.95</v>
      </c>
      <c r="DQ74" s="126">
        <f t="shared" ca="1" si="178"/>
        <v>-6</v>
      </c>
      <c r="DR74" s="126">
        <f t="shared" ca="1" si="153"/>
        <v>-6</v>
      </c>
      <c r="DS74" s="356">
        <f t="shared" ca="1" si="127"/>
        <v>12.95</v>
      </c>
      <c r="DT74" s="114">
        <v>15.25</v>
      </c>
      <c r="DU74" s="126">
        <f t="shared" ca="1" si="179"/>
        <v>-3.6999999999999993</v>
      </c>
      <c r="DV74" s="126">
        <f t="shared" ca="1" si="154"/>
        <v>-5</v>
      </c>
      <c r="DW74" s="356">
        <f t="shared" ca="1" si="128"/>
        <v>13.95</v>
      </c>
    </row>
    <row r="75" spans="2:127" x14ac:dyDescent="0.25">
      <c r="B75" s="396">
        <v>37834</v>
      </c>
      <c r="C75" s="400">
        <v>37822</v>
      </c>
      <c r="I75" s="136">
        <f t="shared" ca="1" si="129"/>
        <v>39083</v>
      </c>
      <c r="J75" s="131">
        <f t="shared" ca="1" si="130"/>
        <v>39070</v>
      </c>
      <c r="K75" s="106">
        <f t="shared" ca="1" si="131"/>
        <v>0.69565217391304346</v>
      </c>
      <c r="L75" s="133">
        <f t="shared" ca="1" si="93"/>
        <v>107</v>
      </c>
      <c r="M75" s="134">
        <f t="shared" ca="1" si="94"/>
        <v>1</v>
      </c>
      <c r="N75" s="103">
        <f t="shared" ca="1" si="116"/>
        <v>23</v>
      </c>
      <c r="O75" s="104">
        <f t="shared" ca="1" si="132"/>
        <v>2123</v>
      </c>
      <c r="P75" s="105">
        <f t="shared" ca="1" si="95"/>
        <v>5.8288843258042435</v>
      </c>
      <c r="Q75" s="105">
        <f t="shared" ca="1" si="96"/>
        <v>5.9110198494182065</v>
      </c>
      <c r="R75" s="114">
        <v>18.95</v>
      </c>
      <c r="S75" s="198">
        <v>0</v>
      </c>
      <c r="T75" s="189">
        <f t="shared" si="133"/>
        <v>18.95</v>
      </c>
      <c r="U75" s="199">
        <f t="shared" ca="1" si="117"/>
        <v>18.95</v>
      </c>
      <c r="V75" s="379">
        <f t="shared" ca="1" si="118"/>
        <v>18.95</v>
      </c>
      <c r="W75" s="483">
        <v>0.19400000000000003</v>
      </c>
      <c r="X75" s="166" t="str">
        <f t="shared" ca="1" si="119"/>
        <v/>
      </c>
      <c r="Y75" s="91">
        <f t="shared" ca="1" si="155"/>
        <v>3.386621728671589E-3</v>
      </c>
      <c r="Z75" s="91">
        <f t="shared" ca="1" si="156"/>
        <v>1.4336791625583099E-3</v>
      </c>
      <c r="AA75" s="91">
        <f t="shared" ca="1" si="157"/>
        <v>5.6636639608254491E-4</v>
      </c>
      <c r="AB75" s="91">
        <f t="shared" ca="1" si="158"/>
        <v>1.2759102170947615E-3</v>
      </c>
      <c r="AC75" s="91">
        <f t="shared" ca="1" si="159"/>
        <v>3.2297924174114552E-3</v>
      </c>
      <c r="AD75" s="91">
        <f t="shared" ca="1" si="160"/>
        <v>7.6293814303513311E-3</v>
      </c>
      <c r="AE75" s="124">
        <v>7.3252674232721998E-2</v>
      </c>
      <c r="AF75" s="191">
        <f t="shared" ca="1" si="161"/>
        <v>0.65360185390187608</v>
      </c>
      <c r="AG75" s="189">
        <f t="shared" ca="1" si="134"/>
        <v>1</v>
      </c>
      <c r="AH75" s="192">
        <f t="shared" ca="1" si="120"/>
        <v>0</v>
      </c>
      <c r="AI75" s="192">
        <f t="shared" ca="1" si="121"/>
        <v>0</v>
      </c>
      <c r="AJ75" s="192">
        <f t="shared" ca="1" si="122"/>
        <v>0</v>
      </c>
      <c r="AK75" s="192">
        <f t="shared" ca="1" si="123"/>
        <v>0</v>
      </c>
      <c r="AL75" s="191" t="str">
        <f t="shared" ca="1" si="162"/>
        <v/>
      </c>
      <c r="AM75" s="191" t="str">
        <f t="shared" ca="1" si="163"/>
        <v/>
      </c>
      <c r="AN75" s="191" t="str">
        <f t="shared" ca="1" si="164"/>
        <v/>
      </c>
      <c r="AO75" s="193" t="str">
        <f t="shared" ca="1" si="165"/>
        <v/>
      </c>
      <c r="AP75" s="194" t="str">
        <f t="shared" ca="1" si="135"/>
        <v/>
      </c>
      <c r="AQ75" s="194" t="str">
        <f t="shared" ca="1" si="136"/>
        <v/>
      </c>
      <c r="AR75" s="195">
        <f ca="1">IF(AH75,_xll.xASN(AL75,Strike1,AE75,AP75,0,N75,0,P75,Q75,IF(OptControl=4,0,1),0),0)</f>
        <v>0</v>
      </c>
      <c r="AS75" s="196">
        <f ca="1">IF(AH75,_xll.xASN(AL75,Strike1,AE75,AP75,0,N75,0,P75,Q75,IF(OptControl=4,0,1),1),0)</f>
        <v>0</v>
      </c>
      <c r="AT75" s="196">
        <f ca="1">IF(AH75,_xll.xASN(AL75,Strike1,AE75,AP75,0,N75,0,P75,Q75,IF(OptControl=4,0,1),2),0)</f>
        <v>0</v>
      </c>
      <c r="AU75" s="196">
        <f ca="1">IF(AH75,_xll.xASN(AL75,Strike1,AE75,AP75,0,N75,0,P75,Q75,IF(OptControl=4,0,1),3)/100,0)</f>
        <v>0</v>
      </c>
      <c r="AV75" s="196">
        <f ca="1">IF(AH75,_xll.xASN(AL75,Strike1,AE75,AP75,0,N75,0,P75-DaysForThetaCalculation/365.25,Q75-DaysForThetaCalculation/365.25,IF(OptControl=4,0,1),0)-_xll.xASN(AL75,Strike1,AE75,AP75,0,N75,0,P75,Q75,IF(OptControl=4,0,1),0),0)</f>
        <v>0</v>
      </c>
      <c r="AW75" s="196">
        <f ca="1">IF(AH75,_xll.xASN(AL75,Strike2,AE75,AQ75,0,N75,0,P75,Q75,IF(OptControl=3,1,0),0),0)</f>
        <v>0</v>
      </c>
      <c r="AX75" s="196">
        <f ca="1">IF(AH75,_xll.xASN(AL75,Strike2,AE75,AQ75,0,N75,0,P75,Q75,IF(OptControl=3,1,0),1),0)</f>
        <v>0</v>
      </c>
      <c r="AY75" s="196">
        <f ca="1">IF(AH75,_xll.xASN(AL75,Strike2,AE75,AQ75,0,N75,0,P75,Q75,IF(OptControl=3,1,0),2),0)</f>
        <v>0</v>
      </c>
      <c r="AZ75" s="196">
        <f ca="1">IF(AH75,_xll.xASN(AL75,Strike2,AE75,AQ75,0,N75,0,P75,Q75,IF(OptControl=3,1,0),3)/100,0)</f>
        <v>0</v>
      </c>
      <c r="BA75" s="196">
        <f ca="1">IF(AH75,_xll.xASN(AL75,Strike2,AE75,AQ75,0,N75,0,P75-DaysForThetaCalculation/365.25,Q75-DaysForThetaCalculation/365.25,IF(OptControl=3,1,0),0)-_xll.xASN(AL75,Strike2,AE75,AQ75,0,N75,0,P75,Q75,IF(OptControl=3,1,0),0),0)</f>
        <v>0</v>
      </c>
      <c r="BB75" s="126" t="str">
        <f t="shared" ca="1" si="166"/>
        <v/>
      </c>
      <c r="BC75" s="191" t="str">
        <f t="shared" ca="1" si="167"/>
        <v/>
      </c>
      <c r="BD75" s="191" t="str">
        <f t="shared" ca="1" si="168"/>
        <v/>
      </c>
      <c r="BE75" s="190" t="str">
        <f t="shared" ca="1" si="169"/>
        <v/>
      </c>
      <c r="BF75" s="194" t="str">
        <f t="shared" ca="1" si="170"/>
        <v/>
      </c>
      <c r="BG75" s="194" t="str">
        <f t="shared" ca="1" si="171"/>
        <v/>
      </c>
      <c r="BH75" s="195">
        <f ca="1">IF(AH75,_xll.xEURO(BB75,Strike1,AE75,AE75,BF75,O75,IF(OptControl=4,0,1),0),0)</f>
        <v>0</v>
      </c>
      <c r="BI75" s="196">
        <f ca="1">IF(AH75,_xll.xEURO(BB75,Strike1,AE75,AE75,BF75,O75,IF(OptControl=4,0,1),1),0)</f>
        <v>0</v>
      </c>
      <c r="BJ75" s="196">
        <f ca="1">IF(AH75,_xll.xEURO(BB75,Strike1,AE75,AE75,BF75,O75,IF(OptControl=4,0,1),2),0)</f>
        <v>0</v>
      </c>
      <c r="BK75" s="196">
        <f ca="1">IF(AH75,_xll.xEURO(BB75,Strike1,AE75,AE75,BF75,O75,IF(OptControl=4,0,1),3)/100,0)</f>
        <v>0</v>
      </c>
      <c r="BL75" s="196">
        <f ca="1">IF(AH75,_xll.xEURO(BB75,Strike1,AE75,AE75,BF75,O75-DaysForThetaCalculation,IF(OptControl=4,0,1),0)-_xll.xEURO(BB75,Strike1,AE75,AE75,BF75,O75,IF(OptControl=4,0,1),0),0)</f>
        <v>0</v>
      </c>
      <c r="BM75" s="196">
        <f ca="1">IF(AH75,_xll.xEURO(BB75,Strike2,AE75,AE75,BG75,O75,IF(OptControl=3,1,0),0),0)</f>
        <v>0</v>
      </c>
      <c r="BN75" s="196">
        <f ca="1">IF(AH75,_xll.xEURO(BB75,Strike2,AE75,AE75,BG75,O75,IF(OptControl=3,1,0),1),0)</f>
        <v>0</v>
      </c>
      <c r="BO75" s="196">
        <f ca="1">IF(AH75,_xll.xEURO(BB75,Strike2,AE75,AE75,BG75,O75,IF(OptControl=3,1,0),2),0)</f>
        <v>0</v>
      </c>
      <c r="BP75" s="196">
        <f ca="1">IF(AH75,_xll.xEURO(BB75,Strike2,AE75,AE75,BG75,O75,IF(OptControl=3,1,0),3)/100,0)</f>
        <v>0</v>
      </c>
      <c r="BQ75" s="197">
        <f ca="1">IF(AH75,_xll.xEURO(BB75,Strike2,AE75,AE75,BG75,O75-DaysForThetaCalculation,IF(OptControl=3,1,0),0)-_xll.xEURO(BB75,Strike2,AE75,AE75,BG75,O75,IF(OptControl=3,1,0),0),0)</f>
        <v>0</v>
      </c>
      <c r="BR75" s="301"/>
      <c r="BS75" s="114">
        <v>23.704999999999998</v>
      </c>
      <c r="BT75" s="345">
        <f t="shared" si="137"/>
        <v>56.44047619047619</v>
      </c>
      <c r="BU75" s="345">
        <f t="shared" ca="1" si="84"/>
        <v>5.7040000000000006</v>
      </c>
      <c r="BV75" s="73"/>
      <c r="BW75" s="345">
        <f t="shared" ca="1" si="80"/>
        <v>5.5594782608695663</v>
      </c>
      <c r="BX75" s="345">
        <f t="shared" ca="1" si="85"/>
        <v>57.778911564625851</v>
      </c>
      <c r="BY75" s="373">
        <f t="shared" ca="1" si="138"/>
        <v>58.35590062111801</v>
      </c>
      <c r="BZ75" s="114">
        <v>22.449000000000002</v>
      </c>
      <c r="CA75" s="345">
        <f t="shared" si="139"/>
        <v>53.45</v>
      </c>
      <c r="CB75" s="345">
        <f t="shared" ca="1" si="86"/>
        <v>3.4990000000000023</v>
      </c>
      <c r="CC75" s="345">
        <f t="shared" ca="1" si="81"/>
        <v>4.0474782608695676</v>
      </c>
      <c r="CD75" s="345">
        <f t="shared" ca="1" si="140"/>
        <v>54.755900621118016</v>
      </c>
      <c r="CE75" s="347">
        <f t="shared" ca="1" si="172"/>
        <v>-3.5999999999999943</v>
      </c>
      <c r="CF75" s="114">
        <v>23.667000000000002</v>
      </c>
      <c r="CG75" s="345">
        <f t="shared" si="141"/>
        <v>56.350000000000009</v>
      </c>
      <c r="CH75" s="345">
        <f t="shared" ca="1" si="142"/>
        <v>4.2840000000000025</v>
      </c>
      <c r="CI75" s="73"/>
      <c r="CJ75" s="345">
        <f t="shared" ca="1" si="89"/>
        <v>4.8794782608695666</v>
      </c>
      <c r="CK75" s="345">
        <f t="shared" ca="1" si="90"/>
        <v>57.209863945578242</v>
      </c>
      <c r="CL75" s="345">
        <f t="shared" ca="1" si="143"/>
        <v>56.73685300207039</v>
      </c>
      <c r="CM75" s="114">
        <v>22.1</v>
      </c>
      <c r="CN75" s="345">
        <f t="shared" si="144"/>
        <v>52.61904761904762</v>
      </c>
      <c r="CO75" s="345">
        <f t="shared" ca="1" si="145"/>
        <v>3.1500000000000021</v>
      </c>
      <c r="CP75" s="345">
        <f t="shared" ca="1" si="92"/>
        <v>3.7664782608695684</v>
      </c>
      <c r="CQ75" s="345">
        <f t="shared" ca="1" si="146"/>
        <v>54.086853002070399</v>
      </c>
      <c r="CR75" s="347">
        <f t="shared" ca="1" si="173"/>
        <v>-2.6499999999999915</v>
      </c>
      <c r="CS75" s="114">
        <v>23.36</v>
      </c>
      <c r="CT75" s="345">
        <f t="shared" si="147"/>
        <v>55.61904761904762</v>
      </c>
      <c r="CU75" s="345">
        <f t="shared" si="174"/>
        <v>0.29999999999999716</v>
      </c>
      <c r="CV75" s="345">
        <f t="shared" ca="1" si="91"/>
        <v>1.3500000000000083</v>
      </c>
      <c r="CW75" s="347">
        <f t="shared" ca="1" si="175"/>
        <v>58.086853002070399</v>
      </c>
      <c r="CX75" s="483">
        <v>0.19400000000000003</v>
      </c>
      <c r="CY75" s="190">
        <f t="shared" si="148"/>
        <v>0</v>
      </c>
      <c r="CZ75" s="190">
        <f t="shared" ca="1" si="78"/>
        <v>-0.03</v>
      </c>
      <c r="DA75" s="354">
        <f t="shared" ca="1" si="149"/>
        <v>0.16400000000000003</v>
      </c>
      <c r="DB75" s="483">
        <v>0.19400000000000003</v>
      </c>
      <c r="DC75" s="190">
        <f t="shared" si="150"/>
        <v>0</v>
      </c>
      <c r="DD75" s="190">
        <f t="shared" ca="1" si="82"/>
        <v>0.03</v>
      </c>
      <c r="DE75" s="354">
        <f t="shared" ca="1" si="151"/>
        <v>0.22400000000000003</v>
      </c>
      <c r="DG75" s="341"/>
      <c r="DH75" s="114">
        <v>16.3</v>
      </c>
      <c r="DI75" s="126">
        <f t="shared" ca="1" si="176"/>
        <v>-2.6499999999999986</v>
      </c>
      <c r="DJ75" s="126">
        <f t="shared" ca="1" si="124"/>
        <v>-2</v>
      </c>
      <c r="DK75" s="356">
        <f t="shared" ca="1" si="125"/>
        <v>16.95</v>
      </c>
      <c r="DL75" s="114">
        <v>13.7</v>
      </c>
      <c r="DM75" s="126">
        <f t="shared" ca="1" si="177"/>
        <v>-5.25</v>
      </c>
      <c r="DN75" s="126">
        <f t="shared" ca="1" si="152"/>
        <v>-3</v>
      </c>
      <c r="DO75" s="356">
        <f t="shared" ca="1" si="126"/>
        <v>15.95</v>
      </c>
      <c r="DP75" s="114">
        <v>14.35</v>
      </c>
      <c r="DQ75" s="126">
        <f t="shared" ca="1" si="178"/>
        <v>-4.5999999999999996</v>
      </c>
      <c r="DR75" s="126">
        <f t="shared" ca="1" si="153"/>
        <v>-6</v>
      </c>
      <c r="DS75" s="356">
        <f t="shared" ca="1" si="127"/>
        <v>12.95</v>
      </c>
      <c r="DT75" s="114">
        <v>15</v>
      </c>
      <c r="DU75" s="126">
        <f t="shared" ca="1" si="179"/>
        <v>-3.9499999999999993</v>
      </c>
      <c r="DV75" s="126">
        <f t="shared" ca="1" si="154"/>
        <v>-5</v>
      </c>
      <c r="DW75" s="356">
        <f t="shared" ca="1" si="128"/>
        <v>13.95</v>
      </c>
    </row>
    <row r="76" spans="2:127" x14ac:dyDescent="0.25">
      <c r="B76" s="396">
        <v>37865</v>
      </c>
      <c r="C76" s="400">
        <v>37854</v>
      </c>
      <c r="I76" s="136">
        <f t="shared" ca="1" si="129"/>
        <v>39114</v>
      </c>
      <c r="J76" s="131">
        <f t="shared" ca="1" si="130"/>
        <v>39104</v>
      </c>
      <c r="K76" s="106">
        <f t="shared" ca="1" si="131"/>
        <v>0.7</v>
      </c>
      <c r="L76" s="133">
        <f t="shared" ca="1" si="93"/>
        <v>107</v>
      </c>
      <c r="M76" s="134">
        <f t="shared" ca="1" si="94"/>
        <v>2</v>
      </c>
      <c r="N76" s="103">
        <f t="shared" ca="1" si="116"/>
        <v>20</v>
      </c>
      <c r="O76" s="104">
        <f t="shared" ca="1" si="132"/>
        <v>2154</v>
      </c>
      <c r="P76" s="105">
        <f t="shared" ca="1" si="95"/>
        <v>5.9137577002053385</v>
      </c>
      <c r="Q76" s="105">
        <f t="shared" ca="1" si="96"/>
        <v>5.9876796714579053</v>
      </c>
      <c r="R76" s="114">
        <v>18.95</v>
      </c>
      <c r="S76" s="198">
        <v>0</v>
      </c>
      <c r="T76" s="189">
        <f t="shared" si="133"/>
        <v>18.95</v>
      </c>
      <c r="U76" s="199">
        <f t="shared" ca="1" si="117"/>
        <v>18.95</v>
      </c>
      <c r="V76" s="379">
        <f t="shared" ca="1" si="118"/>
        <v>18.95</v>
      </c>
      <c r="W76" s="483">
        <v>0.19340000000000002</v>
      </c>
      <c r="X76" s="166" t="str">
        <f t="shared" ca="1" si="119"/>
        <v/>
      </c>
      <c r="Y76" s="91">
        <f t="shared" ca="1" si="155"/>
        <v>3.314119308266091E-3</v>
      </c>
      <c r="Z76" s="91">
        <f t="shared" ca="1" si="156"/>
        <v>1.3954746108344319E-3</v>
      </c>
      <c r="AA76" s="91">
        <f t="shared" ca="1" si="157"/>
        <v>5.4979562278876344E-4</v>
      </c>
      <c r="AB76" s="91">
        <f t="shared" ca="1" si="158"/>
        <v>1.2385795790185309E-3</v>
      </c>
      <c r="AC76" s="91">
        <f t="shared" ca="1" si="159"/>
        <v>3.143725203287903E-3</v>
      </c>
      <c r="AD76" s="91">
        <f t="shared" ca="1" si="160"/>
        <v>7.4660479776618247E-3</v>
      </c>
      <c r="AE76" s="124">
        <v>7.3270587695400013E-2</v>
      </c>
      <c r="AF76" s="191">
        <f t="shared" ca="1" si="161"/>
        <v>0.64993981569270443</v>
      </c>
      <c r="AG76" s="189">
        <f t="shared" ca="1" si="134"/>
        <v>1</v>
      </c>
      <c r="AH76" s="192">
        <f t="shared" ca="1" si="120"/>
        <v>0</v>
      </c>
      <c r="AI76" s="192">
        <f t="shared" ca="1" si="121"/>
        <v>0</v>
      </c>
      <c r="AJ76" s="192">
        <f t="shared" ca="1" si="122"/>
        <v>0</v>
      </c>
      <c r="AK76" s="192">
        <f t="shared" ca="1" si="123"/>
        <v>0</v>
      </c>
      <c r="AL76" s="191" t="str">
        <f t="shared" ca="1" si="162"/>
        <v/>
      </c>
      <c r="AM76" s="191" t="str">
        <f t="shared" ca="1" si="163"/>
        <v/>
      </c>
      <c r="AN76" s="191" t="str">
        <f t="shared" ca="1" si="164"/>
        <v/>
      </c>
      <c r="AO76" s="193" t="str">
        <f t="shared" ca="1" si="165"/>
        <v/>
      </c>
      <c r="AP76" s="194" t="str">
        <f t="shared" ca="1" si="135"/>
        <v/>
      </c>
      <c r="AQ76" s="194" t="str">
        <f t="shared" ca="1" si="136"/>
        <v/>
      </c>
      <c r="AR76" s="195">
        <f ca="1">IF(AH76,_xll.xASN(AL76,Strike1,AE76,AP76,0,N76,0,P76,Q76,IF(OptControl=4,0,1),0),0)</f>
        <v>0</v>
      </c>
      <c r="AS76" s="196">
        <f ca="1">IF(AH76,_xll.xASN(AL76,Strike1,AE76,AP76,0,N76,0,P76,Q76,IF(OptControl=4,0,1),1),0)</f>
        <v>0</v>
      </c>
      <c r="AT76" s="196">
        <f ca="1">IF(AH76,_xll.xASN(AL76,Strike1,AE76,AP76,0,N76,0,P76,Q76,IF(OptControl=4,0,1),2),0)</f>
        <v>0</v>
      </c>
      <c r="AU76" s="196">
        <f ca="1">IF(AH76,_xll.xASN(AL76,Strike1,AE76,AP76,0,N76,0,P76,Q76,IF(OptControl=4,0,1),3)/100,0)</f>
        <v>0</v>
      </c>
      <c r="AV76" s="196">
        <f ca="1">IF(AH76,_xll.xASN(AL76,Strike1,AE76,AP76,0,N76,0,P76-DaysForThetaCalculation/365.25,Q76-DaysForThetaCalculation/365.25,IF(OptControl=4,0,1),0)-_xll.xASN(AL76,Strike1,AE76,AP76,0,N76,0,P76,Q76,IF(OptControl=4,0,1),0),0)</f>
        <v>0</v>
      </c>
      <c r="AW76" s="196">
        <f ca="1">IF(AH76,_xll.xASN(AL76,Strike2,AE76,AQ76,0,N76,0,P76,Q76,IF(OptControl=3,1,0),0),0)</f>
        <v>0</v>
      </c>
      <c r="AX76" s="196">
        <f ca="1">IF(AH76,_xll.xASN(AL76,Strike2,AE76,AQ76,0,N76,0,P76,Q76,IF(OptControl=3,1,0),1),0)</f>
        <v>0</v>
      </c>
      <c r="AY76" s="196">
        <f ca="1">IF(AH76,_xll.xASN(AL76,Strike2,AE76,AQ76,0,N76,0,P76,Q76,IF(OptControl=3,1,0),2),0)</f>
        <v>0</v>
      </c>
      <c r="AZ76" s="196">
        <f ca="1">IF(AH76,_xll.xASN(AL76,Strike2,AE76,AQ76,0,N76,0,P76,Q76,IF(OptControl=3,1,0),3)/100,0)</f>
        <v>0</v>
      </c>
      <c r="BA76" s="196">
        <f ca="1">IF(AH76,_xll.xASN(AL76,Strike2,AE76,AQ76,0,N76,0,P76-DaysForThetaCalculation/365.25,Q76-DaysForThetaCalculation/365.25,IF(OptControl=3,1,0),0)-_xll.xASN(AL76,Strike2,AE76,AQ76,0,N76,0,P76,Q76,IF(OptControl=3,1,0),0),0)</f>
        <v>0</v>
      </c>
      <c r="BB76" s="126" t="str">
        <f t="shared" ca="1" si="166"/>
        <v/>
      </c>
      <c r="BC76" s="191" t="str">
        <f t="shared" ca="1" si="167"/>
        <v/>
      </c>
      <c r="BD76" s="191" t="str">
        <f t="shared" ca="1" si="168"/>
        <v/>
      </c>
      <c r="BE76" s="190" t="str">
        <f t="shared" ca="1" si="169"/>
        <v/>
      </c>
      <c r="BF76" s="194" t="str">
        <f t="shared" ca="1" si="170"/>
        <v/>
      </c>
      <c r="BG76" s="194" t="str">
        <f t="shared" ca="1" si="171"/>
        <v/>
      </c>
      <c r="BH76" s="195">
        <f ca="1">IF(AH76,_xll.xEURO(BB76,Strike1,AE76,AE76,BF76,O76,IF(OptControl=4,0,1),0),0)</f>
        <v>0</v>
      </c>
      <c r="BI76" s="196">
        <f ca="1">IF(AH76,_xll.xEURO(BB76,Strike1,AE76,AE76,BF76,O76,IF(OptControl=4,0,1),1),0)</f>
        <v>0</v>
      </c>
      <c r="BJ76" s="196">
        <f ca="1">IF(AH76,_xll.xEURO(BB76,Strike1,AE76,AE76,BF76,O76,IF(OptControl=4,0,1),2),0)</f>
        <v>0</v>
      </c>
      <c r="BK76" s="196">
        <f ca="1">IF(AH76,_xll.xEURO(BB76,Strike1,AE76,AE76,BF76,O76,IF(OptControl=4,0,1),3)/100,0)</f>
        <v>0</v>
      </c>
      <c r="BL76" s="196">
        <f ca="1">IF(AH76,_xll.xEURO(BB76,Strike1,AE76,AE76,BF76,O76-DaysForThetaCalculation,IF(OptControl=4,0,1),0)-_xll.xEURO(BB76,Strike1,AE76,AE76,BF76,O76,IF(OptControl=4,0,1),0),0)</f>
        <v>0</v>
      </c>
      <c r="BM76" s="196">
        <f ca="1">IF(AH76,_xll.xEURO(BB76,Strike2,AE76,AE76,BG76,O76,IF(OptControl=3,1,0),0),0)</f>
        <v>0</v>
      </c>
      <c r="BN76" s="196">
        <f ca="1">IF(AH76,_xll.xEURO(BB76,Strike2,AE76,AE76,BG76,O76,IF(OptControl=3,1,0),1),0)</f>
        <v>0</v>
      </c>
      <c r="BO76" s="196">
        <f ca="1">IF(AH76,_xll.xEURO(BB76,Strike2,AE76,AE76,BG76,O76,IF(OptControl=3,1,0),2),0)</f>
        <v>0</v>
      </c>
      <c r="BP76" s="196">
        <f ca="1">IF(AH76,_xll.xEURO(BB76,Strike2,AE76,AE76,BG76,O76,IF(OptControl=3,1,0),3)/100,0)</f>
        <v>0</v>
      </c>
      <c r="BQ76" s="197">
        <f ca="1">IF(AH76,_xll.xEURO(BB76,Strike2,AE76,AE76,BG76,O76-DaysForThetaCalculation,IF(OptControl=3,1,0),0)-_xll.xEURO(BB76,Strike2,AE76,AE76,BG76,O76,IF(OptControl=3,1,0),0),0)</f>
        <v>0</v>
      </c>
      <c r="BR76" s="301"/>
      <c r="BS76" s="114">
        <v>24.654</v>
      </c>
      <c r="BT76" s="345">
        <f t="shared" si="137"/>
        <v>58.7</v>
      </c>
      <c r="BU76" s="345">
        <f t="shared" ca="1" si="84"/>
        <v>6.0399999999999991</v>
      </c>
      <c r="BV76" s="73"/>
      <c r="BW76" s="345">
        <f t="shared" ca="1" si="80"/>
        <v>5.9399999999999995</v>
      </c>
      <c r="BX76" s="345">
        <f t="shared" ca="1" si="85"/>
        <v>58.35590062111801</v>
      </c>
      <c r="BY76" s="373">
        <f t="shared" ca="1" si="138"/>
        <v>59.261904761904759</v>
      </c>
      <c r="BZ76" s="114">
        <v>22.785</v>
      </c>
      <c r="CA76" s="345">
        <f t="shared" si="139"/>
        <v>54.25</v>
      </c>
      <c r="CB76" s="345">
        <f t="shared" ca="1" si="86"/>
        <v>3.8350000000000009</v>
      </c>
      <c r="CC76" s="345">
        <f t="shared" ca="1" si="81"/>
        <v>4.3819999999999988</v>
      </c>
      <c r="CD76" s="345">
        <f t="shared" ca="1" si="140"/>
        <v>55.55238095238095</v>
      </c>
      <c r="CE76" s="347">
        <f t="shared" ca="1" si="172"/>
        <v>-3.7095238095238088</v>
      </c>
      <c r="CF76" s="114">
        <v>23.234000000000002</v>
      </c>
      <c r="CG76" s="345">
        <f t="shared" si="141"/>
        <v>55.319047619047623</v>
      </c>
      <c r="CH76" s="345">
        <f t="shared" ca="1" si="142"/>
        <v>3.5659999999999989</v>
      </c>
      <c r="CI76" s="73"/>
      <c r="CJ76" s="345">
        <f t="shared" ca="1" si="89"/>
        <v>4.1679999999999957</v>
      </c>
      <c r="CK76" s="345">
        <f t="shared" ca="1" si="90"/>
        <v>56.73685300207039</v>
      </c>
      <c r="CL76" s="345">
        <f t="shared" ca="1" si="143"/>
        <v>55.042857142857123</v>
      </c>
      <c r="CM76" s="114">
        <v>21.381999999999998</v>
      </c>
      <c r="CN76" s="345">
        <f t="shared" si="144"/>
        <v>50.909523809523805</v>
      </c>
      <c r="CO76" s="345">
        <f t="shared" ca="1" si="145"/>
        <v>2.4319999999999986</v>
      </c>
      <c r="CP76" s="345">
        <f t="shared" ca="1" si="92"/>
        <v>3.0549999999999993</v>
      </c>
      <c r="CQ76" s="345">
        <f t="shared" ca="1" si="146"/>
        <v>52.392857142857146</v>
      </c>
      <c r="CR76" s="347">
        <f t="shared" ca="1" si="173"/>
        <v>-2.6499999999999773</v>
      </c>
      <c r="CS76" s="114">
        <v>22.642000000000003</v>
      </c>
      <c r="CT76" s="345">
        <f t="shared" si="147"/>
        <v>53.909523809523819</v>
      </c>
      <c r="CU76" s="345">
        <f t="shared" si="174"/>
        <v>0.30000000000001137</v>
      </c>
      <c r="CV76" s="345">
        <f t="shared" ca="1" si="91"/>
        <v>1.3500000000000083</v>
      </c>
      <c r="CW76" s="347">
        <f t="shared" ca="1" si="175"/>
        <v>56.392857142857132</v>
      </c>
      <c r="CX76" s="483">
        <v>0.193</v>
      </c>
      <c r="CY76" s="190">
        <f t="shared" si="148"/>
        <v>-4.0000000000001146E-4</v>
      </c>
      <c r="CZ76" s="190">
        <f t="shared" ref="CZ76:CZ139" ca="1" si="180">VLOOKUP(1900+$L76,ProductSpreadTable,7)</f>
        <v>-0.03</v>
      </c>
      <c r="DA76" s="354">
        <f t="shared" ca="1" si="149"/>
        <v>0.16340000000000002</v>
      </c>
      <c r="DB76" s="483">
        <v>0.193</v>
      </c>
      <c r="DC76" s="190">
        <f t="shared" si="150"/>
        <v>-4.0000000000001146E-4</v>
      </c>
      <c r="DD76" s="190">
        <f t="shared" ref="DD76:DD139" ca="1" si="181">VLOOKUP(1900+$L76,ProductSpreadTable,8)</f>
        <v>0.03</v>
      </c>
      <c r="DE76" s="354">
        <f t="shared" ca="1" si="151"/>
        <v>0.22340000000000002</v>
      </c>
      <c r="DG76" s="341"/>
      <c r="DH76" s="114">
        <v>16.3</v>
      </c>
      <c r="DI76" s="126">
        <f t="shared" ca="1" si="176"/>
        <v>-2.6499999999999986</v>
      </c>
      <c r="DJ76" s="126">
        <f t="shared" ca="1" si="124"/>
        <v>-2</v>
      </c>
      <c r="DK76" s="356">
        <f t="shared" ca="1" si="125"/>
        <v>16.95</v>
      </c>
      <c r="DL76" s="114">
        <v>13.7</v>
      </c>
      <c r="DM76" s="126">
        <f t="shared" ca="1" si="177"/>
        <v>-5.25</v>
      </c>
      <c r="DN76" s="126">
        <f t="shared" ca="1" si="152"/>
        <v>-3</v>
      </c>
      <c r="DO76" s="356">
        <f t="shared" ca="1" si="126"/>
        <v>15.95</v>
      </c>
      <c r="DP76" s="114">
        <v>14.35</v>
      </c>
      <c r="DQ76" s="126">
        <f t="shared" ca="1" si="178"/>
        <v>-4.5999999999999996</v>
      </c>
      <c r="DR76" s="126">
        <f t="shared" ca="1" si="153"/>
        <v>-6</v>
      </c>
      <c r="DS76" s="356">
        <f t="shared" ca="1" si="127"/>
        <v>12.95</v>
      </c>
      <c r="DT76" s="114">
        <v>15</v>
      </c>
      <c r="DU76" s="126">
        <f t="shared" ca="1" si="179"/>
        <v>-3.9499999999999993</v>
      </c>
      <c r="DV76" s="126">
        <f t="shared" ca="1" si="154"/>
        <v>-5</v>
      </c>
      <c r="DW76" s="356">
        <f t="shared" ca="1" si="128"/>
        <v>13.95</v>
      </c>
    </row>
    <row r="77" spans="2:127" x14ac:dyDescent="0.25">
      <c r="B77" s="396">
        <v>37895</v>
      </c>
      <c r="C77" s="400">
        <v>37884</v>
      </c>
      <c r="I77" s="136">
        <f t="shared" ca="1" si="129"/>
        <v>39142</v>
      </c>
      <c r="J77" s="131">
        <f t="shared" ca="1" si="130"/>
        <v>39133</v>
      </c>
      <c r="K77" s="106">
        <f t="shared" ca="1" si="131"/>
        <v>0.63636363636363635</v>
      </c>
      <c r="L77" s="133">
        <f t="shared" ca="1" si="93"/>
        <v>107</v>
      </c>
      <c r="M77" s="134">
        <f t="shared" ca="1" si="94"/>
        <v>3</v>
      </c>
      <c r="N77" s="103">
        <f t="shared" ca="1" si="116"/>
        <v>22</v>
      </c>
      <c r="O77" s="104">
        <f t="shared" ca="1" si="132"/>
        <v>2182</v>
      </c>
      <c r="P77" s="105">
        <f t="shared" ca="1" si="95"/>
        <v>5.9904175222450373</v>
      </c>
      <c r="Q77" s="105">
        <f t="shared" ca="1" si="96"/>
        <v>6.0725530458590002</v>
      </c>
      <c r="R77" s="114">
        <v>18.95</v>
      </c>
      <c r="S77" s="198">
        <v>0</v>
      </c>
      <c r="T77" s="189">
        <f t="shared" si="133"/>
        <v>18.95</v>
      </c>
      <c r="U77" s="199">
        <f t="shared" ca="1" si="117"/>
        <v>18.95</v>
      </c>
      <c r="V77" s="379">
        <f t="shared" ca="1" si="118"/>
        <v>18.95</v>
      </c>
      <c r="W77" s="483">
        <v>0.1888</v>
      </c>
      <c r="X77" s="166" t="str">
        <f t="shared" ca="1" si="119"/>
        <v/>
      </c>
      <c r="Y77" s="91">
        <f t="shared" ca="1" si="155"/>
        <v>3.2431690544105661E-3</v>
      </c>
      <c r="Z77" s="91">
        <f t="shared" ca="1" si="156"/>
        <v>1.3582881305246755E-3</v>
      </c>
      <c r="AA77" s="91">
        <f t="shared" ca="1" si="157"/>
        <v>5.3370967791957285E-4</v>
      </c>
      <c r="AB77" s="91">
        <f t="shared" ca="1" si="158"/>
        <v>1.2023411624172186E-3</v>
      </c>
      <c r="AC77" s="91">
        <f t="shared" ca="1" si="159"/>
        <v>3.0599515004460839E-3</v>
      </c>
      <c r="AD77" s="91">
        <f t="shared" ca="1" si="160"/>
        <v>7.3062112457760973E-3</v>
      </c>
      <c r="AE77" s="124">
        <v>7.3286767597264033E-2</v>
      </c>
      <c r="AF77" s="191">
        <f t="shared" ca="1" si="161"/>
        <v>0.64592117047447295</v>
      </c>
      <c r="AG77" s="189">
        <f t="shared" ca="1" si="134"/>
        <v>1</v>
      </c>
      <c r="AH77" s="192">
        <f t="shared" ca="1" si="120"/>
        <v>0</v>
      </c>
      <c r="AI77" s="192">
        <f t="shared" ca="1" si="121"/>
        <v>0</v>
      </c>
      <c r="AJ77" s="192">
        <f t="shared" ca="1" si="122"/>
        <v>0</v>
      </c>
      <c r="AK77" s="192">
        <f t="shared" ca="1" si="123"/>
        <v>0</v>
      </c>
      <c r="AL77" s="191" t="str">
        <f t="shared" ca="1" si="162"/>
        <v/>
      </c>
      <c r="AM77" s="191" t="str">
        <f t="shared" ca="1" si="163"/>
        <v/>
      </c>
      <c r="AN77" s="191" t="str">
        <f t="shared" ca="1" si="164"/>
        <v/>
      </c>
      <c r="AO77" s="193" t="str">
        <f t="shared" ca="1" si="165"/>
        <v/>
      </c>
      <c r="AP77" s="194" t="str">
        <f t="shared" ca="1" si="135"/>
        <v/>
      </c>
      <c r="AQ77" s="194" t="str">
        <f t="shared" ca="1" si="136"/>
        <v/>
      </c>
      <c r="AR77" s="195">
        <f ca="1">IF(AH77,_xll.xASN(AL77,Strike1,AE77,AP77,0,N77,0,P77,Q77,IF(OptControl=4,0,1),0),0)</f>
        <v>0</v>
      </c>
      <c r="AS77" s="196">
        <f ca="1">IF(AH77,_xll.xASN(AL77,Strike1,AE77,AP77,0,N77,0,P77,Q77,IF(OptControl=4,0,1),1),0)</f>
        <v>0</v>
      </c>
      <c r="AT77" s="196">
        <f ca="1">IF(AH77,_xll.xASN(AL77,Strike1,AE77,AP77,0,N77,0,P77,Q77,IF(OptControl=4,0,1),2),0)</f>
        <v>0</v>
      </c>
      <c r="AU77" s="196">
        <f ca="1">IF(AH77,_xll.xASN(AL77,Strike1,AE77,AP77,0,N77,0,P77,Q77,IF(OptControl=4,0,1),3)/100,0)</f>
        <v>0</v>
      </c>
      <c r="AV77" s="196">
        <f ca="1">IF(AH77,_xll.xASN(AL77,Strike1,AE77,AP77,0,N77,0,P77-DaysForThetaCalculation/365.25,Q77-DaysForThetaCalculation/365.25,IF(OptControl=4,0,1),0)-_xll.xASN(AL77,Strike1,AE77,AP77,0,N77,0,P77,Q77,IF(OptControl=4,0,1),0),0)</f>
        <v>0</v>
      </c>
      <c r="AW77" s="196">
        <f ca="1">IF(AH77,_xll.xASN(AL77,Strike2,AE77,AQ77,0,N77,0,P77,Q77,IF(OptControl=3,1,0),0),0)</f>
        <v>0</v>
      </c>
      <c r="AX77" s="196">
        <f ca="1">IF(AH77,_xll.xASN(AL77,Strike2,AE77,AQ77,0,N77,0,P77,Q77,IF(OptControl=3,1,0),1),0)</f>
        <v>0</v>
      </c>
      <c r="AY77" s="196">
        <f ca="1">IF(AH77,_xll.xASN(AL77,Strike2,AE77,AQ77,0,N77,0,P77,Q77,IF(OptControl=3,1,0),2),0)</f>
        <v>0</v>
      </c>
      <c r="AZ77" s="196">
        <f ca="1">IF(AH77,_xll.xASN(AL77,Strike2,AE77,AQ77,0,N77,0,P77,Q77,IF(OptControl=3,1,0),3)/100,0)</f>
        <v>0</v>
      </c>
      <c r="BA77" s="196">
        <f ca="1">IF(AH77,_xll.xASN(AL77,Strike2,AE77,AQ77,0,N77,0,P77-DaysForThetaCalculation/365.25,Q77-DaysForThetaCalculation/365.25,IF(OptControl=3,1,0),0)-_xll.xASN(AL77,Strike2,AE77,AQ77,0,N77,0,P77,Q77,IF(OptControl=3,1,0),0),0)</f>
        <v>0</v>
      </c>
      <c r="BB77" s="126" t="str">
        <f t="shared" ca="1" si="166"/>
        <v/>
      </c>
      <c r="BC77" s="191" t="str">
        <f t="shared" ca="1" si="167"/>
        <v/>
      </c>
      <c r="BD77" s="191" t="str">
        <f t="shared" ca="1" si="168"/>
        <v/>
      </c>
      <c r="BE77" s="190" t="str">
        <f t="shared" ca="1" si="169"/>
        <v/>
      </c>
      <c r="BF77" s="194" t="str">
        <f t="shared" ca="1" si="170"/>
        <v/>
      </c>
      <c r="BG77" s="194" t="str">
        <f t="shared" ca="1" si="171"/>
        <v/>
      </c>
      <c r="BH77" s="195">
        <f ca="1">IF(AH77,_xll.xEURO(BB77,Strike1,AE77,AE77,BF77,O77,IF(OptControl=4,0,1),0),0)</f>
        <v>0</v>
      </c>
      <c r="BI77" s="196">
        <f ca="1">IF(AH77,_xll.xEURO(BB77,Strike1,AE77,AE77,BF77,O77,IF(OptControl=4,0,1),1),0)</f>
        <v>0</v>
      </c>
      <c r="BJ77" s="196">
        <f ca="1">IF(AH77,_xll.xEURO(BB77,Strike1,AE77,AE77,BF77,O77,IF(OptControl=4,0,1),2),0)</f>
        <v>0</v>
      </c>
      <c r="BK77" s="196">
        <f ca="1">IF(AH77,_xll.xEURO(BB77,Strike1,AE77,AE77,BF77,O77,IF(OptControl=4,0,1),3)/100,0)</f>
        <v>0</v>
      </c>
      <c r="BL77" s="196">
        <f ca="1">IF(AH77,_xll.xEURO(BB77,Strike1,AE77,AE77,BF77,O77-DaysForThetaCalculation,IF(OptControl=4,0,1),0)-_xll.xEURO(BB77,Strike1,AE77,AE77,BF77,O77,IF(OptControl=4,0,1),0),0)</f>
        <v>0</v>
      </c>
      <c r="BM77" s="196">
        <f ca="1">IF(AH77,_xll.xEURO(BB77,Strike2,AE77,AE77,BG77,O77,IF(OptControl=3,1,0),0),0)</f>
        <v>0</v>
      </c>
      <c r="BN77" s="196">
        <f ca="1">IF(AH77,_xll.xEURO(BB77,Strike2,AE77,AE77,BG77,O77,IF(OptControl=3,1,0),1),0)</f>
        <v>0</v>
      </c>
      <c r="BO77" s="196">
        <f ca="1">IF(AH77,_xll.xEURO(BB77,Strike2,AE77,AE77,BG77,O77,IF(OptControl=3,1,0),2),0)</f>
        <v>0</v>
      </c>
      <c r="BP77" s="196">
        <f ca="1">IF(AH77,_xll.xEURO(BB77,Strike2,AE77,AE77,BG77,O77,IF(OptControl=3,1,0),3)/100,0)</f>
        <v>0</v>
      </c>
      <c r="BQ77" s="197">
        <f ca="1">IF(AH77,_xll.xEURO(BB77,Strike2,AE77,AE77,BG77,O77-DaysForThetaCalculation,IF(OptControl=3,1,0),0)-_xll.xEURO(BB77,Strike2,AE77,AE77,BG77,O77,IF(OptControl=3,1,0),0),0)</f>
        <v>0</v>
      </c>
      <c r="BR77" s="301"/>
      <c r="BS77" s="114">
        <v>24.99</v>
      </c>
      <c r="BT77" s="345">
        <f t="shared" si="137"/>
        <v>59.5</v>
      </c>
      <c r="BU77" s="345">
        <f t="shared" ca="1" si="84"/>
        <v>9.7910000000000004</v>
      </c>
      <c r="BV77" s="73"/>
      <c r="BW77" s="345">
        <f t="shared" ca="1" si="80"/>
        <v>10.006000000000004</v>
      </c>
      <c r="BX77" s="345">
        <f t="shared" ca="1" si="85"/>
        <v>59.261904761904759</v>
      </c>
      <c r="BY77" s="373">
        <f t="shared" ca="1" si="138"/>
        <v>68.94285714285715</v>
      </c>
      <c r="BZ77" s="114">
        <v>24.960999999999999</v>
      </c>
      <c r="CA77" s="345">
        <f t="shared" si="139"/>
        <v>59.430952380952377</v>
      </c>
      <c r="CB77" s="345">
        <f t="shared" ca="1" si="86"/>
        <v>6.0109999999999992</v>
      </c>
      <c r="CC77" s="345">
        <f t="shared" ca="1" si="81"/>
        <v>6.5480000000000036</v>
      </c>
      <c r="CD77" s="345">
        <f t="shared" ca="1" si="140"/>
        <v>60.709523809523823</v>
      </c>
      <c r="CE77" s="347">
        <f t="shared" ca="1" si="172"/>
        <v>-8.2333333333333272</v>
      </c>
      <c r="CF77" s="114">
        <v>22.515999999999998</v>
      </c>
      <c r="CG77" s="345">
        <f t="shared" si="141"/>
        <v>53.609523809523807</v>
      </c>
      <c r="CH77" s="345">
        <f t="shared" ca="1" si="142"/>
        <v>2.9400000000000013</v>
      </c>
      <c r="CI77" s="73"/>
      <c r="CJ77" s="345">
        <f t="shared" ca="1" si="89"/>
        <v>3.5289999999999995</v>
      </c>
      <c r="CK77" s="345">
        <f t="shared" ca="1" si="90"/>
        <v>55.042857142857123</v>
      </c>
      <c r="CL77" s="345">
        <f t="shared" ca="1" si="143"/>
        <v>53.521428571428572</v>
      </c>
      <c r="CM77" s="114">
        <v>20.756</v>
      </c>
      <c r="CN77" s="345">
        <f t="shared" si="144"/>
        <v>49.419047619047618</v>
      </c>
      <c r="CO77" s="345">
        <f t="shared" ca="1" si="145"/>
        <v>1.8060000000000009</v>
      </c>
      <c r="CP77" s="345">
        <f t="shared" ca="1" si="92"/>
        <v>2.4159999999999999</v>
      </c>
      <c r="CQ77" s="345">
        <f t="shared" ca="1" si="146"/>
        <v>50.871428571428567</v>
      </c>
      <c r="CR77" s="347">
        <f t="shared" ca="1" si="173"/>
        <v>-2.6500000000000057</v>
      </c>
      <c r="CS77" s="114">
        <v>22.015999999999998</v>
      </c>
      <c r="CT77" s="345">
        <f t="shared" si="147"/>
        <v>52.419047619047618</v>
      </c>
      <c r="CU77" s="345">
        <f t="shared" si="174"/>
        <v>0.29999999999999716</v>
      </c>
      <c r="CV77" s="345">
        <f t="shared" ca="1" si="91"/>
        <v>1.3499999999999941</v>
      </c>
      <c r="CW77" s="347">
        <f t="shared" ca="1" si="175"/>
        <v>54.871428571428567</v>
      </c>
      <c r="CX77" s="483">
        <v>0.18900000000000003</v>
      </c>
      <c r="CY77" s="190">
        <f t="shared" si="148"/>
        <v>2.0000000000003348E-4</v>
      </c>
      <c r="CZ77" s="190">
        <f t="shared" ca="1" si="180"/>
        <v>-0.03</v>
      </c>
      <c r="DA77" s="354">
        <f t="shared" ca="1" si="149"/>
        <v>0.1588</v>
      </c>
      <c r="DB77" s="483">
        <v>0.18900000000000003</v>
      </c>
      <c r="DC77" s="190">
        <f t="shared" si="150"/>
        <v>2.0000000000003348E-4</v>
      </c>
      <c r="DD77" s="190">
        <f t="shared" ca="1" si="181"/>
        <v>0.03</v>
      </c>
      <c r="DE77" s="354">
        <f t="shared" ca="1" si="151"/>
        <v>0.21879999999999999</v>
      </c>
      <c r="DG77" s="341"/>
      <c r="DH77" s="114">
        <v>16.3</v>
      </c>
      <c r="DI77" s="126">
        <f t="shared" ca="1" si="176"/>
        <v>-2.6499999999999986</v>
      </c>
      <c r="DJ77" s="126">
        <f t="shared" ca="1" si="124"/>
        <v>-2</v>
      </c>
      <c r="DK77" s="356">
        <f t="shared" ca="1" si="125"/>
        <v>16.95</v>
      </c>
      <c r="DL77" s="114">
        <v>13.7</v>
      </c>
      <c r="DM77" s="126">
        <f t="shared" ca="1" si="177"/>
        <v>-5.25</v>
      </c>
      <c r="DN77" s="126">
        <f t="shared" ca="1" si="152"/>
        <v>-3</v>
      </c>
      <c r="DO77" s="356">
        <f t="shared" ca="1" si="126"/>
        <v>15.95</v>
      </c>
      <c r="DP77" s="114">
        <v>14.35</v>
      </c>
      <c r="DQ77" s="126">
        <f t="shared" ca="1" si="178"/>
        <v>-4.5999999999999996</v>
      </c>
      <c r="DR77" s="126">
        <f t="shared" ca="1" si="153"/>
        <v>-6</v>
      </c>
      <c r="DS77" s="356">
        <f t="shared" ca="1" si="127"/>
        <v>12.95</v>
      </c>
      <c r="DT77" s="114">
        <v>15</v>
      </c>
      <c r="DU77" s="126">
        <f t="shared" ca="1" si="179"/>
        <v>-3.9499999999999993</v>
      </c>
      <c r="DV77" s="126">
        <f t="shared" ca="1" si="154"/>
        <v>-5</v>
      </c>
      <c r="DW77" s="356">
        <f t="shared" ca="1" si="128"/>
        <v>13.95</v>
      </c>
    </row>
    <row r="78" spans="2:127" x14ac:dyDescent="0.25">
      <c r="B78" s="396">
        <v>37926</v>
      </c>
      <c r="C78" s="400">
        <v>37916</v>
      </c>
      <c r="I78" s="136">
        <f t="shared" ca="1" si="129"/>
        <v>39173</v>
      </c>
      <c r="J78" s="131">
        <f t="shared" ca="1" si="130"/>
        <v>39161</v>
      </c>
      <c r="K78" s="106">
        <f t="shared" ca="1" si="131"/>
        <v>0.7142857142857143</v>
      </c>
      <c r="L78" s="133">
        <f t="shared" ca="1" si="93"/>
        <v>107</v>
      </c>
      <c r="M78" s="134">
        <f t="shared" ca="1" si="94"/>
        <v>4</v>
      </c>
      <c r="N78" s="103">
        <f t="shared" ca="1" si="116"/>
        <v>21</v>
      </c>
      <c r="O78" s="104">
        <f t="shared" ca="1" si="132"/>
        <v>2214</v>
      </c>
      <c r="P78" s="105">
        <f t="shared" ca="1" si="95"/>
        <v>6.0752908966461332</v>
      </c>
      <c r="Q78" s="105">
        <f t="shared" ca="1" si="96"/>
        <v>6.1546885694729641</v>
      </c>
      <c r="R78" s="114">
        <v>18.95</v>
      </c>
      <c r="S78" s="198">
        <v>0</v>
      </c>
      <c r="T78" s="189">
        <f t="shared" si="133"/>
        <v>18.95</v>
      </c>
      <c r="U78" s="199">
        <f t="shared" ca="1" si="117"/>
        <v>18.95</v>
      </c>
      <c r="V78" s="379">
        <f t="shared" ca="1" si="118"/>
        <v>18.95</v>
      </c>
      <c r="W78" s="483">
        <v>0.18820000000000001</v>
      </c>
      <c r="X78" s="166" t="str">
        <f t="shared" ca="1" si="119"/>
        <v/>
      </c>
      <c r="Y78" s="91">
        <f t="shared" ca="1" si="155"/>
        <v>3.1737377375799115E-3</v>
      </c>
      <c r="Z78" s="91">
        <f t="shared" ca="1" si="156"/>
        <v>1.3220925921547378E-3</v>
      </c>
      <c r="AA78" s="91">
        <f t="shared" ca="1" si="157"/>
        <v>5.1809437634328832E-4</v>
      </c>
      <c r="AB78" s="91">
        <f t="shared" ca="1" si="158"/>
        <v>1.1671630110261649E-3</v>
      </c>
      <c r="AC78" s="91">
        <f t="shared" ca="1" si="159"/>
        <v>2.9784101916062885E-3</v>
      </c>
      <c r="AD78" s="91">
        <f t="shared" ca="1" si="160"/>
        <v>7.1497963752199982E-3</v>
      </c>
      <c r="AE78" s="124">
        <v>7.3304681060144025E-2</v>
      </c>
      <c r="AF78" s="191">
        <f t="shared" ca="1" si="161"/>
        <v>0.64204560195791704</v>
      </c>
      <c r="AG78" s="189">
        <f t="shared" ca="1" si="134"/>
        <v>1</v>
      </c>
      <c r="AH78" s="192">
        <f t="shared" ca="1" si="120"/>
        <v>0</v>
      </c>
      <c r="AI78" s="192">
        <f t="shared" ca="1" si="121"/>
        <v>0</v>
      </c>
      <c r="AJ78" s="192">
        <f t="shared" ca="1" si="122"/>
        <v>0</v>
      </c>
      <c r="AK78" s="192">
        <f t="shared" ca="1" si="123"/>
        <v>0</v>
      </c>
      <c r="AL78" s="191" t="str">
        <f t="shared" ca="1" si="162"/>
        <v/>
      </c>
      <c r="AM78" s="191" t="str">
        <f t="shared" ca="1" si="163"/>
        <v/>
      </c>
      <c r="AN78" s="191" t="str">
        <f t="shared" ca="1" si="164"/>
        <v/>
      </c>
      <c r="AO78" s="193" t="str">
        <f t="shared" ca="1" si="165"/>
        <v/>
      </c>
      <c r="AP78" s="194" t="str">
        <f t="shared" ca="1" si="135"/>
        <v/>
      </c>
      <c r="AQ78" s="194" t="str">
        <f t="shared" ca="1" si="136"/>
        <v/>
      </c>
      <c r="AR78" s="195">
        <f ca="1">IF(AH78,_xll.xASN(AL78,Strike1,AE78,AP78,0,N78,0,P78,Q78,IF(OptControl=4,0,1),0),0)</f>
        <v>0</v>
      </c>
      <c r="AS78" s="196">
        <f ca="1">IF(AH78,_xll.xASN(AL78,Strike1,AE78,AP78,0,N78,0,P78,Q78,IF(OptControl=4,0,1),1),0)</f>
        <v>0</v>
      </c>
      <c r="AT78" s="196">
        <f ca="1">IF(AH78,_xll.xASN(AL78,Strike1,AE78,AP78,0,N78,0,P78,Q78,IF(OptControl=4,0,1),2),0)</f>
        <v>0</v>
      </c>
      <c r="AU78" s="196">
        <f ca="1">IF(AH78,_xll.xASN(AL78,Strike1,AE78,AP78,0,N78,0,P78,Q78,IF(OptControl=4,0,1),3)/100,0)</f>
        <v>0</v>
      </c>
      <c r="AV78" s="196">
        <f ca="1">IF(AH78,_xll.xASN(AL78,Strike1,AE78,AP78,0,N78,0,P78-DaysForThetaCalculation/365.25,Q78-DaysForThetaCalculation/365.25,IF(OptControl=4,0,1),0)-_xll.xASN(AL78,Strike1,AE78,AP78,0,N78,0,P78,Q78,IF(OptControl=4,0,1),0),0)</f>
        <v>0</v>
      </c>
      <c r="AW78" s="196">
        <f ca="1">IF(AH78,_xll.xASN(AL78,Strike2,AE78,AQ78,0,N78,0,P78,Q78,IF(OptControl=3,1,0),0),0)</f>
        <v>0</v>
      </c>
      <c r="AX78" s="196">
        <f ca="1">IF(AH78,_xll.xASN(AL78,Strike2,AE78,AQ78,0,N78,0,P78,Q78,IF(OptControl=3,1,0),1),0)</f>
        <v>0</v>
      </c>
      <c r="AY78" s="196">
        <f ca="1">IF(AH78,_xll.xASN(AL78,Strike2,AE78,AQ78,0,N78,0,P78,Q78,IF(OptControl=3,1,0),2),0)</f>
        <v>0</v>
      </c>
      <c r="AZ78" s="196">
        <f ca="1">IF(AH78,_xll.xASN(AL78,Strike2,AE78,AQ78,0,N78,0,P78,Q78,IF(OptControl=3,1,0),3)/100,0)</f>
        <v>0</v>
      </c>
      <c r="BA78" s="196">
        <f ca="1">IF(AH78,_xll.xASN(AL78,Strike2,AE78,AQ78,0,N78,0,P78-DaysForThetaCalculation/365.25,Q78-DaysForThetaCalculation/365.25,IF(OptControl=3,1,0),0)-_xll.xASN(AL78,Strike2,AE78,AQ78,0,N78,0,P78,Q78,IF(OptControl=3,1,0),0),0)</f>
        <v>0</v>
      </c>
      <c r="BB78" s="126" t="str">
        <f t="shared" ca="1" si="166"/>
        <v/>
      </c>
      <c r="BC78" s="191" t="str">
        <f t="shared" ca="1" si="167"/>
        <v/>
      </c>
      <c r="BD78" s="191" t="str">
        <f t="shared" ca="1" si="168"/>
        <v/>
      </c>
      <c r="BE78" s="190" t="str">
        <f t="shared" ca="1" si="169"/>
        <v/>
      </c>
      <c r="BF78" s="194" t="str">
        <f t="shared" ca="1" si="170"/>
        <v/>
      </c>
      <c r="BG78" s="194" t="str">
        <f t="shared" ca="1" si="171"/>
        <v/>
      </c>
      <c r="BH78" s="195">
        <f ca="1">IF(AH78,_xll.xEURO(BB78,Strike1,AE78,AE78,BF78,O78,IF(OptControl=4,0,1),0),0)</f>
        <v>0</v>
      </c>
      <c r="BI78" s="196">
        <f ca="1">IF(AH78,_xll.xEURO(BB78,Strike1,AE78,AE78,BF78,O78,IF(OptControl=4,0,1),1),0)</f>
        <v>0</v>
      </c>
      <c r="BJ78" s="196">
        <f ca="1">IF(AH78,_xll.xEURO(BB78,Strike1,AE78,AE78,BF78,O78,IF(OptControl=4,0,1),2),0)</f>
        <v>0</v>
      </c>
      <c r="BK78" s="196">
        <f ca="1">IF(AH78,_xll.xEURO(BB78,Strike1,AE78,AE78,BF78,O78,IF(OptControl=4,0,1),3)/100,0)</f>
        <v>0</v>
      </c>
      <c r="BL78" s="196">
        <f ca="1">IF(AH78,_xll.xEURO(BB78,Strike1,AE78,AE78,BF78,O78-DaysForThetaCalculation,IF(OptControl=4,0,1),0)-_xll.xEURO(BB78,Strike1,AE78,AE78,BF78,O78,IF(OptControl=4,0,1),0),0)</f>
        <v>0</v>
      </c>
      <c r="BM78" s="196">
        <f ca="1">IF(AH78,_xll.xEURO(BB78,Strike2,AE78,AE78,BG78,O78,IF(OptControl=3,1,0),0),0)</f>
        <v>0</v>
      </c>
      <c r="BN78" s="196">
        <f ca="1">IF(AH78,_xll.xEURO(BB78,Strike2,AE78,AE78,BG78,O78,IF(OptControl=3,1,0),1),0)</f>
        <v>0</v>
      </c>
      <c r="BO78" s="196">
        <f ca="1">IF(AH78,_xll.xEURO(BB78,Strike2,AE78,AE78,BG78,O78,IF(OptControl=3,1,0),2),0)</f>
        <v>0</v>
      </c>
      <c r="BP78" s="196">
        <f ca="1">IF(AH78,_xll.xEURO(BB78,Strike2,AE78,AE78,BG78,O78,IF(OptControl=3,1,0),3)/100,0)</f>
        <v>0</v>
      </c>
      <c r="BQ78" s="197">
        <f ca="1">IF(AH78,_xll.xEURO(BB78,Strike2,AE78,AE78,BG78,O78-DaysForThetaCalculation,IF(OptControl=3,1,0),0)-_xll.xEURO(BB78,Strike2,AE78,AE78,BG78,O78,IF(OptControl=3,1,0),0),0)</f>
        <v>0</v>
      </c>
      <c r="BR78" s="301"/>
      <c r="BS78" s="114">
        <v>28.741</v>
      </c>
      <c r="BT78" s="345">
        <f t="shared" si="137"/>
        <v>68.430952380952377</v>
      </c>
      <c r="BU78" s="345">
        <f t="shared" ca="1" si="84"/>
        <v>8.2830000000000048</v>
      </c>
      <c r="BV78" s="73"/>
      <c r="BW78" s="345">
        <f t="shared" ca="1" si="80"/>
        <v>8.9457142857142884</v>
      </c>
      <c r="BX78" s="345">
        <f t="shared" ca="1" si="85"/>
        <v>68.94285714285715</v>
      </c>
      <c r="BY78" s="373">
        <f t="shared" ca="1" si="138"/>
        <v>66.41836734693878</v>
      </c>
      <c r="BZ78" s="114">
        <v>25.343000000000004</v>
      </c>
      <c r="CA78" s="345">
        <f t="shared" si="139"/>
        <v>60.340476190476195</v>
      </c>
      <c r="CB78" s="345">
        <f t="shared" ca="1" si="86"/>
        <v>6.3930000000000042</v>
      </c>
      <c r="CC78" s="345">
        <f t="shared" ca="1" si="81"/>
        <v>6.3207142857142884</v>
      </c>
      <c r="CD78" s="345">
        <f t="shared" ca="1" si="140"/>
        <v>60.16836734693878</v>
      </c>
      <c r="CE78" s="347">
        <f t="shared" ca="1" si="172"/>
        <v>-6.25</v>
      </c>
      <c r="CF78" s="114">
        <v>21.89</v>
      </c>
      <c r="CG78" s="345">
        <f t="shared" si="141"/>
        <v>52.11904761904762</v>
      </c>
      <c r="CH78" s="345">
        <f t="shared" ca="1" si="142"/>
        <v>2.3690000000000033</v>
      </c>
      <c r="CI78" s="73"/>
      <c r="CJ78" s="345">
        <f t="shared" ca="1" si="89"/>
        <v>2.977090909090911</v>
      </c>
      <c r="CK78" s="345">
        <f t="shared" ca="1" si="90"/>
        <v>53.521428571428572</v>
      </c>
      <c r="CL78" s="345">
        <f t="shared" ca="1" si="143"/>
        <v>52.207359307359312</v>
      </c>
      <c r="CM78" s="114">
        <v>20.5</v>
      </c>
      <c r="CN78" s="345">
        <f t="shared" si="144"/>
        <v>48.80952380952381</v>
      </c>
      <c r="CO78" s="345">
        <f t="shared" ca="1" si="145"/>
        <v>1.5500000000000007</v>
      </c>
      <c r="CP78" s="345">
        <f t="shared" ca="1" si="92"/>
        <v>2.053090909090908</v>
      </c>
      <c r="CQ78" s="345">
        <f t="shared" ca="1" si="146"/>
        <v>50.007359307359302</v>
      </c>
      <c r="CR78" s="347">
        <f t="shared" ca="1" si="173"/>
        <v>-2.2000000000000099</v>
      </c>
      <c r="CS78" s="114">
        <v>21.445</v>
      </c>
      <c r="CT78" s="345">
        <f t="shared" si="147"/>
        <v>51.05952380952381</v>
      </c>
      <c r="CU78" s="345">
        <f t="shared" si="174"/>
        <v>0.29999999999999716</v>
      </c>
      <c r="CV78" s="345">
        <f t="shared" ca="1" si="91"/>
        <v>1.3499999999999941</v>
      </c>
      <c r="CW78" s="347">
        <f t="shared" ca="1" si="175"/>
        <v>53.557359307359306</v>
      </c>
      <c r="CX78" s="483">
        <v>0.188</v>
      </c>
      <c r="CY78" s="190">
        <f t="shared" si="148"/>
        <v>-2.0000000000000573E-4</v>
      </c>
      <c r="CZ78" s="190">
        <f t="shared" ca="1" si="180"/>
        <v>-0.03</v>
      </c>
      <c r="DA78" s="354">
        <f t="shared" ca="1" si="149"/>
        <v>0.15820000000000001</v>
      </c>
      <c r="DB78" s="483">
        <v>0.188</v>
      </c>
      <c r="DC78" s="190">
        <f t="shared" si="150"/>
        <v>-2.0000000000000573E-4</v>
      </c>
      <c r="DD78" s="190">
        <f t="shared" ca="1" si="181"/>
        <v>0.03</v>
      </c>
      <c r="DE78" s="354">
        <f t="shared" ca="1" si="151"/>
        <v>0.21820000000000001</v>
      </c>
      <c r="DG78" s="341"/>
      <c r="DH78" s="114">
        <v>16.3</v>
      </c>
      <c r="DI78" s="126">
        <f t="shared" ca="1" si="176"/>
        <v>-2.6499999999999986</v>
      </c>
      <c r="DJ78" s="126">
        <f t="shared" ca="1" si="124"/>
        <v>-2</v>
      </c>
      <c r="DK78" s="356">
        <f t="shared" ca="1" si="125"/>
        <v>16.95</v>
      </c>
      <c r="DL78" s="114">
        <v>13.7</v>
      </c>
      <c r="DM78" s="126">
        <f t="shared" ca="1" si="177"/>
        <v>-5.25</v>
      </c>
      <c r="DN78" s="126">
        <f t="shared" ca="1" si="152"/>
        <v>-3</v>
      </c>
      <c r="DO78" s="356">
        <f t="shared" ca="1" si="126"/>
        <v>15.95</v>
      </c>
      <c r="DP78" s="114">
        <v>14.35</v>
      </c>
      <c r="DQ78" s="126">
        <f t="shared" ca="1" si="178"/>
        <v>-4.5999999999999996</v>
      </c>
      <c r="DR78" s="126">
        <f t="shared" ca="1" si="153"/>
        <v>-6</v>
      </c>
      <c r="DS78" s="356">
        <f t="shared" ca="1" si="127"/>
        <v>12.95</v>
      </c>
      <c r="DT78" s="114">
        <v>15.1</v>
      </c>
      <c r="DU78" s="126">
        <f t="shared" ca="1" si="179"/>
        <v>-3.8499999999999996</v>
      </c>
      <c r="DV78" s="126">
        <f t="shared" ca="1" si="154"/>
        <v>-5</v>
      </c>
      <c r="DW78" s="356">
        <f t="shared" ca="1" si="128"/>
        <v>13.95</v>
      </c>
    </row>
    <row r="79" spans="2:127" x14ac:dyDescent="0.25">
      <c r="B79" s="396">
        <v>37956</v>
      </c>
      <c r="C79" s="400">
        <v>37944</v>
      </c>
      <c r="I79" s="136">
        <f t="shared" ca="1" si="129"/>
        <v>39203</v>
      </c>
      <c r="J79" s="131">
        <f t="shared" ca="1" si="130"/>
        <v>39192</v>
      </c>
      <c r="K79" s="106">
        <f t="shared" ca="1" si="131"/>
        <v>0.69565217391304346</v>
      </c>
      <c r="L79" s="133">
        <f t="shared" ca="1" si="93"/>
        <v>107</v>
      </c>
      <c r="M79" s="134">
        <f t="shared" ca="1" si="94"/>
        <v>5</v>
      </c>
      <c r="N79" s="103">
        <f t="shared" ca="1" si="116"/>
        <v>23</v>
      </c>
      <c r="O79" s="104">
        <f t="shared" ca="1" si="132"/>
        <v>2243</v>
      </c>
      <c r="P79" s="105">
        <f t="shared" ca="1" si="95"/>
        <v>6.1574264202600961</v>
      </c>
      <c r="Q79" s="105">
        <f t="shared" ca="1" si="96"/>
        <v>6.239561943874059</v>
      </c>
      <c r="R79" s="114">
        <v>18.95</v>
      </c>
      <c r="S79" s="198">
        <v>0</v>
      </c>
      <c r="T79" s="189">
        <f t="shared" si="133"/>
        <v>18.95</v>
      </c>
      <c r="U79" s="199">
        <f t="shared" ca="1" si="117"/>
        <v>18.95</v>
      </c>
      <c r="V79" s="379">
        <f t="shared" ca="1" si="118"/>
        <v>18.95</v>
      </c>
      <c r="W79" s="483">
        <v>0.18960000000000002</v>
      </c>
      <c r="X79" s="166" t="str">
        <f t="shared" ca="1" si="119"/>
        <v/>
      </c>
      <c r="Y79" s="91">
        <f t="shared" ca="1" si="155"/>
        <v>3.1057928396426176E-3</v>
      </c>
      <c r="Z79" s="91">
        <f t="shared" ca="1" si="156"/>
        <v>1.2868615891940755E-3</v>
      </c>
      <c r="AA79" s="91">
        <f t="shared" ca="1" si="157"/>
        <v>5.0293594795744099E-4</v>
      </c>
      <c r="AB79" s="91">
        <f t="shared" ca="1" si="158"/>
        <v>1.1330141035585282E-3</v>
      </c>
      <c r="AC79" s="91">
        <f t="shared" ca="1" si="159"/>
        <v>2.899041788136509E-3</v>
      </c>
      <c r="AD79" s="91">
        <f t="shared" ca="1" si="160"/>
        <v>6.9967301091468622E-3</v>
      </c>
      <c r="AE79" s="124">
        <v>7.3322016669484E-2</v>
      </c>
      <c r="AF79" s="191">
        <f t="shared" ca="1" si="161"/>
        <v>0.63806788569509598</v>
      </c>
      <c r="AG79" s="189">
        <f t="shared" ca="1" si="134"/>
        <v>1</v>
      </c>
      <c r="AH79" s="192">
        <f t="shared" ca="1" si="120"/>
        <v>0</v>
      </c>
      <c r="AI79" s="192">
        <f t="shared" ca="1" si="121"/>
        <v>0</v>
      </c>
      <c r="AJ79" s="192">
        <f t="shared" ca="1" si="122"/>
        <v>0</v>
      </c>
      <c r="AK79" s="192">
        <f t="shared" ca="1" si="123"/>
        <v>0</v>
      </c>
      <c r="AL79" s="191" t="str">
        <f t="shared" ca="1" si="162"/>
        <v/>
      </c>
      <c r="AM79" s="191" t="str">
        <f t="shared" ca="1" si="163"/>
        <v/>
      </c>
      <c r="AN79" s="191" t="str">
        <f t="shared" ca="1" si="164"/>
        <v/>
      </c>
      <c r="AO79" s="193" t="str">
        <f t="shared" ca="1" si="165"/>
        <v/>
      </c>
      <c r="AP79" s="194" t="str">
        <f t="shared" ca="1" si="135"/>
        <v/>
      </c>
      <c r="AQ79" s="194" t="str">
        <f t="shared" ca="1" si="136"/>
        <v/>
      </c>
      <c r="AR79" s="195">
        <f ca="1">IF(AH79,_xll.xASN(AL79,Strike1,AE79,AP79,0,N79,0,P79,Q79,IF(OptControl=4,0,1),0),0)</f>
        <v>0</v>
      </c>
      <c r="AS79" s="196">
        <f ca="1">IF(AH79,_xll.xASN(AL79,Strike1,AE79,AP79,0,N79,0,P79,Q79,IF(OptControl=4,0,1),1),0)</f>
        <v>0</v>
      </c>
      <c r="AT79" s="196">
        <f ca="1">IF(AH79,_xll.xASN(AL79,Strike1,AE79,AP79,0,N79,0,P79,Q79,IF(OptControl=4,0,1),2),0)</f>
        <v>0</v>
      </c>
      <c r="AU79" s="196">
        <f ca="1">IF(AH79,_xll.xASN(AL79,Strike1,AE79,AP79,0,N79,0,P79,Q79,IF(OptControl=4,0,1),3)/100,0)</f>
        <v>0</v>
      </c>
      <c r="AV79" s="196">
        <f ca="1">IF(AH79,_xll.xASN(AL79,Strike1,AE79,AP79,0,N79,0,P79-DaysForThetaCalculation/365.25,Q79-DaysForThetaCalculation/365.25,IF(OptControl=4,0,1),0)-_xll.xASN(AL79,Strike1,AE79,AP79,0,N79,0,P79,Q79,IF(OptControl=4,0,1),0),0)</f>
        <v>0</v>
      </c>
      <c r="AW79" s="196">
        <f ca="1">IF(AH79,_xll.xASN(AL79,Strike2,AE79,AQ79,0,N79,0,P79,Q79,IF(OptControl=3,1,0),0),0)</f>
        <v>0</v>
      </c>
      <c r="AX79" s="196">
        <f ca="1">IF(AH79,_xll.xASN(AL79,Strike2,AE79,AQ79,0,N79,0,P79,Q79,IF(OptControl=3,1,0),1),0)</f>
        <v>0</v>
      </c>
      <c r="AY79" s="196">
        <f ca="1">IF(AH79,_xll.xASN(AL79,Strike2,AE79,AQ79,0,N79,0,P79,Q79,IF(OptControl=3,1,0),2),0)</f>
        <v>0</v>
      </c>
      <c r="AZ79" s="196">
        <f ca="1">IF(AH79,_xll.xASN(AL79,Strike2,AE79,AQ79,0,N79,0,P79,Q79,IF(OptControl=3,1,0),3)/100,0)</f>
        <v>0</v>
      </c>
      <c r="BA79" s="196">
        <f ca="1">IF(AH79,_xll.xASN(AL79,Strike2,AE79,AQ79,0,N79,0,P79-DaysForThetaCalculation/365.25,Q79-DaysForThetaCalculation/365.25,IF(OptControl=3,1,0),0)-_xll.xASN(AL79,Strike2,AE79,AQ79,0,N79,0,P79,Q79,IF(OptControl=3,1,0),0),0)</f>
        <v>0</v>
      </c>
      <c r="BB79" s="126" t="str">
        <f t="shared" ca="1" si="166"/>
        <v/>
      </c>
      <c r="BC79" s="191" t="str">
        <f t="shared" ca="1" si="167"/>
        <v/>
      </c>
      <c r="BD79" s="191" t="str">
        <f t="shared" ca="1" si="168"/>
        <v/>
      </c>
      <c r="BE79" s="190" t="str">
        <f t="shared" ca="1" si="169"/>
        <v/>
      </c>
      <c r="BF79" s="194" t="str">
        <f t="shared" ca="1" si="170"/>
        <v/>
      </c>
      <c r="BG79" s="194" t="str">
        <f t="shared" ca="1" si="171"/>
        <v/>
      </c>
      <c r="BH79" s="195">
        <f ca="1">IF(AH79,_xll.xEURO(BB79,Strike1,AE79,AE79,BF79,O79,IF(OptControl=4,0,1),0),0)</f>
        <v>0</v>
      </c>
      <c r="BI79" s="196">
        <f ca="1">IF(AH79,_xll.xEURO(BB79,Strike1,AE79,AE79,BF79,O79,IF(OptControl=4,0,1),1),0)</f>
        <v>0</v>
      </c>
      <c r="BJ79" s="196">
        <f ca="1">IF(AH79,_xll.xEURO(BB79,Strike1,AE79,AE79,BF79,O79,IF(OptControl=4,0,1),2),0)</f>
        <v>0</v>
      </c>
      <c r="BK79" s="196">
        <f ca="1">IF(AH79,_xll.xEURO(BB79,Strike1,AE79,AE79,BF79,O79,IF(OptControl=4,0,1),3)/100,0)</f>
        <v>0</v>
      </c>
      <c r="BL79" s="196">
        <f ca="1">IF(AH79,_xll.xEURO(BB79,Strike1,AE79,AE79,BF79,O79-DaysForThetaCalculation,IF(OptControl=4,0,1),0)-_xll.xEURO(BB79,Strike1,AE79,AE79,BF79,O79,IF(OptControl=4,0,1),0),0)</f>
        <v>0</v>
      </c>
      <c r="BM79" s="196">
        <f ca="1">IF(AH79,_xll.xEURO(BB79,Strike2,AE79,AE79,BG79,O79,IF(OptControl=3,1,0),0),0)</f>
        <v>0</v>
      </c>
      <c r="BN79" s="196">
        <f ca="1">IF(AH79,_xll.xEURO(BB79,Strike2,AE79,AE79,BG79,O79,IF(OptControl=3,1,0),1),0)</f>
        <v>0</v>
      </c>
      <c r="BO79" s="196">
        <f ca="1">IF(AH79,_xll.xEURO(BB79,Strike2,AE79,AE79,BG79,O79,IF(OptControl=3,1,0),2),0)</f>
        <v>0</v>
      </c>
      <c r="BP79" s="196">
        <f ca="1">IF(AH79,_xll.xEURO(BB79,Strike2,AE79,AE79,BG79,O79,IF(OptControl=3,1,0),3)/100,0)</f>
        <v>0</v>
      </c>
      <c r="BQ79" s="197">
        <f ca="1">IF(AH79,_xll.xEURO(BB79,Strike2,AE79,AE79,BG79,O79-DaysForThetaCalculation,IF(OptControl=3,1,0),0)-_xll.xEURO(BB79,Strike2,AE79,AE79,BG79,O79,IF(OptControl=3,1,0),0),0)</f>
        <v>0</v>
      </c>
      <c r="BR79" s="301"/>
      <c r="BS79" s="114">
        <v>27.233000000000004</v>
      </c>
      <c r="BT79" s="345">
        <f t="shared" si="137"/>
        <v>64.840476190476195</v>
      </c>
      <c r="BU79" s="345">
        <f t="shared" ca="1" si="84"/>
        <v>7.7240000000000038</v>
      </c>
      <c r="BV79" s="73"/>
      <c r="BW79" s="345">
        <f t="shared" ca="1" si="80"/>
        <v>8.4539130434782628</v>
      </c>
      <c r="BX79" s="345">
        <f t="shared" ca="1" si="85"/>
        <v>66.41836734693878</v>
      </c>
      <c r="BY79" s="373">
        <f t="shared" ca="1" si="138"/>
        <v>65.247412008281572</v>
      </c>
      <c r="BZ79" s="114">
        <v>24.784000000000002</v>
      </c>
      <c r="CA79" s="345">
        <f t="shared" si="139"/>
        <v>59.009523809523813</v>
      </c>
      <c r="CB79" s="345">
        <f t="shared" ca="1" si="86"/>
        <v>5.8340000000000032</v>
      </c>
      <c r="CC79" s="345">
        <f t="shared" ca="1" si="81"/>
        <v>5.8289130434782628</v>
      </c>
      <c r="CD79" s="345">
        <f t="shared" ca="1" si="140"/>
        <v>58.997412008281572</v>
      </c>
      <c r="CE79" s="347">
        <f t="shared" ca="1" si="172"/>
        <v>-6.25</v>
      </c>
      <c r="CF79" s="114">
        <v>21.319000000000003</v>
      </c>
      <c r="CG79" s="345">
        <f t="shared" si="141"/>
        <v>50.759523809523813</v>
      </c>
      <c r="CH79" s="345">
        <f t="shared" ca="1" si="142"/>
        <v>1.9700000000000024</v>
      </c>
      <c r="CI79" s="73"/>
      <c r="CJ79" s="345">
        <f t="shared" ca="1" si="89"/>
        <v>2.5720869565217366</v>
      </c>
      <c r="CK79" s="345">
        <f t="shared" ca="1" si="90"/>
        <v>52.207359307359312</v>
      </c>
      <c r="CL79" s="345">
        <f t="shared" ca="1" si="143"/>
        <v>51.243064182194608</v>
      </c>
      <c r="CM79" s="114">
        <v>20.101000000000003</v>
      </c>
      <c r="CN79" s="345">
        <f t="shared" si="144"/>
        <v>47.859523809523822</v>
      </c>
      <c r="CO79" s="345">
        <f t="shared" ca="1" si="145"/>
        <v>1.1510000000000034</v>
      </c>
      <c r="CP79" s="345">
        <f t="shared" ca="1" si="92"/>
        <v>1.6480869565217406</v>
      </c>
      <c r="CQ79" s="345">
        <f t="shared" ca="1" si="146"/>
        <v>49.043064182194612</v>
      </c>
      <c r="CR79" s="347">
        <f t="shared" ca="1" si="173"/>
        <v>-2.1999999999999957</v>
      </c>
      <c r="CS79" s="114">
        <v>21.045999999999999</v>
      </c>
      <c r="CT79" s="345">
        <f t="shared" si="147"/>
        <v>50.109523809523807</v>
      </c>
      <c r="CU79" s="345">
        <f t="shared" si="174"/>
        <v>0.29999999999999716</v>
      </c>
      <c r="CV79" s="345">
        <f t="shared" ca="1" si="91"/>
        <v>1.3500000000000083</v>
      </c>
      <c r="CW79" s="347">
        <f t="shared" ca="1" si="175"/>
        <v>52.593064182194617</v>
      </c>
      <c r="CX79" s="483">
        <v>0.19</v>
      </c>
      <c r="CY79" s="190">
        <f t="shared" si="148"/>
        <v>3.999999999999837E-4</v>
      </c>
      <c r="CZ79" s="190">
        <f t="shared" ca="1" si="180"/>
        <v>-0.03</v>
      </c>
      <c r="DA79" s="354">
        <f t="shared" ca="1" si="149"/>
        <v>0.15960000000000002</v>
      </c>
      <c r="DB79" s="483">
        <v>0.19</v>
      </c>
      <c r="DC79" s="190">
        <f t="shared" si="150"/>
        <v>3.999999999999837E-4</v>
      </c>
      <c r="DD79" s="190">
        <f t="shared" ca="1" si="181"/>
        <v>0.03</v>
      </c>
      <c r="DE79" s="354">
        <f t="shared" ca="1" si="151"/>
        <v>0.21960000000000002</v>
      </c>
      <c r="DG79" s="341"/>
      <c r="DH79" s="114">
        <v>16.3</v>
      </c>
      <c r="DI79" s="126">
        <f t="shared" ca="1" si="176"/>
        <v>-2.6499999999999986</v>
      </c>
      <c r="DJ79" s="126">
        <f t="shared" ca="1" si="124"/>
        <v>-2</v>
      </c>
      <c r="DK79" s="356">
        <f t="shared" ca="1" si="125"/>
        <v>16.95</v>
      </c>
      <c r="DL79" s="114">
        <v>13.7</v>
      </c>
      <c r="DM79" s="126">
        <f t="shared" ca="1" si="177"/>
        <v>-5.25</v>
      </c>
      <c r="DN79" s="126">
        <f t="shared" ca="1" si="152"/>
        <v>-3</v>
      </c>
      <c r="DO79" s="356">
        <f t="shared" ca="1" si="126"/>
        <v>15.95</v>
      </c>
      <c r="DP79" s="114">
        <v>14.35</v>
      </c>
      <c r="DQ79" s="126">
        <f t="shared" ca="1" si="178"/>
        <v>-4.5999999999999996</v>
      </c>
      <c r="DR79" s="126">
        <f t="shared" ca="1" si="153"/>
        <v>-6</v>
      </c>
      <c r="DS79" s="356">
        <f t="shared" ca="1" si="127"/>
        <v>12.95</v>
      </c>
      <c r="DT79" s="114">
        <v>15.1</v>
      </c>
      <c r="DU79" s="126">
        <f t="shared" ca="1" si="179"/>
        <v>-3.8499999999999996</v>
      </c>
      <c r="DV79" s="126">
        <f t="shared" ca="1" si="154"/>
        <v>-5</v>
      </c>
      <c r="DW79" s="356">
        <f t="shared" ca="1" si="128"/>
        <v>13.95</v>
      </c>
    </row>
    <row r="80" spans="2:127" x14ac:dyDescent="0.25">
      <c r="B80" s="396">
        <v>37987</v>
      </c>
      <c r="C80" s="400">
        <v>37974</v>
      </c>
      <c r="I80" s="136">
        <f t="shared" ca="1" si="129"/>
        <v>39234</v>
      </c>
      <c r="J80" s="131">
        <f t="shared" ca="1" si="130"/>
        <v>39224</v>
      </c>
      <c r="K80" s="106">
        <f t="shared" ca="1" si="131"/>
        <v>0.66666666666666663</v>
      </c>
      <c r="L80" s="133">
        <f t="shared" ca="1" si="93"/>
        <v>107</v>
      </c>
      <c r="M80" s="134">
        <f t="shared" ca="1" si="94"/>
        <v>6</v>
      </c>
      <c r="N80" s="103">
        <f t="shared" ca="1" si="116"/>
        <v>21</v>
      </c>
      <c r="O80" s="104">
        <f t="shared" ca="1" si="132"/>
        <v>2276</v>
      </c>
      <c r="P80" s="105">
        <f t="shared" ca="1" si="95"/>
        <v>6.2422997946611911</v>
      </c>
      <c r="Q80" s="105">
        <f t="shared" ca="1" si="96"/>
        <v>6.321697467488022</v>
      </c>
      <c r="R80" s="114">
        <v>18.95</v>
      </c>
      <c r="S80" s="198">
        <v>0</v>
      </c>
      <c r="T80" s="189">
        <f t="shared" si="133"/>
        <v>18.95</v>
      </c>
      <c r="U80" s="199">
        <f t="shared" ca="1" si="117"/>
        <v>18.95</v>
      </c>
      <c r="V80" s="379">
        <f t="shared" ca="1" si="118"/>
        <v>18.95</v>
      </c>
      <c r="W80" s="483">
        <v>0.18900000000000003</v>
      </c>
      <c r="X80" s="166" t="str">
        <f t="shared" ca="1" si="119"/>
        <v/>
      </c>
      <c r="Y80" s="91">
        <f t="shared" ca="1" si="155"/>
        <v>3.0393025386309127E-3</v>
      </c>
      <c r="Z80" s="91">
        <f t="shared" ca="1" si="156"/>
        <v>1.2525694187909659E-3</v>
      </c>
      <c r="AA80" s="91">
        <f t="shared" ca="1" si="157"/>
        <v>4.8822102554583449E-4</v>
      </c>
      <c r="AB80" s="91">
        <f t="shared" ca="1" si="158"/>
        <v>1.0998643263496614E-3</v>
      </c>
      <c r="AC80" s="91">
        <f t="shared" ca="1" si="159"/>
        <v>2.8217883866523841E-3</v>
      </c>
      <c r="AD80" s="91">
        <f t="shared" ca="1" si="160"/>
        <v>6.8469407590276924E-3</v>
      </c>
      <c r="AE80" s="124">
        <v>7.3339930132571035E-2</v>
      </c>
      <c r="AF80" s="191">
        <f t="shared" ca="1" si="161"/>
        <v>0.6342358368719252</v>
      </c>
      <c r="AG80" s="189">
        <f t="shared" ca="1" si="134"/>
        <v>1</v>
      </c>
      <c r="AH80" s="192">
        <f t="shared" ca="1" si="120"/>
        <v>0</v>
      </c>
      <c r="AI80" s="192">
        <f t="shared" ca="1" si="121"/>
        <v>0</v>
      </c>
      <c r="AJ80" s="192">
        <f t="shared" ca="1" si="122"/>
        <v>0</v>
      </c>
      <c r="AK80" s="192">
        <f t="shared" ca="1" si="123"/>
        <v>0</v>
      </c>
      <c r="AL80" s="191" t="str">
        <f t="shared" ca="1" si="162"/>
        <v/>
      </c>
      <c r="AM80" s="191" t="str">
        <f t="shared" ca="1" si="163"/>
        <v/>
      </c>
      <c r="AN80" s="191" t="str">
        <f t="shared" ca="1" si="164"/>
        <v/>
      </c>
      <c r="AO80" s="193" t="str">
        <f t="shared" ca="1" si="165"/>
        <v/>
      </c>
      <c r="AP80" s="194" t="str">
        <f t="shared" ca="1" si="135"/>
        <v/>
      </c>
      <c r="AQ80" s="194" t="str">
        <f t="shared" ca="1" si="136"/>
        <v/>
      </c>
      <c r="AR80" s="195">
        <f ca="1">IF(AH80,_xll.xASN(AL80,Strike1,AE80,AP80,0,N80,0,P80,Q80,IF(OptControl=4,0,1),0),0)</f>
        <v>0</v>
      </c>
      <c r="AS80" s="196">
        <f ca="1">IF(AH80,_xll.xASN(AL80,Strike1,AE80,AP80,0,N80,0,P80,Q80,IF(OptControl=4,0,1),1),0)</f>
        <v>0</v>
      </c>
      <c r="AT80" s="196">
        <f ca="1">IF(AH80,_xll.xASN(AL80,Strike1,AE80,AP80,0,N80,0,P80,Q80,IF(OptControl=4,0,1),2),0)</f>
        <v>0</v>
      </c>
      <c r="AU80" s="196">
        <f ca="1">IF(AH80,_xll.xASN(AL80,Strike1,AE80,AP80,0,N80,0,P80,Q80,IF(OptControl=4,0,1),3)/100,0)</f>
        <v>0</v>
      </c>
      <c r="AV80" s="196">
        <f ca="1">IF(AH80,_xll.xASN(AL80,Strike1,AE80,AP80,0,N80,0,P80-DaysForThetaCalculation/365.25,Q80-DaysForThetaCalculation/365.25,IF(OptControl=4,0,1),0)-_xll.xASN(AL80,Strike1,AE80,AP80,0,N80,0,P80,Q80,IF(OptControl=4,0,1),0),0)</f>
        <v>0</v>
      </c>
      <c r="AW80" s="196">
        <f ca="1">IF(AH80,_xll.xASN(AL80,Strike2,AE80,AQ80,0,N80,0,P80,Q80,IF(OptControl=3,1,0),0),0)</f>
        <v>0</v>
      </c>
      <c r="AX80" s="196">
        <f ca="1">IF(AH80,_xll.xASN(AL80,Strike2,AE80,AQ80,0,N80,0,P80,Q80,IF(OptControl=3,1,0),1),0)</f>
        <v>0</v>
      </c>
      <c r="AY80" s="196">
        <f ca="1">IF(AH80,_xll.xASN(AL80,Strike2,AE80,AQ80,0,N80,0,P80,Q80,IF(OptControl=3,1,0),2),0)</f>
        <v>0</v>
      </c>
      <c r="AZ80" s="196">
        <f ca="1">IF(AH80,_xll.xASN(AL80,Strike2,AE80,AQ80,0,N80,0,P80,Q80,IF(OptControl=3,1,0),3)/100,0)</f>
        <v>0</v>
      </c>
      <c r="BA80" s="196">
        <f ca="1">IF(AH80,_xll.xASN(AL80,Strike2,AE80,AQ80,0,N80,0,P80-DaysForThetaCalculation/365.25,Q80-DaysForThetaCalculation/365.25,IF(OptControl=3,1,0),0)-_xll.xASN(AL80,Strike2,AE80,AQ80,0,N80,0,P80,Q80,IF(OptControl=3,1,0),0),0)</f>
        <v>0</v>
      </c>
      <c r="BB80" s="126" t="str">
        <f t="shared" ca="1" si="166"/>
        <v/>
      </c>
      <c r="BC80" s="191" t="str">
        <f t="shared" ca="1" si="167"/>
        <v/>
      </c>
      <c r="BD80" s="191" t="str">
        <f t="shared" ca="1" si="168"/>
        <v/>
      </c>
      <c r="BE80" s="190" t="str">
        <f t="shared" ca="1" si="169"/>
        <v/>
      </c>
      <c r="BF80" s="194" t="str">
        <f t="shared" ca="1" si="170"/>
        <v/>
      </c>
      <c r="BG80" s="194" t="str">
        <f t="shared" ca="1" si="171"/>
        <v/>
      </c>
      <c r="BH80" s="195">
        <f ca="1">IF(AH80,_xll.xEURO(BB80,Strike1,AE80,AE80,BF80,O80,IF(OptControl=4,0,1),0),0)</f>
        <v>0</v>
      </c>
      <c r="BI80" s="196">
        <f ca="1">IF(AH80,_xll.xEURO(BB80,Strike1,AE80,AE80,BF80,O80,IF(OptControl=4,0,1),1),0)</f>
        <v>0</v>
      </c>
      <c r="BJ80" s="196">
        <f ca="1">IF(AH80,_xll.xEURO(BB80,Strike1,AE80,AE80,BF80,O80,IF(OptControl=4,0,1),2),0)</f>
        <v>0</v>
      </c>
      <c r="BK80" s="196">
        <f ca="1">IF(AH80,_xll.xEURO(BB80,Strike1,AE80,AE80,BF80,O80,IF(OptControl=4,0,1),3)/100,0)</f>
        <v>0</v>
      </c>
      <c r="BL80" s="196">
        <f ca="1">IF(AH80,_xll.xEURO(BB80,Strike1,AE80,AE80,BF80,O80-DaysForThetaCalculation,IF(OptControl=4,0,1),0)-_xll.xEURO(BB80,Strike1,AE80,AE80,BF80,O80,IF(OptControl=4,0,1),0),0)</f>
        <v>0</v>
      </c>
      <c r="BM80" s="196">
        <f ca="1">IF(AH80,_xll.xEURO(BB80,Strike2,AE80,AE80,BG80,O80,IF(OptControl=3,1,0),0),0)</f>
        <v>0</v>
      </c>
      <c r="BN80" s="196">
        <f ca="1">IF(AH80,_xll.xEURO(BB80,Strike2,AE80,AE80,BG80,O80,IF(OptControl=3,1,0),1),0)</f>
        <v>0</v>
      </c>
      <c r="BO80" s="196">
        <f ca="1">IF(AH80,_xll.xEURO(BB80,Strike2,AE80,AE80,BG80,O80,IF(OptControl=3,1,0),2),0)</f>
        <v>0</v>
      </c>
      <c r="BP80" s="196">
        <f ca="1">IF(AH80,_xll.xEURO(BB80,Strike2,AE80,AE80,BG80,O80,IF(OptControl=3,1,0),3)/100,0)</f>
        <v>0</v>
      </c>
      <c r="BQ80" s="197">
        <f ca="1">IF(AH80,_xll.xEURO(BB80,Strike2,AE80,AE80,BG80,O80-DaysForThetaCalculation,IF(OptControl=3,1,0),0)-_xll.xEURO(BB80,Strike2,AE80,AE80,BG80,O80,IF(OptControl=3,1,0),0),0)</f>
        <v>0</v>
      </c>
      <c r="BR80" s="301"/>
      <c r="BS80" s="114">
        <v>26.674000000000003</v>
      </c>
      <c r="BT80" s="345">
        <f t="shared" si="137"/>
        <v>63.509523809523813</v>
      </c>
      <c r="BU80" s="345">
        <f t="shared" ca="1" si="84"/>
        <v>7.2959999999999994</v>
      </c>
      <c r="BV80" s="73"/>
      <c r="BW80" s="345">
        <f t="shared" ca="1" si="80"/>
        <v>7.97366666666667</v>
      </c>
      <c r="BX80" s="345">
        <f t="shared" ca="1" si="85"/>
        <v>65.247412008281572</v>
      </c>
      <c r="BY80" s="373">
        <f t="shared" ca="1" si="138"/>
        <v>64.103968253968262</v>
      </c>
      <c r="BZ80" s="114">
        <v>24.355999999999998</v>
      </c>
      <c r="CA80" s="345">
        <f t="shared" si="139"/>
        <v>57.990476190476187</v>
      </c>
      <c r="CB80" s="345">
        <f t="shared" ca="1" si="86"/>
        <v>5.4059999999999988</v>
      </c>
      <c r="CC80" s="345">
        <f t="shared" ca="1" si="81"/>
        <v>5.3486666666666736</v>
      </c>
      <c r="CD80" s="345">
        <f t="shared" ca="1" si="140"/>
        <v>57.853968253968269</v>
      </c>
      <c r="CE80" s="347">
        <f t="shared" ca="1" si="172"/>
        <v>-6.2499999999999929</v>
      </c>
      <c r="CF80" s="114">
        <v>20.92</v>
      </c>
      <c r="CG80" s="345">
        <f t="shared" si="141"/>
        <v>49.80952380952381</v>
      </c>
      <c r="CH80" s="345">
        <f t="shared" ca="1" si="142"/>
        <v>2.054000000000002</v>
      </c>
      <c r="CI80" s="73"/>
      <c r="CJ80" s="345">
        <f t="shared" ca="1" si="89"/>
        <v>2.6470000000000016</v>
      </c>
      <c r="CK80" s="345">
        <f t="shared" ca="1" si="90"/>
        <v>51.243064182194608</v>
      </c>
      <c r="CL80" s="345">
        <f t="shared" ca="1" si="143"/>
        <v>51.421428571428578</v>
      </c>
      <c r="CM80" s="114">
        <v>20.184999999999999</v>
      </c>
      <c r="CN80" s="345">
        <f t="shared" si="144"/>
        <v>48.059523809523803</v>
      </c>
      <c r="CO80" s="345">
        <f t="shared" ca="1" si="145"/>
        <v>1.2349999999999994</v>
      </c>
      <c r="CP80" s="345">
        <f t="shared" ca="1" si="92"/>
        <v>1.7229999999999985</v>
      </c>
      <c r="CQ80" s="345">
        <f t="shared" ca="1" si="146"/>
        <v>49.221428571428568</v>
      </c>
      <c r="CR80" s="347">
        <f t="shared" ca="1" si="173"/>
        <v>-2.2000000000000099</v>
      </c>
      <c r="CS80" s="114">
        <v>21.13</v>
      </c>
      <c r="CT80" s="345">
        <f t="shared" si="147"/>
        <v>50.30952380952381</v>
      </c>
      <c r="CU80" s="345">
        <f t="shared" si="174"/>
        <v>0.29999999999999716</v>
      </c>
      <c r="CV80" s="345">
        <f t="shared" ca="1" si="91"/>
        <v>1.3499999999999941</v>
      </c>
      <c r="CW80" s="347">
        <f t="shared" ca="1" si="175"/>
        <v>52.771428571428572</v>
      </c>
      <c r="CX80" s="483">
        <v>0.18900000000000003</v>
      </c>
      <c r="CY80" s="190">
        <f t="shared" si="148"/>
        <v>0</v>
      </c>
      <c r="CZ80" s="190">
        <f t="shared" ca="1" si="180"/>
        <v>-0.03</v>
      </c>
      <c r="DA80" s="354">
        <f t="shared" ca="1" si="149"/>
        <v>0.15900000000000003</v>
      </c>
      <c r="DB80" s="483">
        <v>0.18900000000000003</v>
      </c>
      <c r="DC80" s="190">
        <f t="shared" si="150"/>
        <v>0</v>
      </c>
      <c r="DD80" s="190">
        <f t="shared" ca="1" si="181"/>
        <v>0.03</v>
      </c>
      <c r="DE80" s="354">
        <f t="shared" ca="1" si="151"/>
        <v>0.21900000000000003</v>
      </c>
      <c r="DG80" s="341"/>
      <c r="DH80" s="114">
        <v>16.3</v>
      </c>
      <c r="DI80" s="126">
        <f t="shared" ca="1" si="176"/>
        <v>-2.6499999999999986</v>
      </c>
      <c r="DJ80" s="126">
        <f t="shared" ca="1" si="124"/>
        <v>-2</v>
      </c>
      <c r="DK80" s="356">
        <f t="shared" ca="1" si="125"/>
        <v>16.95</v>
      </c>
      <c r="DL80" s="114">
        <v>13.7</v>
      </c>
      <c r="DM80" s="126">
        <f t="shared" ca="1" si="177"/>
        <v>-5.25</v>
      </c>
      <c r="DN80" s="126">
        <f t="shared" ca="1" si="152"/>
        <v>-3</v>
      </c>
      <c r="DO80" s="356">
        <f t="shared" ca="1" si="126"/>
        <v>15.95</v>
      </c>
      <c r="DP80" s="114">
        <v>14.35</v>
      </c>
      <c r="DQ80" s="126">
        <f t="shared" ca="1" si="178"/>
        <v>-4.5999999999999996</v>
      </c>
      <c r="DR80" s="126">
        <f t="shared" ca="1" si="153"/>
        <v>-6</v>
      </c>
      <c r="DS80" s="356">
        <f t="shared" ca="1" si="127"/>
        <v>12.95</v>
      </c>
      <c r="DT80" s="114">
        <v>15.1</v>
      </c>
      <c r="DU80" s="126">
        <f t="shared" ca="1" si="179"/>
        <v>-3.8499999999999996</v>
      </c>
      <c r="DV80" s="126">
        <f t="shared" ca="1" si="154"/>
        <v>-5</v>
      </c>
      <c r="DW80" s="356">
        <f t="shared" ca="1" si="128"/>
        <v>13.95</v>
      </c>
    </row>
    <row r="81" spans="2:127" x14ac:dyDescent="0.25">
      <c r="B81" s="396">
        <v>38018</v>
      </c>
      <c r="C81" s="400">
        <v>38008</v>
      </c>
      <c r="I81" s="136">
        <f t="shared" ca="1" si="129"/>
        <v>39264</v>
      </c>
      <c r="J81" s="131">
        <f t="shared" ca="1" si="130"/>
        <v>39253</v>
      </c>
      <c r="K81" s="106">
        <f t="shared" ca="1" si="131"/>
        <v>0.68181818181818177</v>
      </c>
      <c r="L81" s="133">
        <f t="shared" ca="1" si="93"/>
        <v>107</v>
      </c>
      <c r="M81" s="134">
        <f t="shared" ca="1" si="94"/>
        <v>7</v>
      </c>
      <c r="N81" s="103">
        <f t="shared" ca="1" si="116"/>
        <v>22</v>
      </c>
      <c r="O81" s="104">
        <f t="shared" ca="1" si="132"/>
        <v>2305</v>
      </c>
      <c r="P81" s="105">
        <f t="shared" ca="1" si="95"/>
        <v>6.324435318275154</v>
      </c>
      <c r="Q81" s="105">
        <f t="shared" ca="1" si="96"/>
        <v>6.406570841889117</v>
      </c>
      <c r="R81" s="114">
        <v>18.95</v>
      </c>
      <c r="S81" s="198">
        <v>0</v>
      </c>
      <c r="T81" s="189">
        <f t="shared" si="133"/>
        <v>18.95</v>
      </c>
      <c r="U81" s="199">
        <f t="shared" ca="1" si="117"/>
        <v>18.95</v>
      </c>
      <c r="V81" s="379">
        <f t="shared" ca="1" si="118"/>
        <v>18.95</v>
      </c>
      <c r="W81" s="483">
        <v>0.18840000000000001</v>
      </c>
      <c r="X81" s="166" t="str">
        <f t="shared" ca="1" si="119"/>
        <v/>
      </c>
      <c r="Y81" s="91">
        <f t="shared" ca="1" si="155"/>
        <v>2.9742356938369562E-3</v>
      </c>
      <c r="Z81" s="91">
        <f t="shared" ca="1" si="156"/>
        <v>1.2191910630209378E-3</v>
      </c>
      <c r="AA81" s="91">
        <f t="shared" ca="1" si="157"/>
        <v>4.7393663299088068E-4</v>
      </c>
      <c r="AB81" s="91">
        <f t="shared" ca="1" si="158"/>
        <v>1.0676844468018617E-3</v>
      </c>
      <c r="AC81" s="91">
        <f t="shared" ca="1" si="159"/>
        <v>2.746593626773665E-3</v>
      </c>
      <c r="AD81" s="91">
        <f t="shared" ca="1" si="160"/>
        <v>6.7003581710758653E-3</v>
      </c>
      <c r="AE81" s="124">
        <v>7.3357265742112002E-2</v>
      </c>
      <c r="AF81" s="191">
        <f t="shared" ca="1" si="161"/>
        <v>0.63030292688432688</v>
      </c>
      <c r="AG81" s="189">
        <f t="shared" ca="1" si="134"/>
        <v>1</v>
      </c>
      <c r="AH81" s="192">
        <f t="shared" ca="1" si="120"/>
        <v>0</v>
      </c>
      <c r="AI81" s="192">
        <f t="shared" ca="1" si="121"/>
        <v>0</v>
      </c>
      <c r="AJ81" s="192">
        <f t="shared" ca="1" si="122"/>
        <v>0</v>
      </c>
      <c r="AK81" s="192">
        <f t="shared" ca="1" si="123"/>
        <v>0</v>
      </c>
      <c r="AL81" s="191" t="str">
        <f t="shared" ca="1" si="162"/>
        <v/>
      </c>
      <c r="AM81" s="191" t="str">
        <f t="shared" ca="1" si="163"/>
        <v/>
      </c>
      <c r="AN81" s="191" t="str">
        <f t="shared" ca="1" si="164"/>
        <v/>
      </c>
      <c r="AO81" s="193" t="str">
        <f t="shared" ca="1" si="165"/>
        <v/>
      </c>
      <c r="AP81" s="194" t="str">
        <f t="shared" ca="1" si="135"/>
        <v/>
      </c>
      <c r="AQ81" s="194" t="str">
        <f t="shared" ca="1" si="136"/>
        <v/>
      </c>
      <c r="AR81" s="195">
        <f ca="1">IF(AH81,_xll.xASN(AL81,Strike1,AE81,AP81,0,N81,0,P81,Q81,IF(OptControl=4,0,1),0),0)</f>
        <v>0</v>
      </c>
      <c r="AS81" s="196">
        <f ca="1">IF(AH81,_xll.xASN(AL81,Strike1,AE81,AP81,0,N81,0,P81,Q81,IF(OptControl=4,0,1),1),0)</f>
        <v>0</v>
      </c>
      <c r="AT81" s="196">
        <f ca="1">IF(AH81,_xll.xASN(AL81,Strike1,AE81,AP81,0,N81,0,P81,Q81,IF(OptControl=4,0,1),2),0)</f>
        <v>0</v>
      </c>
      <c r="AU81" s="196">
        <f ca="1">IF(AH81,_xll.xASN(AL81,Strike1,AE81,AP81,0,N81,0,P81,Q81,IF(OptControl=4,0,1),3)/100,0)</f>
        <v>0</v>
      </c>
      <c r="AV81" s="196">
        <f ca="1">IF(AH81,_xll.xASN(AL81,Strike1,AE81,AP81,0,N81,0,P81-DaysForThetaCalculation/365.25,Q81-DaysForThetaCalculation/365.25,IF(OptControl=4,0,1),0)-_xll.xASN(AL81,Strike1,AE81,AP81,0,N81,0,P81,Q81,IF(OptControl=4,0,1),0),0)</f>
        <v>0</v>
      </c>
      <c r="AW81" s="196">
        <f ca="1">IF(AH81,_xll.xASN(AL81,Strike2,AE81,AQ81,0,N81,0,P81,Q81,IF(OptControl=3,1,0),0),0)</f>
        <v>0</v>
      </c>
      <c r="AX81" s="196">
        <f ca="1">IF(AH81,_xll.xASN(AL81,Strike2,AE81,AQ81,0,N81,0,P81,Q81,IF(OptControl=3,1,0),1),0)</f>
        <v>0</v>
      </c>
      <c r="AY81" s="196">
        <f ca="1">IF(AH81,_xll.xASN(AL81,Strike2,AE81,AQ81,0,N81,0,P81,Q81,IF(OptControl=3,1,0),2),0)</f>
        <v>0</v>
      </c>
      <c r="AZ81" s="196">
        <f ca="1">IF(AH81,_xll.xASN(AL81,Strike2,AE81,AQ81,0,N81,0,P81,Q81,IF(OptControl=3,1,0),3)/100,0)</f>
        <v>0</v>
      </c>
      <c r="BA81" s="196">
        <f ca="1">IF(AH81,_xll.xASN(AL81,Strike2,AE81,AQ81,0,N81,0,P81-DaysForThetaCalculation/365.25,Q81-DaysForThetaCalculation/365.25,IF(OptControl=3,1,0),0)-_xll.xASN(AL81,Strike2,AE81,AQ81,0,N81,0,P81,Q81,IF(OptControl=3,1,0),0),0)</f>
        <v>0</v>
      </c>
      <c r="BB81" s="126" t="str">
        <f t="shared" ca="1" si="166"/>
        <v/>
      </c>
      <c r="BC81" s="191" t="str">
        <f t="shared" ca="1" si="167"/>
        <v/>
      </c>
      <c r="BD81" s="191" t="str">
        <f t="shared" ca="1" si="168"/>
        <v/>
      </c>
      <c r="BE81" s="190" t="str">
        <f t="shared" ca="1" si="169"/>
        <v/>
      </c>
      <c r="BF81" s="194" t="str">
        <f t="shared" ca="1" si="170"/>
        <v/>
      </c>
      <c r="BG81" s="194" t="str">
        <f t="shared" ca="1" si="171"/>
        <v/>
      </c>
      <c r="BH81" s="195">
        <f ca="1">IF(AH81,_xll.xEURO(BB81,Strike1,AE81,AE81,BF81,O81,IF(OptControl=4,0,1),0),0)</f>
        <v>0</v>
      </c>
      <c r="BI81" s="196">
        <f ca="1">IF(AH81,_xll.xEURO(BB81,Strike1,AE81,AE81,BF81,O81,IF(OptControl=4,0,1),1),0)</f>
        <v>0</v>
      </c>
      <c r="BJ81" s="196">
        <f ca="1">IF(AH81,_xll.xEURO(BB81,Strike1,AE81,AE81,BF81,O81,IF(OptControl=4,0,1),2),0)</f>
        <v>0</v>
      </c>
      <c r="BK81" s="196">
        <f ca="1">IF(AH81,_xll.xEURO(BB81,Strike1,AE81,AE81,BF81,O81,IF(OptControl=4,0,1),3)/100,0)</f>
        <v>0</v>
      </c>
      <c r="BL81" s="196">
        <f ca="1">IF(AH81,_xll.xEURO(BB81,Strike1,AE81,AE81,BF81,O81-DaysForThetaCalculation,IF(OptControl=4,0,1),0)-_xll.xEURO(BB81,Strike1,AE81,AE81,BF81,O81,IF(OptControl=4,0,1),0),0)</f>
        <v>0</v>
      </c>
      <c r="BM81" s="196">
        <f ca="1">IF(AH81,_xll.xEURO(BB81,Strike2,AE81,AE81,BG81,O81,IF(OptControl=3,1,0),0),0)</f>
        <v>0</v>
      </c>
      <c r="BN81" s="196">
        <f ca="1">IF(AH81,_xll.xEURO(BB81,Strike2,AE81,AE81,BG81,O81,IF(OptControl=3,1,0),1),0)</f>
        <v>0</v>
      </c>
      <c r="BO81" s="196">
        <f ca="1">IF(AH81,_xll.xEURO(BB81,Strike2,AE81,AE81,BG81,O81,IF(OptControl=3,1,0),2),0)</f>
        <v>0</v>
      </c>
      <c r="BP81" s="196">
        <f ca="1">IF(AH81,_xll.xEURO(BB81,Strike2,AE81,AE81,BG81,O81,IF(OptControl=3,1,0),3)/100,0)</f>
        <v>0</v>
      </c>
      <c r="BQ81" s="197">
        <f ca="1">IF(AH81,_xll.xEURO(BB81,Strike2,AE81,AE81,BG81,O81-DaysForThetaCalculation,IF(OptControl=3,1,0),0)-_xll.xEURO(BB81,Strike2,AE81,AE81,BG81,O81,IF(OptControl=3,1,0),0),0)</f>
        <v>0</v>
      </c>
      <c r="BR81" s="301"/>
      <c r="BS81" s="114">
        <v>26.245999999999999</v>
      </c>
      <c r="BT81" s="345">
        <f t="shared" si="137"/>
        <v>62.490476190476187</v>
      </c>
      <c r="BU81" s="345">
        <f t="shared" ca="1" si="84"/>
        <v>6.762000000000004</v>
      </c>
      <c r="BV81" s="73"/>
      <c r="BW81" s="345">
        <f t="shared" ca="1" si="80"/>
        <v>7.4333636363636479</v>
      </c>
      <c r="BX81" s="345">
        <f t="shared" ca="1" si="85"/>
        <v>64.103968253968262</v>
      </c>
      <c r="BY81" s="373">
        <f t="shared" ca="1" si="138"/>
        <v>62.817532467532494</v>
      </c>
      <c r="BZ81" s="114">
        <v>23.822000000000003</v>
      </c>
      <c r="CA81" s="345">
        <f t="shared" si="139"/>
        <v>56.719047619047629</v>
      </c>
      <c r="CB81" s="345">
        <f t="shared" ca="1" si="86"/>
        <v>4.8720000000000034</v>
      </c>
      <c r="CC81" s="345">
        <f t="shared" ca="1" si="81"/>
        <v>5.0183636363636452</v>
      </c>
      <c r="CD81" s="345">
        <f t="shared" ca="1" si="140"/>
        <v>57.06753246753248</v>
      </c>
      <c r="CE81" s="347">
        <f t="shared" ca="1" si="172"/>
        <v>-5.7500000000000142</v>
      </c>
      <c r="CF81" s="114">
        <v>21.004000000000001</v>
      </c>
      <c r="CG81" s="345">
        <f t="shared" si="141"/>
        <v>50.009523809523813</v>
      </c>
      <c r="CH81" s="345">
        <f t="shared" ca="1" si="142"/>
        <v>2.3819999999999979</v>
      </c>
      <c r="CI81" s="73"/>
      <c r="CJ81" s="345">
        <f t="shared" ca="1" si="89"/>
        <v>2.9860434782608745</v>
      </c>
      <c r="CK81" s="345">
        <f t="shared" ca="1" si="90"/>
        <v>51.421428571428578</v>
      </c>
      <c r="CL81" s="345">
        <f t="shared" ca="1" si="143"/>
        <v>52.228674948240183</v>
      </c>
      <c r="CM81" s="114">
        <v>20.408000000000001</v>
      </c>
      <c r="CN81" s="345">
        <f t="shared" si="144"/>
        <v>48.590476190476195</v>
      </c>
      <c r="CO81" s="345">
        <f t="shared" ca="1" si="145"/>
        <v>1.458000000000002</v>
      </c>
      <c r="CP81" s="345">
        <f t="shared" ca="1" si="92"/>
        <v>2.0620434782608714</v>
      </c>
      <c r="CQ81" s="345">
        <f t="shared" ca="1" si="146"/>
        <v>50.028674948240166</v>
      </c>
      <c r="CR81" s="347">
        <f t="shared" ca="1" si="173"/>
        <v>-2.2000000000000171</v>
      </c>
      <c r="CS81" s="114">
        <v>21.458000000000002</v>
      </c>
      <c r="CT81" s="345">
        <f t="shared" si="147"/>
        <v>51.090476190476195</v>
      </c>
      <c r="CU81" s="345">
        <f t="shared" si="174"/>
        <v>0.30000000000001137</v>
      </c>
      <c r="CV81" s="345">
        <f t="shared" ca="1" si="91"/>
        <v>1.3499999999999941</v>
      </c>
      <c r="CW81" s="347">
        <f t="shared" ca="1" si="175"/>
        <v>53.578674948240177</v>
      </c>
      <c r="CX81" s="483">
        <v>0.188</v>
      </c>
      <c r="CY81" s="190">
        <f t="shared" si="148"/>
        <v>-4.0000000000001146E-4</v>
      </c>
      <c r="CZ81" s="190">
        <f t="shared" ca="1" si="180"/>
        <v>-0.03</v>
      </c>
      <c r="DA81" s="354">
        <f t="shared" ca="1" si="149"/>
        <v>0.15840000000000001</v>
      </c>
      <c r="DB81" s="483">
        <v>0.188</v>
      </c>
      <c r="DC81" s="190">
        <f t="shared" si="150"/>
        <v>-4.0000000000001146E-4</v>
      </c>
      <c r="DD81" s="190">
        <f t="shared" ca="1" si="181"/>
        <v>0.03</v>
      </c>
      <c r="DE81" s="354">
        <f t="shared" ca="1" si="151"/>
        <v>0.21840000000000001</v>
      </c>
      <c r="DG81" s="341"/>
      <c r="DH81" s="114">
        <v>16.3</v>
      </c>
      <c r="DI81" s="126">
        <f t="shared" ca="1" si="176"/>
        <v>-2.6499999999999986</v>
      </c>
      <c r="DJ81" s="126">
        <f t="shared" ca="1" si="124"/>
        <v>-2</v>
      </c>
      <c r="DK81" s="356">
        <f t="shared" ca="1" si="125"/>
        <v>16.95</v>
      </c>
      <c r="DL81" s="114">
        <v>13.7</v>
      </c>
      <c r="DM81" s="126">
        <f t="shared" ca="1" si="177"/>
        <v>-5.25</v>
      </c>
      <c r="DN81" s="126">
        <f t="shared" ca="1" si="152"/>
        <v>-3</v>
      </c>
      <c r="DO81" s="356">
        <f t="shared" ca="1" si="126"/>
        <v>15.95</v>
      </c>
      <c r="DP81" s="114">
        <v>14.35</v>
      </c>
      <c r="DQ81" s="126">
        <f t="shared" ca="1" si="178"/>
        <v>-4.5999999999999996</v>
      </c>
      <c r="DR81" s="126">
        <f t="shared" ca="1" si="153"/>
        <v>-6</v>
      </c>
      <c r="DS81" s="356">
        <f t="shared" ca="1" si="127"/>
        <v>12.95</v>
      </c>
      <c r="DT81" s="114">
        <v>15.25</v>
      </c>
      <c r="DU81" s="126">
        <f t="shared" ca="1" si="179"/>
        <v>-3.6999999999999993</v>
      </c>
      <c r="DV81" s="126">
        <f t="shared" ca="1" si="154"/>
        <v>-5</v>
      </c>
      <c r="DW81" s="356">
        <f t="shared" ca="1" si="128"/>
        <v>13.95</v>
      </c>
    </row>
    <row r="82" spans="2:127" x14ac:dyDescent="0.25">
      <c r="B82" s="396">
        <v>38047</v>
      </c>
      <c r="C82" s="400">
        <v>38037</v>
      </c>
      <c r="I82" s="136">
        <f t="shared" ca="1" si="129"/>
        <v>39295</v>
      </c>
      <c r="J82" s="131">
        <f t="shared" ca="1" si="130"/>
        <v>39283</v>
      </c>
      <c r="K82" s="106">
        <f t="shared" ca="1" si="131"/>
        <v>0.65217391304347827</v>
      </c>
      <c r="L82" s="133">
        <f t="shared" ca="1" si="93"/>
        <v>107</v>
      </c>
      <c r="M82" s="134">
        <f t="shared" ca="1" si="94"/>
        <v>8</v>
      </c>
      <c r="N82" s="103">
        <f t="shared" ca="1" si="116"/>
        <v>23</v>
      </c>
      <c r="O82" s="104">
        <f t="shared" ca="1" si="132"/>
        <v>2335</v>
      </c>
      <c r="P82" s="105">
        <f t="shared" ca="1" si="95"/>
        <v>6.409308692676249</v>
      </c>
      <c r="Q82" s="105">
        <f t="shared" ca="1" si="96"/>
        <v>6.491444216290212</v>
      </c>
      <c r="R82" s="114">
        <v>18.95</v>
      </c>
      <c r="S82" s="198">
        <v>0</v>
      </c>
      <c r="T82" s="189">
        <f t="shared" si="133"/>
        <v>18.95</v>
      </c>
      <c r="U82" s="199">
        <f t="shared" ca="1" si="117"/>
        <v>18.95</v>
      </c>
      <c r="V82" s="379">
        <f t="shared" ca="1" si="118"/>
        <v>18.95</v>
      </c>
      <c r="W82" s="483">
        <v>0.18580000000000002</v>
      </c>
      <c r="X82" s="166" t="str">
        <f t="shared" ca="1" si="119"/>
        <v/>
      </c>
      <c r="Y82" s="91">
        <f t="shared" ca="1" si="155"/>
        <v>2.9105618312280997E-3</v>
      </c>
      <c r="Z82" s="91">
        <f t="shared" ca="1" si="156"/>
        <v>1.1867021706348918E-3</v>
      </c>
      <c r="AA82" s="91">
        <f t="shared" ca="1" si="157"/>
        <v>4.6007017383081886E-4</v>
      </c>
      <c r="AB82" s="91">
        <f t="shared" ca="1" si="158"/>
        <v>1.0364460876060746E-3</v>
      </c>
      <c r="AC82" s="91">
        <f t="shared" ca="1" si="159"/>
        <v>2.6734026500063808E-3</v>
      </c>
      <c r="AD82" s="91">
        <f t="shared" ca="1" si="160"/>
        <v>6.5569136933906307E-3</v>
      </c>
      <c r="AE82" s="124">
        <v>7.3375179205409022E-2</v>
      </c>
      <c r="AF82" s="191">
        <f t="shared" ca="1" si="161"/>
        <v>0.62639036095977119</v>
      </c>
      <c r="AG82" s="189">
        <f t="shared" ca="1" si="134"/>
        <v>1</v>
      </c>
      <c r="AH82" s="192">
        <f t="shared" ca="1" si="120"/>
        <v>0</v>
      </c>
      <c r="AI82" s="192">
        <f t="shared" ca="1" si="121"/>
        <v>0</v>
      </c>
      <c r="AJ82" s="192">
        <f t="shared" ca="1" si="122"/>
        <v>0</v>
      </c>
      <c r="AK82" s="192">
        <f t="shared" ca="1" si="123"/>
        <v>0</v>
      </c>
      <c r="AL82" s="191" t="str">
        <f t="shared" ca="1" si="162"/>
        <v/>
      </c>
      <c r="AM82" s="191" t="str">
        <f t="shared" ca="1" si="163"/>
        <v/>
      </c>
      <c r="AN82" s="191" t="str">
        <f t="shared" ca="1" si="164"/>
        <v/>
      </c>
      <c r="AO82" s="193" t="str">
        <f t="shared" ca="1" si="165"/>
        <v/>
      </c>
      <c r="AP82" s="194" t="str">
        <f t="shared" ca="1" si="135"/>
        <v/>
      </c>
      <c r="AQ82" s="194" t="str">
        <f t="shared" ca="1" si="136"/>
        <v/>
      </c>
      <c r="AR82" s="195">
        <f ca="1">IF(AH82,_xll.xASN(AL82,Strike1,AE82,AP82,0,N82,0,P82,Q82,IF(OptControl=4,0,1),0),0)</f>
        <v>0</v>
      </c>
      <c r="AS82" s="196">
        <f ca="1">IF(AH82,_xll.xASN(AL82,Strike1,AE82,AP82,0,N82,0,P82,Q82,IF(OptControl=4,0,1),1),0)</f>
        <v>0</v>
      </c>
      <c r="AT82" s="196">
        <f ca="1">IF(AH82,_xll.xASN(AL82,Strike1,AE82,AP82,0,N82,0,P82,Q82,IF(OptControl=4,0,1),2),0)</f>
        <v>0</v>
      </c>
      <c r="AU82" s="196">
        <f ca="1">IF(AH82,_xll.xASN(AL82,Strike1,AE82,AP82,0,N82,0,P82,Q82,IF(OptControl=4,0,1),3)/100,0)</f>
        <v>0</v>
      </c>
      <c r="AV82" s="196">
        <f ca="1">IF(AH82,_xll.xASN(AL82,Strike1,AE82,AP82,0,N82,0,P82-DaysForThetaCalculation/365.25,Q82-DaysForThetaCalculation/365.25,IF(OptControl=4,0,1),0)-_xll.xASN(AL82,Strike1,AE82,AP82,0,N82,0,P82,Q82,IF(OptControl=4,0,1),0),0)</f>
        <v>0</v>
      </c>
      <c r="AW82" s="196">
        <f ca="1">IF(AH82,_xll.xASN(AL82,Strike2,AE82,AQ82,0,N82,0,P82,Q82,IF(OptControl=3,1,0),0),0)</f>
        <v>0</v>
      </c>
      <c r="AX82" s="196">
        <f ca="1">IF(AH82,_xll.xASN(AL82,Strike2,AE82,AQ82,0,N82,0,P82,Q82,IF(OptControl=3,1,0),1),0)</f>
        <v>0</v>
      </c>
      <c r="AY82" s="196">
        <f ca="1">IF(AH82,_xll.xASN(AL82,Strike2,AE82,AQ82,0,N82,0,P82,Q82,IF(OptControl=3,1,0),2),0)</f>
        <v>0</v>
      </c>
      <c r="AZ82" s="196">
        <f ca="1">IF(AH82,_xll.xASN(AL82,Strike2,AE82,AQ82,0,N82,0,P82,Q82,IF(OptControl=3,1,0),3)/100,0)</f>
        <v>0</v>
      </c>
      <c r="BA82" s="196">
        <f ca="1">IF(AH82,_xll.xASN(AL82,Strike2,AE82,AQ82,0,N82,0,P82-DaysForThetaCalculation/365.25,Q82-DaysForThetaCalculation/365.25,IF(OptControl=3,1,0),0)-_xll.xASN(AL82,Strike2,AE82,AQ82,0,N82,0,P82,Q82,IF(OptControl=3,1,0),0),0)</f>
        <v>0</v>
      </c>
      <c r="BB82" s="126" t="str">
        <f t="shared" ca="1" si="166"/>
        <v/>
      </c>
      <c r="BC82" s="191" t="str">
        <f t="shared" ca="1" si="167"/>
        <v/>
      </c>
      <c r="BD82" s="191" t="str">
        <f t="shared" ca="1" si="168"/>
        <v/>
      </c>
      <c r="BE82" s="190" t="str">
        <f t="shared" ca="1" si="169"/>
        <v/>
      </c>
      <c r="BF82" s="194" t="str">
        <f t="shared" ca="1" si="170"/>
        <v/>
      </c>
      <c r="BG82" s="194" t="str">
        <f t="shared" ca="1" si="171"/>
        <v/>
      </c>
      <c r="BH82" s="195">
        <f ca="1">IF(AH82,_xll.xEURO(BB82,Strike1,AE82,AE82,BF82,O82,IF(OptControl=4,0,1),0),0)</f>
        <v>0</v>
      </c>
      <c r="BI82" s="196">
        <f ca="1">IF(AH82,_xll.xEURO(BB82,Strike1,AE82,AE82,BF82,O82,IF(OptControl=4,0,1),1),0)</f>
        <v>0</v>
      </c>
      <c r="BJ82" s="196">
        <f ca="1">IF(AH82,_xll.xEURO(BB82,Strike1,AE82,AE82,BF82,O82,IF(OptControl=4,0,1),2),0)</f>
        <v>0</v>
      </c>
      <c r="BK82" s="196">
        <f ca="1">IF(AH82,_xll.xEURO(BB82,Strike1,AE82,AE82,BF82,O82,IF(OptControl=4,0,1),3)/100,0)</f>
        <v>0</v>
      </c>
      <c r="BL82" s="196">
        <f ca="1">IF(AH82,_xll.xEURO(BB82,Strike1,AE82,AE82,BF82,O82-DaysForThetaCalculation,IF(OptControl=4,0,1),0)-_xll.xEURO(BB82,Strike1,AE82,AE82,BF82,O82,IF(OptControl=4,0,1),0),0)</f>
        <v>0</v>
      </c>
      <c r="BM82" s="196">
        <f ca="1">IF(AH82,_xll.xEURO(BB82,Strike2,AE82,AE82,BG82,O82,IF(OptControl=3,1,0),0),0)</f>
        <v>0</v>
      </c>
      <c r="BN82" s="196">
        <f ca="1">IF(AH82,_xll.xEURO(BB82,Strike2,AE82,AE82,BG82,O82,IF(OptControl=3,1,0),1),0)</f>
        <v>0</v>
      </c>
      <c r="BO82" s="196">
        <f ca="1">IF(AH82,_xll.xEURO(BB82,Strike2,AE82,AE82,BG82,O82,IF(OptControl=3,1,0),2),0)</f>
        <v>0</v>
      </c>
      <c r="BP82" s="196">
        <f ca="1">IF(AH82,_xll.xEURO(BB82,Strike2,AE82,AE82,BG82,O82,IF(OptControl=3,1,0),3)/100,0)</f>
        <v>0</v>
      </c>
      <c r="BQ82" s="197">
        <f ca="1">IF(AH82,_xll.xEURO(BB82,Strike2,AE82,AE82,BG82,O82-DaysForThetaCalculation,IF(OptControl=3,1,0),0)-_xll.xEURO(BB82,Strike2,AE82,AE82,BG82,O82,IF(OptControl=3,1,0),0),0)</f>
        <v>0</v>
      </c>
      <c r="BR82" s="301"/>
      <c r="BS82" s="114">
        <v>25.712000000000003</v>
      </c>
      <c r="BT82" s="345">
        <f t="shared" si="137"/>
        <v>61.219047619047629</v>
      </c>
      <c r="BU82" s="345">
        <f t="shared" ca="1" si="84"/>
        <v>6.208000000000002</v>
      </c>
      <c r="BV82" s="73"/>
      <c r="BW82" s="345">
        <f t="shared" ref="BW82:BW145" ca="1" si="182">BW70+VLOOKUP(1900+$L82,ProductSpreadTable,2)</f>
        <v>6.9318695652173901</v>
      </c>
      <c r="BX82" s="345">
        <f t="shared" ca="1" si="85"/>
        <v>62.817532467532494</v>
      </c>
      <c r="BY82" s="373">
        <f t="shared" ca="1" si="138"/>
        <v>61.623498964803311</v>
      </c>
      <c r="BZ82" s="114">
        <v>23.268000000000001</v>
      </c>
      <c r="CA82" s="345">
        <f t="shared" si="139"/>
        <v>55.400000000000006</v>
      </c>
      <c r="CB82" s="345">
        <f t="shared" ca="1" si="86"/>
        <v>4.3180000000000014</v>
      </c>
      <c r="CC82" s="345">
        <f t="shared" ref="CC82:CC145" ca="1" si="183">CC70+VLOOKUP(1900+$L82,ProductSpreadTable,3)</f>
        <v>4.51686956521739</v>
      </c>
      <c r="CD82" s="345">
        <f t="shared" ca="1" si="140"/>
        <v>55.873498964803311</v>
      </c>
      <c r="CE82" s="347">
        <f t="shared" ca="1" si="172"/>
        <v>-5.75</v>
      </c>
      <c r="CF82" s="114">
        <v>21.331999999999997</v>
      </c>
      <c r="CG82" s="345">
        <f t="shared" si="141"/>
        <v>50.790476190476184</v>
      </c>
      <c r="CH82" s="345">
        <f t="shared" ca="1" si="142"/>
        <v>2.7980000000000018</v>
      </c>
      <c r="CI82" s="73"/>
      <c r="CJ82" s="345">
        <f t="shared" ca="1" si="89"/>
        <v>3.3934545454545453</v>
      </c>
      <c r="CK82" s="345">
        <f t="shared" ref="CK82:CK145" ca="1" si="184">($V81+CJ81)*100/42</f>
        <v>52.228674948240183</v>
      </c>
      <c r="CL82" s="345">
        <f t="shared" ca="1" si="143"/>
        <v>53.198701298701302</v>
      </c>
      <c r="CM82" s="114">
        <v>20.824000000000002</v>
      </c>
      <c r="CN82" s="345">
        <f t="shared" si="144"/>
        <v>49.580952380952382</v>
      </c>
      <c r="CO82" s="345">
        <f t="shared" ca="1" si="145"/>
        <v>1.8740000000000023</v>
      </c>
      <c r="CP82" s="345">
        <f t="shared" ca="1" si="92"/>
        <v>2.4694545454545458</v>
      </c>
      <c r="CQ82" s="345">
        <f t="shared" ca="1" si="146"/>
        <v>50.998701298701299</v>
      </c>
      <c r="CR82" s="347">
        <f t="shared" ca="1" si="173"/>
        <v>-2.2000000000000028</v>
      </c>
      <c r="CS82" s="114">
        <v>21.874000000000002</v>
      </c>
      <c r="CT82" s="345">
        <f t="shared" si="147"/>
        <v>52.080952380952382</v>
      </c>
      <c r="CU82" s="345">
        <f t="shared" si="174"/>
        <v>0.29999999999999716</v>
      </c>
      <c r="CV82" s="345">
        <f t="shared" ca="1" si="91"/>
        <v>1.3499999999999941</v>
      </c>
      <c r="CW82" s="347">
        <f t="shared" ca="1" si="175"/>
        <v>54.548701298701296</v>
      </c>
      <c r="CX82" s="483">
        <v>0.18600000000000003</v>
      </c>
      <c r="CY82" s="190">
        <f t="shared" si="148"/>
        <v>2.0000000000000573E-4</v>
      </c>
      <c r="CZ82" s="190">
        <f t="shared" ca="1" si="180"/>
        <v>-0.03</v>
      </c>
      <c r="DA82" s="354">
        <f t="shared" ca="1" si="149"/>
        <v>0.15580000000000002</v>
      </c>
      <c r="DB82" s="483">
        <v>0.18600000000000003</v>
      </c>
      <c r="DC82" s="190">
        <f t="shared" si="150"/>
        <v>2.0000000000000573E-4</v>
      </c>
      <c r="DD82" s="190">
        <f t="shared" ca="1" si="181"/>
        <v>0.03</v>
      </c>
      <c r="DE82" s="354">
        <f t="shared" ca="1" si="151"/>
        <v>0.21580000000000002</v>
      </c>
      <c r="DG82" s="341"/>
      <c r="DH82" s="114">
        <v>16.3</v>
      </c>
      <c r="DI82" s="126">
        <f t="shared" ca="1" si="176"/>
        <v>-2.6499999999999986</v>
      </c>
      <c r="DJ82" s="126">
        <f t="shared" ca="1" si="124"/>
        <v>-2</v>
      </c>
      <c r="DK82" s="356">
        <f t="shared" ca="1" si="125"/>
        <v>16.95</v>
      </c>
      <c r="DL82" s="114">
        <v>13.7</v>
      </c>
      <c r="DM82" s="126">
        <f t="shared" ca="1" si="177"/>
        <v>-5.25</v>
      </c>
      <c r="DN82" s="126">
        <f t="shared" ca="1" si="152"/>
        <v>-3</v>
      </c>
      <c r="DO82" s="356">
        <f t="shared" ca="1" si="126"/>
        <v>15.95</v>
      </c>
      <c r="DP82" s="114">
        <v>14.35</v>
      </c>
      <c r="DQ82" s="126">
        <f t="shared" ca="1" si="178"/>
        <v>-4.5999999999999996</v>
      </c>
      <c r="DR82" s="126">
        <f t="shared" ca="1" si="153"/>
        <v>-6</v>
      </c>
      <c r="DS82" s="356">
        <f t="shared" ca="1" si="127"/>
        <v>12.95</v>
      </c>
      <c r="DT82" s="114">
        <v>15.25</v>
      </c>
      <c r="DU82" s="126">
        <f t="shared" ca="1" si="179"/>
        <v>-3.6999999999999993</v>
      </c>
      <c r="DV82" s="126">
        <f t="shared" ca="1" si="154"/>
        <v>-5</v>
      </c>
      <c r="DW82" s="356">
        <f t="shared" ca="1" si="128"/>
        <v>13.95</v>
      </c>
    </row>
    <row r="83" spans="2:127" x14ac:dyDescent="0.25">
      <c r="B83" s="396">
        <v>38078</v>
      </c>
      <c r="C83" s="400">
        <v>38066</v>
      </c>
      <c r="I83" s="136">
        <f t="shared" ca="1" si="129"/>
        <v>39326</v>
      </c>
      <c r="J83" s="131">
        <f t="shared" ca="1" si="130"/>
        <v>39315</v>
      </c>
      <c r="K83" s="106">
        <f t="shared" ca="1" si="131"/>
        <v>0.7</v>
      </c>
      <c r="L83" s="133">
        <f t="shared" ca="1" si="93"/>
        <v>107</v>
      </c>
      <c r="M83" s="134">
        <f t="shared" ca="1" si="94"/>
        <v>9</v>
      </c>
      <c r="N83" s="103">
        <f t="shared" ca="1" si="116"/>
        <v>20</v>
      </c>
      <c r="O83" s="104">
        <f t="shared" ca="1" si="132"/>
        <v>2368</v>
      </c>
      <c r="P83" s="105">
        <f t="shared" ca="1" si="95"/>
        <v>6.494182067077344</v>
      </c>
      <c r="Q83" s="105">
        <f t="shared" ca="1" si="96"/>
        <v>6.5735797399041749</v>
      </c>
      <c r="R83" s="114">
        <v>18.95</v>
      </c>
      <c r="S83" s="198">
        <v>0</v>
      </c>
      <c r="T83" s="189">
        <f t="shared" si="133"/>
        <v>18.95</v>
      </c>
      <c r="U83" s="199">
        <f t="shared" ca="1" si="117"/>
        <v>18.95</v>
      </c>
      <c r="V83" s="379">
        <f t="shared" ca="1" si="118"/>
        <v>18.95</v>
      </c>
      <c r="W83" s="483">
        <v>0.1852</v>
      </c>
      <c r="X83" s="166" t="str">
        <f t="shared" ca="1" si="119"/>
        <v/>
      </c>
      <c r="Y83" s="91">
        <f t="shared" ca="1" si="155"/>
        <v>2.8482511291743843E-3</v>
      </c>
      <c r="Z83" s="91">
        <f t="shared" ca="1" si="156"/>
        <v>1.1550790392935969E-3</v>
      </c>
      <c r="AA83" s="91">
        <f t="shared" ca="1" si="157"/>
        <v>4.4660942015172872E-4</v>
      </c>
      <c r="AB83" s="91">
        <f t="shared" ca="1" si="158"/>
        <v>1.0061217017178206E-3</v>
      </c>
      <c r="AC83" s="91">
        <f t="shared" ca="1" si="159"/>
        <v>2.6021620597207118E-3</v>
      </c>
      <c r="AD83" s="91">
        <f t="shared" ca="1" si="160"/>
        <v>6.4165401438040183E-3</v>
      </c>
      <c r="AE83" s="124">
        <v>7.3393092668811E-2</v>
      </c>
      <c r="AF83" s="191">
        <f t="shared" ca="1" si="161"/>
        <v>0.62262311322861252</v>
      </c>
      <c r="AG83" s="189">
        <f t="shared" ca="1" si="134"/>
        <v>1</v>
      </c>
      <c r="AH83" s="192">
        <f t="shared" ca="1" si="120"/>
        <v>0</v>
      </c>
      <c r="AI83" s="192">
        <f t="shared" ca="1" si="121"/>
        <v>0</v>
      </c>
      <c r="AJ83" s="192">
        <f t="shared" ca="1" si="122"/>
        <v>0</v>
      </c>
      <c r="AK83" s="192">
        <f t="shared" ca="1" si="123"/>
        <v>0</v>
      </c>
      <c r="AL83" s="191" t="str">
        <f t="shared" ca="1" si="162"/>
        <v/>
      </c>
      <c r="AM83" s="191" t="str">
        <f t="shared" ca="1" si="163"/>
        <v/>
      </c>
      <c r="AN83" s="191" t="str">
        <f t="shared" ca="1" si="164"/>
        <v/>
      </c>
      <c r="AO83" s="193" t="str">
        <f t="shared" ca="1" si="165"/>
        <v/>
      </c>
      <c r="AP83" s="194" t="str">
        <f t="shared" ca="1" si="135"/>
        <v/>
      </c>
      <c r="AQ83" s="194" t="str">
        <f t="shared" ca="1" si="136"/>
        <v/>
      </c>
      <c r="AR83" s="195">
        <f ca="1">IF(AH83,_xll.xASN(AL83,Strike1,AE83,AP83,0,N83,0,P83,Q83,IF(OptControl=4,0,1),0),0)</f>
        <v>0</v>
      </c>
      <c r="AS83" s="196">
        <f ca="1">IF(AH83,_xll.xASN(AL83,Strike1,AE83,AP83,0,N83,0,P83,Q83,IF(OptControl=4,0,1),1),0)</f>
        <v>0</v>
      </c>
      <c r="AT83" s="196">
        <f ca="1">IF(AH83,_xll.xASN(AL83,Strike1,AE83,AP83,0,N83,0,P83,Q83,IF(OptControl=4,0,1),2),0)</f>
        <v>0</v>
      </c>
      <c r="AU83" s="196">
        <f ca="1">IF(AH83,_xll.xASN(AL83,Strike1,AE83,AP83,0,N83,0,P83,Q83,IF(OptControl=4,0,1),3)/100,0)</f>
        <v>0</v>
      </c>
      <c r="AV83" s="196">
        <f ca="1">IF(AH83,_xll.xASN(AL83,Strike1,AE83,AP83,0,N83,0,P83-DaysForThetaCalculation/365.25,Q83-DaysForThetaCalculation/365.25,IF(OptControl=4,0,1),0)-_xll.xASN(AL83,Strike1,AE83,AP83,0,N83,0,P83,Q83,IF(OptControl=4,0,1),0),0)</f>
        <v>0</v>
      </c>
      <c r="AW83" s="196">
        <f ca="1">IF(AH83,_xll.xASN(AL83,Strike2,AE83,AQ83,0,N83,0,P83,Q83,IF(OptControl=3,1,0),0),0)</f>
        <v>0</v>
      </c>
      <c r="AX83" s="196">
        <f ca="1">IF(AH83,_xll.xASN(AL83,Strike2,AE83,AQ83,0,N83,0,P83,Q83,IF(OptControl=3,1,0),1),0)</f>
        <v>0</v>
      </c>
      <c r="AY83" s="196">
        <f ca="1">IF(AH83,_xll.xASN(AL83,Strike2,AE83,AQ83,0,N83,0,P83,Q83,IF(OptControl=3,1,0),2),0)</f>
        <v>0</v>
      </c>
      <c r="AZ83" s="196">
        <f ca="1">IF(AH83,_xll.xASN(AL83,Strike2,AE83,AQ83,0,N83,0,P83,Q83,IF(OptControl=3,1,0),3)/100,0)</f>
        <v>0</v>
      </c>
      <c r="BA83" s="196">
        <f ca="1">IF(AH83,_xll.xASN(AL83,Strike2,AE83,AQ83,0,N83,0,P83-DaysForThetaCalculation/365.25,Q83-DaysForThetaCalculation/365.25,IF(OptControl=3,1,0),0)-_xll.xASN(AL83,Strike2,AE83,AQ83,0,N83,0,P83,Q83,IF(OptControl=3,1,0),0),0)</f>
        <v>0</v>
      </c>
      <c r="BB83" s="126" t="str">
        <f t="shared" ca="1" si="166"/>
        <v/>
      </c>
      <c r="BC83" s="191" t="str">
        <f t="shared" ca="1" si="167"/>
        <v/>
      </c>
      <c r="BD83" s="191" t="str">
        <f t="shared" ca="1" si="168"/>
        <v/>
      </c>
      <c r="BE83" s="190" t="str">
        <f t="shared" ca="1" si="169"/>
        <v/>
      </c>
      <c r="BF83" s="194" t="str">
        <f t="shared" ca="1" si="170"/>
        <v/>
      </c>
      <c r="BG83" s="194" t="str">
        <f t="shared" ca="1" si="171"/>
        <v/>
      </c>
      <c r="BH83" s="195">
        <f ca="1">IF(AH83,_xll.xEURO(BB83,Strike1,AE83,AE83,BF83,O83,IF(OptControl=4,0,1),0),0)</f>
        <v>0</v>
      </c>
      <c r="BI83" s="196">
        <f ca="1">IF(AH83,_xll.xEURO(BB83,Strike1,AE83,AE83,BF83,O83,IF(OptControl=4,0,1),1),0)</f>
        <v>0</v>
      </c>
      <c r="BJ83" s="196">
        <f ca="1">IF(AH83,_xll.xEURO(BB83,Strike1,AE83,AE83,BF83,O83,IF(OptControl=4,0,1),2),0)</f>
        <v>0</v>
      </c>
      <c r="BK83" s="196">
        <f ca="1">IF(AH83,_xll.xEURO(BB83,Strike1,AE83,AE83,BF83,O83,IF(OptControl=4,0,1),3)/100,0)</f>
        <v>0</v>
      </c>
      <c r="BL83" s="196">
        <f ca="1">IF(AH83,_xll.xEURO(BB83,Strike1,AE83,AE83,BF83,O83-DaysForThetaCalculation,IF(OptControl=4,0,1),0)-_xll.xEURO(BB83,Strike1,AE83,AE83,BF83,O83,IF(OptControl=4,0,1),0),0)</f>
        <v>0</v>
      </c>
      <c r="BM83" s="196">
        <f ca="1">IF(AH83,_xll.xEURO(BB83,Strike2,AE83,AE83,BG83,O83,IF(OptControl=3,1,0),0),0)</f>
        <v>0</v>
      </c>
      <c r="BN83" s="196">
        <f ca="1">IF(AH83,_xll.xEURO(BB83,Strike2,AE83,AE83,BG83,O83,IF(OptControl=3,1,0),1),0)</f>
        <v>0</v>
      </c>
      <c r="BO83" s="196">
        <f ca="1">IF(AH83,_xll.xEURO(BB83,Strike2,AE83,AE83,BG83,O83,IF(OptControl=3,1,0),2),0)</f>
        <v>0</v>
      </c>
      <c r="BP83" s="196">
        <f ca="1">IF(AH83,_xll.xEURO(BB83,Strike2,AE83,AE83,BG83,O83,IF(OptControl=3,1,0),3)/100,0)</f>
        <v>0</v>
      </c>
      <c r="BQ83" s="197">
        <f ca="1">IF(AH83,_xll.xEURO(BB83,Strike2,AE83,AE83,BG83,O83-DaysForThetaCalculation,IF(OptControl=3,1,0),0)-_xll.xEURO(BB83,Strike2,AE83,AE83,BG83,O83,IF(OptControl=3,1,0),0),0)</f>
        <v>0</v>
      </c>
      <c r="BR83" s="301"/>
      <c r="BS83" s="114">
        <v>25.158000000000001</v>
      </c>
      <c r="BT83" s="345">
        <f t="shared" si="137"/>
        <v>59.900000000000006</v>
      </c>
      <c r="BU83" s="345">
        <f t="shared" ref="BU83:BU146" ca="1" si="185">BS84-$U83</f>
        <v>5.1620000000000026</v>
      </c>
      <c r="BV83" s="73"/>
      <c r="BW83" s="345">
        <f t="shared" ca="1" si="182"/>
        <v>5.8490000000000038</v>
      </c>
      <c r="BX83" s="345">
        <f t="shared" ref="BX83:BX146" ca="1" si="186">($V82+BW82)*100/42</f>
        <v>61.623498964803311</v>
      </c>
      <c r="BY83" s="373">
        <f t="shared" ca="1" si="138"/>
        <v>59.045238095238098</v>
      </c>
      <c r="BZ83" s="114">
        <v>22.222000000000005</v>
      </c>
      <c r="CA83" s="345">
        <f t="shared" si="139"/>
        <v>52.909523809523819</v>
      </c>
      <c r="CB83" s="345">
        <f t="shared" ref="CB83:CB146" ca="1" si="187">BZ83-$U83</f>
        <v>3.2720000000000056</v>
      </c>
      <c r="CC83" s="345">
        <f t="shared" ca="1" si="183"/>
        <v>3.4340000000000019</v>
      </c>
      <c r="CD83" s="345">
        <f t="shared" ca="1" si="140"/>
        <v>53.295238095238098</v>
      </c>
      <c r="CE83" s="347">
        <f t="shared" ca="1" si="172"/>
        <v>-5.75</v>
      </c>
      <c r="CF83" s="114">
        <v>21.748000000000001</v>
      </c>
      <c r="CG83" s="345">
        <f t="shared" si="141"/>
        <v>51.780952380952385</v>
      </c>
      <c r="CH83" s="345">
        <f t="shared" ca="1" si="142"/>
        <v>3.254999999999999</v>
      </c>
      <c r="CI83" s="73"/>
      <c r="CJ83" s="345">
        <f t="shared" ca="1" si="89"/>
        <v>3.7410000000000005</v>
      </c>
      <c r="CK83" s="345">
        <f t="shared" ca="1" si="184"/>
        <v>53.198701298701302</v>
      </c>
      <c r="CL83" s="345">
        <f t="shared" ca="1" si="143"/>
        <v>54.026190476190472</v>
      </c>
      <c r="CM83" s="114">
        <v>21.280999999999999</v>
      </c>
      <c r="CN83" s="345">
        <f t="shared" si="144"/>
        <v>50.669047619047618</v>
      </c>
      <c r="CO83" s="345">
        <f t="shared" ca="1" si="145"/>
        <v>2.3309999999999995</v>
      </c>
      <c r="CP83" s="345">
        <f t="shared" ca="1" si="92"/>
        <v>2.9302857142857124</v>
      </c>
      <c r="CQ83" s="345">
        <f t="shared" ca="1" si="146"/>
        <v>52.095918367346925</v>
      </c>
      <c r="CR83" s="347">
        <f t="shared" ca="1" si="173"/>
        <v>-1.9302721088435462</v>
      </c>
      <c r="CS83" s="114">
        <v>22.331</v>
      </c>
      <c r="CT83" s="345">
        <f t="shared" si="147"/>
        <v>53.169047619047618</v>
      </c>
      <c r="CU83" s="345">
        <f t="shared" si="174"/>
        <v>0.29999999999999716</v>
      </c>
      <c r="CV83" s="345">
        <f t="shared" ca="1" si="91"/>
        <v>1.3500000000000083</v>
      </c>
      <c r="CW83" s="347">
        <f t="shared" ca="1" si="175"/>
        <v>55.37619047619048</v>
      </c>
      <c r="CX83" s="483">
        <v>0.185</v>
      </c>
      <c r="CY83" s="190">
        <f t="shared" si="148"/>
        <v>-2.0000000000000573E-4</v>
      </c>
      <c r="CZ83" s="190">
        <f t="shared" ca="1" si="180"/>
        <v>-0.03</v>
      </c>
      <c r="DA83" s="354">
        <f t="shared" ca="1" si="149"/>
        <v>0.1552</v>
      </c>
      <c r="DB83" s="483">
        <v>0.185</v>
      </c>
      <c r="DC83" s="190">
        <f t="shared" si="150"/>
        <v>-2.0000000000000573E-4</v>
      </c>
      <c r="DD83" s="190">
        <f t="shared" ca="1" si="181"/>
        <v>0.03</v>
      </c>
      <c r="DE83" s="354">
        <f t="shared" ca="1" si="151"/>
        <v>0.2152</v>
      </c>
      <c r="DG83" s="341"/>
      <c r="DH83" s="114">
        <v>16.3</v>
      </c>
      <c r="DI83" s="126">
        <f t="shared" ca="1" si="176"/>
        <v>-2.6499999999999986</v>
      </c>
      <c r="DJ83" s="126">
        <f t="shared" ca="1" si="124"/>
        <v>-2</v>
      </c>
      <c r="DK83" s="356">
        <f t="shared" ca="1" si="125"/>
        <v>16.95</v>
      </c>
      <c r="DL83" s="114">
        <v>13.7</v>
      </c>
      <c r="DM83" s="126">
        <f t="shared" ca="1" si="177"/>
        <v>-5.25</v>
      </c>
      <c r="DN83" s="126">
        <f t="shared" ca="1" si="152"/>
        <v>-3</v>
      </c>
      <c r="DO83" s="356">
        <f t="shared" ca="1" si="126"/>
        <v>15.95</v>
      </c>
      <c r="DP83" s="114">
        <v>14.35</v>
      </c>
      <c r="DQ83" s="126">
        <f t="shared" ca="1" si="178"/>
        <v>-4.5999999999999996</v>
      </c>
      <c r="DR83" s="126">
        <f t="shared" ca="1" si="153"/>
        <v>-6</v>
      </c>
      <c r="DS83" s="356">
        <f t="shared" ca="1" si="127"/>
        <v>12.95</v>
      </c>
      <c r="DT83" s="114">
        <v>15.25</v>
      </c>
      <c r="DU83" s="126">
        <f t="shared" ca="1" si="179"/>
        <v>-3.6999999999999993</v>
      </c>
      <c r="DV83" s="126">
        <f t="shared" ca="1" si="154"/>
        <v>-5</v>
      </c>
      <c r="DW83" s="356">
        <f t="shared" ca="1" si="128"/>
        <v>13.95</v>
      </c>
    </row>
    <row r="84" spans="2:127" x14ac:dyDescent="0.25">
      <c r="B84" s="396">
        <v>38108</v>
      </c>
      <c r="C84" s="400">
        <v>38097</v>
      </c>
      <c r="I84" s="136">
        <f t="shared" ca="1" si="129"/>
        <v>39356</v>
      </c>
      <c r="J84" s="131">
        <f t="shared" ca="1" si="130"/>
        <v>39345</v>
      </c>
      <c r="K84" s="106">
        <f t="shared" ca="1" si="131"/>
        <v>0.69565217391304346</v>
      </c>
      <c r="L84" s="133">
        <f t="shared" ca="1" si="93"/>
        <v>107</v>
      </c>
      <c r="M84" s="134">
        <f t="shared" ca="1" si="94"/>
        <v>10</v>
      </c>
      <c r="N84" s="103">
        <f t="shared" ca="1" si="116"/>
        <v>23</v>
      </c>
      <c r="O84" s="104">
        <f t="shared" ca="1" si="132"/>
        <v>2396</v>
      </c>
      <c r="P84" s="105">
        <f t="shared" ca="1" si="95"/>
        <v>6.5763175906913069</v>
      </c>
      <c r="Q84" s="105">
        <f t="shared" ca="1" si="96"/>
        <v>6.6584531143052708</v>
      </c>
      <c r="R84" s="114">
        <v>18.95</v>
      </c>
      <c r="S84" s="198">
        <v>0</v>
      </c>
      <c r="T84" s="189">
        <f t="shared" si="133"/>
        <v>18.95</v>
      </c>
      <c r="U84" s="199">
        <f t="shared" ca="1" si="117"/>
        <v>18.95</v>
      </c>
      <c r="V84" s="379">
        <f t="shared" ca="1" si="118"/>
        <v>18.95</v>
      </c>
      <c r="W84" s="483">
        <v>0.18460000000000001</v>
      </c>
      <c r="X84" s="166" t="str">
        <f t="shared" ca="1" si="119"/>
        <v/>
      </c>
      <c r="Y84" s="91">
        <f t="shared" ca="1" si="155"/>
        <v>2.7872744044815925E-3</v>
      </c>
      <c r="Z84" s="91">
        <f t="shared" ca="1" si="156"/>
        <v>1.1242985982755983E-3</v>
      </c>
      <c r="AA84" s="91">
        <f t="shared" ca="1" si="157"/>
        <v>4.335425018045412E-4</v>
      </c>
      <c r="AB84" s="91">
        <f t="shared" ca="1" si="158"/>
        <v>9.7668454806527655E-4</v>
      </c>
      <c r="AC84" s="91">
        <f t="shared" ca="1" si="159"/>
        <v>2.5328198821953645E-3</v>
      </c>
      <c r="AD84" s="91">
        <f t="shared" ca="1" si="160"/>
        <v>6.2791717784160947E-3</v>
      </c>
      <c r="AE84" s="124">
        <v>7.3410428278657E-2</v>
      </c>
      <c r="AF84" s="191">
        <f t="shared" ca="1" si="161"/>
        <v>0.61875691639926755</v>
      </c>
      <c r="AG84" s="189">
        <f t="shared" ca="1" si="134"/>
        <v>1</v>
      </c>
      <c r="AH84" s="192">
        <f t="shared" ca="1" si="120"/>
        <v>0</v>
      </c>
      <c r="AI84" s="192">
        <f t="shared" ca="1" si="121"/>
        <v>0</v>
      </c>
      <c r="AJ84" s="192">
        <f t="shared" ca="1" si="122"/>
        <v>0</v>
      </c>
      <c r="AK84" s="192">
        <f t="shared" ca="1" si="123"/>
        <v>0</v>
      </c>
      <c r="AL84" s="191" t="str">
        <f t="shared" ca="1" si="162"/>
        <v/>
      </c>
      <c r="AM84" s="191" t="str">
        <f t="shared" ca="1" si="163"/>
        <v/>
      </c>
      <c r="AN84" s="191" t="str">
        <f t="shared" ca="1" si="164"/>
        <v/>
      </c>
      <c r="AO84" s="193" t="str">
        <f t="shared" ca="1" si="165"/>
        <v/>
      </c>
      <c r="AP84" s="194" t="str">
        <f t="shared" ca="1" si="135"/>
        <v/>
      </c>
      <c r="AQ84" s="194" t="str">
        <f t="shared" ca="1" si="136"/>
        <v/>
      </c>
      <c r="AR84" s="195">
        <f ca="1">IF(AH84,_xll.xASN(AL84,Strike1,AE84,AP84,0,N84,0,P84,Q84,IF(OptControl=4,0,1),0),0)</f>
        <v>0</v>
      </c>
      <c r="AS84" s="196">
        <f ca="1">IF(AH84,_xll.xASN(AL84,Strike1,AE84,AP84,0,N84,0,P84,Q84,IF(OptControl=4,0,1),1),0)</f>
        <v>0</v>
      </c>
      <c r="AT84" s="196">
        <f ca="1">IF(AH84,_xll.xASN(AL84,Strike1,AE84,AP84,0,N84,0,P84,Q84,IF(OptControl=4,0,1),2),0)</f>
        <v>0</v>
      </c>
      <c r="AU84" s="196">
        <f ca="1">IF(AH84,_xll.xASN(AL84,Strike1,AE84,AP84,0,N84,0,P84,Q84,IF(OptControl=4,0,1),3)/100,0)</f>
        <v>0</v>
      </c>
      <c r="AV84" s="196">
        <f ca="1">IF(AH84,_xll.xASN(AL84,Strike1,AE84,AP84,0,N84,0,P84-DaysForThetaCalculation/365.25,Q84-DaysForThetaCalculation/365.25,IF(OptControl=4,0,1),0)-_xll.xASN(AL84,Strike1,AE84,AP84,0,N84,0,P84,Q84,IF(OptControl=4,0,1),0),0)</f>
        <v>0</v>
      </c>
      <c r="AW84" s="196">
        <f ca="1">IF(AH84,_xll.xASN(AL84,Strike2,AE84,AQ84,0,N84,0,P84,Q84,IF(OptControl=3,1,0),0),0)</f>
        <v>0</v>
      </c>
      <c r="AX84" s="196">
        <f ca="1">IF(AH84,_xll.xASN(AL84,Strike2,AE84,AQ84,0,N84,0,P84,Q84,IF(OptControl=3,1,0),1),0)</f>
        <v>0</v>
      </c>
      <c r="AY84" s="196">
        <f ca="1">IF(AH84,_xll.xASN(AL84,Strike2,AE84,AQ84,0,N84,0,P84,Q84,IF(OptControl=3,1,0),2),0)</f>
        <v>0</v>
      </c>
      <c r="AZ84" s="196">
        <f ca="1">IF(AH84,_xll.xASN(AL84,Strike2,AE84,AQ84,0,N84,0,P84,Q84,IF(OptControl=3,1,0),3)/100,0)</f>
        <v>0</v>
      </c>
      <c r="BA84" s="196">
        <f ca="1">IF(AH84,_xll.xASN(AL84,Strike2,AE84,AQ84,0,N84,0,P84-DaysForThetaCalculation/365.25,Q84-DaysForThetaCalculation/365.25,IF(OptControl=3,1,0),0)-_xll.xASN(AL84,Strike2,AE84,AQ84,0,N84,0,P84,Q84,IF(OptControl=3,1,0),0),0)</f>
        <v>0</v>
      </c>
      <c r="BB84" s="126" t="str">
        <f t="shared" ca="1" si="166"/>
        <v/>
      </c>
      <c r="BC84" s="191" t="str">
        <f t="shared" ca="1" si="167"/>
        <v/>
      </c>
      <c r="BD84" s="191" t="str">
        <f t="shared" ca="1" si="168"/>
        <v/>
      </c>
      <c r="BE84" s="190" t="str">
        <f t="shared" ca="1" si="169"/>
        <v/>
      </c>
      <c r="BF84" s="194" t="str">
        <f t="shared" ca="1" si="170"/>
        <v/>
      </c>
      <c r="BG84" s="194" t="str">
        <f t="shared" ca="1" si="171"/>
        <v/>
      </c>
      <c r="BH84" s="195">
        <f ca="1">IF(AH84,_xll.xEURO(BB84,Strike1,AE84,AE84,BF84,O84,IF(OptControl=4,0,1),0),0)</f>
        <v>0</v>
      </c>
      <c r="BI84" s="196">
        <f ca="1">IF(AH84,_xll.xEURO(BB84,Strike1,AE84,AE84,BF84,O84,IF(OptControl=4,0,1),1),0)</f>
        <v>0</v>
      </c>
      <c r="BJ84" s="196">
        <f ca="1">IF(AH84,_xll.xEURO(BB84,Strike1,AE84,AE84,BF84,O84,IF(OptControl=4,0,1),2),0)</f>
        <v>0</v>
      </c>
      <c r="BK84" s="196">
        <f ca="1">IF(AH84,_xll.xEURO(BB84,Strike1,AE84,AE84,BF84,O84,IF(OptControl=4,0,1),3)/100,0)</f>
        <v>0</v>
      </c>
      <c r="BL84" s="196">
        <f ca="1">IF(AH84,_xll.xEURO(BB84,Strike1,AE84,AE84,BF84,O84-DaysForThetaCalculation,IF(OptControl=4,0,1),0)-_xll.xEURO(BB84,Strike1,AE84,AE84,BF84,O84,IF(OptControl=4,0,1),0),0)</f>
        <v>0</v>
      </c>
      <c r="BM84" s="196">
        <f ca="1">IF(AH84,_xll.xEURO(BB84,Strike2,AE84,AE84,BG84,O84,IF(OptControl=3,1,0),0),0)</f>
        <v>0</v>
      </c>
      <c r="BN84" s="196">
        <f ca="1">IF(AH84,_xll.xEURO(BB84,Strike2,AE84,AE84,BG84,O84,IF(OptControl=3,1,0),1),0)</f>
        <v>0</v>
      </c>
      <c r="BO84" s="196">
        <f ca="1">IF(AH84,_xll.xEURO(BB84,Strike2,AE84,AE84,BG84,O84,IF(OptControl=3,1,0),2),0)</f>
        <v>0</v>
      </c>
      <c r="BP84" s="196">
        <f ca="1">IF(AH84,_xll.xEURO(BB84,Strike2,AE84,AE84,BG84,O84,IF(OptControl=3,1,0),3)/100,0)</f>
        <v>0</v>
      </c>
      <c r="BQ84" s="197">
        <f ca="1">IF(AH84,_xll.xEURO(BB84,Strike2,AE84,AE84,BG84,O84-DaysForThetaCalculation,IF(OptControl=3,1,0),0)-_xll.xEURO(BB84,Strike2,AE84,AE84,BG84,O84,IF(OptControl=3,1,0),0),0)</f>
        <v>0</v>
      </c>
      <c r="BR84" s="301"/>
      <c r="BS84" s="114">
        <v>24.112000000000002</v>
      </c>
      <c r="BT84" s="345">
        <f t="shared" si="137"/>
        <v>57.409523809523819</v>
      </c>
      <c r="BU84" s="345">
        <f t="shared" ca="1" si="185"/>
        <v>4.7459999999999987</v>
      </c>
      <c r="BV84" s="73"/>
      <c r="BW84" s="345">
        <f t="shared" ca="1" si="182"/>
        <v>5.4417826086956573</v>
      </c>
      <c r="BX84" s="345">
        <f t="shared" ca="1" si="186"/>
        <v>59.045238095238098</v>
      </c>
      <c r="BY84" s="373">
        <f t="shared" ca="1" si="138"/>
        <v>58.075672877846806</v>
      </c>
      <c r="BZ84" s="114">
        <v>21.385999999999999</v>
      </c>
      <c r="CA84" s="345">
        <f t="shared" si="139"/>
        <v>50.919047619047618</v>
      </c>
      <c r="CB84" s="345">
        <f t="shared" ca="1" si="187"/>
        <v>2.4359999999999999</v>
      </c>
      <c r="CC84" s="345">
        <f t="shared" ca="1" si="183"/>
        <v>3.1317826086956559</v>
      </c>
      <c r="CD84" s="345">
        <f t="shared" ca="1" si="140"/>
        <v>52.575672877846792</v>
      </c>
      <c r="CE84" s="347">
        <f t="shared" ca="1" si="172"/>
        <v>-5.5000000000000142</v>
      </c>
      <c r="CF84" s="114">
        <v>22.204999999999998</v>
      </c>
      <c r="CG84" s="345">
        <f t="shared" si="141"/>
        <v>52.86904761904762</v>
      </c>
      <c r="CH84" s="345">
        <f t="shared" ca="1" si="142"/>
        <v>3.8060000000000009</v>
      </c>
      <c r="CI84" s="73"/>
      <c r="CJ84" s="345">
        <f t="shared" ca="1" si="89"/>
        <v>4.2997826086956525</v>
      </c>
      <c r="CK84" s="345">
        <f t="shared" ca="1" si="184"/>
        <v>54.026190476190472</v>
      </c>
      <c r="CL84" s="345">
        <f t="shared" ca="1" si="143"/>
        <v>55.356625258799177</v>
      </c>
      <c r="CM84" s="114">
        <v>21.516999999999999</v>
      </c>
      <c r="CN84" s="345">
        <f t="shared" si="144"/>
        <v>51.230952380952374</v>
      </c>
      <c r="CO84" s="345">
        <f t="shared" ca="1" si="145"/>
        <v>2.5670000000000002</v>
      </c>
      <c r="CP84" s="345">
        <f t="shared" ca="1" si="92"/>
        <v>3.1027826086956525</v>
      </c>
      <c r="CQ84" s="345">
        <f t="shared" ca="1" si="146"/>
        <v>52.506625258799168</v>
      </c>
      <c r="CR84" s="347">
        <f t="shared" ca="1" si="173"/>
        <v>-2.8500000000000085</v>
      </c>
      <c r="CS84" s="114">
        <v>22.882000000000001</v>
      </c>
      <c r="CT84" s="345">
        <f t="shared" si="147"/>
        <v>54.480952380952388</v>
      </c>
      <c r="CU84" s="345">
        <f t="shared" si="174"/>
        <v>0.30000000000001137</v>
      </c>
      <c r="CV84" s="345">
        <f t="shared" ca="1" si="91"/>
        <v>1.5000000000000082</v>
      </c>
      <c r="CW84" s="347">
        <f t="shared" ca="1" si="175"/>
        <v>56.856625258799184</v>
      </c>
      <c r="CX84" s="483">
        <v>0.185</v>
      </c>
      <c r="CY84" s="190">
        <f t="shared" si="148"/>
        <v>3.999999999999837E-4</v>
      </c>
      <c r="CZ84" s="190">
        <f t="shared" ca="1" si="180"/>
        <v>-0.03</v>
      </c>
      <c r="DA84" s="354">
        <f t="shared" ca="1" si="149"/>
        <v>0.15460000000000002</v>
      </c>
      <c r="DB84" s="483">
        <v>0.185</v>
      </c>
      <c r="DC84" s="190">
        <f t="shared" si="150"/>
        <v>3.999999999999837E-4</v>
      </c>
      <c r="DD84" s="190">
        <f t="shared" ca="1" si="181"/>
        <v>0.03</v>
      </c>
      <c r="DE84" s="354">
        <f t="shared" ca="1" si="151"/>
        <v>0.21460000000000001</v>
      </c>
      <c r="DG84" s="341"/>
      <c r="DH84" s="114">
        <v>16.3</v>
      </c>
      <c r="DI84" s="126">
        <f t="shared" ca="1" si="176"/>
        <v>-2.6499999999999986</v>
      </c>
      <c r="DJ84" s="126">
        <f t="shared" ca="1" si="124"/>
        <v>-2</v>
      </c>
      <c r="DK84" s="356">
        <f t="shared" ca="1" si="125"/>
        <v>16.95</v>
      </c>
      <c r="DL84" s="114">
        <v>13.7</v>
      </c>
      <c r="DM84" s="126">
        <f t="shared" ca="1" si="177"/>
        <v>-5.25</v>
      </c>
      <c r="DN84" s="126">
        <f t="shared" ca="1" si="152"/>
        <v>-3</v>
      </c>
      <c r="DO84" s="356">
        <f t="shared" ca="1" si="126"/>
        <v>15.95</v>
      </c>
      <c r="DP84" s="114">
        <v>14.35</v>
      </c>
      <c r="DQ84" s="126">
        <f t="shared" ca="1" si="178"/>
        <v>-4.5999999999999996</v>
      </c>
      <c r="DR84" s="126">
        <f t="shared" ca="1" si="153"/>
        <v>-6</v>
      </c>
      <c r="DS84" s="356">
        <f t="shared" ca="1" si="127"/>
        <v>12.95</v>
      </c>
      <c r="DT84" s="114">
        <v>15.25</v>
      </c>
      <c r="DU84" s="126">
        <f t="shared" ca="1" si="179"/>
        <v>-3.6999999999999993</v>
      </c>
      <c r="DV84" s="126">
        <f t="shared" ca="1" si="154"/>
        <v>-5</v>
      </c>
      <c r="DW84" s="356">
        <f t="shared" ca="1" si="128"/>
        <v>13.95</v>
      </c>
    </row>
    <row r="85" spans="2:127" x14ac:dyDescent="0.25">
      <c r="B85" s="396">
        <v>38139</v>
      </c>
      <c r="C85" s="400">
        <v>38129</v>
      </c>
      <c r="I85" s="136">
        <f t="shared" ca="1" si="129"/>
        <v>39387</v>
      </c>
      <c r="J85" s="131">
        <f t="shared" ca="1" si="130"/>
        <v>39377</v>
      </c>
      <c r="K85" s="106">
        <f t="shared" ca="1" si="131"/>
        <v>0.59090909090909094</v>
      </c>
      <c r="L85" s="133">
        <f t="shared" ca="1" si="93"/>
        <v>107</v>
      </c>
      <c r="M85" s="134">
        <f t="shared" ca="1" si="94"/>
        <v>11</v>
      </c>
      <c r="N85" s="103">
        <f t="shared" ca="1" si="116"/>
        <v>22</v>
      </c>
      <c r="O85" s="104">
        <f t="shared" ca="1" si="132"/>
        <v>2427</v>
      </c>
      <c r="P85" s="105">
        <f t="shared" ca="1" si="95"/>
        <v>6.6611909650924028</v>
      </c>
      <c r="Q85" s="105">
        <f t="shared" ca="1" si="96"/>
        <v>6.7405886379192337</v>
      </c>
      <c r="R85" s="114">
        <v>18.95</v>
      </c>
      <c r="S85" s="198">
        <v>0</v>
      </c>
      <c r="T85" s="189">
        <f t="shared" si="133"/>
        <v>18.95</v>
      </c>
      <c r="U85" s="199">
        <f t="shared" ca="1" si="117"/>
        <v>18.970454545454544</v>
      </c>
      <c r="V85" s="379">
        <f t="shared" ca="1" si="118"/>
        <v>18.970454545454544</v>
      </c>
      <c r="W85" s="483">
        <v>0.18600000000000003</v>
      </c>
      <c r="X85" s="166" t="str">
        <f t="shared" ca="1" si="119"/>
        <v/>
      </c>
      <c r="Y85" s="91">
        <f t="shared" ca="1" si="155"/>
        <v>2.7276030987233094E-3</v>
      </c>
      <c r="Z85" s="91">
        <f t="shared" ca="1" si="156"/>
        <v>1.0943383916459251E-3</v>
      </c>
      <c r="AA85" s="91">
        <f t="shared" ca="1" si="157"/>
        <v>4.2085789593753836E-4</v>
      </c>
      <c r="AB85" s="91">
        <f t="shared" ca="1" si="158"/>
        <v>9.4810866796809265E-4</v>
      </c>
      <c r="AC85" s="91">
        <f t="shared" ca="1" si="159"/>
        <v>2.4653255287000364E-3</v>
      </c>
      <c r="AD85" s="91">
        <f t="shared" ca="1" si="160"/>
        <v>6.1447442608038331E-3</v>
      </c>
      <c r="AE85" s="124">
        <v>7.3428341742267006E-2</v>
      </c>
      <c r="AF85" s="191">
        <f t="shared" ca="1" si="161"/>
        <v>0.61503208658541109</v>
      </c>
      <c r="AG85" s="189">
        <f t="shared" ca="1" si="134"/>
        <v>1</v>
      </c>
      <c r="AH85" s="192">
        <f t="shared" ca="1" si="120"/>
        <v>0</v>
      </c>
      <c r="AI85" s="192">
        <f t="shared" ref="AI85:AI100" ca="1" si="188">AH85*AF85</f>
        <v>0</v>
      </c>
      <c r="AJ85" s="192">
        <f t="shared" ca="1" si="122"/>
        <v>0</v>
      </c>
      <c r="AK85" s="192">
        <f t="shared" ref="AK85:AK100" ca="1" si="189">AJ85*AF85</f>
        <v>0</v>
      </c>
      <c r="AL85" s="191" t="str">
        <f t="shared" ca="1" si="162"/>
        <v/>
      </c>
      <c r="AM85" s="191" t="str">
        <f t="shared" ca="1" si="163"/>
        <v/>
      </c>
      <c r="AN85" s="191" t="str">
        <f t="shared" ca="1" si="164"/>
        <v/>
      </c>
      <c r="AO85" s="193" t="str">
        <f t="shared" ca="1" si="165"/>
        <v/>
      </c>
      <c r="AP85" s="194" t="str">
        <f t="shared" ca="1" si="135"/>
        <v/>
      </c>
      <c r="AQ85" s="194" t="str">
        <f t="shared" ca="1" si="136"/>
        <v/>
      </c>
      <c r="AR85" s="195">
        <f ca="1">IF(AH85,_xll.xASN(AL85,Strike1,AE85,AP85,0,N85,0,P85,Q85,IF(OptControl=4,0,1),0),0)</f>
        <v>0</v>
      </c>
      <c r="AS85" s="196">
        <f ca="1">IF(AH85,_xll.xASN(AL85,Strike1,AE85,AP85,0,N85,0,P85,Q85,IF(OptControl=4,0,1),1),0)</f>
        <v>0</v>
      </c>
      <c r="AT85" s="196">
        <f ca="1">IF(AH85,_xll.xASN(AL85,Strike1,AE85,AP85,0,N85,0,P85,Q85,IF(OptControl=4,0,1),2),0)</f>
        <v>0</v>
      </c>
      <c r="AU85" s="196">
        <f ca="1">IF(AH85,_xll.xASN(AL85,Strike1,AE85,AP85,0,N85,0,P85,Q85,IF(OptControl=4,0,1),3)/100,0)</f>
        <v>0</v>
      </c>
      <c r="AV85" s="196">
        <f ca="1">IF(AH85,_xll.xASN(AL85,Strike1,AE85,AP85,0,N85,0,P85-DaysForThetaCalculation/365.25,Q85-DaysForThetaCalculation/365.25,IF(OptControl=4,0,1),0)-_xll.xASN(AL85,Strike1,AE85,AP85,0,N85,0,P85,Q85,IF(OptControl=4,0,1),0),0)</f>
        <v>0</v>
      </c>
      <c r="AW85" s="196">
        <f ca="1">IF(AH85,_xll.xASN(AL85,Strike2,AE85,AQ85,0,N85,0,P85,Q85,IF(OptControl=3,1,0),0),0)</f>
        <v>0</v>
      </c>
      <c r="AX85" s="196">
        <f ca="1">IF(AH85,_xll.xASN(AL85,Strike2,AE85,AQ85,0,N85,0,P85,Q85,IF(OptControl=3,1,0),1),0)</f>
        <v>0</v>
      </c>
      <c r="AY85" s="196">
        <f ca="1">IF(AH85,_xll.xASN(AL85,Strike2,AE85,AQ85,0,N85,0,P85,Q85,IF(OptControl=3,1,0),2),0)</f>
        <v>0</v>
      </c>
      <c r="AZ85" s="196">
        <f ca="1">IF(AH85,_xll.xASN(AL85,Strike2,AE85,AQ85,0,N85,0,P85,Q85,IF(OptControl=3,1,0),3)/100,0)</f>
        <v>0</v>
      </c>
      <c r="BA85" s="196">
        <f ca="1">IF(AH85,_xll.xASN(AL85,Strike2,AE85,AQ85,0,N85,0,P85-DaysForThetaCalculation/365.25,Q85-DaysForThetaCalculation/365.25,IF(OptControl=3,1,0),0)-_xll.xASN(AL85,Strike2,AE85,AQ85,0,N85,0,P85,Q85,IF(OptControl=3,1,0),0),0)</f>
        <v>0</v>
      </c>
      <c r="BB85" s="126" t="str">
        <f t="shared" ca="1" si="166"/>
        <v/>
      </c>
      <c r="BC85" s="191" t="str">
        <f t="shared" ca="1" si="167"/>
        <v/>
      </c>
      <c r="BD85" s="191" t="str">
        <f t="shared" ca="1" si="168"/>
        <v/>
      </c>
      <c r="BE85" s="190" t="str">
        <f t="shared" ca="1" si="169"/>
        <v/>
      </c>
      <c r="BF85" s="194" t="str">
        <f t="shared" ca="1" si="170"/>
        <v/>
      </c>
      <c r="BG85" s="194" t="str">
        <f t="shared" ca="1" si="171"/>
        <v/>
      </c>
      <c r="BH85" s="195">
        <f ca="1">IF(AH85,_xll.xEURO(BB85,Strike1,AE85,AE85,BF85,O85,IF(OptControl=4,0,1),0),0)</f>
        <v>0</v>
      </c>
      <c r="BI85" s="196">
        <f ca="1">IF(AH85,_xll.xEURO(BB85,Strike1,AE85,AE85,BF85,O85,IF(OptControl=4,0,1),1),0)</f>
        <v>0</v>
      </c>
      <c r="BJ85" s="196">
        <f ca="1">IF(AH85,_xll.xEURO(BB85,Strike1,AE85,AE85,BF85,O85,IF(OptControl=4,0,1),2),0)</f>
        <v>0</v>
      </c>
      <c r="BK85" s="196">
        <f ca="1">IF(AH85,_xll.xEURO(BB85,Strike1,AE85,AE85,BF85,O85,IF(OptControl=4,0,1),3)/100,0)</f>
        <v>0</v>
      </c>
      <c r="BL85" s="196">
        <f ca="1">IF(AH85,_xll.xEURO(BB85,Strike1,AE85,AE85,BF85,O85-DaysForThetaCalculation,IF(OptControl=4,0,1),0)-_xll.xEURO(BB85,Strike1,AE85,AE85,BF85,O85,IF(OptControl=4,0,1),0),0)</f>
        <v>0</v>
      </c>
      <c r="BM85" s="196">
        <f ca="1">IF(AH85,_xll.xEURO(BB85,Strike2,AE85,AE85,BG85,O85,IF(OptControl=3,1,0),0),0)</f>
        <v>0</v>
      </c>
      <c r="BN85" s="196">
        <f ca="1">IF(AH85,_xll.xEURO(BB85,Strike2,AE85,AE85,BG85,O85,IF(OptControl=3,1,0),1),0)</f>
        <v>0</v>
      </c>
      <c r="BO85" s="196">
        <f ca="1">IF(AH85,_xll.xEURO(BB85,Strike2,AE85,AE85,BG85,O85,IF(OptControl=3,1,0),2),0)</f>
        <v>0</v>
      </c>
      <c r="BP85" s="196">
        <f ca="1">IF(AH85,_xll.xEURO(BB85,Strike2,AE85,AE85,BG85,O85,IF(OptControl=3,1,0),3)/100,0)</f>
        <v>0</v>
      </c>
      <c r="BQ85" s="197">
        <f ca="1">IF(AH85,_xll.xEURO(BB85,Strike2,AE85,AE85,BG85,O85-DaysForThetaCalculation,IF(OptControl=3,1,0),0)-_xll.xEURO(BB85,Strike2,AE85,AE85,BG85,O85,IF(OptControl=3,1,0),0),0)</f>
        <v>0</v>
      </c>
      <c r="BR85" s="301"/>
      <c r="BS85" s="114">
        <v>23.695999999999998</v>
      </c>
      <c r="BT85" s="345">
        <f t="shared" si="137"/>
        <v>56.419047619047618</v>
      </c>
      <c r="BU85" s="345">
        <f t="shared" ca="1" si="185"/>
        <v>4.5915454545454608</v>
      </c>
      <c r="BV85" s="73"/>
      <c r="BW85" s="345">
        <f t="shared" ca="1" si="182"/>
        <v>5.2944545454545526</v>
      </c>
      <c r="BX85" s="345">
        <f t="shared" ca="1" si="186"/>
        <v>58.075672877846806</v>
      </c>
      <c r="BY85" s="373">
        <f t="shared" ca="1" si="138"/>
        <v>57.773593073593084</v>
      </c>
      <c r="BZ85" s="114">
        <v>21.251999999999999</v>
      </c>
      <c r="CA85" s="345">
        <f t="shared" si="139"/>
        <v>50.599999999999994</v>
      </c>
      <c r="CB85" s="345">
        <f t="shared" ca="1" si="187"/>
        <v>2.281545454545455</v>
      </c>
      <c r="CC85" s="345">
        <f t="shared" ca="1" si="183"/>
        <v>2.9844545454545477</v>
      </c>
      <c r="CD85" s="345">
        <f t="shared" ca="1" si="140"/>
        <v>52.273593073593076</v>
      </c>
      <c r="CE85" s="347">
        <f t="shared" ca="1" si="172"/>
        <v>-5.5000000000000071</v>
      </c>
      <c r="CF85" s="114">
        <v>22.756</v>
      </c>
      <c r="CG85" s="345">
        <f t="shared" si="141"/>
        <v>54.180952380952377</v>
      </c>
      <c r="CH85" s="345">
        <f t="shared" ca="1" si="142"/>
        <v>4.3645454545454569</v>
      </c>
      <c r="CI85" s="73"/>
      <c r="CJ85" s="345">
        <f t="shared" ca="1" si="89"/>
        <v>4.8664545454545483</v>
      </c>
      <c r="CK85" s="345">
        <f t="shared" ca="1" si="184"/>
        <v>55.356625258799177</v>
      </c>
      <c r="CL85" s="345">
        <f t="shared" ca="1" si="143"/>
        <v>56.754545454545465</v>
      </c>
      <c r="CM85" s="114">
        <v>22.096</v>
      </c>
      <c r="CN85" s="345">
        <f t="shared" si="144"/>
        <v>52.609523809523807</v>
      </c>
      <c r="CO85" s="345">
        <f t="shared" ca="1" si="145"/>
        <v>3.1255454545454562</v>
      </c>
      <c r="CP85" s="345">
        <f t="shared" ca="1" si="92"/>
        <v>3.66945454545455</v>
      </c>
      <c r="CQ85" s="345">
        <f t="shared" ca="1" si="146"/>
        <v>53.904545454545456</v>
      </c>
      <c r="CR85" s="347">
        <f t="shared" ca="1" si="173"/>
        <v>-2.8500000000000085</v>
      </c>
      <c r="CS85" s="114">
        <v>23.460999999999999</v>
      </c>
      <c r="CT85" s="345">
        <f t="shared" si="147"/>
        <v>55.859523809523807</v>
      </c>
      <c r="CU85" s="345">
        <f t="shared" si="174"/>
        <v>0.29999999999999716</v>
      </c>
      <c r="CV85" s="345">
        <f t="shared" ca="1" si="91"/>
        <v>1.5000000000000082</v>
      </c>
      <c r="CW85" s="347">
        <f t="shared" ca="1" si="175"/>
        <v>58.254545454545472</v>
      </c>
      <c r="CX85" s="483">
        <v>0.18600000000000003</v>
      </c>
      <c r="CY85" s="190">
        <f t="shared" si="148"/>
        <v>0</v>
      </c>
      <c r="CZ85" s="190">
        <f t="shared" ca="1" si="180"/>
        <v>-0.03</v>
      </c>
      <c r="DA85" s="354">
        <f t="shared" ca="1" si="149"/>
        <v>0.15600000000000003</v>
      </c>
      <c r="DB85" s="483">
        <v>0.18600000000000003</v>
      </c>
      <c r="DC85" s="190">
        <f t="shared" si="150"/>
        <v>0</v>
      </c>
      <c r="DD85" s="190">
        <f t="shared" ca="1" si="181"/>
        <v>0.03</v>
      </c>
      <c r="DE85" s="354">
        <f t="shared" ca="1" si="151"/>
        <v>0.21600000000000003</v>
      </c>
      <c r="DG85" s="341"/>
      <c r="DH85" s="114">
        <v>16.318000000000001</v>
      </c>
      <c r="DI85" s="126">
        <f t="shared" ca="1" si="176"/>
        <v>-2.6524545454545425</v>
      </c>
      <c r="DJ85" s="126">
        <f t="shared" ca="1" si="124"/>
        <v>-2</v>
      </c>
      <c r="DK85" s="356">
        <f t="shared" ca="1" si="125"/>
        <v>16.970454545454544</v>
      </c>
      <c r="DL85" s="114">
        <v>13.718</v>
      </c>
      <c r="DM85" s="126">
        <f t="shared" ca="1" si="177"/>
        <v>-5.2524545454545439</v>
      </c>
      <c r="DN85" s="126">
        <f t="shared" ca="1" si="152"/>
        <v>-3</v>
      </c>
      <c r="DO85" s="356">
        <f t="shared" ca="1" si="126"/>
        <v>15.970454545454544</v>
      </c>
      <c r="DP85" s="114">
        <v>14.368</v>
      </c>
      <c r="DQ85" s="126">
        <f t="shared" ca="1" si="178"/>
        <v>-4.6024545454545436</v>
      </c>
      <c r="DR85" s="126">
        <f t="shared" ca="1" si="153"/>
        <v>-6</v>
      </c>
      <c r="DS85" s="356">
        <f t="shared" ca="1" si="127"/>
        <v>12.970454545454544</v>
      </c>
      <c r="DT85" s="114">
        <v>15.268000000000001</v>
      </c>
      <c r="DU85" s="126">
        <f t="shared" ca="1" si="179"/>
        <v>-3.7024545454545432</v>
      </c>
      <c r="DV85" s="126">
        <f t="shared" ca="1" si="154"/>
        <v>-5</v>
      </c>
      <c r="DW85" s="356">
        <f t="shared" ca="1" si="128"/>
        <v>13.970454545454544</v>
      </c>
    </row>
    <row r="86" spans="2:127" x14ac:dyDescent="0.25">
      <c r="B86" s="396">
        <v>38169</v>
      </c>
      <c r="C86" s="400">
        <v>38158</v>
      </c>
      <c r="I86" s="136">
        <f t="shared" ca="1" si="129"/>
        <v>39417</v>
      </c>
      <c r="J86" s="131">
        <f t="shared" ca="1" si="130"/>
        <v>39405</v>
      </c>
      <c r="K86" s="106">
        <f t="shared" ca="1" si="131"/>
        <v>0.61904761904761907</v>
      </c>
      <c r="L86" s="133">
        <f t="shared" ca="1" si="93"/>
        <v>107</v>
      </c>
      <c r="M86" s="134">
        <f t="shared" ca="1" si="94"/>
        <v>12</v>
      </c>
      <c r="N86" s="103">
        <f t="shared" ca="1" si="116"/>
        <v>21</v>
      </c>
      <c r="O86" s="104">
        <f t="shared" ca="1" si="132"/>
        <v>2459</v>
      </c>
      <c r="P86" s="105">
        <f t="shared" ca="1" si="95"/>
        <v>6.7433264887063658</v>
      </c>
      <c r="Q86" s="105">
        <f t="shared" ca="1" si="96"/>
        <v>6.8254620123203287</v>
      </c>
      <c r="R86" s="114">
        <v>18.95</v>
      </c>
      <c r="S86" s="198">
        <v>0</v>
      </c>
      <c r="T86" s="189">
        <f t="shared" si="133"/>
        <v>18.95</v>
      </c>
      <c r="U86" s="199">
        <f t="shared" ca="1" si="117"/>
        <v>19.019047619047619</v>
      </c>
      <c r="V86" s="379">
        <f t="shared" ca="1" si="118"/>
        <v>19.019047619047619</v>
      </c>
      <c r="W86" s="483">
        <v>0.18539999999999998</v>
      </c>
      <c r="X86" s="166" t="str">
        <f t="shared" ca="1" si="119"/>
        <v/>
      </c>
      <c r="Y86" s="91">
        <f t="shared" ca="1" si="155"/>
        <v>2.6692092648655944E-3</v>
      </c>
      <c r="Z86" s="91">
        <f t="shared" ca="1" si="156"/>
        <v>1.065176561873316E-3</v>
      </c>
      <c r="AA86" s="91">
        <f t="shared" ca="1" si="157"/>
        <v>4.0854441683511221E-4</v>
      </c>
      <c r="AB86" s="91">
        <f t="shared" ca="1" si="158"/>
        <v>9.2036886224614706E-4</v>
      </c>
      <c r="AC86" s="91">
        <f t="shared" ca="1" si="159"/>
        <v>2.3996297585883019E-3</v>
      </c>
      <c r="AD86" s="91">
        <f t="shared" ca="1" si="160"/>
        <v>6.0131946318891715E-3</v>
      </c>
      <c r="AE86" s="124">
        <v>7.3445677352313998E-2</v>
      </c>
      <c r="AF86" s="191">
        <f t="shared" ca="1" si="161"/>
        <v>0.61120955689056844</v>
      </c>
      <c r="AG86" s="189">
        <f t="shared" ca="1" si="134"/>
        <v>1</v>
      </c>
      <c r="AH86" s="192">
        <f t="shared" ca="1" si="120"/>
        <v>0</v>
      </c>
      <c r="AI86" s="192">
        <f t="shared" ca="1" si="188"/>
        <v>0</v>
      </c>
      <c r="AJ86" s="192">
        <f t="shared" ca="1" si="122"/>
        <v>0</v>
      </c>
      <c r="AK86" s="192">
        <f t="shared" ca="1" si="189"/>
        <v>0</v>
      </c>
      <c r="AL86" s="191" t="str">
        <f t="shared" ca="1" si="162"/>
        <v/>
      </c>
      <c r="AM86" s="191" t="str">
        <f t="shared" ca="1" si="163"/>
        <v/>
      </c>
      <c r="AN86" s="191" t="str">
        <f t="shared" ca="1" si="164"/>
        <v/>
      </c>
      <c r="AO86" s="193" t="str">
        <f t="shared" ca="1" si="165"/>
        <v/>
      </c>
      <c r="AP86" s="194" t="str">
        <f t="shared" ca="1" si="135"/>
        <v/>
      </c>
      <c r="AQ86" s="194" t="str">
        <f t="shared" ca="1" si="136"/>
        <v/>
      </c>
      <c r="AR86" s="195">
        <f ca="1">IF(AH86,_xll.xASN(AL86,Strike1,AE86,AP86,0,N86,0,P86,Q86,IF(OptControl=4,0,1),0),0)</f>
        <v>0</v>
      </c>
      <c r="AS86" s="196">
        <f ca="1">IF(AH86,_xll.xASN(AL86,Strike1,AE86,AP86,0,N86,0,P86,Q86,IF(OptControl=4,0,1),1),0)</f>
        <v>0</v>
      </c>
      <c r="AT86" s="196">
        <f ca="1">IF(AH86,_xll.xASN(AL86,Strike1,AE86,AP86,0,N86,0,P86,Q86,IF(OptControl=4,0,1),2),0)</f>
        <v>0</v>
      </c>
      <c r="AU86" s="196">
        <f ca="1">IF(AH86,_xll.xASN(AL86,Strike1,AE86,AP86,0,N86,0,P86,Q86,IF(OptControl=4,0,1),3)/100,0)</f>
        <v>0</v>
      </c>
      <c r="AV86" s="196">
        <f ca="1">IF(AH86,_xll.xASN(AL86,Strike1,AE86,AP86,0,N86,0,P86-DaysForThetaCalculation/365.25,Q86-DaysForThetaCalculation/365.25,IF(OptControl=4,0,1),0)-_xll.xASN(AL86,Strike1,AE86,AP86,0,N86,0,P86,Q86,IF(OptControl=4,0,1),0),0)</f>
        <v>0</v>
      </c>
      <c r="AW86" s="196">
        <f ca="1">IF(AH86,_xll.xASN(AL86,Strike2,AE86,AQ86,0,N86,0,P86,Q86,IF(OptControl=3,1,0),0),0)</f>
        <v>0</v>
      </c>
      <c r="AX86" s="196">
        <f ca="1">IF(AH86,_xll.xASN(AL86,Strike2,AE86,AQ86,0,N86,0,P86,Q86,IF(OptControl=3,1,0),1),0)</f>
        <v>0</v>
      </c>
      <c r="AY86" s="196">
        <f ca="1">IF(AH86,_xll.xASN(AL86,Strike2,AE86,AQ86,0,N86,0,P86,Q86,IF(OptControl=3,1,0),2),0)</f>
        <v>0</v>
      </c>
      <c r="AZ86" s="196">
        <f ca="1">IF(AH86,_xll.xASN(AL86,Strike2,AE86,AQ86,0,N86,0,P86,Q86,IF(OptControl=3,1,0),3)/100,0)</f>
        <v>0</v>
      </c>
      <c r="BA86" s="196">
        <f ca="1">IF(AH86,_xll.xASN(AL86,Strike2,AE86,AQ86,0,N86,0,P86-DaysForThetaCalculation/365.25,Q86-DaysForThetaCalculation/365.25,IF(OptControl=3,1,0),0)-_xll.xASN(AL86,Strike2,AE86,AQ86,0,N86,0,P86,Q86,IF(OptControl=3,1,0),0),0)</f>
        <v>0</v>
      </c>
      <c r="BB86" s="126" t="str">
        <f t="shared" ca="1" si="166"/>
        <v/>
      </c>
      <c r="BC86" s="191" t="str">
        <f t="shared" ca="1" si="167"/>
        <v/>
      </c>
      <c r="BD86" s="191" t="str">
        <f t="shared" ca="1" si="168"/>
        <v/>
      </c>
      <c r="BE86" s="190" t="str">
        <f t="shared" ca="1" si="169"/>
        <v/>
      </c>
      <c r="BF86" s="194" t="str">
        <f t="shared" ca="1" si="170"/>
        <v/>
      </c>
      <c r="BG86" s="194" t="str">
        <f t="shared" ca="1" si="171"/>
        <v/>
      </c>
      <c r="BH86" s="195">
        <f ca="1">IF(AH86,_xll.xEURO(BB86,Strike1,AE86,AE86,BF86,O86,IF(OptControl=4,0,1),0),0)</f>
        <v>0</v>
      </c>
      <c r="BI86" s="196">
        <f ca="1">IF(AH86,_xll.xEURO(BB86,Strike1,AE86,AE86,BF86,O86,IF(OptControl=4,0,1),1),0)</f>
        <v>0</v>
      </c>
      <c r="BJ86" s="196">
        <f ca="1">IF(AH86,_xll.xEURO(BB86,Strike1,AE86,AE86,BF86,O86,IF(OptControl=4,0,1),2),0)</f>
        <v>0</v>
      </c>
      <c r="BK86" s="196">
        <f ca="1">IF(AH86,_xll.xEURO(BB86,Strike1,AE86,AE86,BF86,O86,IF(OptControl=4,0,1),3)/100,0)</f>
        <v>0</v>
      </c>
      <c r="BL86" s="196">
        <f ca="1">IF(AH86,_xll.xEURO(BB86,Strike1,AE86,AE86,BF86,O86-DaysForThetaCalculation,IF(OptControl=4,0,1),0)-_xll.xEURO(BB86,Strike1,AE86,AE86,BF86,O86,IF(OptControl=4,0,1),0),0)</f>
        <v>0</v>
      </c>
      <c r="BM86" s="196">
        <f ca="1">IF(AH86,_xll.xEURO(BB86,Strike2,AE86,AE86,BG86,O86,IF(OptControl=3,1,0),0),0)</f>
        <v>0</v>
      </c>
      <c r="BN86" s="196">
        <f ca="1">IF(AH86,_xll.xEURO(BB86,Strike2,AE86,AE86,BG86,O86,IF(OptControl=3,1,0),1),0)</f>
        <v>0</v>
      </c>
      <c r="BO86" s="196">
        <f ca="1">IF(AH86,_xll.xEURO(BB86,Strike2,AE86,AE86,BG86,O86,IF(OptControl=3,1,0),2),0)</f>
        <v>0</v>
      </c>
      <c r="BP86" s="196">
        <f ca="1">IF(AH86,_xll.xEURO(BB86,Strike2,AE86,AE86,BG86,O86,IF(OptControl=3,1,0),3)/100,0)</f>
        <v>0</v>
      </c>
      <c r="BQ86" s="197">
        <f ca="1">IF(AH86,_xll.xEURO(BB86,Strike2,AE86,AE86,BG86,O86-DaysForThetaCalculation,IF(OptControl=3,1,0),0)-_xll.xEURO(BB86,Strike2,AE86,AE86,BG86,O86,IF(OptControl=3,1,0),0),0)</f>
        <v>0</v>
      </c>
      <c r="BR86" s="301"/>
      <c r="BS86" s="114">
        <v>23.562000000000005</v>
      </c>
      <c r="BT86" s="345">
        <f t="shared" si="137"/>
        <v>56.100000000000009</v>
      </c>
      <c r="BU86" s="345">
        <f t="shared" ca="1" si="185"/>
        <v>4.752952380952383</v>
      </c>
      <c r="BV86" s="73"/>
      <c r="BW86" s="345">
        <f t="shared" ca="1" si="182"/>
        <v>5.4671428571428606</v>
      </c>
      <c r="BX86" s="345">
        <f t="shared" ca="1" si="186"/>
        <v>57.773593073593084</v>
      </c>
      <c r="BY86" s="373">
        <f t="shared" ca="1" si="138"/>
        <v>58.300453514739239</v>
      </c>
      <c r="BZ86" s="114">
        <v>21.462</v>
      </c>
      <c r="CA86" s="345">
        <f t="shared" si="139"/>
        <v>51.099999999999994</v>
      </c>
      <c r="CB86" s="345">
        <f t="shared" ca="1" si="187"/>
        <v>2.4429523809523808</v>
      </c>
      <c r="CC86" s="345">
        <f t="shared" ca="1" si="183"/>
        <v>3.1571428571428592</v>
      </c>
      <c r="CD86" s="345">
        <f t="shared" ca="1" si="140"/>
        <v>52.800453514739232</v>
      </c>
      <c r="CE86" s="347">
        <f t="shared" ca="1" si="172"/>
        <v>-5.5000000000000071</v>
      </c>
      <c r="CF86" s="114">
        <v>23.335000000000001</v>
      </c>
      <c r="CG86" s="345">
        <f t="shared" si="141"/>
        <v>55.55952380952381</v>
      </c>
      <c r="CH86" s="345">
        <f t="shared" ca="1" si="142"/>
        <v>4.7109523809523814</v>
      </c>
      <c r="CI86" s="73"/>
      <c r="CJ86" s="345">
        <f t="shared" ca="1" si="89"/>
        <v>5.2281428571428599</v>
      </c>
      <c r="CK86" s="345">
        <f t="shared" ca="1" si="184"/>
        <v>56.754545454545465</v>
      </c>
      <c r="CL86" s="345">
        <f t="shared" ca="1" si="143"/>
        <v>57.731405895691623</v>
      </c>
      <c r="CM86" s="114">
        <v>22.491</v>
      </c>
      <c r="CN86" s="345">
        <f t="shared" si="144"/>
        <v>53.55</v>
      </c>
      <c r="CO86" s="345">
        <f t="shared" ca="1" si="145"/>
        <v>3.4719523809523807</v>
      </c>
      <c r="CP86" s="345">
        <f t="shared" ca="1" si="92"/>
        <v>4.0311428571428616</v>
      </c>
      <c r="CQ86" s="345">
        <f t="shared" ca="1" si="146"/>
        <v>54.881405895691614</v>
      </c>
      <c r="CR86" s="347">
        <f t="shared" ca="1" si="173"/>
        <v>-2.8500000000000085</v>
      </c>
      <c r="CS86" s="114">
        <v>23.855999999999998</v>
      </c>
      <c r="CT86" s="345">
        <f t="shared" si="147"/>
        <v>56.8</v>
      </c>
      <c r="CU86" s="345">
        <f t="shared" si="174"/>
        <v>0.29999999999999716</v>
      </c>
      <c r="CV86" s="345">
        <f t="shared" ca="1" si="91"/>
        <v>1.5000000000000082</v>
      </c>
      <c r="CW86" s="347">
        <f t="shared" ca="1" si="175"/>
        <v>59.23140589569163</v>
      </c>
      <c r="CX86" s="483">
        <v>0.185</v>
      </c>
      <c r="CY86" s="190">
        <f t="shared" si="148"/>
        <v>-3.999999999999837E-4</v>
      </c>
      <c r="CZ86" s="190">
        <f t="shared" ca="1" si="180"/>
        <v>-0.03</v>
      </c>
      <c r="DA86" s="354">
        <f t="shared" ca="1" si="149"/>
        <v>0.15539999999999998</v>
      </c>
      <c r="DB86" s="483">
        <v>0.185</v>
      </c>
      <c r="DC86" s="190">
        <f t="shared" si="150"/>
        <v>-3.999999999999837E-4</v>
      </c>
      <c r="DD86" s="190">
        <f t="shared" ca="1" si="181"/>
        <v>0.03</v>
      </c>
      <c r="DE86" s="354">
        <f t="shared" ca="1" si="151"/>
        <v>0.21539999999999998</v>
      </c>
      <c r="DG86" s="341"/>
      <c r="DH86" s="114">
        <v>16.364999999999998</v>
      </c>
      <c r="DI86" s="126">
        <f t="shared" ca="1" si="176"/>
        <v>-2.6540476190476205</v>
      </c>
      <c r="DJ86" s="126">
        <f t="shared" ca="1" si="124"/>
        <v>-2</v>
      </c>
      <c r="DK86" s="356">
        <f t="shared" ca="1" si="125"/>
        <v>17.019047619047619</v>
      </c>
      <c r="DL86" s="114">
        <v>13.765000000000001</v>
      </c>
      <c r="DM86" s="126">
        <f t="shared" ca="1" si="177"/>
        <v>-5.2540476190476184</v>
      </c>
      <c r="DN86" s="126">
        <f t="shared" ca="1" si="152"/>
        <v>-3</v>
      </c>
      <c r="DO86" s="356">
        <f t="shared" ca="1" si="126"/>
        <v>16.019047619047619</v>
      </c>
      <c r="DP86" s="114">
        <v>14.414999999999999</v>
      </c>
      <c r="DQ86" s="126">
        <f t="shared" ca="1" si="178"/>
        <v>-4.6040476190476198</v>
      </c>
      <c r="DR86" s="126">
        <f t="shared" ca="1" si="153"/>
        <v>-6</v>
      </c>
      <c r="DS86" s="356">
        <f t="shared" ca="1" si="127"/>
        <v>13.019047619047619</v>
      </c>
      <c r="DT86" s="114">
        <v>15.315</v>
      </c>
      <c r="DU86" s="126">
        <f t="shared" ca="1" si="179"/>
        <v>-3.7040476190476195</v>
      </c>
      <c r="DV86" s="126">
        <f t="shared" ca="1" si="154"/>
        <v>-5</v>
      </c>
      <c r="DW86" s="356">
        <f t="shared" ca="1" si="128"/>
        <v>14.019047619047619</v>
      </c>
    </row>
    <row r="87" spans="2:127" x14ac:dyDescent="0.25">
      <c r="B87" s="396">
        <v>38200</v>
      </c>
      <c r="C87" s="400">
        <v>38188</v>
      </c>
      <c r="I87" s="136">
        <f t="shared" ca="1" si="129"/>
        <v>39448</v>
      </c>
      <c r="J87" s="131">
        <f t="shared" ca="1" si="130"/>
        <v>39435</v>
      </c>
      <c r="K87" s="106">
        <f t="shared" ca="1" si="131"/>
        <v>0.69565217391304346</v>
      </c>
      <c r="L87" s="133">
        <f t="shared" ca="1" si="93"/>
        <v>108</v>
      </c>
      <c r="M87" s="134">
        <f t="shared" ca="1" si="94"/>
        <v>1</v>
      </c>
      <c r="N87" s="103">
        <f t="shared" ca="1" si="116"/>
        <v>23</v>
      </c>
      <c r="O87" s="104">
        <f t="shared" ca="1" si="132"/>
        <v>2488</v>
      </c>
      <c r="P87" s="105">
        <f t="shared" ca="1" si="95"/>
        <v>6.8281998631074607</v>
      </c>
      <c r="Q87" s="105">
        <f t="shared" ca="1" si="96"/>
        <v>6.9103353867214237</v>
      </c>
      <c r="R87" s="114">
        <v>19</v>
      </c>
      <c r="S87" s="198">
        <v>0</v>
      </c>
      <c r="T87" s="189">
        <f t="shared" si="133"/>
        <v>19</v>
      </c>
      <c r="U87" s="199">
        <f t="shared" ca="1" si="117"/>
        <v>19.065217391304348</v>
      </c>
      <c r="V87" s="379">
        <f t="shared" ca="1" si="118"/>
        <v>19.065217391304348</v>
      </c>
      <c r="W87" s="483">
        <v>0.18480000000000002</v>
      </c>
      <c r="X87" s="166" t="str">
        <f t="shared" ca="1" si="119"/>
        <v/>
      </c>
      <c r="Y87" s="91">
        <f t="shared" ca="1" si="155"/>
        <v>2.6120655541779984E-3</v>
      </c>
      <c r="Z87" s="91">
        <f t="shared" ca="1" si="156"/>
        <v>1.0367918338840116E-3</v>
      </c>
      <c r="AA87" s="91">
        <f t="shared" ca="1" si="157"/>
        <v>3.9659120605382121E-4</v>
      </c>
      <c r="AB87" s="91">
        <f t="shared" ca="1" si="158"/>
        <v>8.9344066899805477E-4</v>
      </c>
      <c r="AC87" s="91">
        <f t="shared" ca="1" si="159"/>
        <v>2.3356846433739958E-3</v>
      </c>
      <c r="AD87" s="91">
        <f t="shared" ca="1" si="160"/>
        <v>5.8844612804521542E-3</v>
      </c>
      <c r="AE87" s="124">
        <v>7.3463590816133004E-2</v>
      </c>
      <c r="AF87" s="191">
        <f t="shared" ca="1" si="161"/>
        <v>0.60740672181854616</v>
      </c>
      <c r="AG87" s="189">
        <f t="shared" ca="1" si="134"/>
        <v>1</v>
      </c>
      <c r="AH87" s="192">
        <f t="shared" ca="1" si="120"/>
        <v>0</v>
      </c>
      <c r="AI87" s="192">
        <f t="shared" ca="1" si="188"/>
        <v>0</v>
      </c>
      <c r="AJ87" s="192">
        <f t="shared" ca="1" si="122"/>
        <v>0</v>
      </c>
      <c r="AK87" s="192">
        <f t="shared" ca="1" si="189"/>
        <v>0</v>
      </c>
      <c r="AL87" s="191" t="str">
        <f t="shared" ca="1" si="162"/>
        <v/>
      </c>
      <c r="AM87" s="191" t="str">
        <f t="shared" ca="1" si="163"/>
        <v/>
      </c>
      <c r="AN87" s="191" t="str">
        <f t="shared" ca="1" si="164"/>
        <v/>
      </c>
      <c r="AO87" s="193" t="str">
        <f t="shared" ca="1" si="165"/>
        <v/>
      </c>
      <c r="AP87" s="194" t="str">
        <f t="shared" ca="1" si="135"/>
        <v/>
      </c>
      <c r="AQ87" s="194" t="str">
        <f t="shared" ca="1" si="136"/>
        <v/>
      </c>
      <c r="AR87" s="195">
        <f ca="1">IF(AH87,_xll.xASN(AL87,Strike1,AE87,AP87,0,N87,0,P87,Q87,IF(OptControl=4,0,1),0),0)</f>
        <v>0</v>
      </c>
      <c r="AS87" s="196">
        <f ca="1">IF(AH87,_xll.xASN(AL87,Strike1,AE87,AP87,0,N87,0,P87,Q87,IF(OptControl=4,0,1),1),0)</f>
        <v>0</v>
      </c>
      <c r="AT87" s="196">
        <f ca="1">IF(AH87,_xll.xASN(AL87,Strike1,AE87,AP87,0,N87,0,P87,Q87,IF(OptControl=4,0,1),2),0)</f>
        <v>0</v>
      </c>
      <c r="AU87" s="196">
        <f ca="1">IF(AH87,_xll.xASN(AL87,Strike1,AE87,AP87,0,N87,0,P87,Q87,IF(OptControl=4,0,1),3)/100,0)</f>
        <v>0</v>
      </c>
      <c r="AV87" s="196">
        <f ca="1">IF(AH87,_xll.xASN(AL87,Strike1,AE87,AP87,0,N87,0,P87-DaysForThetaCalculation/365.25,Q87-DaysForThetaCalculation/365.25,IF(OptControl=4,0,1),0)-_xll.xASN(AL87,Strike1,AE87,AP87,0,N87,0,P87,Q87,IF(OptControl=4,0,1),0),0)</f>
        <v>0</v>
      </c>
      <c r="AW87" s="196">
        <f ca="1">IF(AH87,_xll.xASN(AL87,Strike2,AE87,AQ87,0,N87,0,P87,Q87,IF(OptControl=3,1,0),0),0)</f>
        <v>0</v>
      </c>
      <c r="AX87" s="196">
        <f ca="1">IF(AH87,_xll.xASN(AL87,Strike2,AE87,AQ87,0,N87,0,P87,Q87,IF(OptControl=3,1,0),1),0)</f>
        <v>0</v>
      </c>
      <c r="AY87" s="196">
        <f ca="1">IF(AH87,_xll.xASN(AL87,Strike2,AE87,AQ87,0,N87,0,P87,Q87,IF(OptControl=3,1,0),2),0)</f>
        <v>0</v>
      </c>
      <c r="AZ87" s="196">
        <f ca="1">IF(AH87,_xll.xASN(AL87,Strike2,AE87,AQ87,0,N87,0,P87,Q87,IF(OptControl=3,1,0),3)/100,0)</f>
        <v>0</v>
      </c>
      <c r="BA87" s="196">
        <f ca="1">IF(AH87,_xll.xASN(AL87,Strike2,AE87,AQ87,0,N87,0,P87-DaysForThetaCalculation/365.25,Q87-DaysForThetaCalculation/365.25,IF(OptControl=3,1,0),0)-_xll.xASN(AL87,Strike2,AE87,AQ87,0,N87,0,P87,Q87,IF(OptControl=3,1,0),0),0)</f>
        <v>0</v>
      </c>
      <c r="BB87" s="126" t="str">
        <f t="shared" ca="1" si="166"/>
        <v/>
      </c>
      <c r="BC87" s="191" t="str">
        <f t="shared" ca="1" si="167"/>
        <v/>
      </c>
      <c r="BD87" s="191" t="str">
        <f t="shared" ca="1" si="168"/>
        <v/>
      </c>
      <c r="BE87" s="190" t="str">
        <f t="shared" ca="1" si="169"/>
        <v/>
      </c>
      <c r="BF87" s="194" t="str">
        <f t="shared" ca="1" si="170"/>
        <v/>
      </c>
      <c r="BG87" s="194" t="str">
        <f t="shared" ca="1" si="171"/>
        <v/>
      </c>
      <c r="BH87" s="195">
        <f ca="1">IF(AH87,_xll.xEURO(BB87,Strike1,AE87,AE87,BF87,O87,IF(OptControl=4,0,1),0),0)</f>
        <v>0</v>
      </c>
      <c r="BI87" s="196">
        <f ca="1">IF(AH87,_xll.xEURO(BB87,Strike1,AE87,AE87,BF87,O87,IF(OptControl=4,0,1),1),0)</f>
        <v>0</v>
      </c>
      <c r="BJ87" s="196">
        <f ca="1">IF(AH87,_xll.xEURO(BB87,Strike1,AE87,AE87,BF87,O87,IF(OptControl=4,0,1),2),0)</f>
        <v>0</v>
      </c>
      <c r="BK87" s="196">
        <f ca="1">IF(AH87,_xll.xEURO(BB87,Strike1,AE87,AE87,BF87,O87,IF(OptControl=4,0,1),3)/100,0)</f>
        <v>0</v>
      </c>
      <c r="BL87" s="196">
        <f ca="1">IF(AH87,_xll.xEURO(BB87,Strike1,AE87,AE87,BF87,O87-DaysForThetaCalculation,IF(OptControl=4,0,1),0)-_xll.xEURO(BB87,Strike1,AE87,AE87,BF87,O87,IF(OptControl=4,0,1),0),0)</f>
        <v>0</v>
      </c>
      <c r="BM87" s="196">
        <f ca="1">IF(AH87,_xll.xEURO(BB87,Strike2,AE87,AE87,BG87,O87,IF(OptControl=3,1,0),0),0)</f>
        <v>0</v>
      </c>
      <c r="BN87" s="196">
        <f ca="1">IF(AH87,_xll.xEURO(BB87,Strike2,AE87,AE87,BG87,O87,IF(OptControl=3,1,0),1),0)</f>
        <v>0</v>
      </c>
      <c r="BO87" s="196">
        <f ca="1">IF(AH87,_xll.xEURO(BB87,Strike2,AE87,AE87,BG87,O87,IF(OptControl=3,1,0),2),0)</f>
        <v>0</v>
      </c>
      <c r="BP87" s="196">
        <f ca="1">IF(AH87,_xll.xEURO(BB87,Strike2,AE87,AE87,BG87,O87,IF(OptControl=3,1,0),3)/100,0)</f>
        <v>0</v>
      </c>
      <c r="BQ87" s="197">
        <f ca="1">IF(AH87,_xll.xEURO(BB87,Strike2,AE87,AE87,BG87,O87-DaysForThetaCalculation,IF(OptControl=3,1,0),0)-_xll.xEURO(BB87,Strike2,AE87,AE87,BG87,O87,IF(OptControl=3,1,0),0),0)</f>
        <v>0</v>
      </c>
      <c r="BR87" s="301"/>
      <c r="BS87" s="114">
        <v>23.772000000000002</v>
      </c>
      <c r="BT87" s="345">
        <f t="shared" si="137"/>
        <v>56.600000000000009</v>
      </c>
      <c r="BU87" s="345">
        <f t="shared" ca="1" si="185"/>
        <v>5.7107826086956521</v>
      </c>
      <c r="BV87" s="73"/>
      <c r="BW87" s="345">
        <f t="shared" ca="1" si="182"/>
        <v>5.7094782608695667</v>
      </c>
      <c r="BX87" s="345">
        <f t="shared" ca="1" si="186"/>
        <v>58.300453514739239</v>
      </c>
      <c r="BY87" s="373">
        <f t="shared" ca="1" si="138"/>
        <v>58.987370600414081</v>
      </c>
      <c r="BZ87" s="114">
        <v>22.570999999999998</v>
      </c>
      <c r="CA87" s="345">
        <f t="shared" si="139"/>
        <v>53.740476190476187</v>
      </c>
      <c r="CB87" s="345">
        <f t="shared" ca="1" si="187"/>
        <v>3.5057826086956503</v>
      </c>
      <c r="CC87" s="345">
        <f t="shared" ca="1" si="183"/>
        <v>4.197478260869568</v>
      </c>
      <c r="CD87" s="345">
        <f t="shared" ca="1" si="140"/>
        <v>55.387370600414087</v>
      </c>
      <c r="CE87" s="347">
        <f t="shared" ca="1" si="172"/>
        <v>-3.5999999999999943</v>
      </c>
      <c r="CF87" s="114">
        <v>23.73</v>
      </c>
      <c r="CG87" s="345">
        <f t="shared" si="141"/>
        <v>56.5</v>
      </c>
      <c r="CH87" s="345">
        <f t="shared" ca="1" si="142"/>
        <v>4.2867826086956562</v>
      </c>
      <c r="CI87" s="73"/>
      <c r="CJ87" s="345">
        <f t="shared" ca="1" si="89"/>
        <v>5.029478260869567</v>
      </c>
      <c r="CK87" s="345">
        <f t="shared" ca="1" si="184"/>
        <v>57.731405895691623</v>
      </c>
      <c r="CL87" s="345">
        <f t="shared" ca="1" si="143"/>
        <v>57.368322981366461</v>
      </c>
      <c r="CM87" s="114">
        <v>22.218000000000004</v>
      </c>
      <c r="CN87" s="345">
        <f t="shared" si="144"/>
        <v>52.900000000000006</v>
      </c>
      <c r="CO87" s="345">
        <f t="shared" ca="1" si="145"/>
        <v>3.1527826086956559</v>
      </c>
      <c r="CP87" s="345">
        <f t="shared" ca="1" si="92"/>
        <v>3.9164782608695683</v>
      </c>
      <c r="CQ87" s="345">
        <f t="shared" ca="1" si="146"/>
        <v>54.71832298136647</v>
      </c>
      <c r="CR87" s="347">
        <f t="shared" ca="1" si="173"/>
        <v>-2.6499999999999915</v>
      </c>
      <c r="CS87" s="114">
        <v>23.478000000000002</v>
      </c>
      <c r="CT87" s="345">
        <f t="shared" si="147"/>
        <v>55.900000000000006</v>
      </c>
      <c r="CU87" s="345">
        <f t="shared" si="174"/>
        <v>0.29999999999999716</v>
      </c>
      <c r="CV87" s="345">
        <f t="shared" ca="1" si="91"/>
        <v>1.5000000000000082</v>
      </c>
      <c r="CW87" s="347">
        <f t="shared" ca="1" si="175"/>
        <v>58.868322981366468</v>
      </c>
      <c r="CX87" s="483">
        <v>0.185</v>
      </c>
      <c r="CY87" s="190">
        <f t="shared" si="148"/>
        <v>1.9999999999997797E-4</v>
      </c>
      <c r="CZ87" s="190">
        <f t="shared" ca="1" si="180"/>
        <v>-0.03</v>
      </c>
      <c r="DA87" s="354">
        <f t="shared" ca="1" si="149"/>
        <v>0.15480000000000002</v>
      </c>
      <c r="DB87" s="483">
        <v>0.185</v>
      </c>
      <c r="DC87" s="190">
        <f t="shared" si="150"/>
        <v>1.9999999999997797E-4</v>
      </c>
      <c r="DD87" s="190">
        <f t="shared" ca="1" si="181"/>
        <v>0.03</v>
      </c>
      <c r="DE87" s="354">
        <f t="shared" ca="1" si="151"/>
        <v>0.21480000000000002</v>
      </c>
      <c r="DG87" s="341"/>
      <c r="DH87" s="114">
        <v>16.417999999999999</v>
      </c>
      <c r="DI87" s="126">
        <f t="shared" ca="1" si="176"/>
        <v>-2.6472173913043484</v>
      </c>
      <c r="DJ87" s="126">
        <f t="shared" ca="1" si="124"/>
        <v>-2</v>
      </c>
      <c r="DK87" s="356">
        <f t="shared" ca="1" si="125"/>
        <v>17.065217391304348</v>
      </c>
      <c r="DL87" s="114">
        <v>13.818</v>
      </c>
      <c r="DM87" s="126">
        <f t="shared" ca="1" si="177"/>
        <v>-5.2472173913043481</v>
      </c>
      <c r="DN87" s="126">
        <f t="shared" ca="1" si="152"/>
        <v>-3</v>
      </c>
      <c r="DO87" s="356">
        <f t="shared" ca="1" si="126"/>
        <v>16.065217391304348</v>
      </c>
      <c r="DP87" s="114">
        <v>14.468</v>
      </c>
      <c r="DQ87" s="126">
        <f t="shared" ca="1" si="178"/>
        <v>-4.5972173913043477</v>
      </c>
      <c r="DR87" s="126">
        <f t="shared" ca="1" si="153"/>
        <v>-6</v>
      </c>
      <c r="DS87" s="356">
        <f t="shared" ca="1" si="127"/>
        <v>13.065217391304348</v>
      </c>
      <c r="DT87" s="114">
        <v>15.118</v>
      </c>
      <c r="DU87" s="126">
        <f t="shared" ca="1" si="179"/>
        <v>-3.9472173913043473</v>
      </c>
      <c r="DV87" s="126">
        <f t="shared" ca="1" si="154"/>
        <v>-5</v>
      </c>
      <c r="DW87" s="356">
        <f t="shared" ca="1" si="128"/>
        <v>14.065217391304348</v>
      </c>
    </row>
    <row r="88" spans="2:127" x14ac:dyDescent="0.25">
      <c r="B88" s="396">
        <v>38231</v>
      </c>
      <c r="C88" s="400">
        <v>38220</v>
      </c>
      <c r="I88" s="136">
        <f t="shared" ca="1" si="129"/>
        <v>39479</v>
      </c>
      <c r="J88" s="131">
        <f t="shared" ca="1" si="130"/>
        <v>39469</v>
      </c>
      <c r="K88" s="106">
        <f t="shared" ca="1" si="131"/>
        <v>0.66666666666666663</v>
      </c>
      <c r="L88" s="133">
        <f t="shared" ca="1" si="93"/>
        <v>108</v>
      </c>
      <c r="M88" s="134">
        <f t="shared" ca="1" si="94"/>
        <v>2</v>
      </c>
      <c r="N88" s="103">
        <f t="shared" ca="1" si="116"/>
        <v>21</v>
      </c>
      <c r="O88" s="104">
        <f t="shared" ca="1" si="132"/>
        <v>2521</v>
      </c>
      <c r="P88" s="105">
        <f t="shared" ca="1" si="95"/>
        <v>6.9130732375085557</v>
      </c>
      <c r="Q88" s="105">
        <f t="shared" ca="1" si="96"/>
        <v>6.9897330595482545</v>
      </c>
      <c r="R88" s="114">
        <v>19.05</v>
      </c>
      <c r="S88" s="198">
        <v>0</v>
      </c>
      <c r="T88" s="189">
        <f t="shared" si="133"/>
        <v>19.05</v>
      </c>
      <c r="U88" s="199">
        <f t="shared" ca="1" si="117"/>
        <v>19.116666666666667</v>
      </c>
      <c r="V88" s="379">
        <f t="shared" ca="1" si="118"/>
        <v>19.116666666666667</v>
      </c>
      <c r="W88" s="483">
        <v>0.18420000000000003</v>
      </c>
      <c r="X88" s="166" t="str">
        <f t="shared" ca="1" si="119"/>
        <v/>
      </c>
      <c r="Y88" s="91">
        <f t="shared" ca="1" si="155"/>
        <v>2.5561452034247958E-3</v>
      </c>
      <c r="Z88" s="91">
        <f t="shared" ca="1" si="156"/>
        <v>1.0091634995404797E-3</v>
      </c>
      <c r="AA88" s="91">
        <f t="shared" ca="1" si="157"/>
        <v>3.8498772284704659E-4</v>
      </c>
      <c r="AB88" s="91">
        <f t="shared" ca="1" si="158"/>
        <v>8.6730034202983305E-4</v>
      </c>
      <c r="AC88" s="91">
        <f t="shared" ca="1" si="159"/>
        <v>2.273443531764886E-3</v>
      </c>
      <c r="AD88" s="91">
        <f t="shared" ca="1" si="160"/>
        <v>5.7584839142753377E-3</v>
      </c>
      <c r="AE88" s="124">
        <v>7.3481504280059007E-2</v>
      </c>
      <c r="AF88" s="191">
        <f t="shared" ca="1" si="161"/>
        <v>0.60386434578056447</v>
      </c>
      <c r="AG88" s="189">
        <f t="shared" ca="1" si="134"/>
        <v>1</v>
      </c>
      <c r="AH88" s="192">
        <f t="shared" ca="1" si="120"/>
        <v>0</v>
      </c>
      <c r="AI88" s="192">
        <f t="shared" ca="1" si="188"/>
        <v>0</v>
      </c>
      <c r="AJ88" s="192">
        <f t="shared" ca="1" si="122"/>
        <v>0</v>
      </c>
      <c r="AK88" s="192">
        <f t="shared" ca="1" si="189"/>
        <v>0</v>
      </c>
      <c r="AL88" s="191" t="str">
        <f t="shared" ca="1" si="162"/>
        <v/>
      </c>
      <c r="AM88" s="191" t="str">
        <f t="shared" ca="1" si="163"/>
        <v/>
      </c>
      <c r="AN88" s="191" t="str">
        <f t="shared" ca="1" si="164"/>
        <v/>
      </c>
      <c r="AO88" s="193" t="str">
        <f t="shared" ca="1" si="165"/>
        <v/>
      </c>
      <c r="AP88" s="194" t="str">
        <f t="shared" ca="1" si="135"/>
        <v/>
      </c>
      <c r="AQ88" s="194" t="str">
        <f t="shared" ca="1" si="136"/>
        <v/>
      </c>
      <c r="AR88" s="195">
        <f ca="1">IF(AH88,_xll.xASN(AL88,Strike1,AE88,AP88,0,N88,0,P88,Q88,IF(OptControl=4,0,1),0),0)</f>
        <v>0</v>
      </c>
      <c r="AS88" s="196">
        <f ca="1">IF(AH88,_xll.xASN(AL88,Strike1,AE88,AP88,0,N88,0,P88,Q88,IF(OptControl=4,0,1),1),0)</f>
        <v>0</v>
      </c>
      <c r="AT88" s="196">
        <f ca="1">IF(AH88,_xll.xASN(AL88,Strike1,AE88,AP88,0,N88,0,P88,Q88,IF(OptControl=4,0,1),2),0)</f>
        <v>0</v>
      </c>
      <c r="AU88" s="196">
        <f ca="1">IF(AH88,_xll.xASN(AL88,Strike1,AE88,AP88,0,N88,0,P88,Q88,IF(OptControl=4,0,1),3)/100,0)</f>
        <v>0</v>
      </c>
      <c r="AV88" s="196">
        <f ca="1">IF(AH88,_xll.xASN(AL88,Strike1,AE88,AP88,0,N88,0,P88-DaysForThetaCalculation/365.25,Q88-DaysForThetaCalculation/365.25,IF(OptControl=4,0,1),0)-_xll.xASN(AL88,Strike1,AE88,AP88,0,N88,0,P88,Q88,IF(OptControl=4,0,1),0),0)</f>
        <v>0</v>
      </c>
      <c r="AW88" s="196">
        <f ca="1">IF(AH88,_xll.xASN(AL88,Strike2,AE88,AQ88,0,N88,0,P88,Q88,IF(OptControl=3,1,0),0),0)</f>
        <v>0</v>
      </c>
      <c r="AX88" s="196">
        <f ca="1">IF(AH88,_xll.xASN(AL88,Strike2,AE88,AQ88,0,N88,0,P88,Q88,IF(OptControl=3,1,0),1),0)</f>
        <v>0</v>
      </c>
      <c r="AY88" s="196">
        <f ca="1">IF(AH88,_xll.xASN(AL88,Strike2,AE88,AQ88,0,N88,0,P88,Q88,IF(OptControl=3,1,0),2),0)</f>
        <v>0</v>
      </c>
      <c r="AZ88" s="196">
        <f ca="1">IF(AH88,_xll.xASN(AL88,Strike2,AE88,AQ88,0,N88,0,P88,Q88,IF(OptControl=3,1,0),3)/100,0)</f>
        <v>0</v>
      </c>
      <c r="BA88" s="196">
        <f ca="1">IF(AH88,_xll.xASN(AL88,Strike2,AE88,AQ88,0,N88,0,P88-DaysForThetaCalculation/365.25,Q88-DaysForThetaCalculation/365.25,IF(OptControl=3,1,0),0)-_xll.xASN(AL88,Strike2,AE88,AQ88,0,N88,0,P88,Q88,IF(OptControl=3,1,0),0),0)</f>
        <v>0</v>
      </c>
      <c r="BB88" s="126" t="str">
        <f t="shared" ca="1" si="166"/>
        <v/>
      </c>
      <c r="BC88" s="191" t="str">
        <f t="shared" ca="1" si="167"/>
        <v/>
      </c>
      <c r="BD88" s="191" t="str">
        <f t="shared" ca="1" si="168"/>
        <v/>
      </c>
      <c r="BE88" s="190" t="str">
        <f t="shared" ca="1" si="169"/>
        <v/>
      </c>
      <c r="BF88" s="194" t="str">
        <f t="shared" ca="1" si="170"/>
        <v/>
      </c>
      <c r="BG88" s="194" t="str">
        <f t="shared" ca="1" si="171"/>
        <v/>
      </c>
      <c r="BH88" s="195">
        <f ca="1">IF(AH88,_xll.xEURO(BB88,Strike1,AE88,AE88,BF88,O88,IF(OptControl=4,0,1),0),0)</f>
        <v>0</v>
      </c>
      <c r="BI88" s="196">
        <f ca="1">IF(AH88,_xll.xEURO(BB88,Strike1,AE88,AE88,BF88,O88,IF(OptControl=4,0,1),1),0)</f>
        <v>0</v>
      </c>
      <c r="BJ88" s="196">
        <f ca="1">IF(AH88,_xll.xEURO(BB88,Strike1,AE88,AE88,BF88,O88,IF(OptControl=4,0,1),2),0)</f>
        <v>0</v>
      </c>
      <c r="BK88" s="196">
        <f ca="1">IF(AH88,_xll.xEURO(BB88,Strike1,AE88,AE88,BF88,O88,IF(OptControl=4,0,1),3)/100,0)</f>
        <v>0</v>
      </c>
      <c r="BL88" s="196">
        <f ca="1">IF(AH88,_xll.xEURO(BB88,Strike1,AE88,AE88,BF88,O88-DaysForThetaCalculation,IF(OptControl=4,0,1),0)-_xll.xEURO(BB88,Strike1,AE88,AE88,BF88,O88,IF(OptControl=4,0,1),0),0)</f>
        <v>0</v>
      </c>
      <c r="BM88" s="196">
        <f ca="1">IF(AH88,_xll.xEURO(BB88,Strike2,AE88,AE88,BG88,O88,IF(OptControl=3,1,0),0),0)</f>
        <v>0</v>
      </c>
      <c r="BN88" s="196">
        <f ca="1">IF(AH88,_xll.xEURO(BB88,Strike2,AE88,AE88,BG88,O88,IF(OptControl=3,1,0),1),0)</f>
        <v>0</v>
      </c>
      <c r="BO88" s="196">
        <f ca="1">IF(AH88,_xll.xEURO(BB88,Strike2,AE88,AE88,BG88,O88,IF(OptControl=3,1,0),2),0)</f>
        <v>0</v>
      </c>
      <c r="BP88" s="196">
        <f ca="1">IF(AH88,_xll.xEURO(BB88,Strike2,AE88,AE88,BG88,O88,IF(OptControl=3,1,0),3)/100,0)</f>
        <v>0</v>
      </c>
      <c r="BQ88" s="197">
        <f ca="1">IF(AH88,_xll.xEURO(BB88,Strike2,AE88,AE88,BG88,O88-DaysForThetaCalculation,IF(OptControl=3,1,0),0)-_xll.xEURO(BB88,Strike2,AE88,AE88,BG88,O88,IF(OptControl=3,1,0),0),0)</f>
        <v>0</v>
      </c>
      <c r="BR88" s="301"/>
      <c r="BS88" s="114">
        <v>24.776</v>
      </c>
      <c r="BT88" s="345">
        <f t="shared" si="137"/>
        <v>58.990476190476187</v>
      </c>
      <c r="BU88" s="345">
        <f t="shared" ca="1" si="185"/>
        <v>6.0373333333333328</v>
      </c>
      <c r="BV88" s="73"/>
      <c r="BW88" s="345">
        <f t="shared" ca="1" si="182"/>
        <v>6.09</v>
      </c>
      <c r="BX88" s="345">
        <f t="shared" ca="1" si="186"/>
        <v>58.987370600414081</v>
      </c>
      <c r="BY88" s="373">
        <f t="shared" ca="1" si="138"/>
        <v>60.015873015873012</v>
      </c>
      <c r="BZ88" s="114">
        <v>22.949000000000002</v>
      </c>
      <c r="CA88" s="345">
        <f t="shared" si="139"/>
        <v>54.640476190476193</v>
      </c>
      <c r="CB88" s="345">
        <f t="shared" ca="1" si="187"/>
        <v>3.8323333333333345</v>
      </c>
      <c r="CC88" s="345">
        <f t="shared" ca="1" si="183"/>
        <v>4.5319999999999991</v>
      </c>
      <c r="CD88" s="345">
        <f t="shared" ca="1" si="140"/>
        <v>56.306349206349211</v>
      </c>
      <c r="CE88" s="347">
        <f t="shared" ca="1" si="172"/>
        <v>-3.7095238095238017</v>
      </c>
      <c r="CF88" s="114">
        <v>23.352000000000004</v>
      </c>
      <c r="CG88" s="345">
        <f t="shared" si="141"/>
        <v>55.600000000000009</v>
      </c>
      <c r="CH88" s="345">
        <f t="shared" ca="1" si="142"/>
        <v>3.5673333333333339</v>
      </c>
      <c r="CI88" s="73"/>
      <c r="CJ88" s="345">
        <f t="shared" ref="CJ88:CJ151" ca="1" si="190">CJ76+VLOOKUP(1900+$L88,ProductSpreadTable,4)</f>
        <v>4.3179999999999961</v>
      </c>
      <c r="CK88" s="345">
        <f t="shared" ca="1" si="184"/>
        <v>57.368322981366461</v>
      </c>
      <c r="CL88" s="345">
        <f t="shared" ca="1" si="143"/>
        <v>55.796825396825398</v>
      </c>
      <c r="CM88" s="114">
        <v>21.55</v>
      </c>
      <c r="CN88" s="345">
        <f t="shared" si="144"/>
        <v>51.30952380952381</v>
      </c>
      <c r="CO88" s="345">
        <f t="shared" ca="1" si="145"/>
        <v>2.4333333333333336</v>
      </c>
      <c r="CP88" s="345">
        <f t="shared" ca="1" si="92"/>
        <v>3.2049999999999992</v>
      </c>
      <c r="CQ88" s="345">
        <f t="shared" ca="1" si="146"/>
        <v>53.146825396825392</v>
      </c>
      <c r="CR88" s="347">
        <f t="shared" ca="1" si="173"/>
        <v>-2.6500000000000057</v>
      </c>
      <c r="CS88" s="114">
        <v>22.81</v>
      </c>
      <c r="CT88" s="345">
        <f t="shared" si="147"/>
        <v>54.30952380952381</v>
      </c>
      <c r="CU88" s="345">
        <f t="shared" si="174"/>
        <v>0.29999999999999716</v>
      </c>
      <c r="CV88" s="345">
        <f t="shared" ref="CV88:CV151" ca="1" si="191">CV76+VLOOKUP(1900+$L88,ProductSpreadTable,6)</f>
        <v>1.5000000000000082</v>
      </c>
      <c r="CW88" s="347">
        <f t="shared" ca="1" si="175"/>
        <v>57.296825396825405</v>
      </c>
      <c r="CX88" s="483">
        <v>0.18400000000000002</v>
      </c>
      <c r="CY88" s="190">
        <f t="shared" si="148"/>
        <v>-2.0000000000000573E-4</v>
      </c>
      <c r="CZ88" s="190">
        <f t="shared" ca="1" si="180"/>
        <v>-0.03</v>
      </c>
      <c r="DA88" s="354">
        <f t="shared" ca="1" si="149"/>
        <v>0.15420000000000003</v>
      </c>
      <c r="DB88" s="483">
        <v>0.18400000000000002</v>
      </c>
      <c r="DC88" s="190">
        <f t="shared" si="150"/>
        <v>-2.0000000000000573E-4</v>
      </c>
      <c r="DD88" s="190">
        <f t="shared" ca="1" si="181"/>
        <v>0.03</v>
      </c>
      <c r="DE88" s="354">
        <f t="shared" ca="1" si="151"/>
        <v>0.21420000000000003</v>
      </c>
      <c r="DG88" s="341"/>
      <c r="DH88" s="114">
        <v>16.465</v>
      </c>
      <c r="DI88" s="126">
        <f t="shared" ca="1" si="176"/>
        <v>-2.6516666666666673</v>
      </c>
      <c r="DJ88" s="126">
        <f t="shared" ca="1" si="124"/>
        <v>-2</v>
      </c>
      <c r="DK88" s="356">
        <f t="shared" ca="1" si="125"/>
        <v>17.116666666666667</v>
      </c>
      <c r="DL88" s="114">
        <v>13.865</v>
      </c>
      <c r="DM88" s="126">
        <f t="shared" ca="1" si="177"/>
        <v>-5.2516666666666669</v>
      </c>
      <c r="DN88" s="126">
        <f t="shared" ca="1" si="152"/>
        <v>-3</v>
      </c>
      <c r="DO88" s="356">
        <f t="shared" ca="1" si="126"/>
        <v>16.116666666666667</v>
      </c>
      <c r="DP88" s="114">
        <v>14.515000000000001</v>
      </c>
      <c r="DQ88" s="126">
        <f t="shared" ca="1" si="178"/>
        <v>-4.6016666666666666</v>
      </c>
      <c r="DR88" s="126">
        <f t="shared" ca="1" si="153"/>
        <v>-6</v>
      </c>
      <c r="DS88" s="356">
        <f t="shared" ca="1" si="127"/>
        <v>13.116666666666667</v>
      </c>
      <c r="DT88" s="114">
        <v>15.164999999999999</v>
      </c>
      <c r="DU88" s="126">
        <f t="shared" ca="1" si="179"/>
        <v>-3.951666666666668</v>
      </c>
      <c r="DV88" s="126">
        <f t="shared" ca="1" si="154"/>
        <v>-5</v>
      </c>
      <c r="DW88" s="356">
        <f t="shared" ca="1" si="128"/>
        <v>14.116666666666667</v>
      </c>
    </row>
    <row r="89" spans="2:127" x14ac:dyDescent="0.25">
      <c r="B89" s="396">
        <v>38261</v>
      </c>
      <c r="C89" s="400">
        <v>38250</v>
      </c>
      <c r="I89" s="136">
        <f t="shared" ca="1" si="129"/>
        <v>39508</v>
      </c>
      <c r="J89" s="131">
        <f t="shared" ca="1" si="130"/>
        <v>39498</v>
      </c>
      <c r="K89" s="106">
        <f t="shared" ca="1" si="131"/>
        <v>0.66666666666666663</v>
      </c>
      <c r="L89" s="133">
        <f t="shared" ca="1" si="93"/>
        <v>108</v>
      </c>
      <c r="M89" s="134">
        <f t="shared" ca="1" si="94"/>
        <v>3</v>
      </c>
      <c r="N89" s="103">
        <f t="shared" ca="1" si="116"/>
        <v>21</v>
      </c>
      <c r="O89" s="104">
        <f t="shared" ca="1" si="132"/>
        <v>2550</v>
      </c>
      <c r="P89" s="105">
        <f t="shared" ca="1" si="95"/>
        <v>6.9924709103353866</v>
      </c>
      <c r="Q89" s="105">
        <f t="shared" ca="1" si="96"/>
        <v>7.0746064339493495</v>
      </c>
      <c r="R89" s="114">
        <v>19.100000000000001</v>
      </c>
      <c r="S89" s="198">
        <v>0</v>
      </c>
      <c r="T89" s="189">
        <f t="shared" si="133"/>
        <v>19.100000000000001</v>
      </c>
      <c r="U89" s="199">
        <f t="shared" ca="1" si="117"/>
        <v>19.166666666666664</v>
      </c>
      <c r="V89" s="379">
        <f t="shared" ca="1" si="118"/>
        <v>19.166666666666664</v>
      </c>
      <c r="W89" s="483">
        <v>0.18359999999999999</v>
      </c>
      <c r="X89" s="166" t="str">
        <f t="shared" ca="1" si="119"/>
        <v/>
      </c>
      <c r="Y89" s="91">
        <f t="shared" ca="1" si="155"/>
        <v>2.5014220223304327E-3</v>
      </c>
      <c r="Z89" s="91">
        <f t="shared" ca="1" si="156"/>
        <v>9.8227140253375096E-4</v>
      </c>
      <c r="AA89" s="91">
        <f t="shared" ca="1" si="157"/>
        <v>3.7372373486980467E-4</v>
      </c>
      <c r="AB89" s="91">
        <f t="shared" ca="1" si="158"/>
        <v>8.4192482991470258E-4</v>
      </c>
      <c r="AC89" s="91">
        <f t="shared" ca="1" si="159"/>
        <v>2.2128610156281264E-3</v>
      </c>
      <c r="AD89" s="91">
        <f t="shared" ca="1" si="160"/>
        <v>5.6352035319059543E-3</v>
      </c>
      <c r="AE89" s="124">
        <v>7.3497684183050013E-2</v>
      </c>
      <c r="AF89" s="191">
        <f t="shared" ca="1" si="161"/>
        <v>0.60011084806895709</v>
      </c>
      <c r="AG89" s="189">
        <f t="shared" ca="1" si="134"/>
        <v>1</v>
      </c>
      <c r="AH89" s="192">
        <f t="shared" ca="1" si="120"/>
        <v>0</v>
      </c>
      <c r="AI89" s="192">
        <f t="shared" ca="1" si="188"/>
        <v>0</v>
      </c>
      <c r="AJ89" s="192">
        <f t="shared" ca="1" si="122"/>
        <v>0</v>
      </c>
      <c r="AK89" s="192">
        <f t="shared" ca="1" si="189"/>
        <v>0</v>
      </c>
      <c r="AL89" s="191" t="str">
        <f t="shared" ca="1" si="162"/>
        <v/>
      </c>
      <c r="AM89" s="191" t="str">
        <f t="shared" ca="1" si="163"/>
        <v/>
      </c>
      <c r="AN89" s="191" t="str">
        <f t="shared" ca="1" si="164"/>
        <v/>
      </c>
      <c r="AO89" s="193" t="str">
        <f t="shared" ca="1" si="165"/>
        <v/>
      </c>
      <c r="AP89" s="194" t="str">
        <f t="shared" ca="1" si="135"/>
        <v/>
      </c>
      <c r="AQ89" s="194" t="str">
        <f t="shared" ca="1" si="136"/>
        <v/>
      </c>
      <c r="AR89" s="195">
        <f ca="1">IF(AH89,_xll.xASN(AL89,Strike1,AE89,AP89,0,N89,0,P89,Q89,IF(OptControl=4,0,1),0),0)</f>
        <v>0</v>
      </c>
      <c r="AS89" s="196">
        <f ca="1">IF(AH89,_xll.xASN(AL89,Strike1,AE89,AP89,0,N89,0,P89,Q89,IF(OptControl=4,0,1),1),0)</f>
        <v>0</v>
      </c>
      <c r="AT89" s="196">
        <f ca="1">IF(AH89,_xll.xASN(AL89,Strike1,AE89,AP89,0,N89,0,P89,Q89,IF(OptControl=4,0,1),2),0)</f>
        <v>0</v>
      </c>
      <c r="AU89" s="196">
        <f ca="1">IF(AH89,_xll.xASN(AL89,Strike1,AE89,AP89,0,N89,0,P89,Q89,IF(OptControl=4,0,1),3)/100,0)</f>
        <v>0</v>
      </c>
      <c r="AV89" s="196">
        <f ca="1">IF(AH89,_xll.xASN(AL89,Strike1,AE89,AP89,0,N89,0,P89-DaysForThetaCalculation/365.25,Q89-DaysForThetaCalculation/365.25,IF(OptControl=4,0,1),0)-_xll.xASN(AL89,Strike1,AE89,AP89,0,N89,0,P89,Q89,IF(OptControl=4,0,1),0),0)</f>
        <v>0</v>
      </c>
      <c r="AW89" s="196">
        <f ca="1">IF(AH89,_xll.xASN(AL89,Strike2,AE89,AQ89,0,N89,0,P89,Q89,IF(OptControl=3,1,0),0),0)</f>
        <v>0</v>
      </c>
      <c r="AX89" s="196">
        <f ca="1">IF(AH89,_xll.xASN(AL89,Strike2,AE89,AQ89,0,N89,0,P89,Q89,IF(OptControl=3,1,0),1),0)</f>
        <v>0</v>
      </c>
      <c r="AY89" s="196">
        <f ca="1">IF(AH89,_xll.xASN(AL89,Strike2,AE89,AQ89,0,N89,0,P89,Q89,IF(OptControl=3,1,0),2),0)</f>
        <v>0</v>
      </c>
      <c r="AZ89" s="196">
        <f ca="1">IF(AH89,_xll.xASN(AL89,Strike2,AE89,AQ89,0,N89,0,P89,Q89,IF(OptControl=3,1,0),3)/100,0)</f>
        <v>0</v>
      </c>
      <c r="BA89" s="196">
        <f ca="1">IF(AH89,_xll.xASN(AL89,Strike2,AE89,AQ89,0,N89,0,P89-DaysForThetaCalculation/365.25,Q89-DaysForThetaCalculation/365.25,IF(OptControl=3,1,0),0)-_xll.xASN(AL89,Strike2,AE89,AQ89,0,N89,0,P89,Q89,IF(OptControl=3,1,0),0),0)</f>
        <v>0</v>
      </c>
      <c r="BB89" s="126" t="str">
        <f t="shared" ca="1" si="166"/>
        <v/>
      </c>
      <c r="BC89" s="191" t="str">
        <f t="shared" ca="1" si="167"/>
        <v/>
      </c>
      <c r="BD89" s="191" t="str">
        <f t="shared" ca="1" si="168"/>
        <v/>
      </c>
      <c r="BE89" s="190" t="str">
        <f t="shared" ca="1" si="169"/>
        <v/>
      </c>
      <c r="BF89" s="194" t="str">
        <f t="shared" ca="1" si="170"/>
        <v/>
      </c>
      <c r="BG89" s="194" t="str">
        <f t="shared" ca="1" si="171"/>
        <v/>
      </c>
      <c r="BH89" s="195">
        <f ca="1">IF(AH89,_xll.xEURO(BB89,Strike1,AE89,AE89,BF89,O89,IF(OptControl=4,0,1),0),0)</f>
        <v>0</v>
      </c>
      <c r="BI89" s="196">
        <f ca="1">IF(AH89,_xll.xEURO(BB89,Strike1,AE89,AE89,BF89,O89,IF(OptControl=4,0,1),1),0)</f>
        <v>0</v>
      </c>
      <c r="BJ89" s="196">
        <f ca="1">IF(AH89,_xll.xEURO(BB89,Strike1,AE89,AE89,BF89,O89,IF(OptControl=4,0,1),2),0)</f>
        <v>0</v>
      </c>
      <c r="BK89" s="196">
        <f ca="1">IF(AH89,_xll.xEURO(BB89,Strike1,AE89,AE89,BF89,O89,IF(OptControl=4,0,1),3)/100,0)</f>
        <v>0</v>
      </c>
      <c r="BL89" s="196">
        <f ca="1">IF(AH89,_xll.xEURO(BB89,Strike1,AE89,AE89,BF89,O89-DaysForThetaCalculation,IF(OptControl=4,0,1),0)-_xll.xEURO(BB89,Strike1,AE89,AE89,BF89,O89,IF(OptControl=4,0,1),0),0)</f>
        <v>0</v>
      </c>
      <c r="BM89" s="196">
        <f ca="1">IF(AH89,_xll.xEURO(BB89,Strike2,AE89,AE89,BG89,O89,IF(OptControl=3,1,0),0),0)</f>
        <v>0</v>
      </c>
      <c r="BN89" s="196">
        <f ca="1">IF(AH89,_xll.xEURO(BB89,Strike2,AE89,AE89,BG89,O89,IF(OptControl=3,1,0),1),0)</f>
        <v>0</v>
      </c>
      <c r="BO89" s="196">
        <f ca="1">IF(AH89,_xll.xEURO(BB89,Strike2,AE89,AE89,BG89,O89,IF(OptControl=3,1,0),2),0)</f>
        <v>0</v>
      </c>
      <c r="BP89" s="196">
        <f ca="1">IF(AH89,_xll.xEURO(BB89,Strike2,AE89,AE89,BG89,O89,IF(OptControl=3,1,0),3)/100,0)</f>
        <v>0</v>
      </c>
      <c r="BQ89" s="197">
        <f ca="1">IF(AH89,_xll.xEURO(BB89,Strike2,AE89,AE89,BG89,O89-DaysForThetaCalculation,IF(OptControl=3,1,0),0)-_xll.xEURO(BB89,Strike2,AE89,AE89,BG89,O89,IF(OptControl=3,1,0),0),0)</f>
        <v>0</v>
      </c>
      <c r="BR89" s="301"/>
      <c r="BS89" s="114">
        <v>25.154</v>
      </c>
      <c r="BT89" s="345">
        <f t="shared" si="137"/>
        <v>59.890476190476193</v>
      </c>
      <c r="BU89" s="345">
        <f t="shared" ca="1" si="185"/>
        <v>9.7923333333333389</v>
      </c>
      <c r="BV89" s="73"/>
      <c r="BW89" s="345">
        <f t="shared" ca="1" si="182"/>
        <v>10.156000000000004</v>
      </c>
      <c r="BX89" s="345">
        <f t="shared" ca="1" si="186"/>
        <v>60.015873015873012</v>
      </c>
      <c r="BY89" s="373">
        <f t="shared" ca="1" si="138"/>
        <v>69.815873015873024</v>
      </c>
      <c r="BZ89" s="114">
        <v>25.179000000000002</v>
      </c>
      <c r="CA89" s="345">
        <f t="shared" si="139"/>
        <v>59.95</v>
      </c>
      <c r="CB89" s="345">
        <f t="shared" ca="1" si="187"/>
        <v>6.0123333333333377</v>
      </c>
      <c r="CC89" s="345">
        <f t="shared" ca="1" si="183"/>
        <v>6.698000000000004</v>
      </c>
      <c r="CD89" s="345">
        <f t="shared" ca="1" si="140"/>
        <v>61.582539682539682</v>
      </c>
      <c r="CE89" s="347">
        <f t="shared" ca="1" si="172"/>
        <v>-8.2333333333333414</v>
      </c>
      <c r="CF89" s="114">
        <v>22.684000000000001</v>
      </c>
      <c r="CG89" s="345">
        <f t="shared" si="141"/>
        <v>54.009523809523813</v>
      </c>
      <c r="CH89" s="345">
        <f t="shared" ca="1" si="142"/>
        <v>2.9423333333333375</v>
      </c>
      <c r="CI89" s="73"/>
      <c r="CJ89" s="345">
        <f t="shared" ca="1" si="190"/>
        <v>3.6789999999999994</v>
      </c>
      <c r="CK89" s="345">
        <f t="shared" ca="1" si="184"/>
        <v>55.796825396825398</v>
      </c>
      <c r="CL89" s="345">
        <f t="shared" ca="1" si="143"/>
        <v>54.394444444444431</v>
      </c>
      <c r="CM89" s="114">
        <v>20.975000000000001</v>
      </c>
      <c r="CN89" s="345">
        <f t="shared" si="144"/>
        <v>49.94047619047619</v>
      </c>
      <c r="CO89" s="345">
        <f t="shared" ca="1" si="145"/>
        <v>1.8083333333333371</v>
      </c>
      <c r="CP89" s="345">
        <f t="shared" ref="CP89:CP152" ca="1" si="192">CP77+VLOOKUP(1900+$L89,ProductSpreadTable,5)</f>
        <v>2.5659999999999998</v>
      </c>
      <c r="CQ89" s="345">
        <f t="shared" ca="1" si="146"/>
        <v>51.74444444444444</v>
      </c>
      <c r="CR89" s="347">
        <f t="shared" ca="1" si="173"/>
        <v>-2.6499999999999915</v>
      </c>
      <c r="CS89" s="114">
        <v>22.234999999999999</v>
      </c>
      <c r="CT89" s="345">
        <f t="shared" si="147"/>
        <v>52.94047619047619</v>
      </c>
      <c r="CU89" s="345">
        <f t="shared" si="174"/>
        <v>0.29999999999999716</v>
      </c>
      <c r="CV89" s="345">
        <f t="shared" ca="1" si="191"/>
        <v>1.499999999999994</v>
      </c>
      <c r="CW89" s="347">
        <f t="shared" ca="1" si="175"/>
        <v>55.894444444444424</v>
      </c>
      <c r="CX89" s="483">
        <v>0.18400000000000002</v>
      </c>
      <c r="CY89" s="190">
        <f t="shared" si="148"/>
        <v>4.0000000000003921E-4</v>
      </c>
      <c r="CZ89" s="190">
        <f t="shared" ca="1" si="180"/>
        <v>-0.03</v>
      </c>
      <c r="DA89" s="354">
        <f t="shared" ca="1" si="149"/>
        <v>0.15359999999999999</v>
      </c>
      <c r="DB89" s="483">
        <v>0.18400000000000002</v>
      </c>
      <c r="DC89" s="190">
        <f t="shared" si="150"/>
        <v>4.0000000000003921E-4</v>
      </c>
      <c r="DD89" s="190">
        <f t="shared" ca="1" si="181"/>
        <v>0.03</v>
      </c>
      <c r="DE89" s="354">
        <f t="shared" ca="1" si="151"/>
        <v>0.21359999999999998</v>
      </c>
      <c r="DG89" s="341"/>
      <c r="DH89" s="114"/>
      <c r="DI89" s="126">
        <f t="shared" ca="1" si="176"/>
        <v>-19.166666666666664</v>
      </c>
      <c r="DJ89" s="126">
        <f t="shared" ca="1" si="124"/>
        <v>-2</v>
      </c>
      <c r="DK89" s="356">
        <f t="shared" ca="1" si="125"/>
        <v>17.166666666666664</v>
      </c>
      <c r="DL89" s="114"/>
      <c r="DM89" s="126">
        <f t="shared" ca="1" si="177"/>
        <v>-19.166666666666664</v>
      </c>
      <c r="DN89" s="126">
        <f t="shared" ca="1" si="152"/>
        <v>-3</v>
      </c>
      <c r="DO89" s="356">
        <f t="shared" ca="1" si="126"/>
        <v>16.166666666666664</v>
      </c>
      <c r="DP89" s="114"/>
      <c r="DQ89" s="126">
        <f t="shared" ca="1" si="178"/>
        <v>-19.166666666666664</v>
      </c>
      <c r="DR89" s="126">
        <f t="shared" ca="1" si="153"/>
        <v>-6</v>
      </c>
      <c r="DS89" s="356">
        <f t="shared" ca="1" si="127"/>
        <v>13.166666666666664</v>
      </c>
      <c r="DT89" s="114"/>
      <c r="DU89" s="126">
        <f t="shared" ca="1" si="179"/>
        <v>-19.166666666666664</v>
      </c>
      <c r="DV89" s="126">
        <f t="shared" ca="1" si="154"/>
        <v>-5</v>
      </c>
      <c r="DW89" s="356">
        <f t="shared" ca="1" si="128"/>
        <v>14.166666666666664</v>
      </c>
    </row>
    <row r="90" spans="2:127" x14ac:dyDescent="0.25">
      <c r="B90" s="396">
        <v>38292</v>
      </c>
      <c r="C90" s="400">
        <v>38282</v>
      </c>
      <c r="I90" s="136">
        <f t="shared" ca="1" si="129"/>
        <v>39539</v>
      </c>
      <c r="J90" s="131">
        <f t="shared" ca="1" si="130"/>
        <v>39527</v>
      </c>
      <c r="K90" s="106">
        <f t="shared" ca="1" si="131"/>
        <v>0.63636363636363635</v>
      </c>
      <c r="L90" s="133">
        <f t="shared" ca="1" si="93"/>
        <v>108</v>
      </c>
      <c r="M90" s="134">
        <f t="shared" ca="1" si="94"/>
        <v>4</v>
      </c>
      <c r="N90" s="103">
        <f t="shared" ca="1" si="116"/>
        <v>22</v>
      </c>
      <c r="O90" s="104">
        <f t="shared" ca="1" si="132"/>
        <v>2579</v>
      </c>
      <c r="P90" s="105">
        <f t="shared" ca="1" si="95"/>
        <v>7.0773442847364816</v>
      </c>
      <c r="Q90" s="105">
        <f t="shared" ca="1" si="96"/>
        <v>7.1567419575633124</v>
      </c>
      <c r="R90" s="114">
        <v>19.149999999999999</v>
      </c>
      <c r="S90" s="198">
        <v>0</v>
      </c>
      <c r="T90" s="189">
        <f t="shared" si="133"/>
        <v>19.149999999999999</v>
      </c>
      <c r="U90" s="199">
        <f t="shared" ca="1" si="117"/>
        <v>19.218181818181819</v>
      </c>
      <c r="V90" s="379">
        <f t="shared" ca="1" si="118"/>
        <v>19.218181818181819</v>
      </c>
      <c r="W90" s="483">
        <v>0.1855</v>
      </c>
      <c r="X90" s="166" t="str">
        <f t="shared" ca="1" si="119"/>
        <v/>
      </c>
      <c r="Y90" s="91">
        <f t="shared" ca="1" si="155"/>
        <v>2.4478703813133212E-3</v>
      </c>
      <c r="Z90" s="91">
        <f t="shared" ca="1" si="156"/>
        <v>9.5609592367834118E-4</v>
      </c>
      <c r="AA90" s="91">
        <f t="shared" ca="1" si="157"/>
        <v>3.62789309155518E-4</v>
      </c>
      <c r="AB90" s="91">
        <f t="shared" ca="1" si="158"/>
        <v>8.1729175566555763E-4</v>
      </c>
      <c r="AC90" s="91">
        <f t="shared" ca="1" si="159"/>
        <v>2.1538928968626581E-3</v>
      </c>
      <c r="AD90" s="91">
        <f t="shared" ca="1" si="160"/>
        <v>5.5145623950226029E-3</v>
      </c>
      <c r="AE90" s="124">
        <v>7.3511601494529025E-2</v>
      </c>
      <c r="AF90" s="191">
        <f t="shared" ca="1" si="161"/>
        <v>0.59650630998751686</v>
      </c>
      <c r="AG90" s="189">
        <f t="shared" ca="1" si="134"/>
        <v>1</v>
      </c>
      <c r="AH90" s="192">
        <f t="shared" ca="1" si="120"/>
        <v>0</v>
      </c>
      <c r="AI90" s="192">
        <f t="shared" ca="1" si="188"/>
        <v>0</v>
      </c>
      <c r="AJ90" s="192">
        <f t="shared" ca="1" si="122"/>
        <v>0</v>
      </c>
      <c r="AK90" s="192">
        <f t="shared" ca="1" si="189"/>
        <v>0</v>
      </c>
      <c r="AL90" s="191" t="str">
        <f t="shared" ca="1" si="162"/>
        <v/>
      </c>
      <c r="AM90" s="191" t="str">
        <f t="shared" ca="1" si="163"/>
        <v/>
      </c>
      <c r="AN90" s="191" t="str">
        <f t="shared" ca="1" si="164"/>
        <v/>
      </c>
      <c r="AO90" s="193" t="str">
        <f t="shared" ca="1" si="165"/>
        <v/>
      </c>
      <c r="AP90" s="194" t="str">
        <f t="shared" ca="1" si="135"/>
        <v/>
      </c>
      <c r="AQ90" s="194" t="str">
        <f t="shared" ca="1" si="136"/>
        <v/>
      </c>
      <c r="AR90" s="195">
        <f ca="1">IF(AH90,_xll.xASN(AL90,Strike1,AE90,AP90,0,N90,0,P90,Q90,IF(OptControl=4,0,1),0),0)</f>
        <v>0</v>
      </c>
      <c r="AS90" s="196">
        <f ca="1">IF(AH90,_xll.xASN(AL90,Strike1,AE90,AP90,0,N90,0,P90,Q90,IF(OptControl=4,0,1),1),0)</f>
        <v>0</v>
      </c>
      <c r="AT90" s="196">
        <f ca="1">IF(AH90,_xll.xASN(AL90,Strike1,AE90,AP90,0,N90,0,P90,Q90,IF(OptControl=4,0,1),2),0)</f>
        <v>0</v>
      </c>
      <c r="AU90" s="196">
        <f ca="1">IF(AH90,_xll.xASN(AL90,Strike1,AE90,AP90,0,N90,0,P90,Q90,IF(OptControl=4,0,1),3)/100,0)</f>
        <v>0</v>
      </c>
      <c r="AV90" s="196">
        <f ca="1">IF(AH90,_xll.xASN(AL90,Strike1,AE90,AP90,0,N90,0,P90-DaysForThetaCalculation/365.25,Q90-DaysForThetaCalculation/365.25,IF(OptControl=4,0,1),0)-_xll.xASN(AL90,Strike1,AE90,AP90,0,N90,0,P90,Q90,IF(OptControl=4,0,1),0),0)</f>
        <v>0</v>
      </c>
      <c r="AW90" s="196">
        <f ca="1">IF(AH90,_xll.xASN(AL90,Strike2,AE90,AQ90,0,N90,0,P90,Q90,IF(OptControl=3,1,0),0),0)</f>
        <v>0</v>
      </c>
      <c r="AX90" s="196">
        <f ca="1">IF(AH90,_xll.xASN(AL90,Strike2,AE90,AQ90,0,N90,0,P90,Q90,IF(OptControl=3,1,0),1),0)</f>
        <v>0</v>
      </c>
      <c r="AY90" s="196">
        <f ca="1">IF(AH90,_xll.xASN(AL90,Strike2,AE90,AQ90,0,N90,0,P90,Q90,IF(OptControl=3,1,0),2),0)</f>
        <v>0</v>
      </c>
      <c r="AZ90" s="196">
        <f ca="1">IF(AH90,_xll.xASN(AL90,Strike2,AE90,AQ90,0,N90,0,P90,Q90,IF(OptControl=3,1,0),3)/100,0)</f>
        <v>0</v>
      </c>
      <c r="BA90" s="196">
        <f ca="1">IF(AH90,_xll.xASN(AL90,Strike2,AE90,AQ90,0,N90,0,P90-DaysForThetaCalculation/365.25,Q90-DaysForThetaCalculation/365.25,IF(OptControl=3,1,0),0)-_xll.xASN(AL90,Strike2,AE90,AQ90,0,N90,0,P90,Q90,IF(OptControl=3,1,0),0),0)</f>
        <v>0</v>
      </c>
      <c r="BB90" s="126" t="str">
        <f t="shared" ca="1" si="166"/>
        <v/>
      </c>
      <c r="BC90" s="191" t="str">
        <f t="shared" ca="1" si="167"/>
        <v/>
      </c>
      <c r="BD90" s="191" t="str">
        <f t="shared" ca="1" si="168"/>
        <v/>
      </c>
      <c r="BE90" s="190" t="str">
        <f t="shared" ca="1" si="169"/>
        <v/>
      </c>
      <c r="BF90" s="194" t="str">
        <f t="shared" ca="1" si="170"/>
        <v/>
      </c>
      <c r="BG90" s="194" t="str">
        <f t="shared" ca="1" si="171"/>
        <v/>
      </c>
      <c r="BH90" s="195">
        <f ca="1">IF(AH90,_xll.xEURO(BB90,Strike1,AE90,AE90,BF90,O90,IF(OptControl=4,0,1),0),0)</f>
        <v>0</v>
      </c>
      <c r="BI90" s="196">
        <f ca="1">IF(AH90,_xll.xEURO(BB90,Strike1,AE90,AE90,BF90,O90,IF(OptControl=4,0,1),1),0)</f>
        <v>0</v>
      </c>
      <c r="BJ90" s="196">
        <f ca="1">IF(AH90,_xll.xEURO(BB90,Strike1,AE90,AE90,BF90,O90,IF(OptControl=4,0,1),2),0)</f>
        <v>0</v>
      </c>
      <c r="BK90" s="196">
        <f ca="1">IF(AH90,_xll.xEURO(BB90,Strike1,AE90,AE90,BF90,O90,IF(OptControl=4,0,1),3)/100,0)</f>
        <v>0</v>
      </c>
      <c r="BL90" s="196">
        <f ca="1">IF(AH90,_xll.xEURO(BB90,Strike1,AE90,AE90,BF90,O90-DaysForThetaCalculation,IF(OptControl=4,0,1),0)-_xll.xEURO(BB90,Strike1,AE90,AE90,BF90,O90,IF(OptControl=4,0,1),0),0)</f>
        <v>0</v>
      </c>
      <c r="BM90" s="196">
        <f ca="1">IF(AH90,_xll.xEURO(BB90,Strike2,AE90,AE90,BG90,O90,IF(OptControl=3,1,0),0),0)</f>
        <v>0</v>
      </c>
      <c r="BN90" s="196">
        <f ca="1">IF(AH90,_xll.xEURO(BB90,Strike2,AE90,AE90,BG90,O90,IF(OptControl=3,1,0),1),0)</f>
        <v>0</v>
      </c>
      <c r="BO90" s="196">
        <f ca="1">IF(AH90,_xll.xEURO(BB90,Strike2,AE90,AE90,BG90,O90,IF(OptControl=3,1,0),2),0)</f>
        <v>0</v>
      </c>
      <c r="BP90" s="196">
        <f ca="1">IF(AH90,_xll.xEURO(BB90,Strike2,AE90,AE90,BG90,O90,IF(OptControl=3,1,0),3)/100,0)</f>
        <v>0</v>
      </c>
      <c r="BQ90" s="197">
        <f ca="1">IF(AH90,_xll.xEURO(BB90,Strike2,AE90,AE90,BG90,O90-DaysForThetaCalculation,IF(OptControl=3,1,0),0)-_xll.xEURO(BB90,Strike2,AE90,AE90,BG90,O90,IF(OptControl=3,1,0),0),0)</f>
        <v>0</v>
      </c>
      <c r="BR90" s="301"/>
      <c r="BS90" s="114">
        <v>28.959000000000003</v>
      </c>
      <c r="BT90" s="345">
        <f t="shared" si="137"/>
        <v>68.950000000000017</v>
      </c>
      <c r="BU90" s="345">
        <f t="shared" ca="1" si="185"/>
        <v>8.2788181818181847</v>
      </c>
      <c r="BV90" s="73"/>
      <c r="BW90" s="345">
        <f t="shared" ca="1" si="182"/>
        <v>9.0957142857142887</v>
      </c>
      <c r="BX90" s="345">
        <f t="shared" ca="1" si="186"/>
        <v>69.815873015873024</v>
      </c>
      <c r="BY90" s="373">
        <f t="shared" ca="1" si="138"/>
        <v>67.414038342609771</v>
      </c>
      <c r="BZ90" s="114">
        <v>25.607000000000003</v>
      </c>
      <c r="CA90" s="345">
        <f t="shared" si="139"/>
        <v>60.969047619047629</v>
      </c>
      <c r="CB90" s="345">
        <f t="shared" ca="1" si="187"/>
        <v>6.3888181818181842</v>
      </c>
      <c r="CC90" s="345">
        <f t="shared" ca="1" si="183"/>
        <v>6.4707142857142887</v>
      </c>
      <c r="CD90" s="345">
        <f t="shared" ca="1" si="140"/>
        <v>61.164038342609771</v>
      </c>
      <c r="CE90" s="347">
        <f t="shared" ca="1" si="172"/>
        <v>-6.25</v>
      </c>
      <c r="CF90" s="114">
        <v>22.109000000000002</v>
      </c>
      <c r="CG90" s="345">
        <f t="shared" si="141"/>
        <v>52.640476190476193</v>
      </c>
      <c r="CH90" s="345">
        <f t="shared" ca="1" si="142"/>
        <v>2.3658181818181809</v>
      </c>
      <c r="CI90" s="73"/>
      <c r="CJ90" s="345">
        <f t="shared" ca="1" si="190"/>
        <v>3.1270909090909109</v>
      </c>
      <c r="CK90" s="345">
        <f t="shared" ca="1" si="184"/>
        <v>54.394444444444431</v>
      </c>
      <c r="CL90" s="345">
        <f t="shared" ca="1" si="143"/>
        <v>53.203030303030303</v>
      </c>
      <c r="CM90" s="114">
        <v>20.765000000000001</v>
      </c>
      <c r="CN90" s="345">
        <f t="shared" si="144"/>
        <v>49.44047619047619</v>
      </c>
      <c r="CO90" s="345">
        <f t="shared" ca="1" si="145"/>
        <v>1.5468181818181819</v>
      </c>
      <c r="CP90" s="345">
        <f t="shared" ca="1" si="192"/>
        <v>2.2030909090909079</v>
      </c>
      <c r="CQ90" s="345">
        <f t="shared" ca="1" si="146"/>
        <v>51.0030303030303</v>
      </c>
      <c r="CR90" s="347">
        <f t="shared" ca="1" si="173"/>
        <v>-2.2000000000000028</v>
      </c>
      <c r="CS90" s="114">
        <v>21.71</v>
      </c>
      <c r="CT90" s="345">
        <f t="shared" si="147"/>
        <v>51.69047619047619</v>
      </c>
      <c r="CU90" s="345">
        <f t="shared" si="174"/>
        <v>0.29999999999999716</v>
      </c>
      <c r="CV90" s="345">
        <f t="shared" ca="1" si="191"/>
        <v>1.499999999999994</v>
      </c>
      <c r="CW90" s="347">
        <f t="shared" ca="1" si="175"/>
        <v>54.703030303030296</v>
      </c>
      <c r="CX90" s="483">
        <v>0.18600000000000003</v>
      </c>
      <c r="CY90" s="190">
        <f t="shared" si="148"/>
        <v>5.000000000000282E-4</v>
      </c>
      <c r="CZ90" s="190">
        <f t="shared" ca="1" si="180"/>
        <v>-0.03</v>
      </c>
      <c r="DA90" s="354">
        <f t="shared" ca="1" si="149"/>
        <v>0.1555</v>
      </c>
      <c r="DB90" s="483">
        <v>0.18600000000000003</v>
      </c>
      <c r="DC90" s="190">
        <f t="shared" si="150"/>
        <v>5.000000000000282E-4</v>
      </c>
      <c r="DD90" s="190">
        <f t="shared" ca="1" si="181"/>
        <v>0.03</v>
      </c>
      <c r="DE90" s="354">
        <f t="shared" ca="1" si="151"/>
        <v>0.2155</v>
      </c>
      <c r="DG90" s="341"/>
      <c r="DH90" s="114"/>
      <c r="DI90" s="126">
        <f t="shared" ca="1" si="176"/>
        <v>-19.218181818181819</v>
      </c>
      <c r="DJ90" s="126">
        <f t="shared" ca="1" si="124"/>
        <v>-2</v>
      </c>
      <c r="DK90" s="356">
        <f t="shared" ca="1" si="125"/>
        <v>17.218181818181819</v>
      </c>
      <c r="DL90" s="114"/>
      <c r="DM90" s="126">
        <f t="shared" ca="1" si="177"/>
        <v>-19.218181818181819</v>
      </c>
      <c r="DN90" s="126">
        <f t="shared" ca="1" si="152"/>
        <v>-3</v>
      </c>
      <c r="DO90" s="356">
        <f t="shared" ca="1" si="126"/>
        <v>16.218181818181819</v>
      </c>
      <c r="DP90" s="114"/>
      <c r="DQ90" s="126">
        <f t="shared" ca="1" si="178"/>
        <v>-19.218181818181819</v>
      </c>
      <c r="DR90" s="126">
        <f t="shared" ca="1" si="153"/>
        <v>-6</v>
      </c>
      <c r="DS90" s="356">
        <f t="shared" ca="1" si="127"/>
        <v>13.218181818181819</v>
      </c>
      <c r="DT90" s="114"/>
      <c r="DU90" s="126">
        <f t="shared" ca="1" si="179"/>
        <v>-19.218181818181819</v>
      </c>
      <c r="DV90" s="126">
        <f t="shared" ca="1" si="154"/>
        <v>-5</v>
      </c>
      <c r="DW90" s="356">
        <f t="shared" ca="1" si="128"/>
        <v>14.218181818181819</v>
      </c>
    </row>
    <row r="91" spans="2:127" x14ac:dyDescent="0.25">
      <c r="B91" s="396">
        <v>38322</v>
      </c>
      <c r="C91" s="400">
        <v>38310</v>
      </c>
      <c r="I91" s="136">
        <f t="shared" ca="1" si="129"/>
        <v>39569</v>
      </c>
      <c r="J91" s="131">
        <f t="shared" ca="1" si="130"/>
        <v>39558</v>
      </c>
      <c r="K91" s="106">
        <f t="shared" ca="1" si="131"/>
        <v>0.72727272727272729</v>
      </c>
      <c r="L91" s="133">
        <f t="shared" ca="1" si="93"/>
        <v>108</v>
      </c>
      <c r="M91" s="134">
        <f t="shared" ca="1" si="94"/>
        <v>5</v>
      </c>
      <c r="N91" s="103">
        <f t="shared" ca="1" si="116"/>
        <v>22</v>
      </c>
      <c r="O91" s="104">
        <f t="shared" ca="1" si="132"/>
        <v>2609</v>
      </c>
      <c r="P91" s="105">
        <f t="shared" ca="1" si="95"/>
        <v>7.1594798083504445</v>
      </c>
      <c r="Q91" s="105">
        <f t="shared" ca="1" si="96"/>
        <v>7.2416153319644083</v>
      </c>
      <c r="R91" s="114">
        <v>19.2</v>
      </c>
      <c r="S91" s="198">
        <v>0</v>
      </c>
      <c r="T91" s="189">
        <f t="shared" si="133"/>
        <v>19.2</v>
      </c>
      <c r="U91" s="199">
        <f t="shared" ca="1" si="117"/>
        <v>19.263636363636365</v>
      </c>
      <c r="V91" s="379">
        <f t="shared" ca="1" si="118"/>
        <v>19.263636363636365</v>
      </c>
      <c r="W91" s="483">
        <v>0.18490000000000004</v>
      </c>
      <c r="X91" s="166" t="str">
        <f t="shared" ca="1" si="119"/>
        <v/>
      </c>
      <c r="Y91" s="91">
        <f t="shared" ca="1" si="155"/>
        <v>2.3954651994822344E-3</v>
      </c>
      <c r="Z91" s="91">
        <f t="shared" ca="1" si="156"/>
        <v>9.306179665990339E-4</v>
      </c>
      <c r="AA91" s="91">
        <f t="shared" ca="1" si="157"/>
        <v>3.5217480335678845E-4</v>
      </c>
      <c r="AB91" s="91">
        <f t="shared" ca="1" si="158"/>
        <v>7.9337939700217981E-4</v>
      </c>
      <c r="AC91" s="91">
        <f t="shared" ca="1" si="159"/>
        <v>2.0964961551543934E-3</v>
      </c>
      <c r="AD91" s="91">
        <f t="shared" ca="1" si="160"/>
        <v>5.3965040013935284E-3</v>
      </c>
      <c r="AE91" s="124">
        <v>7.3518946723399023E-2</v>
      </c>
      <c r="AF91" s="191">
        <f t="shared" ca="1" si="161"/>
        <v>0.59283212545257047</v>
      </c>
      <c r="AG91" s="189">
        <f t="shared" ca="1" si="134"/>
        <v>1</v>
      </c>
      <c r="AH91" s="192">
        <f t="shared" ca="1" si="120"/>
        <v>0</v>
      </c>
      <c r="AI91" s="192">
        <f t="shared" ca="1" si="188"/>
        <v>0</v>
      </c>
      <c r="AJ91" s="192">
        <f t="shared" ca="1" si="122"/>
        <v>0</v>
      </c>
      <c r="AK91" s="192">
        <f t="shared" ca="1" si="189"/>
        <v>0</v>
      </c>
      <c r="AL91" s="191" t="str">
        <f t="shared" ca="1" si="162"/>
        <v/>
      </c>
      <c r="AM91" s="191" t="str">
        <f t="shared" ca="1" si="163"/>
        <v/>
      </c>
      <c r="AN91" s="191" t="str">
        <f t="shared" ca="1" si="164"/>
        <v/>
      </c>
      <c r="AO91" s="193" t="str">
        <f t="shared" ca="1" si="165"/>
        <v/>
      </c>
      <c r="AP91" s="194" t="str">
        <f t="shared" ca="1" si="135"/>
        <v/>
      </c>
      <c r="AQ91" s="194" t="str">
        <f t="shared" ca="1" si="136"/>
        <v/>
      </c>
      <c r="AR91" s="195">
        <f ca="1">IF(AH91,_xll.xASN(AL91,Strike1,AE91,AP91,0,N91,0,P91,Q91,IF(OptControl=4,0,1),0),0)</f>
        <v>0</v>
      </c>
      <c r="AS91" s="196">
        <f ca="1">IF(AH91,_xll.xASN(AL91,Strike1,AE91,AP91,0,N91,0,P91,Q91,IF(OptControl=4,0,1),1),0)</f>
        <v>0</v>
      </c>
      <c r="AT91" s="196">
        <f ca="1">IF(AH91,_xll.xASN(AL91,Strike1,AE91,AP91,0,N91,0,P91,Q91,IF(OptControl=4,0,1),2),0)</f>
        <v>0</v>
      </c>
      <c r="AU91" s="196">
        <f ca="1">IF(AH91,_xll.xASN(AL91,Strike1,AE91,AP91,0,N91,0,P91,Q91,IF(OptControl=4,0,1),3)/100,0)</f>
        <v>0</v>
      </c>
      <c r="AV91" s="196">
        <f ca="1">IF(AH91,_xll.xASN(AL91,Strike1,AE91,AP91,0,N91,0,P91-DaysForThetaCalculation/365.25,Q91-DaysForThetaCalculation/365.25,IF(OptControl=4,0,1),0)-_xll.xASN(AL91,Strike1,AE91,AP91,0,N91,0,P91,Q91,IF(OptControl=4,0,1),0),0)</f>
        <v>0</v>
      </c>
      <c r="AW91" s="196">
        <f ca="1">IF(AH91,_xll.xASN(AL91,Strike2,AE91,AQ91,0,N91,0,P91,Q91,IF(OptControl=3,1,0),0),0)</f>
        <v>0</v>
      </c>
      <c r="AX91" s="196">
        <f ca="1">IF(AH91,_xll.xASN(AL91,Strike2,AE91,AQ91,0,N91,0,P91,Q91,IF(OptControl=3,1,0),1),0)</f>
        <v>0</v>
      </c>
      <c r="AY91" s="196">
        <f ca="1">IF(AH91,_xll.xASN(AL91,Strike2,AE91,AQ91,0,N91,0,P91,Q91,IF(OptControl=3,1,0),2),0)</f>
        <v>0</v>
      </c>
      <c r="AZ91" s="196">
        <f ca="1">IF(AH91,_xll.xASN(AL91,Strike2,AE91,AQ91,0,N91,0,P91,Q91,IF(OptControl=3,1,0),3)/100,0)</f>
        <v>0</v>
      </c>
      <c r="BA91" s="196">
        <f ca="1">IF(AH91,_xll.xASN(AL91,Strike2,AE91,AQ91,0,N91,0,P91-DaysForThetaCalculation/365.25,Q91-DaysForThetaCalculation/365.25,IF(OptControl=3,1,0),0)-_xll.xASN(AL91,Strike2,AE91,AQ91,0,N91,0,P91,Q91,IF(OptControl=3,1,0),0),0)</f>
        <v>0</v>
      </c>
      <c r="BB91" s="126" t="str">
        <f t="shared" ca="1" si="166"/>
        <v/>
      </c>
      <c r="BC91" s="191" t="str">
        <f t="shared" ca="1" si="167"/>
        <v/>
      </c>
      <c r="BD91" s="191" t="str">
        <f t="shared" ca="1" si="168"/>
        <v/>
      </c>
      <c r="BE91" s="190" t="str">
        <f t="shared" ca="1" si="169"/>
        <v/>
      </c>
      <c r="BF91" s="194" t="str">
        <f t="shared" ca="1" si="170"/>
        <v/>
      </c>
      <c r="BG91" s="194" t="str">
        <f t="shared" ca="1" si="171"/>
        <v/>
      </c>
      <c r="BH91" s="195">
        <f ca="1">IF(AH91,_xll.xEURO(BB91,Strike1,AE91,AE91,BF91,O91,IF(OptControl=4,0,1),0),0)</f>
        <v>0</v>
      </c>
      <c r="BI91" s="196">
        <f ca="1">IF(AH91,_xll.xEURO(BB91,Strike1,AE91,AE91,BF91,O91,IF(OptControl=4,0,1),1),0)</f>
        <v>0</v>
      </c>
      <c r="BJ91" s="196">
        <f ca="1">IF(AH91,_xll.xEURO(BB91,Strike1,AE91,AE91,BF91,O91,IF(OptControl=4,0,1),2),0)</f>
        <v>0</v>
      </c>
      <c r="BK91" s="196">
        <f ca="1">IF(AH91,_xll.xEURO(BB91,Strike1,AE91,AE91,BF91,O91,IF(OptControl=4,0,1),3)/100,0)</f>
        <v>0</v>
      </c>
      <c r="BL91" s="196">
        <f ca="1">IF(AH91,_xll.xEURO(BB91,Strike1,AE91,AE91,BF91,O91-DaysForThetaCalculation,IF(OptControl=4,0,1),0)-_xll.xEURO(BB91,Strike1,AE91,AE91,BF91,O91,IF(OptControl=4,0,1),0),0)</f>
        <v>0</v>
      </c>
      <c r="BM91" s="196">
        <f ca="1">IF(AH91,_xll.xEURO(BB91,Strike2,AE91,AE91,BG91,O91,IF(OptControl=3,1,0),0),0)</f>
        <v>0</v>
      </c>
      <c r="BN91" s="196">
        <f ca="1">IF(AH91,_xll.xEURO(BB91,Strike2,AE91,AE91,BG91,O91,IF(OptControl=3,1,0),1),0)</f>
        <v>0</v>
      </c>
      <c r="BO91" s="196">
        <f ca="1">IF(AH91,_xll.xEURO(BB91,Strike2,AE91,AE91,BG91,O91,IF(OptControl=3,1,0),2),0)</f>
        <v>0</v>
      </c>
      <c r="BP91" s="196">
        <f ca="1">IF(AH91,_xll.xEURO(BB91,Strike2,AE91,AE91,BG91,O91,IF(OptControl=3,1,0),3)/100,0)</f>
        <v>0</v>
      </c>
      <c r="BQ91" s="197">
        <f ca="1">IF(AH91,_xll.xEURO(BB91,Strike2,AE91,AE91,BG91,O91-DaysForThetaCalculation,IF(OptControl=3,1,0),0)-_xll.xEURO(BB91,Strike2,AE91,AE91,BG91,O91,IF(OptControl=3,1,0),0),0)</f>
        <v>0</v>
      </c>
      <c r="BR91" s="301"/>
      <c r="BS91" s="114">
        <v>27.497000000000003</v>
      </c>
      <c r="BT91" s="345">
        <f t="shared" si="137"/>
        <v>65.469047619047629</v>
      </c>
      <c r="BU91" s="345">
        <f t="shared" ca="1" si="185"/>
        <v>7.7343636363636357</v>
      </c>
      <c r="BV91" s="73"/>
      <c r="BW91" s="345">
        <f t="shared" ca="1" si="182"/>
        <v>8.6039130434782631</v>
      </c>
      <c r="BX91" s="345">
        <f t="shared" ca="1" si="186"/>
        <v>67.414038342609771</v>
      </c>
      <c r="BY91" s="373">
        <f t="shared" ca="1" si="138"/>
        <v>66.351308112177691</v>
      </c>
      <c r="BZ91" s="114">
        <v>25.108000000000004</v>
      </c>
      <c r="CA91" s="345">
        <f t="shared" si="139"/>
        <v>59.780952380952385</v>
      </c>
      <c r="CB91" s="345">
        <f t="shared" ca="1" si="187"/>
        <v>5.8443636363636386</v>
      </c>
      <c r="CC91" s="345">
        <f t="shared" ca="1" si="183"/>
        <v>5.9789130434782631</v>
      </c>
      <c r="CD91" s="345">
        <f t="shared" ca="1" si="140"/>
        <v>60.101308112177691</v>
      </c>
      <c r="CE91" s="347">
        <f t="shared" ca="1" si="172"/>
        <v>-6.25</v>
      </c>
      <c r="CF91" s="114">
        <v>21.584</v>
      </c>
      <c r="CG91" s="345">
        <f t="shared" si="141"/>
        <v>51.390476190476193</v>
      </c>
      <c r="CH91" s="345">
        <f t="shared" ca="1" si="142"/>
        <v>1.9753636363636353</v>
      </c>
      <c r="CI91" s="73"/>
      <c r="CJ91" s="345">
        <f t="shared" ca="1" si="190"/>
        <v>2.7220869565217365</v>
      </c>
      <c r="CK91" s="345">
        <f t="shared" ca="1" si="184"/>
        <v>53.203030303030303</v>
      </c>
      <c r="CL91" s="345">
        <f t="shared" ca="1" si="143"/>
        <v>52.346960286090713</v>
      </c>
      <c r="CM91" s="114">
        <v>20.420000000000002</v>
      </c>
      <c r="CN91" s="345">
        <f t="shared" si="144"/>
        <v>48.619047619047628</v>
      </c>
      <c r="CO91" s="345">
        <f t="shared" ca="1" si="145"/>
        <v>1.1563636363636363</v>
      </c>
      <c r="CP91" s="345">
        <f t="shared" ca="1" si="192"/>
        <v>1.7980869565217406</v>
      </c>
      <c r="CQ91" s="345">
        <f t="shared" ca="1" si="146"/>
        <v>50.146960286090724</v>
      </c>
      <c r="CR91" s="347">
        <f t="shared" ca="1" si="173"/>
        <v>-2.1999999999999886</v>
      </c>
      <c r="CS91" s="114">
        <v>21.364999999999998</v>
      </c>
      <c r="CT91" s="345">
        <f t="shared" si="147"/>
        <v>50.86904761904762</v>
      </c>
      <c r="CU91" s="345">
        <f t="shared" si="174"/>
        <v>0.29999999999999716</v>
      </c>
      <c r="CV91" s="345">
        <f t="shared" ca="1" si="191"/>
        <v>1.5000000000000082</v>
      </c>
      <c r="CW91" s="347">
        <f t="shared" ca="1" si="175"/>
        <v>53.84696028609072</v>
      </c>
      <c r="CX91" s="483">
        <v>0.185</v>
      </c>
      <c r="CY91" s="190">
        <f t="shared" si="148"/>
        <v>9.9999999999961231E-5</v>
      </c>
      <c r="CZ91" s="190">
        <f t="shared" ca="1" si="180"/>
        <v>-0.03</v>
      </c>
      <c r="DA91" s="354">
        <f t="shared" ca="1" si="149"/>
        <v>0.15490000000000004</v>
      </c>
      <c r="DB91" s="483">
        <v>0.185</v>
      </c>
      <c r="DC91" s="190">
        <f t="shared" si="150"/>
        <v>9.9999999999961231E-5</v>
      </c>
      <c r="DD91" s="190">
        <f t="shared" ca="1" si="181"/>
        <v>0.03</v>
      </c>
      <c r="DE91" s="354">
        <f t="shared" ca="1" si="151"/>
        <v>0.21490000000000004</v>
      </c>
      <c r="DG91" s="341"/>
      <c r="DH91" s="114"/>
      <c r="DI91" s="126">
        <f t="shared" ca="1" si="176"/>
        <v>-19.263636363636365</v>
      </c>
      <c r="DJ91" s="126">
        <f t="shared" ca="1" si="124"/>
        <v>-2</v>
      </c>
      <c r="DK91" s="356">
        <f t="shared" ca="1" si="125"/>
        <v>17.263636363636365</v>
      </c>
      <c r="DL91" s="114"/>
      <c r="DM91" s="126">
        <f t="shared" ca="1" si="177"/>
        <v>-19.263636363636365</v>
      </c>
      <c r="DN91" s="126">
        <f t="shared" ca="1" si="152"/>
        <v>-3</v>
      </c>
      <c r="DO91" s="356">
        <f t="shared" ca="1" si="126"/>
        <v>16.263636363636365</v>
      </c>
      <c r="DP91" s="114"/>
      <c r="DQ91" s="126">
        <f t="shared" ca="1" si="178"/>
        <v>-19.263636363636365</v>
      </c>
      <c r="DR91" s="126">
        <f t="shared" ca="1" si="153"/>
        <v>-6</v>
      </c>
      <c r="DS91" s="356">
        <f t="shared" ca="1" si="127"/>
        <v>13.263636363636365</v>
      </c>
      <c r="DT91" s="114"/>
      <c r="DU91" s="126">
        <f t="shared" ca="1" si="179"/>
        <v>-19.263636363636365</v>
      </c>
      <c r="DV91" s="126">
        <f t="shared" ca="1" si="154"/>
        <v>-5</v>
      </c>
      <c r="DW91" s="356">
        <f t="shared" ca="1" si="128"/>
        <v>14.263636363636365</v>
      </c>
    </row>
    <row r="92" spans="2:127" x14ac:dyDescent="0.25">
      <c r="B92" s="396">
        <v>38353</v>
      </c>
      <c r="C92" s="400">
        <v>38340</v>
      </c>
      <c r="I92" s="136">
        <f t="shared" ca="1" si="129"/>
        <v>39600</v>
      </c>
      <c r="J92" s="131">
        <f t="shared" ca="1" si="130"/>
        <v>39590</v>
      </c>
      <c r="K92" s="106">
        <f t="shared" ca="1" si="131"/>
        <v>0.7142857142857143</v>
      </c>
      <c r="L92" s="133">
        <f t="shared" ca="1" si="93"/>
        <v>108</v>
      </c>
      <c r="M92" s="134">
        <f t="shared" ca="1" si="94"/>
        <v>6</v>
      </c>
      <c r="N92" s="103">
        <f t="shared" ca="1" si="116"/>
        <v>21</v>
      </c>
      <c r="O92" s="104">
        <f t="shared" ca="1" si="132"/>
        <v>2641</v>
      </c>
      <c r="P92" s="105">
        <f t="shared" ca="1" si="95"/>
        <v>7.2443531827515404</v>
      </c>
      <c r="Q92" s="105">
        <f t="shared" ca="1" si="96"/>
        <v>7.3237508555783712</v>
      </c>
      <c r="R92" s="114">
        <v>19.25</v>
      </c>
      <c r="S92" s="198">
        <v>0</v>
      </c>
      <c r="T92" s="189">
        <f t="shared" si="133"/>
        <v>19.25</v>
      </c>
      <c r="U92" s="199">
        <f t="shared" ca="1" si="117"/>
        <v>19.314285714285717</v>
      </c>
      <c r="V92" s="379">
        <f t="shared" ca="1" si="118"/>
        <v>19.314285714285717</v>
      </c>
      <c r="W92" s="483">
        <v>0.18429999999999999</v>
      </c>
      <c r="X92" s="166" t="str">
        <f t="shared" ca="1" si="119"/>
        <v/>
      </c>
      <c r="Y92" s="91">
        <f t="shared" ca="1" si="155"/>
        <v>2.3441819328896807E-3</v>
      </c>
      <c r="Z92" s="91">
        <f t="shared" ca="1" si="156"/>
        <v>9.0581894379907976E-4</v>
      </c>
      <c r="AA92" s="91">
        <f t="shared" ca="1" si="157"/>
        <v>3.4187085724244855E-4</v>
      </c>
      <c r="AB92" s="91">
        <f t="shared" ca="1" si="158"/>
        <v>7.7016666719579489E-4</v>
      </c>
      <c r="AC92" s="91">
        <f t="shared" ca="1" si="159"/>
        <v>2.0406289165906554E-3</v>
      </c>
      <c r="AD92" s="91">
        <f t="shared" ca="1" si="160"/>
        <v>5.2809730584138211E-3</v>
      </c>
      <c r="AE92" s="124">
        <v>7.3526536793250025E-2</v>
      </c>
      <c r="AF92" s="191">
        <f t="shared" ca="1" si="161"/>
        <v>0.5892953320545643</v>
      </c>
      <c r="AG92" s="189">
        <f t="shared" ca="1" si="134"/>
        <v>1</v>
      </c>
      <c r="AH92" s="192">
        <f t="shared" ca="1" si="120"/>
        <v>0</v>
      </c>
      <c r="AI92" s="192">
        <f t="shared" ca="1" si="188"/>
        <v>0</v>
      </c>
      <c r="AJ92" s="192">
        <f t="shared" ca="1" si="122"/>
        <v>0</v>
      </c>
      <c r="AK92" s="192">
        <f t="shared" ca="1" si="189"/>
        <v>0</v>
      </c>
      <c r="AL92" s="191" t="str">
        <f t="shared" ca="1" si="162"/>
        <v/>
      </c>
      <c r="AM92" s="191" t="str">
        <f t="shared" ca="1" si="163"/>
        <v/>
      </c>
      <c r="AN92" s="191" t="str">
        <f t="shared" ca="1" si="164"/>
        <v/>
      </c>
      <c r="AO92" s="193" t="str">
        <f t="shared" ca="1" si="165"/>
        <v/>
      </c>
      <c r="AP92" s="194" t="str">
        <f t="shared" ca="1" si="135"/>
        <v/>
      </c>
      <c r="AQ92" s="194" t="str">
        <f t="shared" ca="1" si="136"/>
        <v/>
      </c>
      <c r="AR92" s="195">
        <f ca="1">IF(AH92,_xll.xASN(AL92,Strike1,AE92,AP92,0,N92,0,P92,Q92,IF(OptControl=4,0,1),0),0)</f>
        <v>0</v>
      </c>
      <c r="AS92" s="196">
        <f ca="1">IF(AH92,_xll.xASN(AL92,Strike1,AE92,AP92,0,N92,0,P92,Q92,IF(OptControl=4,0,1),1),0)</f>
        <v>0</v>
      </c>
      <c r="AT92" s="196">
        <f ca="1">IF(AH92,_xll.xASN(AL92,Strike1,AE92,AP92,0,N92,0,P92,Q92,IF(OptControl=4,0,1),2),0)</f>
        <v>0</v>
      </c>
      <c r="AU92" s="196">
        <f ca="1">IF(AH92,_xll.xASN(AL92,Strike1,AE92,AP92,0,N92,0,P92,Q92,IF(OptControl=4,0,1),3)/100,0)</f>
        <v>0</v>
      </c>
      <c r="AV92" s="196">
        <f ca="1">IF(AH92,_xll.xASN(AL92,Strike1,AE92,AP92,0,N92,0,P92-DaysForThetaCalculation/365.25,Q92-DaysForThetaCalculation/365.25,IF(OptControl=4,0,1),0)-_xll.xASN(AL92,Strike1,AE92,AP92,0,N92,0,P92,Q92,IF(OptControl=4,0,1),0),0)</f>
        <v>0</v>
      </c>
      <c r="AW92" s="196">
        <f ca="1">IF(AH92,_xll.xASN(AL92,Strike2,AE92,AQ92,0,N92,0,P92,Q92,IF(OptControl=3,1,0),0),0)</f>
        <v>0</v>
      </c>
      <c r="AX92" s="196">
        <f ca="1">IF(AH92,_xll.xASN(AL92,Strike2,AE92,AQ92,0,N92,0,P92,Q92,IF(OptControl=3,1,0),1),0)</f>
        <v>0</v>
      </c>
      <c r="AY92" s="196">
        <f ca="1">IF(AH92,_xll.xASN(AL92,Strike2,AE92,AQ92,0,N92,0,P92,Q92,IF(OptControl=3,1,0),2),0)</f>
        <v>0</v>
      </c>
      <c r="AZ92" s="196">
        <f ca="1">IF(AH92,_xll.xASN(AL92,Strike2,AE92,AQ92,0,N92,0,P92,Q92,IF(OptControl=3,1,0),3)/100,0)</f>
        <v>0</v>
      </c>
      <c r="BA92" s="196">
        <f ca="1">IF(AH92,_xll.xASN(AL92,Strike2,AE92,AQ92,0,N92,0,P92-DaysForThetaCalculation/365.25,Q92-DaysForThetaCalculation/365.25,IF(OptControl=3,1,0),0)-_xll.xASN(AL92,Strike2,AE92,AQ92,0,N92,0,P92,Q92,IF(OptControl=3,1,0),0),0)</f>
        <v>0</v>
      </c>
      <c r="BB92" s="126" t="str">
        <f t="shared" ca="1" si="166"/>
        <v/>
      </c>
      <c r="BC92" s="191" t="str">
        <f t="shared" ca="1" si="167"/>
        <v/>
      </c>
      <c r="BD92" s="191" t="str">
        <f t="shared" ca="1" si="168"/>
        <v/>
      </c>
      <c r="BE92" s="190" t="str">
        <f t="shared" ca="1" si="169"/>
        <v/>
      </c>
      <c r="BF92" s="194" t="str">
        <f t="shared" ca="1" si="170"/>
        <v/>
      </c>
      <c r="BG92" s="194" t="str">
        <f t="shared" ca="1" si="171"/>
        <v/>
      </c>
      <c r="BH92" s="195">
        <f ca="1">IF(AH92,_xll.xEURO(BB92,Strike1,AE92,AE92,BF92,O92,IF(OptControl=4,0,1),0),0)</f>
        <v>0</v>
      </c>
      <c r="BI92" s="196">
        <f ca="1">IF(AH92,_xll.xEURO(BB92,Strike1,AE92,AE92,BF92,O92,IF(OptControl=4,0,1),1),0)</f>
        <v>0</v>
      </c>
      <c r="BJ92" s="196">
        <f ca="1">IF(AH92,_xll.xEURO(BB92,Strike1,AE92,AE92,BF92,O92,IF(OptControl=4,0,1),2),0)</f>
        <v>0</v>
      </c>
      <c r="BK92" s="196">
        <f ca="1">IF(AH92,_xll.xEURO(BB92,Strike1,AE92,AE92,BF92,O92,IF(OptControl=4,0,1),3)/100,0)</f>
        <v>0</v>
      </c>
      <c r="BL92" s="196">
        <f ca="1">IF(AH92,_xll.xEURO(BB92,Strike1,AE92,AE92,BF92,O92-DaysForThetaCalculation,IF(OptControl=4,0,1),0)-_xll.xEURO(BB92,Strike1,AE92,AE92,BF92,O92,IF(OptControl=4,0,1),0),0)</f>
        <v>0</v>
      </c>
      <c r="BM92" s="196">
        <f ca="1">IF(AH92,_xll.xEURO(BB92,Strike2,AE92,AE92,BG92,O92,IF(OptControl=3,1,0),0),0)</f>
        <v>0</v>
      </c>
      <c r="BN92" s="196">
        <f ca="1">IF(AH92,_xll.xEURO(BB92,Strike2,AE92,AE92,BG92,O92,IF(OptControl=3,1,0),1),0)</f>
        <v>0</v>
      </c>
      <c r="BO92" s="196">
        <f ca="1">IF(AH92,_xll.xEURO(BB92,Strike2,AE92,AE92,BG92,O92,IF(OptControl=3,1,0),2),0)</f>
        <v>0</v>
      </c>
      <c r="BP92" s="196">
        <f ca="1">IF(AH92,_xll.xEURO(BB92,Strike2,AE92,AE92,BG92,O92,IF(OptControl=3,1,0),3)/100,0)</f>
        <v>0</v>
      </c>
      <c r="BQ92" s="197">
        <f ca="1">IF(AH92,_xll.xEURO(BB92,Strike2,AE92,AE92,BG92,O92-DaysForThetaCalculation,IF(OptControl=3,1,0),0)-_xll.xEURO(BB92,Strike2,AE92,AE92,BG92,O92,IF(OptControl=3,1,0),0),0)</f>
        <v>0</v>
      </c>
      <c r="BR92" s="301"/>
      <c r="BS92" s="114">
        <v>26.998000000000001</v>
      </c>
      <c r="BT92" s="345">
        <f t="shared" si="137"/>
        <v>64.280952380952385</v>
      </c>
      <c r="BU92" s="345">
        <f t="shared" ca="1" si="185"/>
        <v>7.2967142857142839</v>
      </c>
      <c r="BV92" s="73"/>
      <c r="BW92" s="345">
        <f t="shared" ca="1" si="182"/>
        <v>8.1236666666666704</v>
      </c>
      <c r="BX92" s="345">
        <f t="shared" ca="1" si="186"/>
        <v>66.351308112177691</v>
      </c>
      <c r="BY92" s="373">
        <f t="shared" ca="1" si="138"/>
        <v>65.328458049886635</v>
      </c>
      <c r="BZ92" s="114">
        <v>24.721</v>
      </c>
      <c r="CA92" s="345">
        <f t="shared" si="139"/>
        <v>58.859523809523807</v>
      </c>
      <c r="CB92" s="345">
        <f t="shared" ca="1" si="187"/>
        <v>5.4067142857142834</v>
      </c>
      <c r="CC92" s="345">
        <f t="shared" ca="1" si="183"/>
        <v>5.4986666666666739</v>
      </c>
      <c r="CD92" s="345">
        <f t="shared" ca="1" si="140"/>
        <v>59.078458049886635</v>
      </c>
      <c r="CE92" s="347">
        <f t="shared" ca="1" si="172"/>
        <v>-6.25</v>
      </c>
      <c r="CF92" s="114">
        <v>21.239000000000001</v>
      </c>
      <c r="CG92" s="345">
        <f t="shared" si="141"/>
        <v>50.569047619047623</v>
      </c>
      <c r="CH92" s="345">
        <f t="shared" ca="1" si="142"/>
        <v>2.0557142857142843</v>
      </c>
      <c r="CI92" s="73"/>
      <c r="CJ92" s="345">
        <f t="shared" ca="1" si="190"/>
        <v>2.7970000000000015</v>
      </c>
      <c r="CK92" s="345">
        <f t="shared" ca="1" si="184"/>
        <v>52.346960286090713</v>
      </c>
      <c r="CL92" s="345">
        <f t="shared" ca="1" si="143"/>
        <v>52.645918367346951</v>
      </c>
      <c r="CM92" s="114">
        <v>20.550999999999998</v>
      </c>
      <c r="CN92" s="345">
        <f t="shared" si="144"/>
        <v>48.930952380952377</v>
      </c>
      <c r="CO92" s="345">
        <f t="shared" ca="1" si="145"/>
        <v>1.2367142857142817</v>
      </c>
      <c r="CP92" s="345">
        <f t="shared" ca="1" si="192"/>
        <v>1.8729999999999984</v>
      </c>
      <c r="CQ92" s="345">
        <f t="shared" ca="1" si="146"/>
        <v>50.445918367346934</v>
      </c>
      <c r="CR92" s="347">
        <f t="shared" ca="1" si="173"/>
        <v>-2.2000000000000171</v>
      </c>
      <c r="CS92" s="114">
        <v>21.495999999999999</v>
      </c>
      <c r="CT92" s="345">
        <f t="shared" si="147"/>
        <v>51.180952380952377</v>
      </c>
      <c r="CU92" s="345">
        <f t="shared" si="174"/>
        <v>0.29999999999999716</v>
      </c>
      <c r="CV92" s="345">
        <f t="shared" ca="1" si="191"/>
        <v>1.499999999999994</v>
      </c>
      <c r="CW92" s="347">
        <f t="shared" ca="1" si="175"/>
        <v>54.145918367346944</v>
      </c>
      <c r="CX92" s="483">
        <v>0.18400000000000002</v>
      </c>
      <c r="CY92" s="190">
        <f t="shared" si="148"/>
        <v>-2.9999999999996696E-4</v>
      </c>
      <c r="CZ92" s="190">
        <f t="shared" ca="1" si="180"/>
        <v>-0.03</v>
      </c>
      <c r="DA92" s="354">
        <f t="shared" ca="1" si="149"/>
        <v>0.15429999999999999</v>
      </c>
      <c r="DB92" s="483">
        <v>0.18400000000000002</v>
      </c>
      <c r="DC92" s="190">
        <f t="shared" si="150"/>
        <v>-2.9999999999996696E-4</v>
      </c>
      <c r="DD92" s="190">
        <f t="shared" ca="1" si="181"/>
        <v>0.03</v>
      </c>
      <c r="DE92" s="354">
        <f t="shared" ca="1" si="151"/>
        <v>0.21429999999999999</v>
      </c>
      <c r="DG92" s="341"/>
      <c r="DH92" s="114"/>
      <c r="DI92" s="126">
        <f t="shared" ca="1" si="176"/>
        <v>-19.314285714285717</v>
      </c>
      <c r="DJ92" s="126">
        <f t="shared" ca="1" si="124"/>
        <v>-2</v>
      </c>
      <c r="DK92" s="356">
        <f t="shared" ca="1" si="125"/>
        <v>17.314285714285717</v>
      </c>
      <c r="DL92" s="114"/>
      <c r="DM92" s="126">
        <f t="shared" ca="1" si="177"/>
        <v>-19.314285714285717</v>
      </c>
      <c r="DN92" s="126">
        <f t="shared" ca="1" si="152"/>
        <v>-3</v>
      </c>
      <c r="DO92" s="356">
        <f t="shared" ca="1" si="126"/>
        <v>16.314285714285717</v>
      </c>
      <c r="DP92" s="114"/>
      <c r="DQ92" s="126">
        <f t="shared" ca="1" si="178"/>
        <v>-19.314285714285717</v>
      </c>
      <c r="DR92" s="126">
        <f t="shared" ca="1" si="153"/>
        <v>-6</v>
      </c>
      <c r="DS92" s="356">
        <f t="shared" ca="1" si="127"/>
        <v>13.314285714285717</v>
      </c>
      <c r="DT92" s="114"/>
      <c r="DU92" s="126">
        <f t="shared" ca="1" si="179"/>
        <v>-19.314285714285717</v>
      </c>
      <c r="DV92" s="126">
        <f t="shared" ca="1" si="154"/>
        <v>-5</v>
      </c>
      <c r="DW92" s="356">
        <f t="shared" ca="1" si="128"/>
        <v>14.314285714285717</v>
      </c>
    </row>
    <row r="93" spans="2:127" x14ac:dyDescent="0.25">
      <c r="B93" s="396">
        <v>38384</v>
      </c>
      <c r="C93" s="400">
        <v>38374</v>
      </c>
      <c r="I93" s="136">
        <f t="shared" ca="1" si="129"/>
        <v>39630</v>
      </c>
      <c r="J93" s="131">
        <f t="shared" ca="1" si="130"/>
        <v>39619</v>
      </c>
      <c r="K93" s="106">
        <f t="shared" ca="1" si="131"/>
        <v>0.60869565217391308</v>
      </c>
      <c r="L93" s="133">
        <f t="shared" ca="1" si="93"/>
        <v>108</v>
      </c>
      <c r="M93" s="134">
        <f t="shared" ca="1" si="94"/>
        <v>7</v>
      </c>
      <c r="N93" s="103">
        <f t="shared" ca="1" si="116"/>
        <v>23</v>
      </c>
      <c r="O93" s="104">
        <f t="shared" ca="1" si="132"/>
        <v>2670</v>
      </c>
      <c r="P93" s="105">
        <f t="shared" ca="1" si="95"/>
        <v>7.3264887063655033</v>
      </c>
      <c r="Q93" s="105">
        <f t="shared" ca="1" si="96"/>
        <v>7.4086242299794662</v>
      </c>
      <c r="R93" s="114">
        <v>19.3</v>
      </c>
      <c r="S93" s="198">
        <v>0</v>
      </c>
      <c r="T93" s="189">
        <f t="shared" si="133"/>
        <v>19.3</v>
      </c>
      <c r="U93" s="199">
        <f t="shared" ca="1" si="117"/>
        <v>19.369565217391305</v>
      </c>
      <c r="V93" s="379">
        <f t="shared" ca="1" si="118"/>
        <v>19.369565217391305</v>
      </c>
      <c r="W93" s="483">
        <v>0.1837</v>
      </c>
      <c r="X93" s="166" t="str">
        <f t="shared" ca="1" si="119"/>
        <v/>
      </c>
      <c r="Y93" s="91">
        <f t="shared" ca="1" si="155"/>
        <v>2.2939965630367548E-3</v>
      </c>
      <c r="Z93" s="91">
        <f t="shared" ca="1" si="156"/>
        <v>8.8168076309964958E-4</v>
      </c>
      <c r="AA93" s="91">
        <f t="shared" ca="1" si="157"/>
        <v>3.3186838444339197E-4</v>
      </c>
      <c r="AB93" s="91">
        <f t="shared" ca="1" si="158"/>
        <v>7.4763309647408029E-4</v>
      </c>
      <c r="AC93" s="91">
        <f t="shared" ca="1" si="159"/>
        <v>1.9862504231109778E-3</v>
      </c>
      <c r="AD93" s="91">
        <f t="shared" ca="1" si="160"/>
        <v>5.1679154572091468E-3</v>
      </c>
      <c r="AE93" s="124">
        <v>7.3533882022156022E-2</v>
      </c>
      <c r="AF93" s="191">
        <f t="shared" ca="1" si="161"/>
        <v>0.58566415476125377</v>
      </c>
      <c r="AG93" s="189">
        <f t="shared" ca="1" si="134"/>
        <v>1</v>
      </c>
      <c r="AH93" s="192">
        <f t="shared" ca="1" si="120"/>
        <v>0</v>
      </c>
      <c r="AI93" s="192">
        <f t="shared" ca="1" si="188"/>
        <v>0</v>
      </c>
      <c r="AJ93" s="192">
        <f t="shared" ca="1" si="122"/>
        <v>0</v>
      </c>
      <c r="AK93" s="192">
        <f t="shared" ca="1" si="189"/>
        <v>0</v>
      </c>
      <c r="AL93" s="191" t="str">
        <f t="shared" ca="1" si="162"/>
        <v/>
      </c>
      <c r="AM93" s="191" t="str">
        <f t="shared" ca="1" si="163"/>
        <v/>
      </c>
      <c r="AN93" s="191" t="str">
        <f t="shared" ca="1" si="164"/>
        <v/>
      </c>
      <c r="AO93" s="193" t="str">
        <f t="shared" ca="1" si="165"/>
        <v/>
      </c>
      <c r="AP93" s="194" t="str">
        <f t="shared" ca="1" si="135"/>
        <v/>
      </c>
      <c r="AQ93" s="194" t="str">
        <f t="shared" ca="1" si="136"/>
        <v/>
      </c>
      <c r="AR93" s="195">
        <f ca="1">IF(AH93,_xll.xASN(AL93,Strike1,AE93,AP93,0,N93,0,P93,Q93,IF(OptControl=4,0,1),0),0)</f>
        <v>0</v>
      </c>
      <c r="AS93" s="196">
        <f ca="1">IF(AH93,_xll.xASN(AL93,Strike1,AE93,AP93,0,N93,0,P93,Q93,IF(OptControl=4,0,1),1),0)</f>
        <v>0</v>
      </c>
      <c r="AT93" s="196">
        <f ca="1">IF(AH93,_xll.xASN(AL93,Strike1,AE93,AP93,0,N93,0,P93,Q93,IF(OptControl=4,0,1),2),0)</f>
        <v>0</v>
      </c>
      <c r="AU93" s="196">
        <f ca="1">IF(AH93,_xll.xASN(AL93,Strike1,AE93,AP93,0,N93,0,P93,Q93,IF(OptControl=4,0,1),3)/100,0)</f>
        <v>0</v>
      </c>
      <c r="AV93" s="196">
        <f ca="1">IF(AH93,_xll.xASN(AL93,Strike1,AE93,AP93,0,N93,0,P93-DaysForThetaCalculation/365.25,Q93-DaysForThetaCalculation/365.25,IF(OptControl=4,0,1),0)-_xll.xASN(AL93,Strike1,AE93,AP93,0,N93,0,P93,Q93,IF(OptControl=4,0,1),0),0)</f>
        <v>0</v>
      </c>
      <c r="AW93" s="196">
        <f ca="1">IF(AH93,_xll.xASN(AL93,Strike2,AE93,AQ93,0,N93,0,P93,Q93,IF(OptControl=3,1,0),0),0)</f>
        <v>0</v>
      </c>
      <c r="AX93" s="196">
        <f ca="1">IF(AH93,_xll.xASN(AL93,Strike2,AE93,AQ93,0,N93,0,P93,Q93,IF(OptControl=3,1,0),1),0)</f>
        <v>0</v>
      </c>
      <c r="AY93" s="196">
        <f ca="1">IF(AH93,_xll.xASN(AL93,Strike2,AE93,AQ93,0,N93,0,P93,Q93,IF(OptControl=3,1,0),2),0)</f>
        <v>0</v>
      </c>
      <c r="AZ93" s="196">
        <f ca="1">IF(AH93,_xll.xASN(AL93,Strike2,AE93,AQ93,0,N93,0,P93,Q93,IF(OptControl=3,1,0),3)/100,0)</f>
        <v>0</v>
      </c>
      <c r="BA93" s="196">
        <f ca="1">IF(AH93,_xll.xASN(AL93,Strike2,AE93,AQ93,0,N93,0,P93-DaysForThetaCalculation/365.25,Q93-DaysForThetaCalculation/365.25,IF(OptControl=3,1,0),0)-_xll.xASN(AL93,Strike2,AE93,AQ93,0,N93,0,P93,Q93,IF(OptControl=3,1,0),0),0)</f>
        <v>0</v>
      </c>
      <c r="BB93" s="126" t="str">
        <f t="shared" ca="1" si="166"/>
        <v/>
      </c>
      <c r="BC93" s="191" t="str">
        <f t="shared" ca="1" si="167"/>
        <v/>
      </c>
      <c r="BD93" s="191" t="str">
        <f t="shared" ca="1" si="168"/>
        <v/>
      </c>
      <c r="BE93" s="190" t="str">
        <f t="shared" ca="1" si="169"/>
        <v/>
      </c>
      <c r="BF93" s="194" t="str">
        <f t="shared" ca="1" si="170"/>
        <v/>
      </c>
      <c r="BG93" s="194" t="str">
        <f t="shared" ca="1" si="171"/>
        <v/>
      </c>
      <c r="BH93" s="195">
        <f ca="1">IF(AH93,_xll.xEURO(BB93,Strike1,AE93,AE93,BF93,O93,IF(OptControl=4,0,1),0),0)</f>
        <v>0</v>
      </c>
      <c r="BI93" s="196">
        <f ca="1">IF(AH93,_xll.xEURO(BB93,Strike1,AE93,AE93,BF93,O93,IF(OptControl=4,0,1),1),0)</f>
        <v>0</v>
      </c>
      <c r="BJ93" s="196">
        <f ca="1">IF(AH93,_xll.xEURO(BB93,Strike1,AE93,AE93,BF93,O93,IF(OptControl=4,0,1),2),0)</f>
        <v>0</v>
      </c>
      <c r="BK93" s="196">
        <f ca="1">IF(AH93,_xll.xEURO(BB93,Strike1,AE93,AE93,BF93,O93,IF(OptControl=4,0,1),3)/100,0)</f>
        <v>0</v>
      </c>
      <c r="BL93" s="196">
        <f ca="1">IF(AH93,_xll.xEURO(BB93,Strike1,AE93,AE93,BF93,O93-DaysForThetaCalculation,IF(OptControl=4,0,1),0)-_xll.xEURO(BB93,Strike1,AE93,AE93,BF93,O93,IF(OptControl=4,0,1),0),0)</f>
        <v>0</v>
      </c>
      <c r="BM93" s="196">
        <f ca="1">IF(AH93,_xll.xEURO(BB93,Strike2,AE93,AE93,BG93,O93,IF(OptControl=3,1,0),0),0)</f>
        <v>0</v>
      </c>
      <c r="BN93" s="196">
        <f ca="1">IF(AH93,_xll.xEURO(BB93,Strike2,AE93,AE93,BG93,O93,IF(OptControl=3,1,0),1),0)</f>
        <v>0</v>
      </c>
      <c r="BO93" s="196">
        <f ca="1">IF(AH93,_xll.xEURO(BB93,Strike2,AE93,AE93,BG93,O93,IF(OptControl=3,1,0),2),0)</f>
        <v>0</v>
      </c>
      <c r="BP93" s="196">
        <f ca="1">IF(AH93,_xll.xEURO(BB93,Strike2,AE93,AE93,BG93,O93,IF(OptControl=3,1,0),3)/100,0)</f>
        <v>0</v>
      </c>
      <c r="BQ93" s="197">
        <f ca="1">IF(AH93,_xll.xEURO(BB93,Strike2,AE93,AE93,BG93,O93-DaysForThetaCalculation,IF(OptControl=3,1,0),0)-_xll.xEURO(BB93,Strike2,AE93,AE93,BG93,O93,IF(OptControl=3,1,0),0),0)</f>
        <v>0</v>
      </c>
      <c r="BR93" s="301"/>
      <c r="BS93" s="114">
        <v>26.611000000000001</v>
      </c>
      <c r="BT93" s="345">
        <f t="shared" si="137"/>
        <v>63.359523809523807</v>
      </c>
      <c r="BU93" s="345">
        <f t="shared" ca="1" si="185"/>
        <v>6.758434782608699</v>
      </c>
      <c r="BV93" s="73"/>
      <c r="BW93" s="345">
        <f t="shared" ca="1" si="182"/>
        <v>7.5833636363636483</v>
      </c>
      <c r="BX93" s="345">
        <f t="shared" ca="1" si="186"/>
        <v>65.328458049886635</v>
      </c>
      <c r="BY93" s="373">
        <f t="shared" ca="1" si="138"/>
        <v>64.173640127987994</v>
      </c>
      <c r="BZ93" s="114">
        <v>24.238000000000003</v>
      </c>
      <c r="CA93" s="345">
        <f t="shared" si="139"/>
        <v>57.709523809523816</v>
      </c>
      <c r="CB93" s="345">
        <f t="shared" ca="1" si="187"/>
        <v>4.8684347826086984</v>
      </c>
      <c r="CC93" s="345">
        <f t="shared" ca="1" si="183"/>
        <v>5.1683636363636456</v>
      </c>
      <c r="CD93" s="345">
        <f t="shared" ca="1" si="140"/>
        <v>58.423640127987973</v>
      </c>
      <c r="CE93" s="347">
        <f t="shared" ca="1" si="172"/>
        <v>-5.7500000000000213</v>
      </c>
      <c r="CF93" s="114">
        <v>21.37</v>
      </c>
      <c r="CG93" s="345">
        <f t="shared" si="141"/>
        <v>50.88095238095238</v>
      </c>
      <c r="CH93" s="345">
        <f t="shared" ca="1" si="142"/>
        <v>2.3784347826086965</v>
      </c>
      <c r="CI93" s="73"/>
      <c r="CJ93" s="345">
        <f t="shared" ca="1" si="190"/>
        <v>3.1360434782608744</v>
      </c>
      <c r="CK93" s="345">
        <f t="shared" ca="1" si="184"/>
        <v>52.645918367346951</v>
      </c>
      <c r="CL93" s="345">
        <f t="shared" ca="1" si="143"/>
        <v>53.584782608695662</v>
      </c>
      <c r="CM93" s="114">
        <v>20.824000000000002</v>
      </c>
      <c r="CN93" s="345">
        <f t="shared" si="144"/>
        <v>49.580952380952382</v>
      </c>
      <c r="CO93" s="345">
        <f t="shared" ca="1" si="145"/>
        <v>1.454434782608697</v>
      </c>
      <c r="CP93" s="345">
        <f t="shared" ca="1" si="192"/>
        <v>2.2120434782608713</v>
      </c>
      <c r="CQ93" s="345">
        <f t="shared" ca="1" si="146"/>
        <v>51.384782608695659</v>
      </c>
      <c r="CR93" s="347">
        <f t="shared" ca="1" si="173"/>
        <v>-2.2000000000000028</v>
      </c>
      <c r="CS93" s="114">
        <v>21.874000000000002</v>
      </c>
      <c r="CT93" s="345">
        <f t="shared" si="147"/>
        <v>52.080952380952382</v>
      </c>
      <c r="CU93" s="345">
        <f t="shared" si="174"/>
        <v>0.29999999999999716</v>
      </c>
      <c r="CV93" s="345">
        <f t="shared" ca="1" si="191"/>
        <v>1.499999999999994</v>
      </c>
      <c r="CW93" s="347">
        <f t="shared" ca="1" si="175"/>
        <v>55.084782608695654</v>
      </c>
      <c r="CX93" s="483">
        <v>0.18400000000000002</v>
      </c>
      <c r="CY93" s="190">
        <f t="shared" si="148"/>
        <v>3.0000000000002247E-4</v>
      </c>
      <c r="CZ93" s="190">
        <f t="shared" ca="1" si="180"/>
        <v>-0.03</v>
      </c>
      <c r="DA93" s="354">
        <f t="shared" ca="1" si="149"/>
        <v>0.1537</v>
      </c>
      <c r="DB93" s="483">
        <v>0.18400000000000002</v>
      </c>
      <c r="DC93" s="190">
        <f t="shared" si="150"/>
        <v>3.0000000000002247E-4</v>
      </c>
      <c r="DD93" s="190">
        <f t="shared" ca="1" si="181"/>
        <v>0.03</v>
      </c>
      <c r="DE93" s="354">
        <f t="shared" ca="1" si="151"/>
        <v>0.2137</v>
      </c>
      <c r="DG93" s="341"/>
      <c r="DH93" s="114"/>
      <c r="DI93" s="126">
        <f t="shared" ca="1" si="176"/>
        <v>-19.369565217391305</v>
      </c>
      <c r="DJ93" s="126">
        <f t="shared" ca="1" si="124"/>
        <v>-2</v>
      </c>
      <c r="DK93" s="356">
        <f t="shared" ca="1" si="125"/>
        <v>17.369565217391305</v>
      </c>
      <c r="DL93" s="114"/>
      <c r="DM93" s="126">
        <f t="shared" ca="1" si="177"/>
        <v>-19.369565217391305</v>
      </c>
      <c r="DN93" s="126">
        <f t="shared" ca="1" si="152"/>
        <v>-3</v>
      </c>
      <c r="DO93" s="356">
        <f t="shared" ca="1" si="126"/>
        <v>16.369565217391305</v>
      </c>
      <c r="DP93" s="114"/>
      <c r="DQ93" s="126">
        <f t="shared" ca="1" si="178"/>
        <v>-19.369565217391305</v>
      </c>
      <c r="DR93" s="126">
        <f t="shared" ca="1" si="153"/>
        <v>-6</v>
      </c>
      <c r="DS93" s="356">
        <f t="shared" ca="1" si="127"/>
        <v>13.369565217391305</v>
      </c>
      <c r="DT93" s="114"/>
      <c r="DU93" s="126">
        <f t="shared" ca="1" si="179"/>
        <v>-19.369565217391305</v>
      </c>
      <c r="DV93" s="126">
        <f t="shared" ca="1" si="154"/>
        <v>-5</v>
      </c>
      <c r="DW93" s="356">
        <f t="shared" ca="1" si="128"/>
        <v>14.369565217391305</v>
      </c>
    </row>
    <row r="94" spans="2:127" x14ac:dyDescent="0.25">
      <c r="B94" s="396">
        <v>38412</v>
      </c>
      <c r="C94" s="400">
        <v>38403</v>
      </c>
      <c r="I94" s="136">
        <f t="shared" ca="1" si="129"/>
        <v>39661</v>
      </c>
      <c r="J94" s="131">
        <f t="shared" ca="1" si="130"/>
        <v>39649</v>
      </c>
      <c r="K94" s="106">
        <f t="shared" ca="1" si="131"/>
        <v>0.7142857142857143</v>
      </c>
      <c r="L94" s="133">
        <f t="shared" ca="1" si="93"/>
        <v>108</v>
      </c>
      <c r="M94" s="134">
        <f t="shared" ca="1" si="94"/>
        <v>8</v>
      </c>
      <c r="N94" s="103">
        <f t="shared" ca="1" si="116"/>
        <v>21</v>
      </c>
      <c r="O94" s="104">
        <f t="shared" ca="1" si="132"/>
        <v>2703</v>
      </c>
      <c r="P94" s="105">
        <f t="shared" ca="1" si="95"/>
        <v>7.4113620807665983</v>
      </c>
      <c r="Q94" s="105">
        <f t="shared" ca="1" si="96"/>
        <v>7.4934976043805612</v>
      </c>
      <c r="R94" s="114">
        <v>19.350000000000001</v>
      </c>
      <c r="S94" s="198">
        <v>0</v>
      </c>
      <c r="T94" s="189">
        <f t="shared" si="133"/>
        <v>19.350000000000001</v>
      </c>
      <c r="U94" s="199">
        <f t="shared" ca="1" si="117"/>
        <v>19.414285714285711</v>
      </c>
      <c r="V94" s="379">
        <f t="shared" ca="1" si="118"/>
        <v>19.414285714285711</v>
      </c>
      <c r="W94" s="483">
        <v>0.18309999999999998</v>
      </c>
      <c r="X94" s="166" t="str">
        <f t="shared" ca="1" si="119"/>
        <v/>
      </c>
      <c r="Y94" s="91">
        <f t="shared" ca="1" si="155"/>
        <v>2.2448855856240821E-3</v>
      </c>
      <c r="Z94" s="91">
        <f t="shared" ca="1" si="156"/>
        <v>8.5818581444064754E-4</v>
      </c>
      <c r="AA94" s="91">
        <f t="shared" ca="1" si="157"/>
        <v>3.2215856443990526E-4</v>
      </c>
      <c r="AB94" s="91">
        <f t="shared" ca="1" si="158"/>
        <v>7.2575881397022538E-4</v>
      </c>
      <c r="AC94" s="91">
        <f t="shared" ca="1" si="159"/>
        <v>1.9333210027719767E-3</v>
      </c>
      <c r="AD94" s="91">
        <f t="shared" ca="1" si="160"/>
        <v>5.0572782472938747E-3</v>
      </c>
      <c r="AE94" s="124">
        <v>7.3541472092044993E-2</v>
      </c>
      <c r="AF94" s="191">
        <f t="shared" ca="1" si="161"/>
        <v>0.58205362250226633</v>
      </c>
      <c r="AG94" s="189">
        <f t="shared" ca="1" si="134"/>
        <v>1</v>
      </c>
      <c r="AH94" s="192">
        <f t="shared" ca="1" si="120"/>
        <v>0</v>
      </c>
      <c r="AI94" s="192">
        <f t="shared" ca="1" si="188"/>
        <v>0</v>
      </c>
      <c r="AJ94" s="192">
        <f t="shared" ca="1" si="122"/>
        <v>0</v>
      </c>
      <c r="AK94" s="192">
        <f t="shared" ca="1" si="189"/>
        <v>0</v>
      </c>
      <c r="AL94" s="191" t="str">
        <f t="shared" ca="1" si="162"/>
        <v/>
      </c>
      <c r="AM94" s="191" t="str">
        <f t="shared" ca="1" si="163"/>
        <v/>
      </c>
      <c r="AN94" s="191" t="str">
        <f t="shared" ca="1" si="164"/>
        <v/>
      </c>
      <c r="AO94" s="193" t="str">
        <f t="shared" ca="1" si="165"/>
        <v/>
      </c>
      <c r="AP94" s="194" t="str">
        <f t="shared" ca="1" si="135"/>
        <v/>
      </c>
      <c r="AQ94" s="194" t="str">
        <f t="shared" ca="1" si="136"/>
        <v/>
      </c>
      <c r="AR94" s="195">
        <f ca="1">IF(AH94,_xll.xASN(AL94,Strike1,AE94,AP94,0,N94,0,P94,Q94,IF(OptControl=4,0,1),0),0)</f>
        <v>0</v>
      </c>
      <c r="AS94" s="196">
        <f ca="1">IF(AH94,_xll.xASN(AL94,Strike1,AE94,AP94,0,N94,0,P94,Q94,IF(OptControl=4,0,1),1),0)</f>
        <v>0</v>
      </c>
      <c r="AT94" s="196">
        <f ca="1">IF(AH94,_xll.xASN(AL94,Strike1,AE94,AP94,0,N94,0,P94,Q94,IF(OptControl=4,0,1),2),0)</f>
        <v>0</v>
      </c>
      <c r="AU94" s="196">
        <f ca="1">IF(AH94,_xll.xASN(AL94,Strike1,AE94,AP94,0,N94,0,P94,Q94,IF(OptControl=4,0,1),3)/100,0)</f>
        <v>0</v>
      </c>
      <c r="AV94" s="196">
        <f ca="1">IF(AH94,_xll.xASN(AL94,Strike1,AE94,AP94,0,N94,0,P94-DaysForThetaCalculation/365.25,Q94-DaysForThetaCalculation/365.25,IF(OptControl=4,0,1),0)-_xll.xASN(AL94,Strike1,AE94,AP94,0,N94,0,P94,Q94,IF(OptControl=4,0,1),0),0)</f>
        <v>0</v>
      </c>
      <c r="AW94" s="196">
        <f ca="1">IF(AH94,_xll.xASN(AL94,Strike2,AE94,AQ94,0,N94,0,P94,Q94,IF(OptControl=3,1,0),0),0)</f>
        <v>0</v>
      </c>
      <c r="AX94" s="196">
        <f ca="1">IF(AH94,_xll.xASN(AL94,Strike2,AE94,AQ94,0,N94,0,P94,Q94,IF(OptControl=3,1,0),1),0)</f>
        <v>0</v>
      </c>
      <c r="AY94" s="196">
        <f ca="1">IF(AH94,_xll.xASN(AL94,Strike2,AE94,AQ94,0,N94,0,P94,Q94,IF(OptControl=3,1,0),2),0)</f>
        <v>0</v>
      </c>
      <c r="AZ94" s="196">
        <f ca="1">IF(AH94,_xll.xASN(AL94,Strike2,AE94,AQ94,0,N94,0,P94,Q94,IF(OptControl=3,1,0),3)/100,0)</f>
        <v>0</v>
      </c>
      <c r="BA94" s="196">
        <f ca="1">IF(AH94,_xll.xASN(AL94,Strike2,AE94,AQ94,0,N94,0,P94-DaysForThetaCalculation/365.25,Q94-DaysForThetaCalculation/365.25,IF(OptControl=3,1,0),0)-_xll.xASN(AL94,Strike2,AE94,AQ94,0,N94,0,P94,Q94,IF(OptControl=3,1,0),0),0)</f>
        <v>0</v>
      </c>
      <c r="BB94" s="126" t="str">
        <f t="shared" ca="1" si="166"/>
        <v/>
      </c>
      <c r="BC94" s="191" t="str">
        <f t="shared" ca="1" si="167"/>
        <v/>
      </c>
      <c r="BD94" s="191" t="str">
        <f t="shared" ca="1" si="168"/>
        <v/>
      </c>
      <c r="BE94" s="190" t="str">
        <f t="shared" ca="1" si="169"/>
        <v/>
      </c>
      <c r="BF94" s="194" t="str">
        <f t="shared" ca="1" si="170"/>
        <v/>
      </c>
      <c r="BG94" s="194" t="str">
        <f t="shared" ca="1" si="171"/>
        <v/>
      </c>
      <c r="BH94" s="195">
        <f ca="1">IF(AH94,_xll.xEURO(BB94,Strike1,AE94,AE94,BF94,O94,IF(OptControl=4,0,1),0),0)</f>
        <v>0</v>
      </c>
      <c r="BI94" s="196">
        <f ca="1">IF(AH94,_xll.xEURO(BB94,Strike1,AE94,AE94,BF94,O94,IF(OptControl=4,0,1),1),0)</f>
        <v>0</v>
      </c>
      <c r="BJ94" s="196">
        <f ca="1">IF(AH94,_xll.xEURO(BB94,Strike1,AE94,AE94,BF94,O94,IF(OptControl=4,0,1),2),0)</f>
        <v>0</v>
      </c>
      <c r="BK94" s="196">
        <f ca="1">IF(AH94,_xll.xEURO(BB94,Strike1,AE94,AE94,BF94,O94,IF(OptControl=4,0,1),3)/100,0)</f>
        <v>0</v>
      </c>
      <c r="BL94" s="196">
        <f ca="1">IF(AH94,_xll.xEURO(BB94,Strike1,AE94,AE94,BF94,O94-DaysForThetaCalculation,IF(OptControl=4,0,1),0)-_xll.xEURO(BB94,Strike1,AE94,AE94,BF94,O94,IF(OptControl=4,0,1),0),0)</f>
        <v>0</v>
      </c>
      <c r="BM94" s="196">
        <f ca="1">IF(AH94,_xll.xEURO(BB94,Strike2,AE94,AE94,BG94,O94,IF(OptControl=3,1,0),0),0)</f>
        <v>0</v>
      </c>
      <c r="BN94" s="196">
        <f ca="1">IF(AH94,_xll.xEURO(BB94,Strike2,AE94,AE94,BG94,O94,IF(OptControl=3,1,0),1),0)</f>
        <v>0</v>
      </c>
      <c r="BO94" s="196">
        <f ca="1">IF(AH94,_xll.xEURO(BB94,Strike2,AE94,AE94,BG94,O94,IF(OptControl=3,1,0),2),0)</f>
        <v>0</v>
      </c>
      <c r="BP94" s="196">
        <f ca="1">IF(AH94,_xll.xEURO(BB94,Strike2,AE94,AE94,BG94,O94,IF(OptControl=3,1,0),3)/100,0)</f>
        <v>0</v>
      </c>
      <c r="BQ94" s="197">
        <f ca="1">IF(AH94,_xll.xEURO(BB94,Strike2,AE94,AE94,BG94,O94-DaysForThetaCalculation,IF(OptControl=3,1,0),0)-_xll.xEURO(BB94,Strike2,AE94,AE94,BG94,O94,IF(OptControl=3,1,0),0),0)</f>
        <v>0</v>
      </c>
      <c r="BR94" s="301"/>
      <c r="BS94" s="114">
        <v>26.128000000000004</v>
      </c>
      <c r="BT94" s="345">
        <f t="shared" si="137"/>
        <v>62.209523809523816</v>
      </c>
      <c r="BU94" s="345">
        <f t="shared" ca="1" si="185"/>
        <v>6.2137142857142926</v>
      </c>
      <c r="BV94" s="73"/>
      <c r="BW94" s="345">
        <f t="shared" ca="1" si="182"/>
        <v>7.0818695652173904</v>
      </c>
      <c r="BX94" s="345">
        <f t="shared" ca="1" si="186"/>
        <v>64.173640127987994</v>
      </c>
      <c r="BY94" s="373">
        <f t="shared" ca="1" si="138"/>
        <v>63.086083998816903</v>
      </c>
      <c r="BZ94" s="114">
        <v>23.738000000000003</v>
      </c>
      <c r="CA94" s="345">
        <f t="shared" si="139"/>
        <v>56.519047619047626</v>
      </c>
      <c r="CB94" s="345">
        <f t="shared" ca="1" si="187"/>
        <v>4.3237142857142921</v>
      </c>
      <c r="CC94" s="345">
        <f t="shared" ca="1" si="183"/>
        <v>4.6668695652173904</v>
      </c>
      <c r="CD94" s="345">
        <f t="shared" ca="1" si="140"/>
        <v>57.336083998816903</v>
      </c>
      <c r="CE94" s="347">
        <f t="shared" ca="1" si="172"/>
        <v>-5.75</v>
      </c>
      <c r="CF94" s="114">
        <v>21.748000000000001</v>
      </c>
      <c r="CG94" s="345">
        <f t="shared" si="141"/>
        <v>51.780952380952385</v>
      </c>
      <c r="CH94" s="345">
        <f t="shared" ca="1" si="142"/>
        <v>2.8037142857142925</v>
      </c>
      <c r="CI94" s="73"/>
      <c r="CJ94" s="345">
        <f t="shared" ca="1" si="190"/>
        <v>3.5434545454545452</v>
      </c>
      <c r="CK94" s="345">
        <f t="shared" ca="1" si="184"/>
        <v>53.584782608695662</v>
      </c>
      <c r="CL94" s="345">
        <f t="shared" ca="1" si="143"/>
        <v>54.661286332714887</v>
      </c>
      <c r="CM94" s="114">
        <v>21.294</v>
      </c>
      <c r="CN94" s="345">
        <f t="shared" si="144"/>
        <v>50.7</v>
      </c>
      <c r="CO94" s="345">
        <f t="shared" ca="1" si="145"/>
        <v>1.8797142857142894</v>
      </c>
      <c r="CP94" s="345">
        <f t="shared" ca="1" si="192"/>
        <v>2.6194545454545457</v>
      </c>
      <c r="CQ94" s="345">
        <f t="shared" ca="1" si="146"/>
        <v>52.461286332714899</v>
      </c>
      <c r="CR94" s="347">
        <f t="shared" ca="1" si="173"/>
        <v>-2.1999999999999886</v>
      </c>
      <c r="CS94" s="114">
        <v>22.344000000000001</v>
      </c>
      <c r="CT94" s="345">
        <f t="shared" si="147"/>
        <v>53.2</v>
      </c>
      <c r="CU94" s="345">
        <f t="shared" si="174"/>
        <v>0.29999999999999716</v>
      </c>
      <c r="CV94" s="345">
        <f t="shared" ca="1" si="191"/>
        <v>1.499999999999994</v>
      </c>
      <c r="CW94" s="347">
        <f t="shared" ca="1" si="175"/>
        <v>56.16128633271488</v>
      </c>
      <c r="CX94" s="483">
        <v>0.18300000000000002</v>
      </c>
      <c r="CY94" s="190">
        <f t="shared" si="148"/>
        <v>-9.9999999999961231E-5</v>
      </c>
      <c r="CZ94" s="190">
        <f t="shared" ca="1" si="180"/>
        <v>-0.03</v>
      </c>
      <c r="DA94" s="354">
        <f t="shared" ca="1" si="149"/>
        <v>0.15309999999999999</v>
      </c>
      <c r="DB94" s="483">
        <v>0.18300000000000002</v>
      </c>
      <c r="DC94" s="190">
        <f t="shared" si="150"/>
        <v>-9.9999999999961231E-5</v>
      </c>
      <c r="DD94" s="190">
        <f t="shared" ca="1" si="181"/>
        <v>0.03</v>
      </c>
      <c r="DE94" s="354">
        <f t="shared" ca="1" si="151"/>
        <v>0.21309999999999998</v>
      </c>
      <c r="DG94" s="341"/>
      <c r="DH94" s="114"/>
      <c r="DI94" s="126">
        <f t="shared" ca="1" si="176"/>
        <v>-19.414285714285711</v>
      </c>
      <c r="DJ94" s="126">
        <f t="shared" ca="1" si="124"/>
        <v>-2</v>
      </c>
      <c r="DK94" s="356">
        <f t="shared" ca="1" si="125"/>
        <v>17.414285714285711</v>
      </c>
      <c r="DL94" s="114"/>
      <c r="DM94" s="126">
        <f t="shared" ca="1" si="177"/>
        <v>-19.414285714285711</v>
      </c>
      <c r="DN94" s="126">
        <f t="shared" ca="1" si="152"/>
        <v>-3</v>
      </c>
      <c r="DO94" s="356">
        <f t="shared" ca="1" si="126"/>
        <v>16.414285714285711</v>
      </c>
      <c r="DP94" s="114"/>
      <c r="DQ94" s="126">
        <f t="shared" ca="1" si="178"/>
        <v>-19.414285714285711</v>
      </c>
      <c r="DR94" s="126">
        <f t="shared" ca="1" si="153"/>
        <v>-6</v>
      </c>
      <c r="DS94" s="356">
        <f t="shared" ca="1" si="127"/>
        <v>13.414285714285711</v>
      </c>
      <c r="DT94" s="114"/>
      <c r="DU94" s="126">
        <f t="shared" ca="1" si="179"/>
        <v>-19.414285714285711</v>
      </c>
      <c r="DV94" s="126">
        <f t="shared" ca="1" si="154"/>
        <v>-5</v>
      </c>
      <c r="DW94" s="356">
        <f t="shared" ca="1" si="128"/>
        <v>14.414285714285711</v>
      </c>
    </row>
    <row r="95" spans="2:127" x14ac:dyDescent="0.25">
      <c r="B95" s="396">
        <v>38443</v>
      </c>
      <c r="C95" s="400">
        <v>38431</v>
      </c>
      <c r="I95" s="136">
        <f t="shared" ca="1" si="129"/>
        <v>39692</v>
      </c>
      <c r="J95" s="131">
        <f t="shared" ca="1" si="130"/>
        <v>39681</v>
      </c>
      <c r="K95" s="106">
        <f t="shared" ca="1" si="131"/>
        <v>0.68181818181818177</v>
      </c>
      <c r="L95" s="133">
        <f t="shared" ca="1" si="93"/>
        <v>108</v>
      </c>
      <c r="M95" s="134">
        <f t="shared" ca="1" si="94"/>
        <v>9</v>
      </c>
      <c r="N95" s="103">
        <f t="shared" ca="1" si="116"/>
        <v>22</v>
      </c>
      <c r="O95" s="104">
        <f t="shared" ca="1" si="132"/>
        <v>2732</v>
      </c>
      <c r="P95" s="105">
        <f t="shared" ca="1" si="95"/>
        <v>7.4962354551676933</v>
      </c>
      <c r="Q95" s="105">
        <f t="shared" ca="1" si="96"/>
        <v>7.5756331279945242</v>
      </c>
      <c r="R95" s="114">
        <v>19.399999999999999</v>
      </c>
      <c r="S95" s="198">
        <v>0</v>
      </c>
      <c r="T95" s="189">
        <f t="shared" si="133"/>
        <v>19.399999999999999</v>
      </c>
      <c r="U95" s="199">
        <f t="shared" ca="1" si="117"/>
        <v>19.46590909090909</v>
      </c>
      <c r="V95" s="379">
        <f t="shared" ca="1" si="118"/>
        <v>19.46590909090909</v>
      </c>
      <c r="W95" s="483">
        <v>0.1825</v>
      </c>
      <c r="X95" s="166" t="str">
        <f t="shared" ca="1" si="119"/>
        <v/>
      </c>
      <c r="Y95" s="91">
        <f t="shared" ca="1" si="155"/>
        <v>2.1968259995435893E-3</v>
      </c>
      <c r="Z95" s="91">
        <f t="shared" ca="1" si="156"/>
        <v>8.3531695703325506E-4</v>
      </c>
      <c r="AA95" s="91">
        <f t="shared" ca="1" si="157"/>
        <v>3.1273283478343435E-4</v>
      </c>
      <c r="AB95" s="91">
        <f t="shared" ca="1" si="158"/>
        <v>7.0452453020012783E-4</v>
      </c>
      <c r="AC95" s="91">
        <f t="shared" ca="1" si="159"/>
        <v>1.8818020408046014E-3</v>
      </c>
      <c r="AD95" s="91">
        <f t="shared" ca="1" si="160"/>
        <v>4.9490096117717382E-3</v>
      </c>
      <c r="AE95" s="124">
        <v>7.3549062161952006E-2</v>
      </c>
      <c r="AF95" s="191">
        <f t="shared" ca="1" si="161"/>
        <v>0.57857903381717524</v>
      </c>
      <c r="AG95" s="189">
        <f t="shared" ca="1" si="134"/>
        <v>1</v>
      </c>
      <c r="AH95" s="192">
        <f t="shared" ca="1" si="120"/>
        <v>0</v>
      </c>
      <c r="AI95" s="192">
        <f t="shared" ca="1" si="188"/>
        <v>0</v>
      </c>
      <c r="AJ95" s="192">
        <f t="shared" ca="1" si="122"/>
        <v>0</v>
      </c>
      <c r="AK95" s="192">
        <f t="shared" ca="1" si="189"/>
        <v>0</v>
      </c>
      <c r="AL95" s="191" t="str">
        <f t="shared" ca="1" si="162"/>
        <v/>
      </c>
      <c r="AM95" s="191" t="str">
        <f t="shared" ca="1" si="163"/>
        <v/>
      </c>
      <c r="AN95" s="191" t="str">
        <f t="shared" ca="1" si="164"/>
        <v/>
      </c>
      <c r="AO95" s="193" t="str">
        <f t="shared" ca="1" si="165"/>
        <v/>
      </c>
      <c r="AP95" s="194" t="str">
        <f t="shared" ca="1" si="135"/>
        <v/>
      </c>
      <c r="AQ95" s="194" t="str">
        <f t="shared" ca="1" si="136"/>
        <v/>
      </c>
      <c r="AR95" s="195">
        <f ca="1">IF(AH95,_xll.xASN(AL95,Strike1,AE95,AP95,0,N95,0,P95,Q95,IF(OptControl=4,0,1),0),0)</f>
        <v>0</v>
      </c>
      <c r="AS95" s="196">
        <f ca="1">IF(AH95,_xll.xASN(AL95,Strike1,AE95,AP95,0,N95,0,P95,Q95,IF(OptControl=4,0,1),1),0)</f>
        <v>0</v>
      </c>
      <c r="AT95" s="196">
        <f ca="1">IF(AH95,_xll.xASN(AL95,Strike1,AE95,AP95,0,N95,0,P95,Q95,IF(OptControl=4,0,1),2),0)</f>
        <v>0</v>
      </c>
      <c r="AU95" s="196">
        <f ca="1">IF(AH95,_xll.xASN(AL95,Strike1,AE95,AP95,0,N95,0,P95,Q95,IF(OptControl=4,0,1),3)/100,0)</f>
        <v>0</v>
      </c>
      <c r="AV95" s="196">
        <f ca="1">IF(AH95,_xll.xASN(AL95,Strike1,AE95,AP95,0,N95,0,P95-DaysForThetaCalculation/365.25,Q95-DaysForThetaCalculation/365.25,IF(OptControl=4,0,1),0)-_xll.xASN(AL95,Strike1,AE95,AP95,0,N95,0,P95,Q95,IF(OptControl=4,0,1),0),0)</f>
        <v>0</v>
      </c>
      <c r="AW95" s="196">
        <f ca="1">IF(AH95,_xll.xASN(AL95,Strike2,AE95,AQ95,0,N95,0,P95,Q95,IF(OptControl=3,1,0),0),0)</f>
        <v>0</v>
      </c>
      <c r="AX95" s="196">
        <f ca="1">IF(AH95,_xll.xASN(AL95,Strike2,AE95,AQ95,0,N95,0,P95,Q95,IF(OptControl=3,1,0),1),0)</f>
        <v>0</v>
      </c>
      <c r="AY95" s="196">
        <f ca="1">IF(AH95,_xll.xASN(AL95,Strike2,AE95,AQ95,0,N95,0,P95,Q95,IF(OptControl=3,1,0),2),0)</f>
        <v>0</v>
      </c>
      <c r="AZ95" s="196">
        <f ca="1">IF(AH95,_xll.xASN(AL95,Strike2,AE95,AQ95,0,N95,0,P95,Q95,IF(OptControl=3,1,0),3)/100,0)</f>
        <v>0</v>
      </c>
      <c r="BA95" s="196">
        <f ca="1">IF(AH95,_xll.xASN(AL95,Strike2,AE95,AQ95,0,N95,0,P95-DaysForThetaCalculation/365.25,Q95-DaysForThetaCalculation/365.25,IF(OptControl=3,1,0),0)-_xll.xASN(AL95,Strike2,AE95,AQ95,0,N95,0,P95,Q95,IF(OptControl=3,1,0),0),0)</f>
        <v>0</v>
      </c>
      <c r="BB95" s="126" t="str">
        <f t="shared" ca="1" si="166"/>
        <v/>
      </c>
      <c r="BC95" s="191" t="str">
        <f t="shared" ca="1" si="167"/>
        <v/>
      </c>
      <c r="BD95" s="191" t="str">
        <f t="shared" ca="1" si="168"/>
        <v/>
      </c>
      <c r="BE95" s="190" t="str">
        <f t="shared" ca="1" si="169"/>
        <v/>
      </c>
      <c r="BF95" s="194" t="str">
        <f t="shared" ca="1" si="170"/>
        <v/>
      </c>
      <c r="BG95" s="194" t="str">
        <f t="shared" ca="1" si="171"/>
        <v/>
      </c>
      <c r="BH95" s="195">
        <f ca="1">IF(AH95,_xll.xEURO(BB95,Strike1,AE95,AE95,BF95,O95,IF(OptControl=4,0,1),0),0)</f>
        <v>0</v>
      </c>
      <c r="BI95" s="196">
        <f ca="1">IF(AH95,_xll.xEURO(BB95,Strike1,AE95,AE95,BF95,O95,IF(OptControl=4,0,1),1),0)</f>
        <v>0</v>
      </c>
      <c r="BJ95" s="196">
        <f ca="1">IF(AH95,_xll.xEURO(BB95,Strike1,AE95,AE95,BF95,O95,IF(OptControl=4,0,1),2),0)</f>
        <v>0</v>
      </c>
      <c r="BK95" s="196">
        <f ca="1">IF(AH95,_xll.xEURO(BB95,Strike1,AE95,AE95,BF95,O95,IF(OptControl=4,0,1),3)/100,0)</f>
        <v>0</v>
      </c>
      <c r="BL95" s="196">
        <f ca="1">IF(AH95,_xll.xEURO(BB95,Strike1,AE95,AE95,BF95,O95-DaysForThetaCalculation,IF(OptControl=4,0,1),0)-_xll.xEURO(BB95,Strike1,AE95,AE95,BF95,O95,IF(OptControl=4,0,1),0),0)</f>
        <v>0</v>
      </c>
      <c r="BM95" s="196">
        <f ca="1">IF(AH95,_xll.xEURO(BB95,Strike2,AE95,AE95,BG95,O95,IF(OptControl=3,1,0),0),0)</f>
        <v>0</v>
      </c>
      <c r="BN95" s="196">
        <f ca="1">IF(AH95,_xll.xEURO(BB95,Strike2,AE95,AE95,BG95,O95,IF(OptControl=3,1,0),1),0)</f>
        <v>0</v>
      </c>
      <c r="BO95" s="196">
        <f ca="1">IF(AH95,_xll.xEURO(BB95,Strike2,AE95,AE95,BG95,O95,IF(OptControl=3,1,0),2),0)</f>
        <v>0</v>
      </c>
      <c r="BP95" s="196">
        <f ca="1">IF(AH95,_xll.xEURO(BB95,Strike2,AE95,AE95,BG95,O95,IF(OptControl=3,1,0),3)/100,0)</f>
        <v>0</v>
      </c>
      <c r="BQ95" s="197">
        <f ca="1">IF(AH95,_xll.xEURO(BB95,Strike2,AE95,AE95,BG95,O95-DaysForThetaCalculation,IF(OptControl=3,1,0),0)-_xll.xEURO(BB95,Strike2,AE95,AE95,BG95,O95,IF(OptControl=3,1,0),0),0)</f>
        <v>0</v>
      </c>
      <c r="BR95" s="301"/>
      <c r="BS95" s="114">
        <v>25.628000000000004</v>
      </c>
      <c r="BT95" s="345">
        <f t="shared" si="137"/>
        <v>61.019047619047626</v>
      </c>
      <c r="BU95" s="345">
        <f t="shared" ca="1" si="185"/>
        <v>5.1630909090909114</v>
      </c>
      <c r="BV95" s="73"/>
      <c r="BW95" s="345">
        <f t="shared" ca="1" si="182"/>
        <v>5.9990000000000041</v>
      </c>
      <c r="BX95" s="345">
        <f t="shared" ca="1" si="186"/>
        <v>63.086083998816903</v>
      </c>
      <c r="BY95" s="373">
        <f t="shared" ca="1" si="138"/>
        <v>60.630735930735945</v>
      </c>
      <c r="BZ95" s="114">
        <v>22.739000000000001</v>
      </c>
      <c r="CA95" s="345">
        <f t="shared" si="139"/>
        <v>54.140476190476193</v>
      </c>
      <c r="CB95" s="345">
        <f t="shared" ca="1" si="187"/>
        <v>3.2730909090909108</v>
      </c>
      <c r="CC95" s="345">
        <f t="shared" ca="1" si="183"/>
        <v>3.5840000000000019</v>
      </c>
      <c r="CD95" s="345">
        <f t="shared" ca="1" si="140"/>
        <v>54.880735930735931</v>
      </c>
      <c r="CE95" s="347">
        <f t="shared" ca="1" si="172"/>
        <v>-5.7500000000000142</v>
      </c>
      <c r="CF95" s="114">
        <v>22.218000000000004</v>
      </c>
      <c r="CG95" s="345">
        <f t="shared" si="141"/>
        <v>52.900000000000006</v>
      </c>
      <c r="CH95" s="345">
        <f t="shared" ca="1" si="142"/>
        <v>3.2560909090909149</v>
      </c>
      <c r="CI95" s="73"/>
      <c r="CJ95" s="345">
        <f t="shared" ca="1" si="190"/>
        <v>3.8910000000000005</v>
      </c>
      <c r="CK95" s="345">
        <f t="shared" ca="1" si="184"/>
        <v>54.661286332714887</v>
      </c>
      <c r="CL95" s="345">
        <f t="shared" ca="1" si="143"/>
        <v>55.611688311688319</v>
      </c>
      <c r="CM95" s="114">
        <v>21.798000000000002</v>
      </c>
      <c r="CN95" s="345">
        <f t="shared" si="144"/>
        <v>51.900000000000006</v>
      </c>
      <c r="CO95" s="345">
        <f t="shared" ca="1" si="145"/>
        <v>2.3320909090909119</v>
      </c>
      <c r="CP95" s="345">
        <f t="shared" ca="1" si="192"/>
        <v>3.0802857142857123</v>
      </c>
      <c r="CQ95" s="345">
        <f t="shared" ca="1" si="146"/>
        <v>53.681416202844765</v>
      </c>
      <c r="CR95" s="347">
        <f t="shared" ca="1" si="173"/>
        <v>-1.9302721088435533</v>
      </c>
      <c r="CS95" s="114">
        <v>22.848000000000003</v>
      </c>
      <c r="CT95" s="345">
        <f t="shared" si="147"/>
        <v>54.400000000000006</v>
      </c>
      <c r="CU95" s="345">
        <f t="shared" si="174"/>
        <v>0.29999999999999716</v>
      </c>
      <c r="CV95" s="345">
        <f t="shared" ca="1" si="191"/>
        <v>1.5000000000000082</v>
      </c>
      <c r="CW95" s="347">
        <f t="shared" ca="1" si="175"/>
        <v>57.111688311688326</v>
      </c>
      <c r="CX95" s="483">
        <v>0.18300000000000002</v>
      </c>
      <c r="CY95" s="190">
        <f t="shared" si="148"/>
        <v>5.000000000000282E-4</v>
      </c>
      <c r="CZ95" s="190">
        <f t="shared" ca="1" si="180"/>
        <v>-0.03</v>
      </c>
      <c r="DA95" s="354">
        <f t="shared" ca="1" si="149"/>
        <v>0.1525</v>
      </c>
      <c r="DB95" s="483">
        <v>0.18300000000000002</v>
      </c>
      <c r="DC95" s="190">
        <f t="shared" si="150"/>
        <v>5.000000000000282E-4</v>
      </c>
      <c r="DD95" s="190">
        <f t="shared" ca="1" si="181"/>
        <v>0.03</v>
      </c>
      <c r="DE95" s="354">
        <f t="shared" ca="1" si="151"/>
        <v>0.21249999999999999</v>
      </c>
      <c r="DG95" s="341"/>
      <c r="DH95" s="114"/>
      <c r="DI95" s="126">
        <f t="shared" ca="1" si="176"/>
        <v>-19.46590909090909</v>
      </c>
      <c r="DJ95" s="126">
        <f t="shared" ca="1" si="124"/>
        <v>-2</v>
      </c>
      <c r="DK95" s="356">
        <f t="shared" ca="1" si="125"/>
        <v>17.46590909090909</v>
      </c>
      <c r="DL95" s="114"/>
      <c r="DM95" s="126">
        <f t="shared" ca="1" si="177"/>
        <v>-19.46590909090909</v>
      </c>
      <c r="DN95" s="126">
        <f t="shared" ca="1" si="152"/>
        <v>-3</v>
      </c>
      <c r="DO95" s="356">
        <f t="shared" ca="1" si="126"/>
        <v>16.46590909090909</v>
      </c>
      <c r="DP95" s="114"/>
      <c r="DQ95" s="126">
        <f t="shared" ca="1" si="178"/>
        <v>-19.46590909090909</v>
      </c>
      <c r="DR95" s="126">
        <f t="shared" ca="1" si="153"/>
        <v>-6</v>
      </c>
      <c r="DS95" s="356">
        <f t="shared" ca="1" si="127"/>
        <v>13.46590909090909</v>
      </c>
      <c r="DT95" s="114"/>
      <c r="DU95" s="126">
        <f t="shared" ca="1" si="179"/>
        <v>-19.46590909090909</v>
      </c>
      <c r="DV95" s="126">
        <f t="shared" ca="1" si="154"/>
        <v>-5</v>
      </c>
      <c r="DW95" s="356">
        <f t="shared" ca="1" si="128"/>
        <v>14.46590909090909</v>
      </c>
    </row>
    <row r="96" spans="2:127" x14ac:dyDescent="0.25">
      <c r="B96" s="396">
        <v>38473</v>
      </c>
      <c r="C96" s="400">
        <v>38462</v>
      </c>
      <c r="I96" s="136">
        <f t="shared" ca="1" si="129"/>
        <v>39722</v>
      </c>
      <c r="J96" s="131">
        <f t="shared" ca="1" si="130"/>
        <v>39711</v>
      </c>
      <c r="K96" s="106">
        <f t="shared" ca="1" si="131"/>
        <v>0.69565217391304346</v>
      </c>
      <c r="L96" s="133">
        <f t="shared" ca="1" si="93"/>
        <v>108</v>
      </c>
      <c r="M96" s="134">
        <f t="shared" ca="1" si="94"/>
        <v>10</v>
      </c>
      <c r="N96" s="103">
        <f t="shared" ca="1" si="116"/>
        <v>23</v>
      </c>
      <c r="O96" s="104">
        <f t="shared" ca="1" si="132"/>
        <v>2762</v>
      </c>
      <c r="P96" s="105">
        <f t="shared" ca="1" si="95"/>
        <v>7.5783709787816562</v>
      </c>
      <c r="Q96" s="105">
        <f t="shared" ca="1" si="96"/>
        <v>7.6605065023956191</v>
      </c>
      <c r="R96" s="114">
        <v>19.45</v>
      </c>
      <c r="S96" s="198">
        <v>0</v>
      </c>
      <c r="T96" s="189">
        <f t="shared" si="133"/>
        <v>19.45</v>
      </c>
      <c r="U96" s="199">
        <f t="shared" ca="1" si="117"/>
        <v>19.515217391304347</v>
      </c>
      <c r="V96" s="379">
        <f t="shared" ca="1" si="118"/>
        <v>19.515217391304347</v>
      </c>
      <c r="W96" s="483">
        <v>0.18190000000000001</v>
      </c>
      <c r="X96" s="166" t="str">
        <f t="shared" ca="1" si="119"/>
        <v/>
      </c>
      <c r="Y96" s="91">
        <f t="shared" ca="1" si="155"/>
        <v>2.1497952961059444E-3</v>
      </c>
      <c r="Z96" s="91">
        <f t="shared" ca="1" si="156"/>
        <v>8.1305750685483258E-4</v>
      </c>
      <c r="AA96" s="91">
        <f t="shared" ca="1" si="157"/>
        <v>3.0358288354592723E-4</v>
      </c>
      <c r="AB96" s="91">
        <f t="shared" ca="1" si="158"/>
        <v>6.839115200522718E-4</v>
      </c>
      <c r="AC96" s="91">
        <f t="shared" ca="1" si="159"/>
        <v>1.8316559514426499E-3</v>
      </c>
      <c r="AD96" s="91">
        <f t="shared" ca="1" si="160"/>
        <v>4.8430588430674101E-3</v>
      </c>
      <c r="AE96" s="124">
        <v>7.3556407390913001E-2</v>
      </c>
      <c r="AF96" s="191">
        <f t="shared" ca="1" si="161"/>
        <v>0.57501180314187428</v>
      </c>
      <c r="AG96" s="189">
        <f t="shared" ca="1" si="134"/>
        <v>1</v>
      </c>
      <c r="AH96" s="192">
        <f t="shared" ca="1" si="120"/>
        <v>0</v>
      </c>
      <c r="AI96" s="192">
        <f t="shared" ca="1" si="188"/>
        <v>0</v>
      </c>
      <c r="AJ96" s="192">
        <f t="shared" ca="1" si="122"/>
        <v>0</v>
      </c>
      <c r="AK96" s="192">
        <f t="shared" ca="1" si="189"/>
        <v>0</v>
      </c>
      <c r="AL96" s="191" t="str">
        <f t="shared" ca="1" si="162"/>
        <v/>
      </c>
      <c r="AM96" s="191" t="str">
        <f t="shared" ca="1" si="163"/>
        <v/>
      </c>
      <c r="AN96" s="191" t="str">
        <f t="shared" ca="1" si="164"/>
        <v/>
      </c>
      <c r="AO96" s="193" t="str">
        <f t="shared" ca="1" si="165"/>
        <v/>
      </c>
      <c r="AP96" s="194" t="str">
        <f t="shared" ca="1" si="135"/>
        <v/>
      </c>
      <c r="AQ96" s="194" t="str">
        <f t="shared" ca="1" si="136"/>
        <v/>
      </c>
      <c r="AR96" s="195">
        <f ca="1">IF(AH96,_xll.xASN(AL96,Strike1,AE96,AP96,0,N96,0,P96,Q96,IF(OptControl=4,0,1),0),0)</f>
        <v>0</v>
      </c>
      <c r="AS96" s="196">
        <f ca="1">IF(AH96,_xll.xASN(AL96,Strike1,AE96,AP96,0,N96,0,P96,Q96,IF(OptControl=4,0,1),1),0)</f>
        <v>0</v>
      </c>
      <c r="AT96" s="196">
        <f ca="1">IF(AH96,_xll.xASN(AL96,Strike1,AE96,AP96,0,N96,0,P96,Q96,IF(OptControl=4,0,1),2),0)</f>
        <v>0</v>
      </c>
      <c r="AU96" s="196">
        <f ca="1">IF(AH96,_xll.xASN(AL96,Strike1,AE96,AP96,0,N96,0,P96,Q96,IF(OptControl=4,0,1),3)/100,0)</f>
        <v>0</v>
      </c>
      <c r="AV96" s="196">
        <f ca="1">IF(AH96,_xll.xASN(AL96,Strike1,AE96,AP96,0,N96,0,P96-DaysForThetaCalculation/365.25,Q96-DaysForThetaCalculation/365.25,IF(OptControl=4,0,1),0)-_xll.xASN(AL96,Strike1,AE96,AP96,0,N96,0,P96,Q96,IF(OptControl=4,0,1),0),0)</f>
        <v>0</v>
      </c>
      <c r="AW96" s="196">
        <f ca="1">IF(AH96,_xll.xASN(AL96,Strike2,AE96,AQ96,0,N96,0,P96,Q96,IF(OptControl=3,1,0),0),0)</f>
        <v>0</v>
      </c>
      <c r="AX96" s="196">
        <f ca="1">IF(AH96,_xll.xASN(AL96,Strike2,AE96,AQ96,0,N96,0,P96,Q96,IF(OptControl=3,1,0),1),0)</f>
        <v>0</v>
      </c>
      <c r="AY96" s="196">
        <f ca="1">IF(AH96,_xll.xASN(AL96,Strike2,AE96,AQ96,0,N96,0,P96,Q96,IF(OptControl=3,1,0),2),0)</f>
        <v>0</v>
      </c>
      <c r="AZ96" s="196">
        <f ca="1">IF(AH96,_xll.xASN(AL96,Strike2,AE96,AQ96,0,N96,0,P96,Q96,IF(OptControl=3,1,0),3)/100,0)</f>
        <v>0</v>
      </c>
      <c r="BA96" s="196">
        <f ca="1">IF(AH96,_xll.xASN(AL96,Strike2,AE96,AQ96,0,N96,0,P96-DaysForThetaCalculation/365.25,Q96-DaysForThetaCalculation/365.25,IF(OptControl=3,1,0),0)-_xll.xASN(AL96,Strike2,AE96,AQ96,0,N96,0,P96,Q96,IF(OptControl=3,1,0),0),0)</f>
        <v>0</v>
      </c>
      <c r="BB96" s="126" t="str">
        <f t="shared" ca="1" si="166"/>
        <v/>
      </c>
      <c r="BC96" s="191" t="str">
        <f t="shared" ca="1" si="167"/>
        <v/>
      </c>
      <c r="BD96" s="191" t="str">
        <f t="shared" ca="1" si="168"/>
        <v/>
      </c>
      <c r="BE96" s="190" t="str">
        <f t="shared" ca="1" si="169"/>
        <v/>
      </c>
      <c r="BF96" s="194" t="str">
        <f t="shared" ca="1" si="170"/>
        <v/>
      </c>
      <c r="BG96" s="194" t="str">
        <f t="shared" ca="1" si="171"/>
        <v/>
      </c>
      <c r="BH96" s="195">
        <f ca="1">IF(AH96,_xll.xEURO(BB96,Strike1,AE96,AE96,BF96,O96,IF(OptControl=4,0,1),0),0)</f>
        <v>0</v>
      </c>
      <c r="BI96" s="196">
        <f ca="1">IF(AH96,_xll.xEURO(BB96,Strike1,AE96,AE96,BF96,O96,IF(OptControl=4,0,1),1),0)</f>
        <v>0</v>
      </c>
      <c r="BJ96" s="196">
        <f ca="1">IF(AH96,_xll.xEURO(BB96,Strike1,AE96,AE96,BF96,O96,IF(OptControl=4,0,1),2),0)</f>
        <v>0</v>
      </c>
      <c r="BK96" s="196">
        <f ca="1">IF(AH96,_xll.xEURO(BB96,Strike1,AE96,AE96,BF96,O96,IF(OptControl=4,0,1),3)/100,0)</f>
        <v>0</v>
      </c>
      <c r="BL96" s="196">
        <f ca="1">IF(AH96,_xll.xEURO(BB96,Strike1,AE96,AE96,BF96,O96-DaysForThetaCalculation,IF(OptControl=4,0,1),0)-_xll.xEURO(BB96,Strike1,AE96,AE96,BF96,O96,IF(OptControl=4,0,1),0),0)</f>
        <v>0</v>
      </c>
      <c r="BM96" s="196">
        <f ca="1">IF(AH96,_xll.xEURO(BB96,Strike2,AE96,AE96,BG96,O96,IF(OptControl=3,1,0),0),0)</f>
        <v>0</v>
      </c>
      <c r="BN96" s="196">
        <f ca="1">IF(AH96,_xll.xEURO(BB96,Strike2,AE96,AE96,BG96,O96,IF(OptControl=3,1,0),1),0)</f>
        <v>0</v>
      </c>
      <c r="BO96" s="196">
        <f ca="1">IF(AH96,_xll.xEURO(BB96,Strike2,AE96,AE96,BG96,O96,IF(OptControl=3,1,0),2),0)</f>
        <v>0</v>
      </c>
      <c r="BP96" s="196">
        <f ca="1">IF(AH96,_xll.xEURO(BB96,Strike2,AE96,AE96,BG96,O96,IF(OptControl=3,1,0),3)/100,0)</f>
        <v>0</v>
      </c>
      <c r="BQ96" s="197">
        <f ca="1">IF(AH96,_xll.xEURO(BB96,Strike2,AE96,AE96,BG96,O96-DaysForThetaCalculation,IF(OptControl=3,1,0),0)-_xll.xEURO(BB96,Strike2,AE96,AE96,BG96,O96,IF(OptControl=3,1,0),0),0)</f>
        <v>0</v>
      </c>
      <c r="BR96" s="301"/>
      <c r="BS96" s="114">
        <v>24.629000000000001</v>
      </c>
      <c r="BT96" s="345">
        <f t="shared" si="137"/>
        <v>58.640476190476193</v>
      </c>
      <c r="BU96" s="345">
        <f t="shared" ca="1" si="185"/>
        <v>4.7477826086956547</v>
      </c>
      <c r="BV96" s="73"/>
      <c r="BW96" s="345">
        <f t="shared" ca="1" si="182"/>
        <v>5.5917826086956577</v>
      </c>
      <c r="BX96" s="345">
        <f t="shared" ca="1" si="186"/>
        <v>60.630735930735945</v>
      </c>
      <c r="BY96" s="373">
        <f t="shared" ca="1" si="138"/>
        <v>59.778571428571446</v>
      </c>
      <c r="BZ96" s="114">
        <v>21.953000000000003</v>
      </c>
      <c r="CA96" s="345">
        <f t="shared" si="139"/>
        <v>52.269047619047626</v>
      </c>
      <c r="CB96" s="345">
        <f t="shared" ca="1" si="187"/>
        <v>2.437782608695656</v>
      </c>
      <c r="CC96" s="345">
        <f t="shared" ca="1" si="183"/>
        <v>3.2817826086956559</v>
      </c>
      <c r="CD96" s="345">
        <f t="shared" ca="1" si="140"/>
        <v>54.278571428571432</v>
      </c>
      <c r="CE96" s="347">
        <f t="shared" ca="1" si="172"/>
        <v>-5.5000000000000142</v>
      </c>
      <c r="CF96" s="114">
        <v>22.722000000000005</v>
      </c>
      <c r="CG96" s="345">
        <f t="shared" si="141"/>
        <v>54.100000000000009</v>
      </c>
      <c r="CH96" s="345">
        <f t="shared" ca="1" si="142"/>
        <v>3.807782608695657</v>
      </c>
      <c r="CI96" s="73"/>
      <c r="CJ96" s="345">
        <f t="shared" ca="1" si="190"/>
        <v>4.4497826086956529</v>
      </c>
      <c r="CK96" s="345">
        <f t="shared" ca="1" si="184"/>
        <v>55.611688311688319</v>
      </c>
      <c r="CL96" s="345">
        <f t="shared" ca="1" si="143"/>
        <v>57.05952380952381</v>
      </c>
      <c r="CM96" s="114">
        <v>22.084</v>
      </c>
      <c r="CN96" s="345">
        <f t="shared" si="144"/>
        <v>52.580952380952382</v>
      </c>
      <c r="CO96" s="345">
        <f t="shared" ca="1" si="145"/>
        <v>2.5687826086956527</v>
      </c>
      <c r="CP96" s="345">
        <f t="shared" ca="1" si="192"/>
        <v>3.2527826086956524</v>
      </c>
      <c r="CQ96" s="345">
        <f t="shared" ca="1" si="146"/>
        <v>54.209523809523816</v>
      </c>
      <c r="CR96" s="347">
        <f t="shared" ca="1" si="173"/>
        <v>-2.8499999999999943</v>
      </c>
      <c r="CS96" s="114">
        <v>23.449000000000002</v>
      </c>
      <c r="CT96" s="345">
        <f t="shared" si="147"/>
        <v>55.830952380952382</v>
      </c>
      <c r="CU96" s="345">
        <f t="shared" si="174"/>
        <v>0.29999999999999716</v>
      </c>
      <c r="CV96" s="345">
        <f t="shared" ca="1" si="191"/>
        <v>1.6500000000000081</v>
      </c>
      <c r="CW96" s="347">
        <f t="shared" ca="1" si="175"/>
        <v>58.709523809523816</v>
      </c>
      <c r="CX96" s="483">
        <v>0.182</v>
      </c>
      <c r="CY96" s="190">
        <f t="shared" si="148"/>
        <v>9.9999999999988987E-5</v>
      </c>
      <c r="CZ96" s="190">
        <f t="shared" ca="1" si="180"/>
        <v>-0.03</v>
      </c>
      <c r="DA96" s="354">
        <f t="shared" ca="1" si="149"/>
        <v>0.15190000000000001</v>
      </c>
      <c r="DB96" s="483">
        <v>0.182</v>
      </c>
      <c r="DC96" s="190">
        <f t="shared" si="150"/>
        <v>9.9999999999988987E-5</v>
      </c>
      <c r="DD96" s="190">
        <f t="shared" ca="1" si="181"/>
        <v>0.03</v>
      </c>
      <c r="DE96" s="354">
        <f t="shared" ca="1" si="151"/>
        <v>0.21190000000000001</v>
      </c>
      <c r="DG96" s="341"/>
      <c r="DH96" s="114"/>
      <c r="DI96" s="126">
        <f t="shared" ca="1" si="176"/>
        <v>-19.515217391304347</v>
      </c>
      <c r="DJ96" s="126">
        <f t="shared" ca="1" si="124"/>
        <v>-2</v>
      </c>
      <c r="DK96" s="356">
        <f t="shared" ca="1" si="125"/>
        <v>17.515217391304347</v>
      </c>
      <c r="DL96" s="114"/>
      <c r="DM96" s="126">
        <f t="shared" ca="1" si="177"/>
        <v>-19.515217391304347</v>
      </c>
      <c r="DN96" s="126">
        <f t="shared" ca="1" si="152"/>
        <v>-3</v>
      </c>
      <c r="DO96" s="356">
        <f t="shared" ca="1" si="126"/>
        <v>16.515217391304347</v>
      </c>
      <c r="DP96" s="114"/>
      <c r="DQ96" s="126">
        <f t="shared" ca="1" si="178"/>
        <v>-19.515217391304347</v>
      </c>
      <c r="DR96" s="126">
        <f t="shared" ca="1" si="153"/>
        <v>-6</v>
      </c>
      <c r="DS96" s="356">
        <f t="shared" ca="1" si="127"/>
        <v>13.515217391304347</v>
      </c>
      <c r="DT96" s="114"/>
      <c r="DU96" s="126">
        <f t="shared" ca="1" si="179"/>
        <v>-19.515217391304347</v>
      </c>
      <c r="DV96" s="126">
        <f t="shared" ca="1" si="154"/>
        <v>-5</v>
      </c>
      <c r="DW96" s="356">
        <f t="shared" ca="1" si="128"/>
        <v>14.515217391304347</v>
      </c>
    </row>
    <row r="97" spans="2:127" x14ac:dyDescent="0.25">
      <c r="B97" s="396">
        <v>38504</v>
      </c>
      <c r="C97" s="400">
        <v>38494</v>
      </c>
      <c r="I97" s="136">
        <f t="shared" ca="1" si="129"/>
        <v>39753</v>
      </c>
      <c r="J97" s="131">
        <f t="shared" ca="1" si="130"/>
        <v>39743</v>
      </c>
      <c r="K97" s="106">
        <f t="shared" ca="1" si="131"/>
        <v>0.65</v>
      </c>
      <c r="L97" s="133">
        <f t="shared" ca="1" si="93"/>
        <v>108</v>
      </c>
      <c r="M97" s="134">
        <f t="shared" ca="1" si="94"/>
        <v>11</v>
      </c>
      <c r="N97" s="103">
        <f t="shared" ca="1" si="116"/>
        <v>20</v>
      </c>
      <c r="O97" s="104">
        <f t="shared" ca="1" si="132"/>
        <v>2795</v>
      </c>
      <c r="P97" s="105">
        <f t="shared" ca="1" si="95"/>
        <v>7.6632443531827512</v>
      </c>
      <c r="Q97" s="105">
        <f t="shared" ca="1" si="96"/>
        <v>7.7426420260095821</v>
      </c>
      <c r="R97" s="114">
        <v>19.5</v>
      </c>
      <c r="S97" s="198">
        <v>0</v>
      </c>
      <c r="T97" s="189">
        <f t="shared" si="133"/>
        <v>19.5</v>
      </c>
      <c r="U97" s="199">
        <f t="shared" ca="1" si="117"/>
        <v>19.567500000000003</v>
      </c>
      <c r="V97" s="379">
        <f t="shared" ca="1" si="118"/>
        <v>19.567500000000003</v>
      </c>
      <c r="W97" s="483">
        <v>0.18129999999999999</v>
      </c>
      <c r="X97" s="166" t="str">
        <f t="shared" ca="1" si="119"/>
        <v/>
      </c>
      <c r="Y97" s="91">
        <f t="shared" ca="1" si="155"/>
        <v>2.1037714484986197E-3</v>
      </c>
      <c r="Z97" s="91">
        <f t="shared" ca="1" si="156"/>
        <v>7.913912244770561E-4</v>
      </c>
      <c r="AA97" s="91">
        <f t="shared" ca="1" si="157"/>
        <v>2.9470064199009369E-4</v>
      </c>
      <c r="AB97" s="91">
        <f t="shared" ca="1" si="158"/>
        <v>6.6390160627529012E-4</v>
      </c>
      <c r="AC97" s="91">
        <f t="shared" ca="1" si="159"/>
        <v>1.7828461505019935E-3</v>
      </c>
      <c r="AD97" s="91">
        <f t="shared" ca="1" si="160"/>
        <v>4.7393763191776279E-3</v>
      </c>
      <c r="AE97" s="124">
        <v>7.3563997460858024E-2</v>
      </c>
      <c r="AF97" s="191">
        <f t="shared" ca="1" si="161"/>
        <v>0.57157787593190212</v>
      </c>
      <c r="AG97" s="189">
        <f t="shared" ca="1" si="134"/>
        <v>1</v>
      </c>
      <c r="AH97" s="192">
        <f t="shared" ca="1" si="120"/>
        <v>0</v>
      </c>
      <c r="AI97" s="192">
        <f t="shared" ca="1" si="188"/>
        <v>0</v>
      </c>
      <c r="AJ97" s="192">
        <f t="shared" ca="1" si="122"/>
        <v>0</v>
      </c>
      <c r="AK97" s="192">
        <f t="shared" ca="1" si="189"/>
        <v>0</v>
      </c>
      <c r="AL97" s="191" t="str">
        <f t="shared" ca="1" si="162"/>
        <v/>
      </c>
      <c r="AM97" s="191" t="str">
        <f t="shared" ca="1" si="163"/>
        <v/>
      </c>
      <c r="AN97" s="191" t="str">
        <f t="shared" ca="1" si="164"/>
        <v/>
      </c>
      <c r="AO97" s="193" t="str">
        <f t="shared" ca="1" si="165"/>
        <v/>
      </c>
      <c r="AP97" s="194" t="str">
        <f t="shared" ca="1" si="135"/>
        <v/>
      </c>
      <c r="AQ97" s="194" t="str">
        <f t="shared" ca="1" si="136"/>
        <v/>
      </c>
      <c r="AR97" s="195">
        <f ca="1">IF(AH97,_xll.xASN(AL97,Strike1,AE97,AP97,0,N97,0,P97,Q97,IF(OptControl=4,0,1),0),0)</f>
        <v>0</v>
      </c>
      <c r="AS97" s="196">
        <f ca="1">IF(AH97,_xll.xASN(AL97,Strike1,AE97,AP97,0,N97,0,P97,Q97,IF(OptControl=4,0,1),1),0)</f>
        <v>0</v>
      </c>
      <c r="AT97" s="196">
        <f ca="1">IF(AH97,_xll.xASN(AL97,Strike1,AE97,AP97,0,N97,0,P97,Q97,IF(OptControl=4,0,1),2),0)</f>
        <v>0</v>
      </c>
      <c r="AU97" s="196">
        <f ca="1">IF(AH97,_xll.xASN(AL97,Strike1,AE97,AP97,0,N97,0,P97,Q97,IF(OptControl=4,0,1),3)/100,0)</f>
        <v>0</v>
      </c>
      <c r="AV97" s="196">
        <f ca="1">IF(AH97,_xll.xASN(AL97,Strike1,AE97,AP97,0,N97,0,P97-DaysForThetaCalculation/365.25,Q97-DaysForThetaCalculation/365.25,IF(OptControl=4,0,1),0)-_xll.xASN(AL97,Strike1,AE97,AP97,0,N97,0,P97,Q97,IF(OptControl=4,0,1),0),0)</f>
        <v>0</v>
      </c>
      <c r="AW97" s="196">
        <f ca="1">IF(AH97,_xll.xASN(AL97,Strike2,AE97,AQ97,0,N97,0,P97,Q97,IF(OptControl=3,1,0),0),0)</f>
        <v>0</v>
      </c>
      <c r="AX97" s="196">
        <f ca="1">IF(AH97,_xll.xASN(AL97,Strike2,AE97,AQ97,0,N97,0,P97,Q97,IF(OptControl=3,1,0),1),0)</f>
        <v>0</v>
      </c>
      <c r="AY97" s="196">
        <f ca="1">IF(AH97,_xll.xASN(AL97,Strike2,AE97,AQ97,0,N97,0,P97,Q97,IF(OptControl=3,1,0),2),0)</f>
        <v>0</v>
      </c>
      <c r="AZ97" s="196">
        <f ca="1">IF(AH97,_xll.xASN(AL97,Strike2,AE97,AQ97,0,N97,0,P97,Q97,IF(OptControl=3,1,0),3)/100,0)</f>
        <v>0</v>
      </c>
      <c r="BA97" s="196">
        <f ca="1">IF(AH97,_xll.xASN(AL97,Strike2,AE97,AQ97,0,N97,0,P97-DaysForThetaCalculation/365.25,Q97-DaysForThetaCalculation/365.25,IF(OptControl=3,1,0),0)-_xll.xASN(AL97,Strike2,AE97,AQ97,0,N97,0,P97,Q97,IF(OptControl=3,1,0),0),0)</f>
        <v>0</v>
      </c>
      <c r="BB97" s="126" t="str">
        <f t="shared" ca="1" si="166"/>
        <v/>
      </c>
      <c r="BC97" s="191" t="str">
        <f t="shared" ca="1" si="167"/>
        <v/>
      </c>
      <c r="BD97" s="191" t="str">
        <f t="shared" ca="1" si="168"/>
        <v/>
      </c>
      <c r="BE97" s="190" t="str">
        <f t="shared" ca="1" si="169"/>
        <v/>
      </c>
      <c r="BF97" s="194" t="str">
        <f t="shared" ca="1" si="170"/>
        <v/>
      </c>
      <c r="BG97" s="194" t="str">
        <f t="shared" ca="1" si="171"/>
        <v/>
      </c>
      <c r="BH97" s="195">
        <f ca="1">IF(AH97,_xll.xEURO(BB97,Strike1,AE97,AE97,BF97,O97,IF(OptControl=4,0,1),0),0)</f>
        <v>0</v>
      </c>
      <c r="BI97" s="196">
        <f ca="1">IF(AH97,_xll.xEURO(BB97,Strike1,AE97,AE97,BF97,O97,IF(OptControl=4,0,1),1),0)</f>
        <v>0</v>
      </c>
      <c r="BJ97" s="196">
        <f ca="1">IF(AH97,_xll.xEURO(BB97,Strike1,AE97,AE97,BF97,O97,IF(OptControl=4,0,1),2),0)</f>
        <v>0</v>
      </c>
      <c r="BK97" s="196">
        <f ca="1">IF(AH97,_xll.xEURO(BB97,Strike1,AE97,AE97,BF97,O97,IF(OptControl=4,0,1),3)/100,0)</f>
        <v>0</v>
      </c>
      <c r="BL97" s="196">
        <f ca="1">IF(AH97,_xll.xEURO(BB97,Strike1,AE97,AE97,BF97,O97-DaysForThetaCalculation,IF(OptControl=4,0,1),0)-_xll.xEURO(BB97,Strike1,AE97,AE97,BF97,O97,IF(OptControl=4,0,1),0),0)</f>
        <v>0</v>
      </c>
      <c r="BM97" s="196">
        <f ca="1">IF(AH97,_xll.xEURO(BB97,Strike2,AE97,AE97,BG97,O97,IF(OptControl=3,1,0),0),0)</f>
        <v>0</v>
      </c>
      <c r="BN97" s="196">
        <f ca="1">IF(AH97,_xll.xEURO(BB97,Strike2,AE97,AE97,BG97,O97,IF(OptControl=3,1,0),1),0)</f>
        <v>0</v>
      </c>
      <c r="BO97" s="196">
        <f ca="1">IF(AH97,_xll.xEURO(BB97,Strike2,AE97,AE97,BG97,O97,IF(OptControl=3,1,0),2),0)</f>
        <v>0</v>
      </c>
      <c r="BP97" s="196">
        <f ca="1">IF(AH97,_xll.xEURO(BB97,Strike2,AE97,AE97,BG97,O97,IF(OptControl=3,1,0),3)/100,0)</f>
        <v>0</v>
      </c>
      <c r="BQ97" s="197">
        <f ca="1">IF(AH97,_xll.xEURO(BB97,Strike2,AE97,AE97,BG97,O97-DaysForThetaCalculation,IF(OptControl=3,1,0),0)-_xll.xEURO(BB97,Strike2,AE97,AE97,BG97,O97,IF(OptControl=3,1,0),0),0)</f>
        <v>0</v>
      </c>
      <c r="BR97" s="301"/>
      <c r="BS97" s="114">
        <v>24.263000000000002</v>
      </c>
      <c r="BT97" s="345">
        <f t="shared" si="137"/>
        <v>57.769047619047626</v>
      </c>
      <c r="BU97" s="345">
        <f t="shared" ca="1" si="185"/>
        <v>4.5955000000000013</v>
      </c>
      <c r="BV97" s="73"/>
      <c r="BW97" s="345">
        <f t="shared" ca="1" si="182"/>
        <v>5.444454545454553</v>
      </c>
      <c r="BX97" s="345">
        <f t="shared" ca="1" si="186"/>
        <v>59.778571428571446</v>
      </c>
      <c r="BY97" s="373">
        <f t="shared" ca="1" si="138"/>
        <v>59.552272727272751</v>
      </c>
      <c r="BZ97" s="114">
        <v>21.853000000000002</v>
      </c>
      <c r="CA97" s="345">
        <f t="shared" si="139"/>
        <v>52.030952380952385</v>
      </c>
      <c r="CB97" s="345">
        <f t="shared" ca="1" si="187"/>
        <v>2.285499999999999</v>
      </c>
      <c r="CC97" s="345">
        <f t="shared" ca="1" si="183"/>
        <v>3.1344545454545476</v>
      </c>
      <c r="CD97" s="345">
        <f t="shared" ca="1" si="140"/>
        <v>54.052272727272737</v>
      </c>
      <c r="CE97" s="347">
        <f t="shared" ca="1" si="172"/>
        <v>-5.5000000000000142</v>
      </c>
      <c r="CF97" s="114">
        <v>23.323000000000004</v>
      </c>
      <c r="CG97" s="345">
        <f t="shared" si="141"/>
        <v>55.530952380952385</v>
      </c>
      <c r="CH97" s="345">
        <f t="shared" ca="1" si="142"/>
        <v>4.3684999999999974</v>
      </c>
      <c r="CI97" s="73"/>
      <c r="CJ97" s="345">
        <f t="shared" ca="1" si="190"/>
        <v>5.0164545454545486</v>
      </c>
      <c r="CK97" s="345">
        <f t="shared" ca="1" si="184"/>
        <v>57.05952380952381</v>
      </c>
      <c r="CL97" s="345">
        <f t="shared" ca="1" si="143"/>
        <v>58.533225108225125</v>
      </c>
      <c r="CM97" s="114">
        <v>22.697000000000003</v>
      </c>
      <c r="CN97" s="345">
        <f t="shared" si="144"/>
        <v>54.040476190476198</v>
      </c>
      <c r="CO97" s="345">
        <f t="shared" ca="1" si="145"/>
        <v>3.1295000000000002</v>
      </c>
      <c r="CP97" s="345">
        <f t="shared" ca="1" si="192"/>
        <v>3.8194545454545499</v>
      </c>
      <c r="CQ97" s="345">
        <f t="shared" ca="1" si="146"/>
        <v>55.68322510822513</v>
      </c>
      <c r="CR97" s="347">
        <f t="shared" ca="1" si="173"/>
        <v>-2.8499999999999943</v>
      </c>
      <c r="CS97" s="114">
        <v>24.062000000000005</v>
      </c>
      <c r="CT97" s="345">
        <f t="shared" si="147"/>
        <v>57.290476190476198</v>
      </c>
      <c r="CU97" s="345">
        <f t="shared" si="174"/>
        <v>0.30000000000001137</v>
      </c>
      <c r="CV97" s="345">
        <f t="shared" ca="1" si="191"/>
        <v>1.6500000000000081</v>
      </c>
      <c r="CW97" s="347">
        <f t="shared" ca="1" si="175"/>
        <v>60.18322510822513</v>
      </c>
      <c r="CX97" s="483">
        <v>0.18100000000000002</v>
      </c>
      <c r="CY97" s="190">
        <f t="shared" si="148"/>
        <v>-2.9999999999996696E-4</v>
      </c>
      <c r="CZ97" s="190">
        <f t="shared" ca="1" si="180"/>
        <v>-0.03</v>
      </c>
      <c r="DA97" s="354">
        <f t="shared" ca="1" si="149"/>
        <v>0.15129999999999999</v>
      </c>
      <c r="DB97" s="483">
        <v>0.18100000000000002</v>
      </c>
      <c r="DC97" s="190">
        <f t="shared" si="150"/>
        <v>-2.9999999999996696E-4</v>
      </c>
      <c r="DD97" s="190">
        <f t="shared" ca="1" si="181"/>
        <v>0.03</v>
      </c>
      <c r="DE97" s="354">
        <f t="shared" ca="1" si="151"/>
        <v>0.21129999999999999</v>
      </c>
      <c r="DG97" s="341"/>
      <c r="DH97" s="114"/>
      <c r="DI97" s="126">
        <f t="shared" ca="1" si="176"/>
        <v>-19.567500000000003</v>
      </c>
      <c r="DJ97" s="126">
        <f t="shared" ca="1" si="124"/>
        <v>-2</v>
      </c>
      <c r="DK97" s="356">
        <f t="shared" ca="1" si="125"/>
        <v>17.567500000000003</v>
      </c>
      <c r="DL97" s="114"/>
      <c r="DM97" s="126">
        <f t="shared" ca="1" si="177"/>
        <v>-19.567500000000003</v>
      </c>
      <c r="DN97" s="126">
        <f t="shared" ca="1" si="152"/>
        <v>-3</v>
      </c>
      <c r="DO97" s="356">
        <f t="shared" ca="1" si="126"/>
        <v>16.567500000000003</v>
      </c>
      <c r="DP97" s="114"/>
      <c r="DQ97" s="126">
        <f t="shared" ca="1" si="178"/>
        <v>-19.567500000000003</v>
      </c>
      <c r="DR97" s="126">
        <f t="shared" ca="1" si="153"/>
        <v>-6</v>
      </c>
      <c r="DS97" s="356">
        <f t="shared" ca="1" si="127"/>
        <v>13.567500000000003</v>
      </c>
      <c r="DT97" s="114"/>
      <c r="DU97" s="126">
        <f t="shared" ca="1" si="179"/>
        <v>-19.567500000000003</v>
      </c>
      <c r="DV97" s="126">
        <f t="shared" ca="1" si="154"/>
        <v>-5</v>
      </c>
      <c r="DW97" s="356">
        <f t="shared" ca="1" si="128"/>
        <v>14.567500000000003</v>
      </c>
    </row>
    <row r="98" spans="2:127" x14ac:dyDescent="0.25">
      <c r="B98" s="396">
        <v>38534</v>
      </c>
      <c r="C98" s="400">
        <v>38523</v>
      </c>
      <c r="I98" s="136">
        <f t="shared" ca="1" si="129"/>
        <v>39783</v>
      </c>
      <c r="J98" s="131">
        <f t="shared" ca="1" si="130"/>
        <v>39771</v>
      </c>
      <c r="K98" s="106">
        <f t="shared" ca="1" si="131"/>
        <v>0.65217391304347827</v>
      </c>
      <c r="L98" s="133">
        <f t="shared" ref="L98:L161" ca="1" si="193">YEAR(I98)-1900</f>
        <v>108</v>
      </c>
      <c r="M98" s="134">
        <f t="shared" ref="M98:M161" ca="1" si="194">MONTH(I98)</f>
        <v>12</v>
      </c>
      <c r="N98" s="103">
        <f t="shared" ca="1" si="116"/>
        <v>23</v>
      </c>
      <c r="O98" s="104">
        <f t="shared" ca="1" si="132"/>
        <v>2823</v>
      </c>
      <c r="P98" s="105">
        <f t="shared" ref="P98:P161" ca="1" si="195">(I98-DateToday+1)/365.25</f>
        <v>7.7453798767967141</v>
      </c>
      <c r="Q98" s="105">
        <f t="shared" ref="Q98:Q161" ca="1" si="196">(I99-DateToday)/365.25</f>
        <v>7.8275154004106779</v>
      </c>
      <c r="R98" s="114">
        <v>19.55</v>
      </c>
      <c r="S98" s="198">
        <v>0</v>
      </c>
      <c r="T98" s="189">
        <f t="shared" si="133"/>
        <v>19.55</v>
      </c>
      <c r="U98" s="199">
        <f t="shared" ca="1" si="117"/>
        <v>19.617391304347827</v>
      </c>
      <c r="V98" s="379">
        <f t="shared" ca="1" si="118"/>
        <v>19.617391304347827</v>
      </c>
      <c r="W98" s="483">
        <v>0.1807</v>
      </c>
      <c r="X98" s="166" t="str">
        <f t="shared" ca="1" si="119"/>
        <v/>
      </c>
      <c r="Y98" s="91">
        <f t="shared" ca="1" si="155"/>
        <v>2.0587329014696426E-3</v>
      </c>
      <c r="Z98" s="91">
        <f t="shared" ca="1" si="156"/>
        <v>7.7030230321840812E-4</v>
      </c>
      <c r="AA98" s="91">
        <f t="shared" ca="1" si="157"/>
        <v>2.8607827745411935E-4</v>
      </c>
      <c r="AB98" s="91">
        <f t="shared" ca="1" si="158"/>
        <v>6.4447714344864724E-4</v>
      </c>
      <c r="AC98" s="91">
        <f t="shared" ca="1" si="159"/>
        <v>1.7353370286905098E-3</v>
      </c>
      <c r="AD98" s="91">
        <f t="shared" ca="1" si="160"/>
        <v>4.6379134804307477E-3</v>
      </c>
      <c r="AE98" s="124">
        <v>7.3571342689855004E-2</v>
      </c>
      <c r="AF98" s="191">
        <f t="shared" ca="1" si="161"/>
        <v>0.56805244449314829</v>
      </c>
      <c r="AG98" s="189">
        <f t="shared" ca="1" si="134"/>
        <v>1</v>
      </c>
      <c r="AH98" s="192">
        <f t="shared" ca="1" si="120"/>
        <v>0</v>
      </c>
      <c r="AI98" s="192">
        <f t="shared" ca="1" si="188"/>
        <v>0</v>
      </c>
      <c r="AJ98" s="192">
        <f t="shared" ca="1" si="122"/>
        <v>0</v>
      </c>
      <c r="AK98" s="192">
        <f t="shared" ca="1" si="189"/>
        <v>0</v>
      </c>
      <c r="AL98" s="191" t="str">
        <f t="shared" ca="1" si="162"/>
        <v/>
      </c>
      <c r="AM98" s="191" t="str">
        <f t="shared" ca="1" si="163"/>
        <v/>
      </c>
      <c r="AN98" s="191" t="str">
        <f t="shared" ca="1" si="164"/>
        <v/>
      </c>
      <c r="AO98" s="193" t="str">
        <f t="shared" ca="1" si="165"/>
        <v/>
      </c>
      <c r="AP98" s="194" t="str">
        <f t="shared" ca="1" si="135"/>
        <v/>
      </c>
      <c r="AQ98" s="194" t="str">
        <f t="shared" ca="1" si="136"/>
        <v/>
      </c>
      <c r="AR98" s="195">
        <f ca="1">IF(AH98,_xll.xASN(AL98,Strike1,AE98,AP98,0,N98,0,P98,Q98,IF(OptControl=4,0,1),0),0)</f>
        <v>0</v>
      </c>
      <c r="AS98" s="196">
        <f ca="1">IF(AH98,_xll.xASN(AL98,Strike1,AE98,AP98,0,N98,0,P98,Q98,IF(OptControl=4,0,1),1),0)</f>
        <v>0</v>
      </c>
      <c r="AT98" s="196">
        <f ca="1">IF(AH98,_xll.xASN(AL98,Strike1,AE98,AP98,0,N98,0,P98,Q98,IF(OptControl=4,0,1),2),0)</f>
        <v>0</v>
      </c>
      <c r="AU98" s="196">
        <f ca="1">IF(AH98,_xll.xASN(AL98,Strike1,AE98,AP98,0,N98,0,P98,Q98,IF(OptControl=4,0,1),3)/100,0)</f>
        <v>0</v>
      </c>
      <c r="AV98" s="196">
        <f ca="1">IF(AH98,_xll.xASN(AL98,Strike1,AE98,AP98,0,N98,0,P98-DaysForThetaCalculation/365.25,Q98-DaysForThetaCalculation/365.25,IF(OptControl=4,0,1),0)-_xll.xASN(AL98,Strike1,AE98,AP98,0,N98,0,P98,Q98,IF(OptControl=4,0,1),0),0)</f>
        <v>0</v>
      </c>
      <c r="AW98" s="196">
        <f ca="1">IF(AH98,_xll.xASN(AL98,Strike2,AE98,AQ98,0,N98,0,P98,Q98,IF(OptControl=3,1,0),0),0)</f>
        <v>0</v>
      </c>
      <c r="AX98" s="196">
        <f ca="1">IF(AH98,_xll.xASN(AL98,Strike2,AE98,AQ98,0,N98,0,P98,Q98,IF(OptControl=3,1,0),1),0)</f>
        <v>0</v>
      </c>
      <c r="AY98" s="196">
        <f ca="1">IF(AH98,_xll.xASN(AL98,Strike2,AE98,AQ98,0,N98,0,P98,Q98,IF(OptControl=3,1,0),2),0)</f>
        <v>0</v>
      </c>
      <c r="AZ98" s="196">
        <f ca="1">IF(AH98,_xll.xASN(AL98,Strike2,AE98,AQ98,0,N98,0,P98,Q98,IF(OptControl=3,1,0),3)/100,0)</f>
        <v>0</v>
      </c>
      <c r="BA98" s="196">
        <f ca="1">IF(AH98,_xll.xASN(AL98,Strike2,AE98,AQ98,0,N98,0,P98-DaysForThetaCalculation/365.25,Q98-DaysForThetaCalculation/365.25,IF(OptControl=3,1,0),0)-_xll.xASN(AL98,Strike2,AE98,AQ98,0,N98,0,P98,Q98,IF(OptControl=3,1,0),0),0)</f>
        <v>0</v>
      </c>
      <c r="BB98" s="126" t="str">
        <f t="shared" ca="1" si="166"/>
        <v/>
      </c>
      <c r="BC98" s="191" t="str">
        <f t="shared" ca="1" si="167"/>
        <v/>
      </c>
      <c r="BD98" s="191" t="str">
        <f t="shared" ca="1" si="168"/>
        <v/>
      </c>
      <c r="BE98" s="190" t="str">
        <f t="shared" ca="1" si="169"/>
        <v/>
      </c>
      <c r="BF98" s="194" t="str">
        <f t="shared" ca="1" si="170"/>
        <v/>
      </c>
      <c r="BG98" s="194" t="str">
        <f t="shared" ca="1" si="171"/>
        <v/>
      </c>
      <c r="BH98" s="195">
        <f ca="1">IF(AH98,_xll.xEURO(BB98,Strike1,AE98,AE98,BF98,O98,IF(OptControl=4,0,1),0),0)</f>
        <v>0</v>
      </c>
      <c r="BI98" s="196">
        <f ca="1">IF(AH98,_xll.xEURO(BB98,Strike1,AE98,AE98,BF98,O98,IF(OptControl=4,0,1),1),0)</f>
        <v>0</v>
      </c>
      <c r="BJ98" s="196">
        <f ca="1">IF(AH98,_xll.xEURO(BB98,Strike1,AE98,AE98,BF98,O98,IF(OptControl=4,0,1),2),0)</f>
        <v>0</v>
      </c>
      <c r="BK98" s="196">
        <f ca="1">IF(AH98,_xll.xEURO(BB98,Strike1,AE98,AE98,BF98,O98,IF(OptControl=4,0,1),3)/100,0)</f>
        <v>0</v>
      </c>
      <c r="BL98" s="196">
        <f ca="1">IF(AH98,_xll.xEURO(BB98,Strike1,AE98,AE98,BF98,O98-DaysForThetaCalculation,IF(OptControl=4,0,1),0)-_xll.xEURO(BB98,Strike1,AE98,AE98,BF98,O98,IF(OptControl=4,0,1),0),0)</f>
        <v>0</v>
      </c>
      <c r="BM98" s="196">
        <f ca="1">IF(AH98,_xll.xEURO(BB98,Strike2,AE98,AE98,BG98,O98,IF(OptControl=3,1,0),0),0)</f>
        <v>0</v>
      </c>
      <c r="BN98" s="196">
        <f ca="1">IF(AH98,_xll.xEURO(BB98,Strike2,AE98,AE98,BG98,O98,IF(OptControl=3,1,0),1),0)</f>
        <v>0</v>
      </c>
      <c r="BO98" s="196">
        <f ca="1">IF(AH98,_xll.xEURO(BB98,Strike2,AE98,AE98,BG98,O98,IF(OptControl=3,1,0),2),0)</f>
        <v>0</v>
      </c>
      <c r="BP98" s="196">
        <f ca="1">IF(AH98,_xll.xEURO(BB98,Strike2,AE98,AE98,BG98,O98,IF(OptControl=3,1,0),3)/100,0)</f>
        <v>0</v>
      </c>
      <c r="BQ98" s="197">
        <f ca="1">IF(AH98,_xll.xEURO(BB98,Strike2,AE98,AE98,BG98,O98-DaysForThetaCalculation,IF(OptControl=3,1,0),0)-_xll.xEURO(BB98,Strike2,AE98,AE98,BG98,O98,IF(OptControl=3,1,0),0),0)</f>
        <v>0</v>
      </c>
      <c r="BR98" s="301"/>
      <c r="BS98" s="114">
        <v>24.163000000000004</v>
      </c>
      <c r="BT98" s="345">
        <f t="shared" si="137"/>
        <v>57.530952380952385</v>
      </c>
      <c r="BU98" s="345">
        <f t="shared" ca="1" si="185"/>
        <v>4.7556086956521746</v>
      </c>
      <c r="BV98" s="73"/>
      <c r="BW98" s="345">
        <f t="shared" ca="1" si="182"/>
        <v>5.617142857142861</v>
      </c>
      <c r="BX98" s="345">
        <f t="shared" ca="1" si="186"/>
        <v>59.552272727272751</v>
      </c>
      <c r="BY98" s="373">
        <f t="shared" ca="1" si="138"/>
        <v>60.082224194025443</v>
      </c>
      <c r="BZ98" s="114">
        <v>22.063000000000002</v>
      </c>
      <c r="CA98" s="345">
        <f t="shared" si="139"/>
        <v>52.530952380952385</v>
      </c>
      <c r="CB98" s="345">
        <f t="shared" ca="1" si="187"/>
        <v>2.4456086956521759</v>
      </c>
      <c r="CC98" s="345">
        <f t="shared" ca="1" si="183"/>
        <v>3.3071428571428592</v>
      </c>
      <c r="CD98" s="345">
        <f t="shared" ca="1" si="140"/>
        <v>54.582224194025443</v>
      </c>
      <c r="CE98" s="347">
        <f t="shared" ca="1" si="172"/>
        <v>-5.5</v>
      </c>
      <c r="CF98" s="114">
        <v>23.936</v>
      </c>
      <c r="CG98" s="345">
        <f t="shared" si="141"/>
        <v>56.990476190476187</v>
      </c>
      <c r="CH98" s="345">
        <f t="shared" ca="1" si="142"/>
        <v>4.713608695652173</v>
      </c>
      <c r="CI98" s="73"/>
      <c r="CJ98" s="345">
        <f t="shared" ca="1" si="190"/>
        <v>5.3781428571428602</v>
      </c>
      <c r="CK98" s="345">
        <f t="shared" ca="1" si="184"/>
        <v>58.533225108225125</v>
      </c>
      <c r="CL98" s="345">
        <f t="shared" ca="1" si="143"/>
        <v>59.513176574977827</v>
      </c>
      <c r="CM98" s="114">
        <v>23.092000000000002</v>
      </c>
      <c r="CN98" s="345">
        <f t="shared" si="144"/>
        <v>54.980952380952388</v>
      </c>
      <c r="CO98" s="345">
        <f t="shared" ca="1" si="145"/>
        <v>3.4746086956521758</v>
      </c>
      <c r="CP98" s="345">
        <f t="shared" ca="1" si="192"/>
        <v>4.1811428571428619</v>
      </c>
      <c r="CQ98" s="345">
        <f t="shared" ca="1" si="146"/>
        <v>56.663176574977832</v>
      </c>
      <c r="CR98" s="347">
        <f t="shared" ca="1" si="173"/>
        <v>-2.8499999999999943</v>
      </c>
      <c r="CS98" s="114">
        <v>24.457000000000004</v>
      </c>
      <c r="CT98" s="345">
        <f t="shared" si="147"/>
        <v>58.230952380952388</v>
      </c>
      <c r="CU98" s="345">
        <f t="shared" si="174"/>
        <v>0.30000000000001137</v>
      </c>
      <c r="CV98" s="345">
        <f t="shared" ca="1" si="191"/>
        <v>1.6500000000000081</v>
      </c>
      <c r="CW98" s="347">
        <f t="shared" ca="1" si="175"/>
        <v>61.163176574977832</v>
      </c>
      <c r="CX98" s="483">
        <v>0.18100000000000002</v>
      </c>
      <c r="CY98" s="190">
        <f t="shared" si="148"/>
        <v>3.0000000000002247E-4</v>
      </c>
      <c r="CZ98" s="190">
        <f t="shared" ca="1" si="180"/>
        <v>-0.03</v>
      </c>
      <c r="DA98" s="354">
        <f t="shared" ca="1" si="149"/>
        <v>0.1507</v>
      </c>
      <c r="DB98" s="483">
        <v>0.18100000000000002</v>
      </c>
      <c r="DC98" s="190">
        <f t="shared" si="150"/>
        <v>3.0000000000002247E-4</v>
      </c>
      <c r="DD98" s="190">
        <f t="shared" ca="1" si="181"/>
        <v>0.03</v>
      </c>
      <c r="DE98" s="354">
        <f t="shared" ca="1" si="151"/>
        <v>0.2107</v>
      </c>
      <c r="DG98" s="341"/>
      <c r="DH98" s="114"/>
      <c r="DI98" s="126">
        <f t="shared" ca="1" si="176"/>
        <v>-19.617391304347827</v>
      </c>
      <c r="DJ98" s="126">
        <f t="shared" ca="1" si="124"/>
        <v>-2</v>
      </c>
      <c r="DK98" s="356">
        <f t="shared" ca="1" si="125"/>
        <v>17.617391304347827</v>
      </c>
      <c r="DL98" s="114"/>
      <c r="DM98" s="126">
        <f t="shared" ca="1" si="177"/>
        <v>-19.617391304347827</v>
      </c>
      <c r="DN98" s="126">
        <f t="shared" ca="1" si="152"/>
        <v>-3</v>
      </c>
      <c r="DO98" s="356">
        <f t="shared" ca="1" si="126"/>
        <v>16.617391304347827</v>
      </c>
      <c r="DP98" s="114"/>
      <c r="DQ98" s="126">
        <f t="shared" ca="1" si="178"/>
        <v>-19.617391304347827</v>
      </c>
      <c r="DR98" s="126">
        <f t="shared" ca="1" si="153"/>
        <v>-6</v>
      </c>
      <c r="DS98" s="356">
        <f t="shared" ca="1" si="127"/>
        <v>13.617391304347827</v>
      </c>
      <c r="DT98" s="114"/>
      <c r="DU98" s="126">
        <f t="shared" ca="1" si="179"/>
        <v>-19.617391304347827</v>
      </c>
      <c r="DV98" s="126">
        <f t="shared" ca="1" si="154"/>
        <v>-5</v>
      </c>
      <c r="DW98" s="356">
        <f t="shared" ca="1" si="128"/>
        <v>14.617391304347827</v>
      </c>
    </row>
    <row r="99" spans="2:127" x14ac:dyDescent="0.25">
      <c r="B99" s="396">
        <v>38565</v>
      </c>
      <c r="C99" s="400">
        <v>38553</v>
      </c>
      <c r="I99" s="136">
        <f t="shared" ca="1" si="129"/>
        <v>39814</v>
      </c>
      <c r="J99" s="131">
        <f t="shared" ca="1" si="130"/>
        <v>39801</v>
      </c>
      <c r="K99" s="106">
        <f t="shared" ca="1" si="131"/>
        <v>0.72727272727272729</v>
      </c>
      <c r="L99" s="133">
        <f t="shared" ca="1" si="193"/>
        <v>109</v>
      </c>
      <c r="M99" s="134">
        <f t="shared" ca="1" si="194"/>
        <v>1</v>
      </c>
      <c r="N99" s="103">
        <f t="shared" ca="1" si="116"/>
        <v>22</v>
      </c>
      <c r="O99" s="104">
        <f t="shared" ca="1" si="132"/>
        <v>2854</v>
      </c>
      <c r="P99" s="105">
        <f t="shared" ca="1" si="195"/>
        <v>7.83025325119781</v>
      </c>
      <c r="Q99" s="105">
        <f t="shared" ca="1" si="196"/>
        <v>7.9123887748117729</v>
      </c>
      <c r="R99" s="114">
        <v>19.600000000000001</v>
      </c>
      <c r="S99" s="198">
        <v>0</v>
      </c>
      <c r="T99" s="189">
        <f t="shared" si="133"/>
        <v>19.600000000000001</v>
      </c>
      <c r="U99" s="199">
        <f t="shared" ca="1" si="117"/>
        <v>19.663636363636364</v>
      </c>
      <c r="V99" s="379">
        <f t="shared" ca="1" si="118"/>
        <v>19.663636363636364</v>
      </c>
      <c r="W99" s="483">
        <v>0.1802</v>
      </c>
      <c r="X99" s="166" t="str">
        <f t="shared" ca="1" si="119"/>
        <v/>
      </c>
      <c r="Y99" s="91">
        <f t="shared" ca="1" si="155"/>
        <v>2.0146585612322012E-3</v>
      </c>
      <c r="Z99" s="91">
        <f t="shared" ca="1" si="156"/>
        <v>7.4977535761238041E-4</v>
      </c>
      <c r="AA99" s="91">
        <f t="shared" ca="1" si="157"/>
        <v>2.7770818644455873E-4</v>
      </c>
      <c r="AB99" s="91">
        <f t="shared" ca="1" si="158"/>
        <v>6.2562100242230913E-4</v>
      </c>
      <c r="AC99" s="91">
        <f t="shared" ca="1" si="159"/>
        <v>1.689093925629249E-3</v>
      </c>
      <c r="AD99" s="91">
        <f t="shared" ca="1" si="160"/>
        <v>4.5386228067438392E-3</v>
      </c>
      <c r="AE99" s="124">
        <v>7.3578932759837012E-2</v>
      </c>
      <c r="AF99" s="191">
        <f t="shared" ca="1" si="161"/>
        <v>0.56454702385340805</v>
      </c>
      <c r="AG99" s="189">
        <f t="shared" ca="1" si="134"/>
        <v>1</v>
      </c>
      <c r="AH99" s="192">
        <f t="shared" ca="1" si="120"/>
        <v>0</v>
      </c>
      <c r="AI99" s="192">
        <f t="shared" ca="1" si="188"/>
        <v>0</v>
      </c>
      <c r="AJ99" s="192">
        <f t="shared" ca="1" si="122"/>
        <v>0</v>
      </c>
      <c r="AK99" s="192">
        <f t="shared" ca="1" si="189"/>
        <v>0</v>
      </c>
      <c r="AL99" s="191" t="str">
        <f t="shared" ca="1" si="162"/>
        <v/>
      </c>
      <c r="AM99" s="191" t="str">
        <f t="shared" ca="1" si="163"/>
        <v/>
      </c>
      <c r="AN99" s="191" t="str">
        <f t="shared" ca="1" si="164"/>
        <v/>
      </c>
      <c r="AO99" s="193" t="str">
        <f t="shared" ca="1" si="165"/>
        <v/>
      </c>
      <c r="AP99" s="194" t="str">
        <f t="shared" ca="1" si="135"/>
        <v/>
      </c>
      <c r="AQ99" s="194" t="str">
        <f t="shared" ca="1" si="136"/>
        <v/>
      </c>
      <c r="AR99" s="195">
        <f ca="1">IF(AH99,_xll.xASN(AL99,Strike1,AE99,AP99,0,N99,0,P99,Q99,IF(OptControl=4,0,1),0),0)</f>
        <v>0</v>
      </c>
      <c r="AS99" s="196">
        <f ca="1">IF(AH99,_xll.xASN(AL99,Strike1,AE99,AP99,0,N99,0,P99,Q99,IF(OptControl=4,0,1),1),0)</f>
        <v>0</v>
      </c>
      <c r="AT99" s="196">
        <f ca="1">IF(AH99,_xll.xASN(AL99,Strike1,AE99,AP99,0,N99,0,P99,Q99,IF(OptControl=4,0,1),2),0)</f>
        <v>0</v>
      </c>
      <c r="AU99" s="196">
        <f ca="1">IF(AH99,_xll.xASN(AL99,Strike1,AE99,AP99,0,N99,0,P99,Q99,IF(OptControl=4,0,1),3)/100,0)</f>
        <v>0</v>
      </c>
      <c r="AV99" s="196">
        <f ca="1">IF(AH99,_xll.xASN(AL99,Strike1,AE99,AP99,0,N99,0,P99-DaysForThetaCalculation/365.25,Q99-DaysForThetaCalculation/365.25,IF(OptControl=4,0,1),0)-_xll.xASN(AL99,Strike1,AE99,AP99,0,N99,0,P99,Q99,IF(OptControl=4,0,1),0),0)</f>
        <v>0</v>
      </c>
      <c r="AW99" s="196">
        <f ca="1">IF(AH99,_xll.xASN(AL99,Strike2,AE99,AQ99,0,N99,0,P99,Q99,IF(OptControl=3,1,0),0),0)</f>
        <v>0</v>
      </c>
      <c r="AX99" s="196">
        <f ca="1">IF(AH99,_xll.xASN(AL99,Strike2,AE99,AQ99,0,N99,0,P99,Q99,IF(OptControl=3,1,0),1),0)</f>
        <v>0</v>
      </c>
      <c r="AY99" s="196">
        <f ca="1">IF(AH99,_xll.xASN(AL99,Strike2,AE99,AQ99,0,N99,0,P99,Q99,IF(OptControl=3,1,0),2),0)</f>
        <v>0</v>
      </c>
      <c r="AZ99" s="196">
        <f ca="1">IF(AH99,_xll.xASN(AL99,Strike2,AE99,AQ99,0,N99,0,P99,Q99,IF(OptControl=3,1,0),3)/100,0)</f>
        <v>0</v>
      </c>
      <c r="BA99" s="196">
        <f ca="1">IF(AH99,_xll.xASN(AL99,Strike2,AE99,AQ99,0,N99,0,P99-DaysForThetaCalculation/365.25,Q99-DaysForThetaCalculation/365.25,IF(OptControl=3,1,0),0)-_xll.xASN(AL99,Strike2,AE99,AQ99,0,N99,0,P99,Q99,IF(OptControl=3,1,0),0),0)</f>
        <v>0</v>
      </c>
      <c r="BB99" s="126" t="str">
        <f t="shared" ca="1" si="166"/>
        <v/>
      </c>
      <c r="BC99" s="191" t="str">
        <f t="shared" ca="1" si="167"/>
        <v/>
      </c>
      <c r="BD99" s="191" t="str">
        <f t="shared" ca="1" si="168"/>
        <v/>
      </c>
      <c r="BE99" s="190" t="str">
        <f t="shared" ca="1" si="169"/>
        <v/>
      </c>
      <c r="BF99" s="194" t="str">
        <f t="shared" ca="1" si="170"/>
        <v/>
      </c>
      <c r="BG99" s="194" t="str">
        <f t="shared" ca="1" si="171"/>
        <v/>
      </c>
      <c r="BH99" s="195">
        <f ca="1">IF(AH99,_xll.xEURO(BB99,Strike1,AE99,AE99,BF99,O99,IF(OptControl=4,0,1),0),0)</f>
        <v>0</v>
      </c>
      <c r="BI99" s="196">
        <f ca="1">IF(AH99,_xll.xEURO(BB99,Strike1,AE99,AE99,BF99,O99,IF(OptControl=4,0,1),1),0)</f>
        <v>0</v>
      </c>
      <c r="BJ99" s="196">
        <f ca="1">IF(AH99,_xll.xEURO(BB99,Strike1,AE99,AE99,BF99,O99,IF(OptControl=4,0,1),2),0)</f>
        <v>0</v>
      </c>
      <c r="BK99" s="196">
        <f ca="1">IF(AH99,_xll.xEURO(BB99,Strike1,AE99,AE99,BF99,O99,IF(OptControl=4,0,1),3)/100,0)</f>
        <v>0</v>
      </c>
      <c r="BL99" s="196">
        <f ca="1">IF(AH99,_xll.xEURO(BB99,Strike1,AE99,AE99,BF99,O99-DaysForThetaCalculation,IF(OptControl=4,0,1),0)-_xll.xEURO(BB99,Strike1,AE99,AE99,BF99,O99,IF(OptControl=4,0,1),0),0)</f>
        <v>0</v>
      </c>
      <c r="BM99" s="196">
        <f ca="1">IF(AH99,_xll.xEURO(BB99,Strike2,AE99,AE99,BG99,O99,IF(OptControl=3,1,0),0),0)</f>
        <v>0</v>
      </c>
      <c r="BN99" s="196">
        <f ca="1">IF(AH99,_xll.xEURO(BB99,Strike2,AE99,AE99,BG99,O99,IF(OptControl=3,1,0),1),0)</f>
        <v>0</v>
      </c>
      <c r="BO99" s="196">
        <f ca="1">IF(AH99,_xll.xEURO(BB99,Strike2,AE99,AE99,BG99,O99,IF(OptControl=3,1,0),2),0)</f>
        <v>0</v>
      </c>
      <c r="BP99" s="196">
        <f ca="1">IF(AH99,_xll.xEURO(BB99,Strike2,AE99,AE99,BG99,O99,IF(OptControl=3,1,0),3)/100,0)</f>
        <v>0</v>
      </c>
      <c r="BQ99" s="197">
        <f ca="1">IF(AH99,_xll.xEURO(BB99,Strike2,AE99,AE99,BG99,O99-DaysForThetaCalculation,IF(OptControl=3,1,0),0)-_xll.xEURO(BB99,Strike2,AE99,AE99,BG99,O99,IF(OptControl=3,1,0),0),0)</f>
        <v>0</v>
      </c>
      <c r="BR99" s="301"/>
      <c r="BS99" s="114">
        <v>24.373000000000001</v>
      </c>
      <c r="BT99" s="345">
        <f t="shared" si="137"/>
        <v>58.030952380952385</v>
      </c>
      <c r="BU99" s="345">
        <f t="shared" ca="1" si="185"/>
        <v>5.7123636363636372</v>
      </c>
      <c r="BV99" s="73"/>
      <c r="BW99" s="345">
        <f t="shared" ca="1" si="182"/>
        <v>5.859478260869567</v>
      </c>
      <c r="BX99" s="345">
        <f t="shared" ca="1" si="186"/>
        <v>60.082224194025443</v>
      </c>
      <c r="BY99" s="373">
        <f t="shared" ca="1" si="138"/>
        <v>60.769320534537925</v>
      </c>
      <c r="BZ99" s="114">
        <v>23.170999999999999</v>
      </c>
      <c r="CA99" s="345">
        <f t="shared" si="139"/>
        <v>55.169047619047618</v>
      </c>
      <c r="CB99" s="345">
        <f t="shared" ca="1" si="187"/>
        <v>3.5073636363636354</v>
      </c>
      <c r="CC99" s="345">
        <f t="shared" ca="1" si="183"/>
        <v>4.3474782608695683</v>
      </c>
      <c r="CD99" s="345">
        <f t="shared" ca="1" si="140"/>
        <v>57.169320534537931</v>
      </c>
      <c r="CE99" s="347">
        <f t="shared" ca="1" si="172"/>
        <v>-3.5999999999999943</v>
      </c>
      <c r="CF99" s="114">
        <v>24.331</v>
      </c>
      <c r="CG99" s="345">
        <f t="shared" si="141"/>
        <v>57.930952380952377</v>
      </c>
      <c r="CH99" s="345">
        <f t="shared" ca="1" si="142"/>
        <v>4.2893636363636389</v>
      </c>
      <c r="CI99" s="73"/>
      <c r="CJ99" s="345">
        <f t="shared" ca="1" si="190"/>
        <v>5.1794782608695673</v>
      </c>
      <c r="CK99" s="345">
        <f t="shared" ca="1" si="184"/>
        <v>59.513176574977827</v>
      </c>
      <c r="CL99" s="345">
        <f t="shared" ca="1" si="143"/>
        <v>59.150272915490305</v>
      </c>
      <c r="CM99" s="114">
        <v>22.819000000000003</v>
      </c>
      <c r="CN99" s="345">
        <f t="shared" si="144"/>
        <v>54.330952380952382</v>
      </c>
      <c r="CO99" s="345">
        <f t="shared" ca="1" si="145"/>
        <v>3.1553636363636386</v>
      </c>
      <c r="CP99" s="345">
        <f t="shared" ca="1" si="192"/>
        <v>4.0664782608695687</v>
      </c>
      <c r="CQ99" s="345">
        <f t="shared" ca="1" si="146"/>
        <v>56.500272915490314</v>
      </c>
      <c r="CR99" s="347">
        <f t="shared" ca="1" si="173"/>
        <v>-2.6499999999999915</v>
      </c>
      <c r="CS99" s="114">
        <v>24.079000000000001</v>
      </c>
      <c r="CT99" s="345">
        <f t="shared" si="147"/>
        <v>57.330952380952382</v>
      </c>
      <c r="CU99" s="345">
        <f t="shared" si="174"/>
        <v>0.29999999999999716</v>
      </c>
      <c r="CV99" s="345">
        <f t="shared" ca="1" si="191"/>
        <v>1.6500000000000081</v>
      </c>
      <c r="CW99" s="347">
        <f t="shared" ca="1" si="175"/>
        <v>60.800272915490311</v>
      </c>
      <c r="CX99" s="483">
        <v>0.18</v>
      </c>
      <c r="CY99" s="190">
        <f t="shared" si="148"/>
        <v>-2.0000000000000573E-4</v>
      </c>
      <c r="CZ99" s="190">
        <f t="shared" ca="1" si="180"/>
        <v>-0.03</v>
      </c>
      <c r="DA99" s="354">
        <f t="shared" ca="1" si="149"/>
        <v>0.1502</v>
      </c>
      <c r="DB99" s="483">
        <v>0.18</v>
      </c>
      <c r="DC99" s="190">
        <f t="shared" si="150"/>
        <v>-2.0000000000000573E-4</v>
      </c>
      <c r="DD99" s="190">
        <f t="shared" ca="1" si="181"/>
        <v>0.03</v>
      </c>
      <c r="DE99" s="354">
        <f t="shared" ca="1" si="151"/>
        <v>0.2102</v>
      </c>
      <c r="DG99" s="341"/>
      <c r="DH99" s="114"/>
      <c r="DI99" s="126">
        <f t="shared" ca="1" si="176"/>
        <v>-19.663636363636364</v>
      </c>
      <c r="DJ99" s="126">
        <f t="shared" ca="1" si="124"/>
        <v>-2</v>
      </c>
      <c r="DK99" s="356">
        <f t="shared" ca="1" si="125"/>
        <v>17.663636363636364</v>
      </c>
      <c r="DL99" s="114"/>
      <c r="DM99" s="126">
        <f t="shared" ca="1" si="177"/>
        <v>-19.663636363636364</v>
      </c>
      <c r="DN99" s="126">
        <f t="shared" ca="1" si="152"/>
        <v>-3</v>
      </c>
      <c r="DO99" s="356">
        <f t="shared" ca="1" si="126"/>
        <v>16.663636363636364</v>
      </c>
      <c r="DP99" s="114"/>
      <c r="DQ99" s="126">
        <f t="shared" ca="1" si="178"/>
        <v>-19.663636363636364</v>
      </c>
      <c r="DR99" s="126">
        <f t="shared" ca="1" si="153"/>
        <v>-6</v>
      </c>
      <c r="DS99" s="356">
        <f t="shared" ca="1" si="127"/>
        <v>13.663636363636364</v>
      </c>
      <c r="DT99" s="114"/>
      <c r="DU99" s="126">
        <f t="shared" ca="1" si="179"/>
        <v>-19.663636363636364</v>
      </c>
      <c r="DV99" s="126">
        <f t="shared" ca="1" si="154"/>
        <v>-5</v>
      </c>
      <c r="DW99" s="356">
        <f t="shared" ca="1" si="128"/>
        <v>14.663636363636364</v>
      </c>
    </row>
    <row r="100" spans="2:127" x14ac:dyDescent="0.25">
      <c r="B100" s="396">
        <v>38596</v>
      </c>
      <c r="C100" s="400">
        <v>38585</v>
      </c>
      <c r="I100" s="136">
        <f t="shared" ca="1" si="129"/>
        <v>39845</v>
      </c>
      <c r="J100" s="131">
        <f t="shared" ca="1" si="130"/>
        <v>39835</v>
      </c>
      <c r="K100" s="106">
        <f t="shared" ca="1" si="131"/>
        <v>0.75</v>
      </c>
      <c r="L100" s="133">
        <f t="shared" ca="1" si="193"/>
        <v>109</v>
      </c>
      <c r="M100" s="134">
        <f t="shared" ca="1" si="194"/>
        <v>2</v>
      </c>
      <c r="N100" s="103">
        <f t="shared" ca="1" si="116"/>
        <v>20</v>
      </c>
      <c r="O100" s="104">
        <f t="shared" ca="1" si="132"/>
        <v>2886</v>
      </c>
      <c r="P100" s="105">
        <f t="shared" ca="1" si="195"/>
        <v>7.915126625598905</v>
      </c>
      <c r="Q100" s="105">
        <f t="shared" ca="1" si="196"/>
        <v>7.9890485968514717</v>
      </c>
      <c r="R100" s="114">
        <v>19.649999999999999</v>
      </c>
      <c r="S100" s="198">
        <v>0</v>
      </c>
      <c r="T100" s="189">
        <f t="shared" si="133"/>
        <v>19.649999999999999</v>
      </c>
      <c r="U100" s="199">
        <f t="shared" ca="1" si="117"/>
        <v>19.712499999999999</v>
      </c>
      <c r="V100" s="379">
        <f t="shared" ca="1" si="118"/>
        <v>19.712499999999999</v>
      </c>
      <c r="W100" s="483">
        <v>0.1797</v>
      </c>
      <c r="X100" s="166" t="str">
        <f t="shared" ca="1" si="119"/>
        <v/>
      </c>
      <c r="Y100" s="91">
        <f t="shared" ca="1" si="155"/>
        <v>1.9715277855853774E-3</v>
      </c>
      <c r="Z100" s="91">
        <f t="shared" ca="1" si="156"/>
        <v>7.297954121829747E-4</v>
      </c>
      <c r="AA100" s="91">
        <f t="shared" ca="1" si="157"/>
        <v>2.6958298793131692E-4</v>
      </c>
      <c r="AB100" s="91">
        <f t="shared" ca="1" si="158"/>
        <v>6.0731655521167806E-4</v>
      </c>
      <c r="AC100" s="91">
        <f t="shared" ca="1" si="159"/>
        <v>1.6440831045658824E-3</v>
      </c>
      <c r="AD100" s="91">
        <f t="shared" ca="1" si="160"/>
        <v>4.4414577953666738E-3</v>
      </c>
      <c r="AE100" s="124">
        <v>7.3586522829838005E-2</v>
      </c>
      <c r="AF100" s="191">
        <f t="shared" ca="1" si="161"/>
        <v>0.56139565715603001</v>
      </c>
      <c r="AG100" s="189">
        <f t="shared" ca="1" si="134"/>
        <v>1</v>
      </c>
      <c r="AH100" s="192">
        <f t="shared" ca="1" si="120"/>
        <v>0</v>
      </c>
      <c r="AI100" s="192">
        <f t="shared" ca="1" si="188"/>
        <v>0</v>
      </c>
      <c r="AJ100" s="192">
        <f t="shared" ca="1" si="122"/>
        <v>0</v>
      </c>
      <c r="AK100" s="192">
        <f t="shared" ca="1" si="189"/>
        <v>0</v>
      </c>
      <c r="AL100" s="191" t="str">
        <f t="shared" ca="1" si="162"/>
        <v/>
      </c>
      <c r="AM100" s="191" t="str">
        <f t="shared" ca="1" si="163"/>
        <v/>
      </c>
      <c r="AN100" s="191" t="str">
        <f t="shared" ca="1" si="164"/>
        <v/>
      </c>
      <c r="AO100" s="193" t="str">
        <f t="shared" ca="1" si="165"/>
        <v/>
      </c>
      <c r="AP100" s="194" t="str">
        <f t="shared" ca="1" si="135"/>
        <v/>
      </c>
      <c r="AQ100" s="194" t="str">
        <f t="shared" ca="1" si="136"/>
        <v/>
      </c>
      <c r="AR100" s="195">
        <f ca="1">IF(AH100,_xll.xASN(AL100,Strike1,AE100,AP100,0,N100,0,P100,Q100,IF(OptControl=4,0,1),0),0)</f>
        <v>0</v>
      </c>
      <c r="AS100" s="196">
        <f ca="1">IF(AH100,_xll.xASN(AL100,Strike1,AE100,AP100,0,N100,0,P100,Q100,IF(OptControl=4,0,1),1),0)</f>
        <v>0</v>
      </c>
      <c r="AT100" s="196">
        <f ca="1">IF(AH100,_xll.xASN(AL100,Strike1,AE100,AP100,0,N100,0,P100,Q100,IF(OptControl=4,0,1),2),0)</f>
        <v>0</v>
      </c>
      <c r="AU100" s="196">
        <f ca="1">IF(AH100,_xll.xASN(AL100,Strike1,AE100,AP100,0,N100,0,P100,Q100,IF(OptControl=4,0,1),3)/100,0)</f>
        <v>0</v>
      </c>
      <c r="AV100" s="196">
        <f ca="1">IF(AH100,_xll.xASN(AL100,Strike1,AE100,AP100,0,N100,0,P100-DaysForThetaCalculation/365.25,Q100-DaysForThetaCalculation/365.25,IF(OptControl=4,0,1),0)-_xll.xASN(AL100,Strike1,AE100,AP100,0,N100,0,P100,Q100,IF(OptControl=4,0,1),0),0)</f>
        <v>0</v>
      </c>
      <c r="AW100" s="196">
        <f ca="1">IF(AH100,_xll.xASN(AL100,Strike2,AE100,AQ100,0,N100,0,P100,Q100,IF(OptControl=3,1,0),0),0)</f>
        <v>0</v>
      </c>
      <c r="AX100" s="196">
        <f ca="1">IF(AH100,_xll.xASN(AL100,Strike2,AE100,AQ100,0,N100,0,P100,Q100,IF(OptControl=3,1,0),1),0)</f>
        <v>0</v>
      </c>
      <c r="AY100" s="196">
        <f ca="1">IF(AH100,_xll.xASN(AL100,Strike2,AE100,AQ100,0,N100,0,P100,Q100,IF(OptControl=3,1,0),2),0)</f>
        <v>0</v>
      </c>
      <c r="AZ100" s="196">
        <f ca="1">IF(AH100,_xll.xASN(AL100,Strike2,AE100,AQ100,0,N100,0,P100,Q100,IF(OptControl=3,1,0),3)/100,0)</f>
        <v>0</v>
      </c>
      <c r="BA100" s="196">
        <f ca="1">IF(AH100,_xll.xASN(AL100,Strike2,AE100,AQ100,0,N100,0,P100-DaysForThetaCalculation/365.25,Q100-DaysForThetaCalculation/365.25,IF(OptControl=3,1,0),0)-_xll.xASN(AL100,Strike2,AE100,AQ100,0,N100,0,P100,Q100,IF(OptControl=3,1,0),0),0)</f>
        <v>0</v>
      </c>
      <c r="BB100" s="126" t="str">
        <f t="shared" ca="1" si="166"/>
        <v/>
      </c>
      <c r="BC100" s="191" t="str">
        <f t="shared" ca="1" si="167"/>
        <v/>
      </c>
      <c r="BD100" s="191" t="str">
        <f t="shared" ca="1" si="168"/>
        <v/>
      </c>
      <c r="BE100" s="190" t="str">
        <f t="shared" ca="1" si="169"/>
        <v/>
      </c>
      <c r="BF100" s="194" t="str">
        <f t="shared" ca="1" si="170"/>
        <v/>
      </c>
      <c r="BG100" s="194" t="str">
        <f t="shared" ca="1" si="171"/>
        <v/>
      </c>
      <c r="BH100" s="195">
        <f ca="1">IF(AH100,_xll.xEURO(BB100,Strike1,AE100,AE100,BF100,O100,IF(OptControl=4,0,1),0),0)</f>
        <v>0</v>
      </c>
      <c r="BI100" s="196">
        <f ca="1">IF(AH100,_xll.xEURO(BB100,Strike1,AE100,AE100,BF100,O100,IF(OptControl=4,0,1),1),0)</f>
        <v>0</v>
      </c>
      <c r="BJ100" s="196">
        <f ca="1">IF(AH100,_xll.xEURO(BB100,Strike1,AE100,AE100,BF100,O100,IF(OptControl=4,0,1),2),0)</f>
        <v>0</v>
      </c>
      <c r="BK100" s="196">
        <f ca="1">IF(AH100,_xll.xEURO(BB100,Strike1,AE100,AE100,BF100,O100,IF(OptControl=4,0,1),3)/100,0)</f>
        <v>0</v>
      </c>
      <c r="BL100" s="196">
        <f ca="1">IF(AH100,_xll.xEURO(BB100,Strike1,AE100,AE100,BF100,O100-DaysForThetaCalculation,IF(OptControl=4,0,1),0)-_xll.xEURO(BB100,Strike1,AE100,AE100,BF100,O100,IF(OptControl=4,0,1),0),0)</f>
        <v>0</v>
      </c>
      <c r="BM100" s="196">
        <f ca="1">IF(AH100,_xll.xEURO(BB100,Strike2,AE100,AE100,BG100,O100,IF(OptControl=3,1,0),0),0)</f>
        <v>0</v>
      </c>
      <c r="BN100" s="196">
        <f ca="1">IF(AH100,_xll.xEURO(BB100,Strike2,AE100,AE100,BG100,O100,IF(OptControl=3,1,0),1),0)</f>
        <v>0</v>
      </c>
      <c r="BO100" s="196">
        <f ca="1">IF(AH100,_xll.xEURO(BB100,Strike2,AE100,AE100,BG100,O100,IF(OptControl=3,1,0),2),0)</f>
        <v>0</v>
      </c>
      <c r="BP100" s="196">
        <f ca="1">IF(AH100,_xll.xEURO(BB100,Strike2,AE100,AE100,BG100,O100,IF(OptControl=3,1,0),3)/100,0)</f>
        <v>0</v>
      </c>
      <c r="BQ100" s="197">
        <f ca="1">IF(AH100,_xll.xEURO(BB100,Strike2,AE100,AE100,BG100,O100-DaysForThetaCalculation,IF(OptControl=3,1,0),0)-_xll.xEURO(BB100,Strike2,AE100,AE100,BG100,O100,IF(OptControl=3,1,0),0),0)</f>
        <v>0</v>
      </c>
      <c r="BR100" s="301"/>
      <c r="BS100" s="114">
        <v>25.376000000000001</v>
      </c>
      <c r="BT100" s="345">
        <f t="shared" si="137"/>
        <v>60.419047619047618</v>
      </c>
      <c r="BU100" s="345">
        <f t="shared" ca="1" si="185"/>
        <v>6.0415000000000028</v>
      </c>
      <c r="BV100" s="73"/>
      <c r="BW100" s="345">
        <f t="shared" ca="1" si="182"/>
        <v>6.24</v>
      </c>
      <c r="BX100" s="345">
        <f t="shared" ca="1" si="186"/>
        <v>60.769320534537925</v>
      </c>
      <c r="BY100" s="373">
        <f t="shared" ca="1" si="138"/>
        <v>61.791666666666664</v>
      </c>
      <c r="BZ100" s="114">
        <v>23.549000000000003</v>
      </c>
      <c r="CA100" s="345">
        <f t="shared" si="139"/>
        <v>56.069047619047623</v>
      </c>
      <c r="CB100" s="345">
        <f t="shared" ca="1" si="187"/>
        <v>3.8365000000000045</v>
      </c>
      <c r="CC100" s="345">
        <f t="shared" ca="1" si="183"/>
        <v>4.6819999999999995</v>
      </c>
      <c r="CD100" s="345">
        <f t="shared" ca="1" si="140"/>
        <v>58.082142857142856</v>
      </c>
      <c r="CE100" s="347">
        <f t="shared" ca="1" si="172"/>
        <v>-3.7095238095238088</v>
      </c>
      <c r="CF100" s="114">
        <v>23.953000000000003</v>
      </c>
      <c r="CG100" s="345">
        <f t="shared" si="141"/>
        <v>57.030952380952385</v>
      </c>
      <c r="CH100" s="345">
        <f t="shared" ca="1" si="142"/>
        <v>3.5725000000000016</v>
      </c>
      <c r="CI100" s="73"/>
      <c r="CJ100" s="345">
        <f t="shared" ca="1" si="190"/>
        <v>4.4679999999999964</v>
      </c>
      <c r="CK100" s="345">
        <f t="shared" ca="1" si="184"/>
        <v>59.150272915490305</v>
      </c>
      <c r="CL100" s="345">
        <f t="shared" ca="1" si="143"/>
        <v>57.572619047619028</v>
      </c>
      <c r="CM100" s="114">
        <v>22.151</v>
      </c>
      <c r="CN100" s="345">
        <f t="shared" si="144"/>
        <v>52.740476190476187</v>
      </c>
      <c r="CO100" s="345">
        <f t="shared" ca="1" si="145"/>
        <v>2.4385000000000012</v>
      </c>
      <c r="CP100" s="345">
        <f t="shared" ca="1" si="192"/>
        <v>3.3549999999999991</v>
      </c>
      <c r="CQ100" s="345">
        <f t="shared" ca="1" si="146"/>
        <v>54.922619047619051</v>
      </c>
      <c r="CR100" s="347">
        <f t="shared" ca="1" si="173"/>
        <v>-2.6499999999999773</v>
      </c>
      <c r="CS100" s="114">
        <v>23.410999999999998</v>
      </c>
      <c r="CT100" s="345">
        <f t="shared" si="147"/>
        <v>55.740476190476187</v>
      </c>
      <c r="CU100" s="345">
        <f t="shared" si="174"/>
        <v>0.29999999999999716</v>
      </c>
      <c r="CV100" s="345">
        <f t="shared" ca="1" si="191"/>
        <v>1.6500000000000081</v>
      </c>
      <c r="CW100" s="347">
        <f t="shared" ca="1" si="175"/>
        <v>59.222619047619034</v>
      </c>
      <c r="CX100" s="483">
        <v>0.18</v>
      </c>
      <c r="CY100" s="190">
        <f t="shared" si="148"/>
        <v>2.9999999999999472E-4</v>
      </c>
      <c r="CZ100" s="190">
        <f t="shared" ca="1" si="180"/>
        <v>-0.03</v>
      </c>
      <c r="DA100" s="354">
        <f t="shared" ca="1" si="149"/>
        <v>0.1497</v>
      </c>
      <c r="DB100" s="483">
        <v>0.18</v>
      </c>
      <c r="DC100" s="190">
        <f t="shared" si="150"/>
        <v>2.9999999999999472E-4</v>
      </c>
      <c r="DD100" s="190">
        <f t="shared" ca="1" si="181"/>
        <v>0.03</v>
      </c>
      <c r="DE100" s="354">
        <f t="shared" ca="1" si="151"/>
        <v>0.2097</v>
      </c>
      <c r="DG100" s="341"/>
      <c r="DH100" s="114"/>
      <c r="DI100" s="126">
        <f t="shared" ca="1" si="176"/>
        <v>-19.712499999999999</v>
      </c>
      <c r="DJ100" s="126">
        <f t="shared" ca="1" si="124"/>
        <v>-2</v>
      </c>
      <c r="DK100" s="356">
        <f t="shared" ca="1" si="125"/>
        <v>17.712499999999999</v>
      </c>
      <c r="DL100" s="114"/>
      <c r="DM100" s="126">
        <f t="shared" ca="1" si="177"/>
        <v>-19.712499999999999</v>
      </c>
      <c r="DN100" s="126">
        <f t="shared" ca="1" si="152"/>
        <v>-3</v>
      </c>
      <c r="DO100" s="356">
        <f t="shared" ca="1" si="126"/>
        <v>16.712499999999999</v>
      </c>
      <c r="DP100" s="114"/>
      <c r="DQ100" s="126">
        <f t="shared" ca="1" si="178"/>
        <v>-19.712499999999999</v>
      </c>
      <c r="DR100" s="126">
        <f t="shared" ca="1" si="153"/>
        <v>-6</v>
      </c>
      <c r="DS100" s="356">
        <f t="shared" ca="1" si="127"/>
        <v>13.712499999999999</v>
      </c>
      <c r="DT100" s="114"/>
      <c r="DU100" s="126">
        <f t="shared" ca="1" si="179"/>
        <v>-19.712499999999999</v>
      </c>
      <c r="DV100" s="126">
        <f t="shared" ca="1" si="154"/>
        <v>-5</v>
      </c>
      <c r="DW100" s="356">
        <f t="shared" ca="1" si="128"/>
        <v>14.712499999999999</v>
      </c>
    </row>
    <row r="101" spans="2:127" x14ac:dyDescent="0.25">
      <c r="B101" s="396">
        <v>38626</v>
      </c>
      <c r="C101" s="400">
        <v>38615</v>
      </c>
      <c r="I101" s="136">
        <f t="shared" ca="1" si="129"/>
        <v>39873</v>
      </c>
      <c r="J101" s="131">
        <f t="shared" ca="1" si="130"/>
        <v>39864</v>
      </c>
      <c r="K101" s="106">
        <f t="shared" ca="1" si="131"/>
        <v>0.68181818181818177</v>
      </c>
      <c r="L101" s="133">
        <f t="shared" ca="1" si="193"/>
        <v>109</v>
      </c>
      <c r="M101" s="134">
        <f t="shared" ca="1" si="194"/>
        <v>3</v>
      </c>
      <c r="N101" s="103">
        <f t="shared" ref="N101:N132" ca="1" si="197">NETWORKDAYS(I101,I102-1)</f>
        <v>22</v>
      </c>
      <c r="O101" s="104">
        <f t="shared" ca="1" si="132"/>
        <v>2914</v>
      </c>
      <c r="P101" s="105">
        <f t="shared" ca="1" si="195"/>
        <v>7.9917864476386038</v>
      </c>
      <c r="Q101" s="105">
        <f t="shared" ca="1" si="196"/>
        <v>8.0739219712525667</v>
      </c>
      <c r="R101" s="114">
        <v>19.7</v>
      </c>
      <c r="S101" s="198">
        <v>0</v>
      </c>
      <c r="T101" s="189">
        <f t="shared" si="133"/>
        <v>19.7</v>
      </c>
      <c r="U101" s="199">
        <f t="shared" ref="U101:U132" ca="1" si="198">R102*K101+R103*(1-K101)</f>
        <v>19.765909090909091</v>
      </c>
      <c r="V101" s="379">
        <f t="shared" ref="V101:V132" ca="1" si="199">T102*K101+T103*(1-K101)</f>
        <v>19.765909090909091</v>
      </c>
      <c r="W101" s="483">
        <v>0.17929999999999999</v>
      </c>
      <c r="X101" s="166" t="str">
        <f t="shared" ref="X101:X132" ca="1" si="200">IF($I101-DateToday+1&gt;=$A$10,"",IF($I101-DateToday+1&lt;$A$5,1,MATCH($I101-DateToday+1,$A$5:$A$10)))</f>
        <v/>
      </c>
      <c r="Y101" s="91">
        <f t="shared" ca="1" si="155"/>
        <v>1.9293203742463789E-3</v>
      </c>
      <c r="Z101" s="91">
        <f t="shared" ca="1" si="156"/>
        <v>7.1034789051931297E-4</v>
      </c>
      <c r="AA101" s="91">
        <f t="shared" ca="1" si="157"/>
        <v>2.6169551683880693E-4</v>
      </c>
      <c r="AB101" s="91">
        <f t="shared" ca="1" si="158"/>
        <v>5.8954766033447173E-4</v>
      </c>
      <c r="AC101" s="91">
        <f t="shared" ca="1" si="159"/>
        <v>1.6002717277619838E-3</v>
      </c>
      <c r="AD101" s="91">
        <f t="shared" ca="1" si="160"/>
        <v>4.3463729391021774E-3</v>
      </c>
      <c r="AE101" s="124">
        <v>7.3593623217921011E-2</v>
      </c>
      <c r="AF101" s="191">
        <f t="shared" ca="1" si="161"/>
        <v>0.55793208990344811</v>
      </c>
      <c r="AG101" s="189">
        <f t="shared" ca="1" si="134"/>
        <v>1</v>
      </c>
      <c r="AH101" s="192">
        <f t="shared" ref="AH101:AH132" ca="1" si="201">IF(OR(DateStart&gt;=I102,DateEnd&lt;I101),0,Volume*AG101)</f>
        <v>0</v>
      </c>
      <c r="AI101" s="192">
        <f t="shared" ref="AI101:AI116" ca="1" si="202">AH101*AF101</f>
        <v>0</v>
      </c>
      <c r="AJ101" s="192">
        <f t="shared" ref="AJ101:AJ132" ca="1" si="203">IF(OR(DateStart2&gt;=I102,DateEnd2&lt;I101),0,VolumeSwaption*AG101)</f>
        <v>0</v>
      </c>
      <c r="AK101" s="192">
        <f t="shared" ref="AK101:AK116" ca="1" si="204">AJ101*AF101</f>
        <v>0</v>
      </c>
      <c r="AL101" s="191" t="str">
        <f t="shared" ca="1" si="162"/>
        <v/>
      </c>
      <c r="AM101" s="191" t="str">
        <f t="shared" ca="1" si="163"/>
        <v/>
      </c>
      <c r="AN101" s="191" t="str">
        <f t="shared" ca="1" si="164"/>
        <v/>
      </c>
      <c r="AO101" s="193" t="str">
        <f t="shared" ca="1" si="165"/>
        <v/>
      </c>
      <c r="AP101" s="194" t="str">
        <f t="shared" ca="1" si="135"/>
        <v/>
      </c>
      <c r="AQ101" s="194" t="str">
        <f t="shared" ca="1" si="136"/>
        <v/>
      </c>
      <c r="AR101" s="195">
        <f ca="1">IF(AH101,_xll.xASN(AL101,Strike1,AE101,AP101,0,N101,0,P101,Q101,IF(OptControl=4,0,1),0),0)</f>
        <v>0</v>
      </c>
      <c r="AS101" s="196">
        <f ca="1">IF(AH101,_xll.xASN(AL101,Strike1,AE101,AP101,0,N101,0,P101,Q101,IF(OptControl=4,0,1),1),0)</f>
        <v>0</v>
      </c>
      <c r="AT101" s="196">
        <f ca="1">IF(AH101,_xll.xASN(AL101,Strike1,AE101,AP101,0,N101,0,P101,Q101,IF(OptControl=4,0,1),2),0)</f>
        <v>0</v>
      </c>
      <c r="AU101" s="196">
        <f ca="1">IF(AH101,_xll.xASN(AL101,Strike1,AE101,AP101,0,N101,0,P101,Q101,IF(OptControl=4,0,1),3)/100,0)</f>
        <v>0</v>
      </c>
      <c r="AV101" s="196">
        <f ca="1">IF(AH101,_xll.xASN(AL101,Strike1,AE101,AP101,0,N101,0,P101-DaysForThetaCalculation/365.25,Q101-DaysForThetaCalculation/365.25,IF(OptControl=4,0,1),0)-_xll.xASN(AL101,Strike1,AE101,AP101,0,N101,0,P101,Q101,IF(OptControl=4,0,1),0),0)</f>
        <v>0</v>
      </c>
      <c r="AW101" s="196">
        <f ca="1">IF(AH101,_xll.xASN(AL101,Strike2,AE101,AQ101,0,N101,0,P101,Q101,IF(OptControl=3,1,0),0),0)</f>
        <v>0</v>
      </c>
      <c r="AX101" s="196">
        <f ca="1">IF(AH101,_xll.xASN(AL101,Strike2,AE101,AQ101,0,N101,0,P101,Q101,IF(OptControl=3,1,0),1),0)</f>
        <v>0</v>
      </c>
      <c r="AY101" s="196">
        <f ca="1">IF(AH101,_xll.xASN(AL101,Strike2,AE101,AQ101,0,N101,0,P101,Q101,IF(OptControl=3,1,0),2),0)</f>
        <v>0</v>
      </c>
      <c r="AZ101" s="196">
        <f ca="1">IF(AH101,_xll.xASN(AL101,Strike2,AE101,AQ101,0,N101,0,P101,Q101,IF(OptControl=3,1,0),3)/100,0)</f>
        <v>0</v>
      </c>
      <c r="BA101" s="196">
        <f ca="1">IF(AH101,_xll.xASN(AL101,Strike2,AE101,AQ101,0,N101,0,P101-DaysForThetaCalculation/365.25,Q101-DaysForThetaCalculation/365.25,IF(OptControl=3,1,0),0)-_xll.xASN(AL101,Strike2,AE101,AQ101,0,N101,0,P101,Q101,IF(OptControl=3,1,0),0),0)</f>
        <v>0</v>
      </c>
      <c r="BB101" s="126" t="str">
        <f t="shared" ca="1" si="166"/>
        <v/>
      </c>
      <c r="BC101" s="191" t="str">
        <f t="shared" ca="1" si="167"/>
        <v/>
      </c>
      <c r="BD101" s="191" t="str">
        <f t="shared" ca="1" si="168"/>
        <v/>
      </c>
      <c r="BE101" s="190" t="str">
        <f t="shared" ca="1" si="169"/>
        <v/>
      </c>
      <c r="BF101" s="194" t="str">
        <f t="shared" ca="1" si="170"/>
        <v/>
      </c>
      <c r="BG101" s="194" t="str">
        <f t="shared" ca="1" si="171"/>
        <v/>
      </c>
      <c r="BH101" s="195">
        <f ca="1">IF(AH101,_xll.xEURO(BB101,Strike1,AE101,AE101,BF101,O101,IF(OptControl=4,0,1),0),0)</f>
        <v>0</v>
      </c>
      <c r="BI101" s="196">
        <f ca="1">IF(AH101,_xll.xEURO(BB101,Strike1,AE101,AE101,BF101,O101,IF(OptControl=4,0,1),1),0)</f>
        <v>0</v>
      </c>
      <c r="BJ101" s="196">
        <f ca="1">IF(AH101,_xll.xEURO(BB101,Strike1,AE101,AE101,BF101,O101,IF(OptControl=4,0,1),2),0)</f>
        <v>0</v>
      </c>
      <c r="BK101" s="196">
        <f ca="1">IF(AH101,_xll.xEURO(BB101,Strike1,AE101,AE101,BF101,O101,IF(OptControl=4,0,1),3)/100,0)</f>
        <v>0</v>
      </c>
      <c r="BL101" s="196">
        <f ca="1">IF(AH101,_xll.xEURO(BB101,Strike1,AE101,AE101,BF101,O101-DaysForThetaCalculation,IF(OptControl=4,0,1),0)-_xll.xEURO(BB101,Strike1,AE101,AE101,BF101,O101,IF(OptControl=4,0,1),0),0)</f>
        <v>0</v>
      </c>
      <c r="BM101" s="196">
        <f ca="1">IF(AH101,_xll.xEURO(BB101,Strike2,AE101,AE101,BG101,O101,IF(OptControl=3,1,0),0),0)</f>
        <v>0</v>
      </c>
      <c r="BN101" s="196">
        <f ca="1">IF(AH101,_xll.xEURO(BB101,Strike2,AE101,AE101,BG101,O101,IF(OptControl=3,1,0),1),0)</f>
        <v>0</v>
      </c>
      <c r="BO101" s="196">
        <f ca="1">IF(AH101,_xll.xEURO(BB101,Strike2,AE101,AE101,BG101,O101,IF(OptControl=3,1,0),2),0)</f>
        <v>0</v>
      </c>
      <c r="BP101" s="196">
        <f ca="1">IF(AH101,_xll.xEURO(BB101,Strike2,AE101,AE101,BG101,O101,IF(OptControl=3,1,0),3)/100,0)</f>
        <v>0</v>
      </c>
      <c r="BQ101" s="197">
        <f ca="1">IF(AH101,_xll.xEURO(BB101,Strike2,AE101,AE101,BG101,O101-DaysForThetaCalculation,IF(OptControl=3,1,0),0)-_xll.xEURO(BB101,Strike2,AE101,AE101,BG101,O101,IF(OptControl=3,1,0),0),0)</f>
        <v>0</v>
      </c>
      <c r="BR101" s="301"/>
      <c r="BS101" s="114">
        <v>25.754000000000001</v>
      </c>
      <c r="BT101" s="345">
        <f t="shared" si="137"/>
        <v>61.319047619047623</v>
      </c>
      <c r="BU101" s="345">
        <f t="shared" ca="1" si="185"/>
        <v>9.7890909090909091</v>
      </c>
      <c r="BV101" s="73"/>
      <c r="BW101" s="345">
        <f t="shared" ca="1" si="182"/>
        <v>10.306000000000004</v>
      </c>
      <c r="BX101" s="345">
        <f t="shared" ca="1" si="186"/>
        <v>61.791666666666664</v>
      </c>
      <c r="BY101" s="373">
        <f t="shared" ca="1" si="138"/>
        <v>71.599783549783552</v>
      </c>
      <c r="BZ101" s="114">
        <v>25.774999999999999</v>
      </c>
      <c r="CA101" s="345">
        <f t="shared" si="139"/>
        <v>61.36904761904762</v>
      </c>
      <c r="CB101" s="345">
        <f t="shared" ca="1" si="187"/>
        <v>6.0090909090909079</v>
      </c>
      <c r="CC101" s="345">
        <f t="shared" ca="1" si="183"/>
        <v>6.8480000000000043</v>
      </c>
      <c r="CD101" s="345">
        <f t="shared" ca="1" si="140"/>
        <v>63.366450216450232</v>
      </c>
      <c r="CE101" s="347">
        <f t="shared" ca="1" si="172"/>
        <v>-8.2333333333333201</v>
      </c>
      <c r="CF101" s="114">
        <v>23.285</v>
      </c>
      <c r="CG101" s="345">
        <f t="shared" si="141"/>
        <v>55.44047619047619</v>
      </c>
      <c r="CH101" s="345">
        <f t="shared" ca="1" si="142"/>
        <v>2.9390909090909076</v>
      </c>
      <c r="CI101" s="73"/>
      <c r="CJ101" s="345">
        <f t="shared" ca="1" si="190"/>
        <v>3.8289999999999993</v>
      </c>
      <c r="CK101" s="345">
        <f t="shared" ca="1" si="184"/>
        <v>57.572619047619028</v>
      </c>
      <c r="CL101" s="345">
        <f t="shared" ca="1" si="143"/>
        <v>56.178354978354982</v>
      </c>
      <c r="CM101" s="114">
        <v>21.570999999999998</v>
      </c>
      <c r="CN101" s="345">
        <f t="shared" si="144"/>
        <v>51.359523809523807</v>
      </c>
      <c r="CO101" s="345">
        <f t="shared" ca="1" si="145"/>
        <v>1.8050909090909073</v>
      </c>
      <c r="CP101" s="345">
        <f t="shared" ca="1" si="192"/>
        <v>2.7159999999999997</v>
      </c>
      <c r="CQ101" s="345">
        <f t="shared" ca="1" si="146"/>
        <v>53.528354978354983</v>
      </c>
      <c r="CR101" s="347">
        <f t="shared" ca="1" si="173"/>
        <v>-2.6499999999999986</v>
      </c>
      <c r="CS101" s="114">
        <v>22.831</v>
      </c>
      <c r="CT101" s="345">
        <f t="shared" si="147"/>
        <v>54.359523809523807</v>
      </c>
      <c r="CU101" s="345">
        <f t="shared" si="174"/>
        <v>0.29999999999999716</v>
      </c>
      <c r="CV101" s="345">
        <f t="shared" ca="1" si="191"/>
        <v>1.6499999999999939</v>
      </c>
      <c r="CW101" s="347">
        <f t="shared" ca="1" si="175"/>
        <v>57.828354978354973</v>
      </c>
      <c r="CX101" s="483">
        <v>0.17900000000000002</v>
      </c>
      <c r="CY101" s="190">
        <f t="shared" si="148"/>
        <v>-2.9999999999996696E-4</v>
      </c>
      <c r="CZ101" s="190">
        <f t="shared" ca="1" si="180"/>
        <v>-0.03</v>
      </c>
      <c r="DA101" s="354">
        <f t="shared" ca="1" si="149"/>
        <v>0.14929999999999999</v>
      </c>
      <c r="DB101" s="483">
        <v>0.17900000000000002</v>
      </c>
      <c r="DC101" s="190">
        <f t="shared" si="150"/>
        <v>-2.9999999999996696E-4</v>
      </c>
      <c r="DD101" s="190">
        <f t="shared" ca="1" si="181"/>
        <v>0.03</v>
      </c>
      <c r="DE101" s="354">
        <f t="shared" ca="1" si="151"/>
        <v>0.20929999999999999</v>
      </c>
      <c r="DG101" s="341"/>
      <c r="DH101" s="114"/>
      <c r="DI101" s="126">
        <f t="shared" ca="1" si="176"/>
        <v>-19.765909090909091</v>
      </c>
      <c r="DJ101" s="126">
        <f t="shared" ca="1" si="124"/>
        <v>-2</v>
      </c>
      <c r="DK101" s="356">
        <f t="shared" ca="1" si="125"/>
        <v>17.765909090909091</v>
      </c>
      <c r="DL101" s="114"/>
      <c r="DM101" s="126">
        <f t="shared" ca="1" si="177"/>
        <v>-19.765909090909091</v>
      </c>
      <c r="DN101" s="126">
        <f t="shared" ca="1" si="152"/>
        <v>-3</v>
      </c>
      <c r="DO101" s="356">
        <f t="shared" ca="1" si="126"/>
        <v>16.765909090909091</v>
      </c>
      <c r="DP101" s="114"/>
      <c r="DQ101" s="126">
        <f t="shared" ca="1" si="178"/>
        <v>-19.765909090909091</v>
      </c>
      <c r="DR101" s="126">
        <f t="shared" ca="1" si="153"/>
        <v>-6</v>
      </c>
      <c r="DS101" s="356">
        <f t="shared" ca="1" si="127"/>
        <v>13.765909090909091</v>
      </c>
      <c r="DT101" s="114"/>
      <c r="DU101" s="126">
        <f t="shared" ca="1" si="179"/>
        <v>-19.765909090909091</v>
      </c>
      <c r="DV101" s="126">
        <f t="shared" ca="1" si="154"/>
        <v>-5</v>
      </c>
      <c r="DW101" s="356">
        <f t="shared" ca="1" si="128"/>
        <v>14.765909090909091</v>
      </c>
    </row>
    <row r="102" spans="2:127" x14ac:dyDescent="0.25">
      <c r="B102" s="396">
        <v>38657</v>
      </c>
      <c r="C102" s="400">
        <v>38647</v>
      </c>
      <c r="I102" s="136">
        <f t="shared" ref="I102:I133" ca="1" si="205">EOMONTH(I101,0)+1</f>
        <v>39904</v>
      </c>
      <c r="J102" s="131">
        <f t="shared" ca="1" si="130"/>
        <v>39892</v>
      </c>
      <c r="K102" s="106">
        <f t="shared" ref="K102:K133" ca="1" si="206">NETWORKDAYS(I102,J103)/N102</f>
        <v>0.63636363636363635</v>
      </c>
      <c r="L102" s="133">
        <f t="shared" ca="1" si="193"/>
        <v>109</v>
      </c>
      <c r="M102" s="134">
        <f t="shared" ca="1" si="194"/>
        <v>4</v>
      </c>
      <c r="N102" s="103">
        <f t="shared" ca="1" si="197"/>
        <v>22</v>
      </c>
      <c r="O102" s="104">
        <f t="shared" ca="1" si="132"/>
        <v>2944</v>
      </c>
      <c r="P102" s="105">
        <f t="shared" ca="1" si="195"/>
        <v>8.0766598220396997</v>
      </c>
      <c r="Q102" s="105">
        <f t="shared" ca="1" si="196"/>
        <v>8.1560574948665305</v>
      </c>
      <c r="R102" s="114">
        <v>19.75</v>
      </c>
      <c r="S102" s="198">
        <v>0</v>
      </c>
      <c r="T102" s="189">
        <f t="shared" si="133"/>
        <v>19.75</v>
      </c>
      <c r="U102" s="199">
        <f t="shared" ca="1" si="198"/>
        <v>19.81818181818182</v>
      </c>
      <c r="V102" s="379">
        <f t="shared" ca="1" si="199"/>
        <v>19.81818181818182</v>
      </c>
      <c r="W102" s="483">
        <v>0.1789</v>
      </c>
      <c r="X102" s="166" t="str">
        <f t="shared" ca="1" si="200"/>
        <v/>
      </c>
      <c r="Y102" s="91">
        <f t="shared" ca="1" si="155"/>
        <v>1.8880165593897452E-3</v>
      </c>
      <c r="Z102" s="91">
        <f t="shared" ca="1" si="156"/>
        <v>6.9141860464138651E-4</v>
      </c>
      <c r="AA102" s="91">
        <f t="shared" ca="1" si="157"/>
        <v>2.5403881772754312E-4</v>
      </c>
      <c r="AB102" s="91">
        <f t="shared" ca="1" si="158"/>
        <v>5.7229864857661684E-4</v>
      </c>
      <c r="AC102" s="91">
        <f t="shared" ca="1" si="159"/>
        <v>1.5576278325361897E-3</v>
      </c>
      <c r="AD102" s="91">
        <f t="shared" ca="1" si="160"/>
        <v>4.2533237049931522E-3</v>
      </c>
      <c r="AE102" s="124">
        <v>7.3601213287960016E-2</v>
      </c>
      <c r="AF102" s="191">
        <f t="shared" ca="1" si="161"/>
        <v>0.55459684842446688</v>
      </c>
      <c r="AG102" s="189">
        <f t="shared" ref="AG102:AG133" ca="1" si="207">AG101*(1+IF(AND(M102=1,L102&gt;YearStart),Escalation,0))</f>
        <v>1</v>
      </c>
      <c r="AH102" s="192">
        <f t="shared" ca="1" si="201"/>
        <v>0</v>
      </c>
      <c r="AI102" s="192">
        <f t="shared" ca="1" si="202"/>
        <v>0</v>
      </c>
      <c r="AJ102" s="192">
        <f t="shared" ca="1" si="203"/>
        <v>0</v>
      </c>
      <c r="AK102" s="192">
        <f t="shared" ca="1" si="204"/>
        <v>0</v>
      </c>
      <c r="AL102" s="191" t="str">
        <f t="shared" ca="1" si="162"/>
        <v/>
      </c>
      <c r="AM102" s="191" t="str">
        <f t="shared" ca="1" si="163"/>
        <v/>
      </c>
      <c r="AN102" s="191" t="str">
        <f t="shared" ca="1" si="164"/>
        <v/>
      </c>
      <c r="AO102" s="193" t="str">
        <f t="shared" ca="1" si="165"/>
        <v/>
      </c>
      <c r="AP102" s="194" t="str">
        <f t="shared" ca="1" si="135"/>
        <v/>
      </c>
      <c r="AQ102" s="194" t="str">
        <f t="shared" ca="1" si="136"/>
        <v/>
      </c>
      <c r="AR102" s="195">
        <f ca="1">IF(AH102,_xll.xASN(AL102,Strike1,AE102,AP102,0,N102,0,P102,Q102,IF(OptControl=4,0,1),0),0)</f>
        <v>0</v>
      </c>
      <c r="AS102" s="196">
        <f ca="1">IF(AH102,_xll.xASN(AL102,Strike1,AE102,AP102,0,N102,0,P102,Q102,IF(OptControl=4,0,1),1),0)</f>
        <v>0</v>
      </c>
      <c r="AT102" s="196">
        <f ca="1">IF(AH102,_xll.xASN(AL102,Strike1,AE102,AP102,0,N102,0,P102,Q102,IF(OptControl=4,0,1),2),0)</f>
        <v>0</v>
      </c>
      <c r="AU102" s="196">
        <f ca="1">IF(AH102,_xll.xASN(AL102,Strike1,AE102,AP102,0,N102,0,P102,Q102,IF(OptControl=4,0,1),3)/100,0)</f>
        <v>0</v>
      </c>
      <c r="AV102" s="196">
        <f ca="1">IF(AH102,_xll.xASN(AL102,Strike1,AE102,AP102,0,N102,0,P102-DaysForThetaCalculation/365.25,Q102-DaysForThetaCalculation/365.25,IF(OptControl=4,0,1),0)-_xll.xASN(AL102,Strike1,AE102,AP102,0,N102,0,P102,Q102,IF(OptControl=4,0,1),0),0)</f>
        <v>0</v>
      </c>
      <c r="AW102" s="196">
        <f ca="1">IF(AH102,_xll.xASN(AL102,Strike2,AE102,AQ102,0,N102,0,P102,Q102,IF(OptControl=3,1,0),0),0)</f>
        <v>0</v>
      </c>
      <c r="AX102" s="196">
        <f ca="1">IF(AH102,_xll.xASN(AL102,Strike2,AE102,AQ102,0,N102,0,P102,Q102,IF(OptControl=3,1,0),1),0)</f>
        <v>0</v>
      </c>
      <c r="AY102" s="196">
        <f ca="1">IF(AH102,_xll.xASN(AL102,Strike2,AE102,AQ102,0,N102,0,P102,Q102,IF(OptControl=3,1,0),2),0)</f>
        <v>0</v>
      </c>
      <c r="AZ102" s="196">
        <f ca="1">IF(AH102,_xll.xASN(AL102,Strike2,AE102,AQ102,0,N102,0,P102,Q102,IF(OptControl=3,1,0),3)/100,0)</f>
        <v>0</v>
      </c>
      <c r="BA102" s="196">
        <f ca="1">IF(AH102,_xll.xASN(AL102,Strike2,AE102,AQ102,0,N102,0,P102-DaysForThetaCalculation/365.25,Q102-DaysForThetaCalculation/365.25,IF(OptControl=3,1,0),0)-_xll.xASN(AL102,Strike2,AE102,AQ102,0,N102,0,P102,Q102,IF(OptControl=3,1,0),0),0)</f>
        <v>0</v>
      </c>
      <c r="BB102" s="126" t="str">
        <f t="shared" ca="1" si="166"/>
        <v/>
      </c>
      <c r="BC102" s="191" t="str">
        <f t="shared" ca="1" si="167"/>
        <v/>
      </c>
      <c r="BD102" s="191" t="str">
        <f t="shared" ca="1" si="168"/>
        <v/>
      </c>
      <c r="BE102" s="190" t="str">
        <f t="shared" ca="1" si="169"/>
        <v/>
      </c>
      <c r="BF102" s="194" t="str">
        <f t="shared" ca="1" si="170"/>
        <v/>
      </c>
      <c r="BG102" s="194" t="str">
        <f t="shared" ca="1" si="171"/>
        <v/>
      </c>
      <c r="BH102" s="195">
        <f ca="1">IF(AH102,_xll.xEURO(BB102,Strike1,AE102,AE102,BF102,O102,IF(OptControl=4,0,1),0),0)</f>
        <v>0</v>
      </c>
      <c r="BI102" s="196">
        <f ca="1">IF(AH102,_xll.xEURO(BB102,Strike1,AE102,AE102,BF102,O102,IF(OptControl=4,0,1),1),0)</f>
        <v>0</v>
      </c>
      <c r="BJ102" s="196">
        <f ca="1">IF(AH102,_xll.xEURO(BB102,Strike1,AE102,AE102,BF102,O102,IF(OptControl=4,0,1),2),0)</f>
        <v>0</v>
      </c>
      <c r="BK102" s="196">
        <f ca="1">IF(AH102,_xll.xEURO(BB102,Strike1,AE102,AE102,BF102,O102,IF(OptControl=4,0,1),3)/100,0)</f>
        <v>0</v>
      </c>
      <c r="BL102" s="196">
        <f ca="1">IF(AH102,_xll.xEURO(BB102,Strike1,AE102,AE102,BF102,O102-DaysForThetaCalculation,IF(OptControl=4,0,1),0)-_xll.xEURO(BB102,Strike1,AE102,AE102,BF102,O102,IF(OptControl=4,0,1),0),0)</f>
        <v>0</v>
      </c>
      <c r="BM102" s="196">
        <f ca="1">IF(AH102,_xll.xEURO(BB102,Strike2,AE102,AE102,BG102,O102,IF(OptControl=3,1,0),0),0)</f>
        <v>0</v>
      </c>
      <c r="BN102" s="196">
        <f ca="1">IF(AH102,_xll.xEURO(BB102,Strike2,AE102,AE102,BG102,O102,IF(OptControl=3,1,0),1),0)</f>
        <v>0</v>
      </c>
      <c r="BO102" s="196">
        <f ca="1">IF(AH102,_xll.xEURO(BB102,Strike2,AE102,AE102,BG102,O102,IF(OptControl=3,1,0),2),0)</f>
        <v>0</v>
      </c>
      <c r="BP102" s="196">
        <f ca="1">IF(AH102,_xll.xEURO(BB102,Strike2,AE102,AE102,BG102,O102,IF(OptControl=3,1,0),3)/100,0)</f>
        <v>0</v>
      </c>
      <c r="BQ102" s="197">
        <f ca="1">IF(AH102,_xll.xEURO(BB102,Strike2,AE102,AE102,BG102,O102-DaysForThetaCalculation,IF(OptControl=3,1,0),0)-_xll.xEURO(BB102,Strike2,AE102,AE102,BG102,O102,IF(OptControl=3,1,0),0),0)</f>
        <v>0</v>
      </c>
      <c r="BR102" s="301"/>
      <c r="BS102" s="114">
        <v>29.555</v>
      </c>
      <c r="BT102" s="345">
        <f t="shared" si="137"/>
        <v>70.36904761904762</v>
      </c>
      <c r="BU102" s="345">
        <f t="shared" ca="1" si="185"/>
        <v>8.2838181818181837</v>
      </c>
      <c r="BV102" s="73"/>
      <c r="BW102" s="345">
        <f t="shared" ca="1" si="182"/>
        <v>9.2457142857142891</v>
      </c>
      <c r="BX102" s="345">
        <f t="shared" ca="1" si="186"/>
        <v>71.599783549783552</v>
      </c>
      <c r="BY102" s="373">
        <f t="shared" ca="1" si="138"/>
        <v>69.199752628324063</v>
      </c>
      <c r="BZ102" s="114">
        <v>26.212000000000003</v>
      </c>
      <c r="CA102" s="345">
        <f t="shared" si="139"/>
        <v>62.409523809523819</v>
      </c>
      <c r="CB102" s="345">
        <f t="shared" ca="1" si="187"/>
        <v>6.3938181818181832</v>
      </c>
      <c r="CC102" s="345">
        <f t="shared" ca="1" si="183"/>
        <v>6.6207142857142891</v>
      </c>
      <c r="CD102" s="345">
        <f t="shared" ca="1" si="140"/>
        <v>62.94975262832407</v>
      </c>
      <c r="CE102" s="347">
        <f t="shared" ca="1" si="172"/>
        <v>-6.2499999999999929</v>
      </c>
      <c r="CF102" s="114">
        <v>22.704999999999998</v>
      </c>
      <c r="CG102" s="345">
        <f t="shared" si="141"/>
        <v>54.05952380952381</v>
      </c>
      <c r="CH102" s="345">
        <f t="shared" ca="1" si="142"/>
        <v>2.3658181818181809</v>
      </c>
      <c r="CI102" s="73"/>
      <c r="CJ102" s="345">
        <f t="shared" ca="1" si="190"/>
        <v>3.2770909090909108</v>
      </c>
      <c r="CK102" s="345">
        <f t="shared" ca="1" si="184"/>
        <v>56.178354978354982</v>
      </c>
      <c r="CL102" s="345">
        <f t="shared" ca="1" si="143"/>
        <v>54.988744588744602</v>
      </c>
      <c r="CM102" s="114">
        <v>21.364999999999998</v>
      </c>
      <c r="CN102" s="345">
        <f t="shared" si="144"/>
        <v>50.86904761904762</v>
      </c>
      <c r="CO102" s="345">
        <f t="shared" ca="1" si="145"/>
        <v>1.5468181818181783</v>
      </c>
      <c r="CP102" s="345">
        <f t="shared" ca="1" si="192"/>
        <v>2.3530909090909078</v>
      </c>
      <c r="CQ102" s="345">
        <f t="shared" ca="1" si="146"/>
        <v>52.788744588744599</v>
      </c>
      <c r="CR102" s="347">
        <f t="shared" ca="1" si="173"/>
        <v>-2.2000000000000028</v>
      </c>
      <c r="CS102" s="114">
        <v>22.31</v>
      </c>
      <c r="CT102" s="345">
        <f t="shared" si="147"/>
        <v>53.11904761904762</v>
      </c>
      <c r="CU102" s="345">
        <f t="shared" si="174"/>
        <v>0.29999999999999716</v>
      </c>
      <c r="CV102" s="345">
        <f t="shared" ca="1" si="191"/>
        <v>1.6499999999999939</v>
      </c>
      <c r="CW102" s="347">
        <f t="shared" ca="1" si="175"/>
        <v>56.638744588744593</v>
      </c>
      <c r="CX102" s="483">
        <v>0.17900000000000002</v>
      </c>
      <c r="CY102" s="190">
        <f t="shared" si="148"/>
        <v>1.0000000000001674E-4</v>
      </c>
      <c r="CZ102" s="190">
        <f t="shared" ca="1" si="180"/>
        <v>-0.03</v>
      </c>
      <c r="DA102" s="354">
        <f t="shared" ca="1" si="149"/>
        <v>0.1489</v>
      </c>
      <c r="DB102" s="483">
        <v>0.17900000000000002</v>
      </c>
      <c r="DC102" s="190">
        <f t="shared" si="150"/>
        <v>1.0000000000001674E-4</v>
      </c>
      <c r="DD102" s="190">
        <f t="shared" ca="1" si="181"/>
        <v>0.03</v>
      </c>
      <c r="DE102" s="354">
        <f t="shared" ca="1" si="151"/>
        <v>0.2089</v>
      </c>
      <c r="DG102" s="341"/>
      <c r="DH102" s="114"/>
      <c r="DI102" s="126">
        <f t="shared" ca="1" si="176"/>
        <v>-19.81818181818182</v>
      </c>
      <c r="DJ102" s="126">
        <f t="shared" ca="1" si="124"/>
        <v>-2</v>
      </c>
      <c r="DK102" s="356">
        <f t="shared" ca="1" si="125"/>
        <v>17.81818181818182</v>
      </c>
      <c r="DL102" s="114"/>
      <c r="DM102" s="126">
        <f t="shared" ca="1" si="177"/>
        <v>-19.81818181818182</v>
      </c>
      <c r="DN102" s="126">
        <f t="shared" ca="1" si="152"/>
        <v>-3</v>
      </c>
      <c r="DO102" s="356">
        <f t="shared" ca="1" si="126"/>
        <v>16.81818181818182</v>
      </c>
      <c r="DP102" s="114"/>
      <c r="DQ102" s="126">
        <f t="shared" ca="1" si="178"/>
        <v>-19.81818181818182</v>
      </c>
      <c r="DR102" s="126">
        <f t="shared" ca="1" si="153"/>
        <v>-6</v>
      </c>
      <c r="DS102" s="356">
        <f t="shared" ca="1" si="127"/>
        <v>13.81818181818182</v>
      </c>
      <c r="DT102" s="114"/>
      <c r="DU102" s="126">
        <f t="shared" ca="1" si="179"/>
        <v>-19.81818181818182</v>
      </c>
      <c r="DV102" s="126">
        <f t="shared" ca="1" si="154"/>
        <v>-5</v>
      </c>
      <c r="DW102" s="356">
        <f t="shared" ca="1" si="128"/>
        <v>14.81818181818182</v>
      </c>
    </row>
    <row r="103" spans="2:127" x14ac:dyDescent="0.25">
      <c r="B103" s="396">
        <v>38687</v>
      </c>
      <c r="C103" s="400">
        <v>38675</v>
      </c>
      <c r="I103" s="136">
        <f t="shared" ca="1" si="205"/>
        <v>39934</v>
      </c>
      <c r="J103" s="131">
        <f t="shared" ca="1" si="130"/>
        <v>39923</v>
      </c>
      <c r="K103" s="106">
        <f t="shared" ca="1" si="206"/>
        <v>0.76190476190476186</v>
      </c>
      <c r="L103" s="133">
        <f t="shared" ca="1" si="193"/>
        <v>109</v>
      </c>
      <c r="M103" s="134">
        <f t="shared" ca="1" si="194"/>
        <v>5</v>
      </c>
      <c r="N103" s="103">
        <f t="shared" ca="1" si="197"/>
        <v>21</v>
      </c>
      <c r="O103" s="104">
        <f t="shared" ca="1" si="132"/>
        <v>2976</v>
      </c>
      <c r="P103" s="105">
        <f t="shared" ca="1" si="195"/>
        <v>8.1587953456536617</v>
      </c>
      <c r="Q103" s="105">
        <f t="shared" ca="1" si="196"/>
        <v>8.2409308692676255</v>
      </c>
      <c r="R103" s="114">
        <v>19.8</v>
      </c>
      <c r="S103" s="198">
        <v>0</v>
      </c>
      <c r="T103" s="189">
        <f t="shared" si="133"/>
        <v>19.8</v>
      </c>
      <c r="U103" s="199">
        <f t="shared" ca="1" si="198"/>
        <v>19.861904761904761</v>
      </c>
      <c r="V103" s="379">
        <f t="shared" ca="1" si="199"/>
        <v>19.861904761904761</v>
      </c>
      <c r="W103" s="483">
        <v>0.17850000000000002</v>
      </c>
      <c r="X103" s="166" t="str">
        <f t="shared" ca="1" si="200"/>
        <v/>
      </c>
      <c r="Y103" s="91">
        <f t="shared" ref="Y103:Y134" ca="1" si="208">IF($X103="",Y102^2/Y101,INDEX(B$5:B$10,$X103)^((INDEX($A$5:$A$10,$X103+1)-($I103-DateToday+1))/(INDEX($A$5:$A$10,$X103+1)-INDEX($A$5:$A$10,$X103)))/INDEX(B$5:B$10,$X103+1)^((INDEX($A$5:$A$10,$X103)-($I103-DateToday+1))/(INDEX($A$5:$A$10,$X103+1)-INDEX($A$5:$A$10,$X103))))</f>
        <v>1.8475969963890934E-3</v>
      </c>
      <c r="Z103" s="91">
        <f t="shared" ref="Z103:Z134" ca="1" si="209">IF($X103="",Z102^2/Z101,INDEX(C$5:C$10,$X103)^((INDEX($A$5:$A$10,$X103+1)-($I103-DateToday+1))/(INDEX($A$5:$A$10,$X103+1)-INDEX($A$5:$A$10,$X103)))/INDEX(C$5:C$10,$X103+1)^((INDEX($A$5:$A$10,$X103)-($I103-DateToday+1))/(INDEX($A$5:$A$10,$X103+1)-INDEX($A$5:$A$10,$X103))))</f>
        <v>6.7299374464918529E-4</v>
      </c>
      <c r="AA103" s="91">
        <f t="shared" ref="AA103:AA134" ca="1" si="210">IF($X103="",AA102^2/AA101,INDEX(D$5:D$10,$X103)^((INDEX($A$5:$A$10,$X103+1)-($I103-DateToday+1))/(INDEX($A$5:$A$10,$X103+1)-INDEX($A$5:$A$10,$X103)))/INDEX(D$5:D$10,$X103+1)^((INDEX($A$5:$A$10,$X103)-($I103-DateToday+1))/(INDEX($A$5:$A$10,$X103+1)-INDEX($A$5:$A$10,$X103))))</f>
        <v>2.466061386605987E-4</v>
      </c>
      <c r="AB103" s="91">
        <f t="shared" ref="AB103:AB134" ca="1" si="211">IF($X103="",AB102^2/AB101,INDEX(E$5:E$10,$X103)^((INDEX($A$5:$A$10,$X103+1)-($I103-DateToday+1))/(INDEX($A$5:$A$10,$X103+1)-INDEX($A$5:$A$10,$X103)))/INDEX(E$5:E$10,$X103+1)^((INDEX($A$5:$A$10,$X103)-($I103-DateToday+1))/(INDEX($A$5:$A$10,$X103+1)-INDEX($A$5:$A$10,$X103))))</f>
        <v>5.5555430917460485E-4</v>
      </c>
      <c r="AC103" s="91">
        <f t="shared" ref="AC103:AC134" ca="1" si="212">IF($X103="",AC102^2/AC101,INDEX(F$5:F$10,$X103)^((INDEX($A$5:$A$10,$X103+1)-($I103-DateToday+1))/(INDEX($A$5:$A$10,$X103+1)-INDEX($A$5:$A$10,$X103)))/INDEX(F$5:F$10,$X103+1)^((INDEX($A$5:$A$10,$X103)-($I103-DateToday+1))/(INDEX($A$5:$A$10,$X103+1)-INDEX($A$5:$A$10,$X103))))</f>
        <v>1.5161203079457576E-3</v>
      </c>
      <c r="AD103" s="91">
        <f t="shared" ref="AD103:AD134" ca="1" si="213">IF($X103="",AD102^2/AD101,INDEX(G$5:G$10,$X103)^((INDEX($A$5:$A$10,$X103+1)-($I103-DateToday+1))/(INDEX($A$5:$A$10,$X103+1)-INDEX($A$5:$A$10,$X103)))/INDEX(G$5:G$10,$X103+1)^((INDEX($A$5:$A$10,$X103)-($I103-DateToday+1))/(INDEX($A$5:$A$10,$X103+1)-INDEX($A$5:$A$10,$X103))))</f>
        <v>4.1622665134652828E-3</v>
      </c>
      <c r="AE103" s="124">
        <v>7.3608558517047007E-2</v>
      </c>
      <c r="AF103" s="191">
        <f t="shared" ca="1" si="161"/>
        <v>0.55117286122010889</v>
      </c>
      <c r="AG103" s="189">
        <f t="shared" ca="1" si="207"/>
        <v>1</v>
      </c>
      <c r="AH103" s="192">
        <f t="shared" ca="1" si="201"/>
        <v>0</v>
      </c>
      <c r="AI103" s="192">
        <f t="shared" ca="1" si="202"/>
        <v>0</v>
      </c>
      <c r="AJ103" s="192">
        <f t="shared" ca="1" si="203"/>
        <v>0</v>
      </c>
      <c r="AK103" s="192">
        <f t="shared" ca="1" si="204"/>
        <v>0</v>
      </c>
      <c r="AL103" s="191" t="str">
        <f t="shared" ca="1" si="162"/>
        <v/>
      </c>
      <c r="AM103" s="191" t="str">
        <f t="shared" ca="1" si="163"/>
        <v/>
      </c>
      <c r="AN103" s="191" t="str">
        <f t="shared" ca="1" si="164"/>
        <v/>
      </c>
      <c r="AO103" s="193" t="str">
        <f t="shared" ca="1" si="165"/>
        <v/>
      </c>
      <c r="AP103" s="194" t="str">
        <f t="shared" ca="1" si="135"/>
        <v/>
      </c>
      <c r="AQ103" s="194" t="str">
        <f t="shared" ca="1" si="136"/>
        <v/>
      </c>
      <c r="AR103" s="195">
        <f ca="1">IF(AH103,_xll.xASN(AL103,Strike1,AE103,AP103,0,N103,0,P103,Q103,IF(OptControl=4,0,1),0),0)</f>
        <v>0</v>
      </c>
      <c r="AS103" s="196">
        <f ca="1">IF(AH103,_xll.xASN(AL103,Strike1,AE103,AP103,0,N103,0,P103,Q103,IF(OptControl=4,0,1),1),0)</f>
        <v>0</v>
      </c>
      <c r="AT103" s="196">
        <f ca="1">IF(AH103,_xll.xASN(AL103,Strike1,AE103,AP103,0,N103,0,P103,Q103,IF(OptControl=4,0,1),2),0)</f>
        <v>0</v>
      </c>
      <c r="AU103" s="196">
        <f ca="1">IF(AH103,_xll.xASN(AL103,Strike1,AE103,AP103,0,N103,0,P103,Q103,IF(OptControl=4,0,1),3)/100,0)</f>
        <v>0</v>
      </c>
      <c r="AV103" s="196">
        <f ca="1">IF(AH103,_xll.xASN(AL103,Strike1,AE103,AP103,0,N103,0,P103-DaysForThetaCalculation/365.25,Q103-DaysForThetaCalculation/365.25,IF(OptControl=4,0,1),0)-_xll.xASN(AL103,Strike1,AE103,AP103,0,N103,0,P103,Q103,IF(OptControl=4,0,1),0),0)</f>
        <v>0</v>
      </c>
      <c r="AW103" s="196">
        <f ca="1">IF(AH103,_xll.xASN(AL103,Strike2,AE103,AQ103,0,N103,0,P103,Q103,IF(OptControl=3,1,0),0),0)</f>
        <v>0</v>
      </c>
      <c r="AX103" s="196">
        <f ca="1">IF(AH103,_xll.xASN(AL103,Strike2,AE103,AQ103,0,N103,0,P103,Q103,IF(OptControl=3,1,0),1),0)</f>
        <v>0</v>
      </c>
      <c r="AY103" s="196">
        <f ca="1">IF(AH103,_xll.xASN(AL103,Strike2,AE103,AQ103,0,N103,0,P103,Q103,IF(OptControl=3,1,0),2),0)</f>
        <v>0</v>
      </c>
      <c r="AZ103" s="196">
        <f ca="1">IF(AH103,_xll.xASN(AL103,Strike2,AE103,AQ103,0,N103,0,P103,Q103,IF(OptControl=3,1,0),3)/100,0)</f>
        <v>0</v>
      </c>
      <c r="BA103" s="196">
        <f ca="1">IF(AH103,_xll.xASN(AL103,Strike2,AE103,AQ103,0,N103,0,P103-DaysForThetaCalculation/365.25,Q103-DaysForThetaCalculation/365.25,IF(OptControl=3,1,0),0)-_xll.xASN(AL103,Strike2,AE103,AQ103,0,N103,0,P103,Q103,IF(OptControl=3,1,0),0),0)</f>
        <v>0</v>
      </c>
      <c r="BB103" s="126" t="str">
        <f t="shared" ca="1" si="166"/>
        <v/>
      </c>
      <c r="BC103" s="191" t="str">
        <f t="shared" ca="1" si="167"/>
        <v/>
      </c>
      <c r="BD103" s="191" t="str">
        <f t="shared" ca="1" si="168"/>
        <v/>
      </c>
      <c r="BE103" s="190" t="str">
        <f t="shared" ca="1" si="169"/>
        <v/>
      </c>
      <c r="BF103" s="194" t="str">
        <f t="shared" ca="1" si="170"/>
        <v/>
      </c>
      <c r="BG103" s="194" t="str">
        <f t="shared" ca="1" si="171"/>
        <v/>
      </c>
      <c r="BH103" s="195">
        <f ca="1">IF(AH103,_xll.xEURO(BB103,Strike1,AE103,AE103,BF103,O103,IF(OptControl=4,0,1),0),0)</f>
        <v>0</v>
      </c>
      <c r="BI103" s="196">
        <f ca="1">IF(AH103,_xll.xEURO(BB103,Strike1,AE103,AE103,BF103,O103,IF(OptControl=4,0,1),1),0)</f>
        <v>0</v>
      </c>
      <c r="BJ103" s="196">
        <f ca="1">IF(AH103,_xll.xEURO(BB103,Strike1,AE103,AE103,BF103,O103,IF(OptControl=4,0,1),2),0)</f>
        <v>0</v>
      </c>
      <c r="BK103" s="196">
        <f ca="1">IF(AH103,_xll.xEURO(BB103,Strike1,AE103,AE103,BF103,O103,IF(OptControl=4,0,1),3)/100,0)</f>
        <v>0</v>
      </c>
      <c r="BL103" s="196">
        <f ca="1">IF(AH103,_xll.xEURO(BB103,Strike1,AE103,AE103,BF103,O103-DaysForThetaCalculation,IF(OptControl=4,0,1),0)-_xll.xEURO(BB103,Strike1,AE103,AE103,BF103,O103,IF(OptControl=4,0,1),0),0)</f>
        <v>0</v>
      </c>
      <c r="BM103" s="196">
        <f ca="1">IF(AH103,_xll.xEURO(BB103,Strike2,AE103,AE103,BG103,O103,IF(OptControl=3,1,0),0),0)</f>
        <v>0</v>
      </c>
      <c r="BN103" s="196">
        <f ca="1">IF(AH103,_xll.xEURO(BB103,Strike2,AE103,AE103,BG103,O103,IF(OptControl=3,1,0),1),0)</f>
        <v>0</v>
      </c>
      <c r="BO103" s="196">
        <f ca="1">IF(AH103,_xll.xEURO(BB103,Strike2,AE103,AE103,BG103,O103,IF(OptControl=3,1,0),2),0)</f>
        <v>0</v>
      </c>
      <c r="BP103" s="196">
        <f ca="1">IF(AH103,_xll.xEURO(BB103,Strike2,AE103,AE103,BG103,O103,IF(OptControl=3,1,0),3)/100,0)</f>
        <v>0</v>
      </c>
      <c r="BQ103" s="197">
        <f ca="1">IF(AH103,_xll.xEURO(BB103,Strike2,AE103,AE103,BG103,O103-DaysForThetaCalculation,IF(OptControl=3,1,0),0)-_xll.xEURO(BB103,Strike2,AE103,AE103,BG103,O103,IF(OptControl=3,1,0),0),0)</f>
        <v>0</v>
      </c>
      <c r="BR103" s="301"/>
      <c r="BS103" s="114">
        <v>28.102000000000004</v>
      </c>
      <c r="BT103" s="345">
        <f t="shared" si="137"/>
        <v>66.909523809523819</v>
      </c>
      <c r="BU103" s="345">
        <f t="shared" ca="1" si="185"/>
        <v>7.7320952380952406</v>
      </c>
      <c r="BV103" s="73"/>
      <c r="BW103" s="345">
        <f t="shared" ca="1" si="182"/>
        <v>8.7539130434782635</v>
      </c>
      <c r="BX103" s="345">
        <f t="shared" ca="1" si="186"/>
        <v>69.199752628324063</v>
      </c>
      <c r="BY103" s="373">
        <f t="shared" ca="1" si="138"/>
        <v>68.132899536626255</v>
      </c>
      <c r="BZ103" s="114">
        <v>25.704000000000001</v>
      </c>
      <c r="CA103" s="345">
        <f t="shared" si="139"/>
        <v>61.2</v>
      </c>
      <c r="CB103" s="345">
        <f t="shared" ca="1" si="187"/>
        <v>5.84209523809524</v>
      </c>
      <c r="CC103" s="345">
        <f t="shared" ca="1" si="183"/>
        <v>6.1289130434782635</v>
      </c>
      <c r="CD103" s="345">
        <f t="shared" ca="1" si="140"/>
        <v>61.882899536626255</v>
      </c>
      <c r="CE103" s="347">
        <f t="shared" ca="1" si="172"/>
        <v>-6.25</v>
      </c>
      <c r="CF103" s="114">
        <v>22.184000000000001</v>
      </c>
      <c r="CG103" s="345">
        <f t="shared" si="141"/>
        <v>52.819047619047623</v>
      </c>
      <c r="CH103" s="345">
        <f t="shared" ca="1" si="142"/>
        <v>1.9780952380952392</v>
      </c>
      <c r="CI103" s="73"/>
      <c r="CJ103" s="345">
        <f t="shared" ca="1" si="190"/>
        <v>2.8720869565217364</v>
      </c>
      <c r="CK103" s="345">
        <f t="shared" ca="1" si="184"/>
        <v>54.988744588744602</v>
      </c>
      <c r="CL103" s="345">
        <f t="shared" ca="1" si="143"/>
        <v>54.128551710539284</v>
      </c>
      <c r="CM103" s="114">
        <v>21.021000000000001</v>
      </c>
      <c r="CN103" s="345">
        <f t="shared" si="144"/>
        <v>50.05</v>
      </c>
      <c r="CO103" s="345">
        <f t="shared" ca="1" si="145"/>
        <v>1.1590952380952402</v>
      </c>
      <c r="CP103" s="345">
        <f t="shared" ca="1" si="192"/>
        <v>1.9480869565217405</v>
      </c>
      <c r="CQ103" s="345">
        <f t="shared" ca="1" si="146"/>
        <v>51.928551710539296</v>
      </c>
      <c r="CR103" s="347">
        <f t="shared" ca="1" si="173"/>
        <v>-2.1999999999999886</v>
      </c>
      <c r="CS103" s="114">
        <v>21.966000000000001</v>
      </c>
      <c r="CT103" s="345">
        <f t="shared" si="147"/>
        <v>52.3</v>
      </c>
      <c r="CU103" s="345">
        <f t="shared" si="174"/>
        <v>0.29999999999999716</v>
      </c>
      <c r="CV103" s="345">
        <f t="shared" ca="1" si="191"/>
        <v>1.6500000000000081</v>
      </c>
      <c r="CW103" s="347">
        <f t="shared" ca="1" si="175"/>
        <v>55.77855171053929</v>
      </c>
      <c r="CX103" s="483">
        <v>0.17900000000000002</v>
      </c>
      <c r="CY103" s="190">
        <f t="shared" si="148"/>
        <v>5.0000000000000044E-4</v>
      </c>
      <c r="CZ103" s="190">
        <f t="shared" ca="1" si="180"/>
        <v>-0.03</v>
      </c>
      <c r="DA103" s="354">
        <f t="shared" ca="1" si="149"/>
        <v>0.14850000000000002</v>
      </c>
      <c r="DB103" s="483">
        <v>0.17900000000000002</v>
      </c>
      <c r="DC103" s="190">
        <f t="shared" si="150"/>
        <v>5.0000000000000044E-4</v>
      </c>
      <c r="DD103" s="190">
        <f t="shared" ca="1" si="181"/>
        <v>0.03</v>
      </c>
      <c r="DE103" s="354">
        <f t="shared" ca="1" si="151"/>
        <v>0.20850000000000002</v>
      </c>
      <c r="DG103" s="341"/>
      <c r="DH103" s="114"/>
      <c r="DI103" s="126">
        <f t="shared" ca="1" si="176"/>
        <v>-19.861904761904761</v>
      </c>
      <c r="DJ103" s="126">
        <f t="shared" ca="1" si="124"/>
        <v>-2</v>
      </c>
      <c r="DK103" s="356">
        <f t="shared" ca="1" si="125"/>
        <v>17.861904761904761</v>
      </c>
      <c r="DL103" s="114"/>
      <c r="DM103" s="126">
        <f t="shared" ca="1" si="177"/>
        <v>-19.861904761904761</v>
      </c>
      <c r="DN103" s="126">
        <f t="shared" ca="1" si="152"/>
        <v>-3</v>
      </c>
      <c r="DO103" s="356">
        <f t="shared" ca="1" si="126"/>
        <v>16.861904761904761</v>
      </c>
      <c r="DP103" s="114"/>
      <c r="DQ103" s="126">
        <f t="shared" ca="1" si="178"/>
        <v>-19.861904761904761</v>
      </c>
      <c r="DR103" s="126">
        <f t="shared" ca="1" si="153"/>
        <v>-6</v>
      </c>
      <c r="DS103" s="356">
        <f t="shared" ca="1" si="127"/>
        <v>13.861904761904761</v>
      </c>
      <c r="DT103" s="114"/>
      <c r="DU103" s="126">
        <f t="shared" ca="1" si="179"/>
        <v>-19.861904761904761</v>
      </c>
      <c r="DV103" s="126">
        <f t="shared" ca="1" si="154"/>
        <v>-5</v>
      </c>
      <c r="DW103" s="356">
        <f t="shared" ca="1" si="128"/>
        <v>14.861904761904761</v>
      </c>
    </row>
    <row r="104" spans="2:127" x14ac:dyDescent="0.25">
      <c r="B104" s="396">
        <v>38718</v>
      </c>
      <c r="C104" s="400">
        <v>38705</v>
      </c>
      <c r="I104" s="136">
        <f t="shared" ca="1" si="205"/>
        <v>39965</v>
      </c>
      <c r="J104" s="131">
        <f t="shared" ca="1" si="130"/>
        <v>39955</v>
      </c>
      <c r="K104" s="106">
        <f t="shared" ca="1" si="206"/>
        <v>0.68181818181818177</v>
      </c>
      <c r="L104" s="133">
        <f t="shared" ca="1" si="193"/>
        <v>109</v>
      </c>
      <c r="M104" s="134">
        <f t="shared" ca="1" si="194"/>
        <v>6</v>
      </c>
      <c r="N104" s="103">
        <f t="shared" ca="1" si="197"/>
        <v>22</v>
      </c>
      <c r="O104" s="104">
        <f t="shared" ca="1" si="132"/>
        <v>3005</v>
      </c>
      <c r="P104" s="105">
        <f t="shared" ca="1" si="195"/>
        <v>8.2436687200547567</v>
      </c>
      <c r="Q104" s="105">
        <f t="shared" ca="1" si="196"/>
        <v>8.3230663928815876</v>
      </c>
      <c r="R104" s="114">
        <v>19.850000000000001</v>
      </c>
      <c r="S104" s="198">
        <v>0</v>
      </c>
      <c r="T104" s="189">
        <f t="shared" si="133"/>
        <v>19.850000000000001</v>
      </c>
      <c r="U104" s="199">
        <f t="shared" ca="1" si="198"/>
        <v>19.915909090909089</v>
      </c>
      <c r="V104" s="379">
        <f t="shared" ca="1" si="199"/>
        <v>19.915909090909089</v>
      </c>
      <c r="W104" s="483">
        <v>0.17809999999999998</v>
      </c>
      <c r="X104" s="166" t="str">
        <f t="shared" ca="1" si="200"/>
        <v/>
      </c>
      <c r="Y104" s="91">
        <f t="shared" ca="1" si="208"/>
        <v>1.8080427547570697E-3</v>
      </c>
      <c r="Z104" s="91">
        <f t="shared" ca="1" si="209"/>
        <v>6.5505986864765678E-4</v>
      </c>
      <c r="AA104" s="91">
        <f t="shared" ca="1" si="210"/>
        <v>2.3939092524951887E-4</v>
      </c>
      <c r="AB104" s="91">
        <f t="shared" ca="1" si="211"/>
        <v>5.3929987640212473E-4</v>
      </c>
      <c r="AC104" s="91">
        <f t="shared" ca="1" si="212"/>
        <v>1.4757188720895132E-3</v>
      </c>
      <c r="AD104" s="91">
        <f t="shared" ca="1" si="213"/>
        <v>4.0731587179166587E-3</v>
      </c>
      <c r="AE104" s="124">
        <v>7.361614858712201E-2</v>
      </c>
      <c r="AF104" s="191">
        <f t="shared" ca="1" si="161"/>
        <v>0.54787670764213003</v>
      </c>
      <c r="AG104" s="189">
        <f t="shared" ca="1" si="207"/>
        <v>1</v>
      </c>
      <c r="AH104" s="192">
        <f t="shared" ca="1" si="201"/>
        <v>0</v>
      </c>
      <c r="AI104" s="192">
        <f t="shared" ca="1" si="202"/>
        <v>0</v>
      </c>
      <c r="AJ104" s="192">
        <f t="shared" ca="1" si="203"/>
        <v>0</v>
      </c>
      <c r="AK104" s="192">
        <f t="shared" ca="1" si="204"/>
        <v>0</v>
      </c>
      <c r="AL104" s="191" t="str">
        <f t="shared" ca="1" si="162"/>
        <v/>
      </c>
      <c r="AM104" s="191" t="str">
        <f t="shared" ca="1" si="163"/>
        <v/>
      </c>
      <c r="AN104" s="191" t="str">
        <f t="shared" ca="1" si="164"/>
        <v/>
      </c>
      <c r="AO104" s="193" t="str">
        <f t="shared" ca="1" si="165"/>
        <v/>
      </c>
      <c r="AP104" s="194" t="str">
        <f t="shared" ca="1" si="135"/>
        <v/>
      </c>
      <c r="AQ104" s="194" t="str">
        <f t="shared" ca="1" si="136"/>
        <v/>
      </c>
      <c r="AR104" s="195">
        <f ca="1">IF(AH104,_xll.xASN(AL104,Strike1,AE104,AP104,0,N104,0,P104,Q104,IF(OptControl=4,0,1),0),0)</f>
        <v>0</v>
      </c>
      <c r="AS104" s="196">
        <f ca="1">IF(AH104,_xll.xASN(AL104,Strike1,AE104,AP104,0,N104,0,P104,Q104,IF(OptControl=4,0,1),1),0)</f>
        <v>0</v>
      </c>
      <c r="AT104" s="196">
        <f ca="1">IF(AH104,_xll.xASN(AL104,Strike1,AE104,AP104,0,N104,0,P104,Q104,IF(OptControl=4,0,1),2),0)</f>
        <v>0</v>
      </c>
      <c r="AU104" s="196">
        <f ca="1">IF(AH104,_xll.xASN(AL104,Strike1,AE104,AP104,0,N104,0,P104,Q104,IF(OptControl=4,0,1),3)/100,0)</f>
        <v>0</v>
      </c>
      <c r="AV104" s="196">
        <f ca="1">IF(AH104,_xll.xASN(AL104,Strike1,AE104,AP104,0,N104,0,P104-DaysForThetaCalculation/365.25,Q104-DaysForThetaCalculation/365.25,IF(OptControl=4,0,1),0)-_xll.xASN(AL104,Strike1,AE104,AP104,0,N104,0,P104,Q104,IF(OptControl=4,0,1),0),0)</f>
        <v>0</v>
      </c>
      <c r="AW104" s="196">
        <f ca="1">IF(AH104,_xll.xASN(AL104,Strike2,AE104,AQ104,0,N104,0,P104,Q104,IF(OptControl=3,1,0),0),0)</f>
        <v>0</v>
      </c>
      <c r="AX104" s="196">
        <f ca="1">IF(AH104,_xll.xASN(AL104,Strike2,AE104,AQ104,0,N104,0,P104,Q104,IF(OptControl=3,1,0),1),0)</f>
        <v>0</v>
      </c>
      <c r="AY104" s="196">
        <f ca="1">IF(AH104,_xll.xASN(AL104,Strike2,AE104,AQ104,0,N104,0,P104,Q104,IF(OptControl=3,1,0),2),0)</f>
        <v>0</v>
      </c>
      <c r="AZ104" s="196">
        <f ca="1">IF(AH104,_xll.xASN(AL104,Strike2,AE104,AQ104,0,N104,0,P104,Q104,IF(OptControl=3,1,0),3)/100,0)</f>
        <v>0</v>
      </c>
      <c r="BA104" s="196">
        <f ca="1">IF(AH104,_xll.xASN(AL104,Strike2,AE104,AQ104,0,N104,0,P104-DaysForThetaCalculation/365.25,Q104-DaysForThetaCalculation/365.25,IF(OptControl=3,1,0),0)-_xll.xASN(AL104,Strike2,AE104,AQ104,0,N104,0,P104,Q104,IF(OptControl=3,1,0),0),0)</f>
        <v>0</v>
      </c>
      <c r="BB104" s="126" t="str">
        <f t="shared" ca="1" si="166"/>
        <v/>
      </c>
      <c r="BC104" s="191" t="str">
        <f t="shared" ca="1" si="167"/>
        <v/>
      </c>
      <c r="BD104" s="191" t="str">
        <f t="shared" ca="1" si="168"/>
        <v/>
      </c>
      <c r="BE104" s="190" t="str">
        <f t="shared" ca="1" si="169"/>
        <v/>
      </c>
      <c r="BF104" s="194" t="str">
        <f t="shared" ca="1" si="170"/>
        <v/>
      </c>
      <c r="BG104" s="194" t="str">
        <f t="shared" ca="1" si="171"/>
        <v/>
      </c>
      <c r="BH104" s="195">
        <f ca="1">IF(AH104,_xll.xEURO(BB104,Strike1,AE104,AE104,BF104,O104,IF(OptControl=4,0,1),0),0)</f>
        <v>0</v>
      </c>
      <c r="BI104" s="196">
        <f ca="1">IF(AH104,_xll.xEURO(BB104,Strike1,AE104,AE104,BF104,O104,IF(OptControl=4,0,1),1),0)</f>
        <v>0</v>
      </c>
      <c r="BJ104" s="196">
        <f ca="1">IF(AH104,_xll.xEURO(BB104,Strike1,AE104,AE104,BF104,O104,IF(OptControl=4,0,1),2),0)</f>
        <v>0</v>
      </c>
      <c r="BK104" s="196">
        <f ca="1">IF(AH104,_xll.xEURO(BB104,Strike1,AE104,AE104,BF104,O104,IF(OptControl=4,0,1),3)/100,0)</f>
        <v>0</v>
      </c>
      <c r="BL104" s="196">
        <f ca="1">IF(AH104,_xll.xEURO(BB104,Strike1,AE104,AE104,BF104,O104-DaysForThetaCalculation,IF(OptControl=4,0,1),0)-_xll.xEURO(BB104,Strike1,AE104,AE104,BF104,O104,IF(OptControl=4,0,1),0),0)</f>
        <v>0</v>
      </c>
      <c r="BM104" s="196">
        <f ca="1">IF(AH104,_xll.xEURO(BB104,Strike2,AE104,AE104,BG104,O104,IF(OptControl=3,1,0),0),0)</f>
        <v>0</v>
      </c>
      <c r="BN104" s="196">
        <f ca="1">IF(AH104,_xll.xEURO(BB104,Strike2,AE104,AE104,BG104,O104,IF(OptControl=3,1,0),1),0)</f>
        <v>0</v>
      </c>
      <c r="BO104" s="196">
        <f ca="1">IF(AH104,_xll.xEURO(BB104,Strike2,AE104,AE104,BG104,O104,IF(OptControl=3,1,0),2),0)</f>
        <v>0</v>
      </c>
      <c r="BP104" s="196">
        <f ca="1">IF(AH104,_xll.xEURO(BB104,Strike2,AE104,AE104,BG104,O104,IF(OptControl=3,1,0),3)/100,0)</f>
        <v>0</v>
      </c>
      <c r="BQ104" s="197">
        <f ca="1">IF(AH104,_xll.xEURO(BB104,Strike2,AE104,AE104,BG104,O104-DaysForThetaCalculation,IF(OptControl=3,1,0),0)-_xll.xEURO(BB104,Strike2,AE104,AE104,BG104,O104,IF(OptControl=3,1,0),0),0)</f>
        <v>0</v>
      </c>
      <c r="BR104" s="301"/>
      <c r="BS104" s="114">
        <v>27.594000000000001</v>
      </c>
      <c r="BT104" s="345">
        <f t="shared" si="137"/>
        <v>65.7</v>
      </c>
      <c r="BU104" s="345">
        <f t="shared" ca="1" si="185"/>
        <v>7.2920909090909127</v>
      </c>
      <c r="BV104" s="73"/>
      <c r="BW104" s="345">
        <f t="shared" ca="1" si="182"/>
        <v>8.2736666666666707</v>
      </c>
      <c r="BX104" s="345">
        <f t="shared" ca="1" si="186"/>
        <v>68.132899536626255</v>
      </c>
      <c r="BY104" s="373">
        <f t="shared" ca="1" si="138"/>
        <v>67.118037518037525</v>
      </c>
      <c r="BZ104" s="114">
        <v>25.318000000000001</v>
      </c>
      <c r="CA104" s="345">
        <f t="shared" si="139"/>
        <v>60.280952380952385</v>
      </c>
      <c r="CB104" s="345">
        <f t="shared" ca="1" si="187"/>
        <v>5.4020909090909122</v>
      </c>
      <c r="CC104" s="345">
        <f t="shared" ca="1" si="183"/>
        <v>5.6486666666666743</v>
      </c>
      <c r="CD104" s="345">
        <f t="shared" ca="1" si="140"/>
        <v>60.868037518037532</v>
      </c>
      <c r="CE104" s="347">
        <f t="shared" ca="1" si="172"/>
        <v>-6.2499999999999929</v>
      </c>
      <c r="CF104" s="114">
        <v>21.84</v>
      </c>
      <c r="CG104" s="345">
        <f t="shared" si="141"/>
        <v>52</v>
      </c>
      <c r="CH104" s="345">
        <f t="shared" ca="1" si="142"/>
        <v>2.0540909090909096</v>
      </c>
      <c r="CI104" s="73"/>
      <c r="CJ104" s="345">
        <f t="shared" ca="1" si="190"/>
        <v>2.9470000000000014</v>
      </c>
      <c r="CK104" s="345">
        <f t="shared" ca="1" si="184"/>
        <v>54.128551710539284</v>
      </c>
      <c r="CL104" s="345">
        <f t="shared" ca="1" si="143"/>
        <v>54.435497835497841</v>
      </c>
      <c r="CM104" s="114">
        <v>21.151</v>
      </c>
      <c r="CN104" s="345">
        <f t="shared" si="144"/>
        <v>50.359523809523807</v>
      </c>
      <c r="CO104" s="345">
        <f t="shared" ca="1" si="145"/>
        <v>1.2350909090909106</v>
      </c>
      <c r="CP104" s="345">
        <f t="shared" ca="1" si="192"/>
        <v>2.0229999999999984</v>
      </c>
      <c r="CQ104" s="345">
        <f t="shared" ca="1" si="146"/>
        <v>52.235497835497824</v>
      </c>
      <c r="CR104" s="347">
        <f t="shared" ca="1" si="173"/>
        <v>-2.2000000000000171</v>
      </c>
      <c r="CS104" s="114">
        <v>22.096</v>
      </c>
      <c r="CT104" s="345">
        <f t="shared" si="147"/>
        <v>52.609523809523807</v>
      </c>
      <c r="CU104" s="345">
        <f t="shared" si="174"/>
        <v>0.29999999999999716</v>
      </c>
      <c r="CV104" s="345">
        <f t="shared" ca="1" si="191"/>
        <v>1.6499999999999939</v>
      </c>
      <c r="CW104" s="347">
        <f t="shared" ca="1" si="175"/>
        <v>56.085497835497833</v>
      </c>
      <c r="CX104" s="483">
        <v>0.17800000000000002</v>
      </c>
      <c r="CY104" s="190">
        <f t="shared" si="148"/>
        <v>-9.9999999999961231E-5</v>
      </c>
      <c r="CZ104" s="190">
        <f t="shared" ca="1" si="180"/>
        <v>-0.03</v>
      </c>
      <c r="DA104" s="354">
        <f t="shared" ca="1" si="149"/>
        <v>0.14809999999999998</v>
      </c>
      <c r="DB104" s="483">
        <v>0.17800000000000002</v>
      </c>
      <c r="DC104" s="190">
        <f t="shared" si="150"/>
        <v>-9.9999999999961231E-5</v>
      </c>
      <c r="DD104" s="190">
        <f t="shared" ca="1" si="181"/>
        <v>0.03</v>
      </c>
      <c r="DE104" s="354">
        <f t="shared" ca="1" si="151"/>
        <v>0.20809999999999998</v>
      </c>
      <c r="DG104" s="341"/>
      <c r="DH104" s="114"/>
      <c r="DI104" s="126">
        <f t="shared" ca="1" si="176"/>
        <v>-19.915909090909089</v>
      </c>
      <c r="DJ104" s="126">
        <f t="shared" ca="1" si="124"/>
        <v>-2</v>
      </c>
      <c r="DK104" s="356">
        <f t="shared" ca="1" si="125"/>
        <v>17.915909090909089</v>
      </c>
      <c r="DL104" s="114"/>
      <c r="DM104" s="126">
        <f t="shared" ca="1" si="177"/>
        <v>-19.915909090909089</v>
      </c>
      <c r="DN104" s="126">
        <f t="shared" ca="1" si="152"/>
        <v>-3</v>
      </c>
      <c r="DO104" s="356">
        <f t="shared" ca="1" si="126"/>
        <v>16.915909090909089</v>
      </c>
      <c r="DP104" s="114"/>
      <c r="DQ104" s="126">
        <f t="shared" ca="1" si="178"/>
        <v>-19.915909090909089</v>
      </c>
      <c r="DR104" s="126">
        <f t="shared" ca="1" si="153"/>
        <v>-6</v>
      </c>
      <c r="DS104" s="356">
        <f t="shared" ca="1" si="127"/>
        <v>13.915909090909089</v>
      </c>
      <c r="DT104" s="114"/>
      <c r="DU104" s="126">
        <f t="shared" ca="1" si="179"/>
        <v>-19.915909090909089</v>
      </c>
      <c r="DV104" s="126">
        <f t="shared" ca="1" si="154"/>
        <v>-5</v>
      </c>
      <c r="DW104" s="356">
        <f t="shared" ca="1" si="128"/>
        <v>14.915909090909089</v>
      </c>
    </row>
    <row r="105" spans="2:127" x14ac:dyDescent="0.25">
      <c r="B105" s="396">
        <v>38749</v>
      </c>
      <c r="C105" s="400">
        <v>38739</v>
      </c>
      <c r="I105" s="136">
        <f t="shared" ca="1" si="205"/>
        <v>39995</v>
      </c>
      <c r="J105" s="131">
        <f t="shared" ca="1" si="130"/>
        <v>39984</v>
      </c>
      <c r="K105" s="106">
        <f t="shared" ca="1" si="206"/>
        <v>0.60869565217391308</v>
      </c>
      <c r="L105" s="133">
        <f t="shared" ca="1" si="193"/>
        <v>109</v>
      </c>
      <c r="M105" s="134">
        <f t="shared" ca="1" si="194"/>
        <v>7</v>
      </c>
      <c r="N105" s="103">
        <f t="shared" ca="1" si="197"/>
        <v>23</v>
      </c>
      <c r="O105" s="104">
        <f t="shared" ca="1" si="132"/>
        <v>3035</v>
      </c>
      <c r="P105" s="105">
        <f t="shared" ca="1" si="195"/>
        <v>8.3258042436687205</v>
      </c>
      <c r="Q105" s="105">
        <f t="shared" ca="1" si="196"/>
        <v>8.4079397672826826</v>
      </c>
      <c r="R105" s="114">
        <v>19.899999999999999</v>
      </c>
      <c r="S105" s="198">
        <v>0</v>
      </c>
      <c r="T105" s="189">
        <f t="shared" si="133"/>
        <v>19.899999999999999</v>
      </c>
      <c r="U105" s="199">
        <f t="shared" ca="1" si="198"/>
        <v>19.969565217391306</v>
      </c>
      <c r="V105" s="379">
        <f t="shared" ca="1" si="199"/>
        <v>19.969565217391306</v>
      </c>
      <c r="W105" s="483">
        <v>0.1777</v>
      </c>
      <c r="X105" s="166" t="str">
        <f t="shared" ca="1" si="200"/>
        <v/>
      </c>
      <c r="Y105" s="91">
        <f t="shared" ca="1" si="208"/>
        <v>1.7693353092792627E-3</v>
      </c>
      <c r="Z105" s="91">
        <f t="shared" ca="1" si="209"/>
        <v>6.3760389294014342E-4</v>
      </c>
      <c r="AA105" s="91">
        <f t="shared" ca="1" si="210"/>
        <v>2.3238681487443879E-4</v>
      </c>
      <c r="AB105" s="91">
        <f t="shared" ca="1" si="211"/>
        <v>5.2352101654914486E-4</v>
      </c>
      <c r="AC105" s="91">
        <f t="shared" ca="1" si="212"/>
        <v>1.4363940500156261E-3</v>
      </c>
      <c r="AD105" s="91">
        <f t="shared" ca="1" si="213"/>
        <v>3.9859585847442534E-3</v>
      </c>
      <c r="AE105" s="124">
        <v>7.3623493816246013E-2</v>
      </c>
      <c r="AF105" s="191">
        <f t="shared" ca="1" si="161"/>
        <v>0.54449289974920823</v>
      </c>
      <c r="AG105" s="189">
        <f t="shared" ca="1" si="207"/>
        <v>1</v>
      </c>
      <c r="AH105" s="192">
        <f t="shared" ca="1" si="201"/>
        <v>0</v>
      </c>
      <c r="AI105" s="192">
        <f t="shared" ca="1" si="202"/>
        <v>0</v>
      </c>
      <c r="AJ105" s="192">
        <f t="shared" ca="1" si="203"/>
        <v>0</v>
      </c>
      <c r="AK105" s="192">
        <f t="shared" ca="1" si="204"/>
        <v>0</v>
      </c>
      <c r="AL105" s="191" t="str">
        <f t="shared" ca="1" si="162"/>
        <v/>
      </c>
      <c r="AM105" s="191" t="str">
        <f t="shared" ca="1" si="163"/>
        <v/>
      </c>
      <c r="AN105" s="191" t="str">
        <f t="shared" ca="1" si="164"/>
        <v/>
      </c>
      <c r="AO105" s="193" t="str">
        <f t="shared" ca="1" si="165"/>
        <v/>
      </c>
      <c r="AP105" s="194" t="str">
        <f t="shared" ca="1" si="135"/>
        <v/>
      </c>
      <c r="AQ105" s="194" t="str">
        <f t="shared" ca="1" si="136"/>
        <v/>
      </c>
      <c r="AR105" s="195">
        <f ca="1">IF(AH105,_xll.xASN(AL105,Strike1,AE105,AP105,0,N105,0,P105,Q105,IF(OptControl=4,0,1),0),0)</f>
        <v>0</v>
      </c>
      <c r="AS105" s="196">
        <f ca="1">IF(AH105,_xll.xASN(AL105,Strike1,AE105,AP105,0,N105,0,P105,Q105,IF(OptControl=4,0,1),1),0)</f>
        <v>0</v>
      </c>
      <c r="AT105" s="196">
        <f ca="1">IF(AH105,_xll.xASN(AL105,Strike1,AE105,AP105,0,N105,0,P105,Q105,IF(OptControl=4,0,1),2),0)</f>
        <v>0</v>
      </c>
      <c r="AU105" s="196">
        <f ca="1">IF(AH105,_xll.xASN(AL105,Strike1,AE105,AP105,0,N105,0,P105,Q105,IF(OptControl=4,0,1),3)/100,0)</f>
        <v>0</v>
      </c>
      <c r="AV105" s="196">
        <f ca="1">IF(AH105,_xll.xASN(AL105,Strike1,AE105,AP105,0,N105,0,P105-DaysForThetaCalculation/365.25,Q105-DaysForThetaCalculation/365.25,IF(OptControl=4,0,1),0)-_xll.xASN(AL105,Strike1,AE105,AP105,0,N105,0,P105,Q105,IF(OptControl=4,0,1),0),0)</f>
        <v>0</v>
      </c>
      <c r="AW105" s="196">
        <f ca="1">IF(AH105,_xll.xASN(AL105,Strike2,AE105,AQ105,0,N105,0,P105,Q105,IF(OptControl=3,1,0),0),0)</f>
        <v>0</v>
      </c>
      <c r="AX105" s="196">
        <f ca="1">IF(AH105,_xll.xASN(AL105,Strike2,AE105,AQ105,0,N105,0,P105,Q105,IF(OptControl=3,1,0),1),0)</f>
        <v>0</v>
      </c>
      <c r="AY105" s="196">
        <f ca="1">IF(AH105,_xll.xASN(AL105,Strike2,AE105,AQ105,0,N105,0,P105,Q105,IF(OptControl=3,1,0),2),0)</f>
        <v>0</v>
      </c>
      <c r="AZ105" s="196">
        <f ca="1">IF(AH105,_xll.xASN(AL105,Strike2,AE105,AQ105,0,N105,0,P105,Q105,IF(OptControl=3,1,0),3)/100,0)</f>
        <v>0</v>
      </c>
      <c r="BA105" s="196">
        <f ca="1">IF(AH105,_xll.xASN(AL105,Strike2,AE105,AQ105,0,N105,0,P105-DaysForThetaCalculation/365.25,Q105-DaysForThetaCalculation/365.25,IF(OptControl=3,1,0),0)-_xll.xASN(AL105,Strike2,AE105,AQ105,0,N105,0,P105,Q105,IF(OptControl=3,1,0),0),0)</f>
        <v>0</v>
      </c>
      <c r="BB105" s="126" t="str">
        <f t="shared" ca="1" si="166"/>
        <v/>
      </c>
      <c r="BC105" s="191" t="str">
        <f t="shared" ca="1" si="167"/>
        <v/>
      </c>
      <c r="BD105" s="191" t="str">
        <f t="shared" ca="1" si="168"/>
        <v/>
      </c>
      <c r="BE105" s="190" t="str">
        <f t="shared" ca="1" si="169"/>
        <v/>
      </c>
      <c r="BF105" s="194" t="str">
        <f t="shared" ca="1" si="170"/>
        <v/>
      </c>
      <c r="BG105" s="194" t="str">
        <f t="shared" ca="1" si="171"/>
        <v/>
      </c>
      <c r="BH105" s="195">
        <f ca="1">IF(AH105,_xll.xEURO(BB105,Strike1,AE105,AE105,BF105,O105,IF(OptControl=4,0,1),0),0)</f>
        <v>0</v>
      </c>
      <c r="BI105" s="196">
        <f ca="1">IF(AH105,_xll.xEURO(BB105,Strike1,AE105,AE105,BF105,O105,IF(OptControl=4,0,1),1),0)</f>
        <v>0</v>
      </c>
      <c r="BJ105" s="196">
        <f ca="1">IF(AH105,_xll.xEURO(BB105,Strike1,AE105,AE105,BF105,O105,IF(OptControl=4,0,1),2),0)</f>
        <v>0</v>
      </c>
      <c r="BK105" s="196">
        <f ca="1">IF(AH105,_xll.xEURO(BB105,Strike1,AE105,AE105,BF105,O105,IF(OptControl=4,0,1),3)/100,0)</f>
        <v>0</v>
      </c>
      <c r="BL105" s="196">
        <f ca="1">IF(AH105,_xll.xEURO(BB105,Strike1,AE105,AE105,BF105,O105-DaysForThetaCalculation,IF(OptControl=4,0,1),0)-_xll.xEURO(BB105,Strike1,AE105,AE105,BF105,O105,IF(OptControl=4,0,1),0),0)</f>
        <v>0</v>
      </c>
      <c r="BM105" s="196">
        <f ca="1">IF(AH105,_xll.xEURO(BB105,Strike2,AE105,AE105,BG105,O105,IF(OptControl=3,1,0),0),0)</f>
        <v>0</v>
      </c>
      <c r="BN105" s="196">
        <f ca="1">IF(AH105,_xll.xEURO(BB105,Strike2,AE105,AE105,BG105,O105,IF(OptControl=3,1,0),1),0)</f>
        <v>0</v>
      </c>
      <c r="BO105" s="196">
        <f ca="1">IF(AH105,_xll.xEURO(BB105,Strike2,AE105,AE105,BG105,O105,IF(OptControl=3,1,0),2),0)</f>
        <v>0</v>
      </c>
      <c r="BP105" s="196">
        <f ca="1">IF(AH105,_xll.xEURO(BB105,Strike2,AE105,AE105,BG105,O105,IF(OptControl=3,1,0),3)/100,0)</f>
        <v>0</v>
      </c>
      <c r="BQ105" s="197">
        <f ca="1">IF(AH105,_xll.xEURO(BB105,Strike2,AE105,AE105,BG105,O105-DaysForThetaCalculation,IF(OptControl=3,1,0),0)-_xll.xEURO(BB105,Strike2,AE105,AE105,BG105,O105,IF(OptControl=3,1,0),0),0)</f>
        <v>0</v>
      </c>
      <c r="BR105" s="301"/>
      <c r="BS105" s="114">
        <v>27.208000000000002</v>
      </c>
      <c r="BT105" s="345">
        <f t="shared" si="137"/>
        <v>64.780952380952385</v>
      </c>
      <c r="BU105" s="345">
        <f t="shared" ca="1" si="185"/>
        <v>6.763434782608698</v>
      </c>
      <c r="BV105" s="73"/>
      <c r="BW105" s="345">
        <f t="shared" ca="1" si="182"/>
        <v>7.7333636363636487</v>
      </c>
      <c r="BX105" s="345">
        <f t="shared" ca="1" si="186"/>
        <v>67.118037518037525</v>
      </c>
      <c r="BY105" s="373">
        <f t="shared" ca="1" si="138"/>
        <v>65.959354413702272</v>
      </c>
      <c r="BZ105" s="114">
        <v>24.843000000000004</v>
      </c>
      <c r="CA105" s="345">
        <f t="shared" si="139"/>
        <v>59.150000000000006</v>
      </c>
      <c r="CB105" s="345">
        <f t="shared" ca="1" si="187"/>
        <v>4.8734347826086974</v>
      </c>
      <c r="CC105" s="345">
        <f t="shared" ca="1" si="183"/>
        <v>5.318363636363646</v>
      </c>
      <c r="CD105" s="345">
        <f t="shared" ca="1" si="140"/>
        <v>60.209354413702265</v>
      </c>
      <c r="CE105" s="347">
        <f t="shared" ca="1" si="172"/>
        <v>-5.7500000000000071</v>
      </c>
      <c r="CF105" s="114">
        <v>21.97</v>
      </c>
      <c r="CG105" s="345">
        <f t="shared" si="141"/>
        <v>52.30952380952381</v>
      </c>
      <c r="CH105" s="345">
        <f t="shared" ca="1" si="142"/>
        <v>2.3824347826086978</v>
      </c>
      <c r="CI105" s="73"/>
      <c r="CJ105" s="345">
        <f t="shared" ca="1" si="190"/>
        <v>3.2860434782608743</v>
      </c>
      <c r="CK105" s="345">
        <f t="shared" ca="1" si="184"/>
        <v>54.435497835497841</v>
      </c>
      <c r="CL105" s="345">
        <f t="shared" ca="1" si="143"/>
        <v>55.370496894409953</v>
      </c>
      <c r="CM105" s="114">
        <v>21.428000000000001</v>
      </c>
      <c r="CN105" s="345">
        <f t="shared" si="144"/>
        <v>51.019047619047626</v>
      </c>
      <c r="CO105" s="345">
        <f t="shared" ca="1" si="145"/>
        <v>1.4584347826086947</v>
      </c>
      <c r="CP105" s="345">
        <f t="shared" ca="1" si="192"/>
        <v>2.3620434782608712</v>
      </c>
      <c r="CQ105" s="345">
        <f t="shared" ca="1" si="146"/>
        <v>53.170496894409951</v>
      </c>
      <c r="CR105" s="347">
        <f t="shared" ca="1" si="173"/>
        <v>-2.2000000000000028</v>
      </c>
      <c r="CS105" s="114">
        <v>22.478000000000002</v>
      </c>
      <c r="CT105" s="345">
        <f t="shared" si="147"/>
        <v>53.519047619047626</v>
      </c>
      <c r="CU105" s="345">
        <f t="shared" si="174"/>
        <v>0.29999999999999716</v>
      </c>
      <c r="CV105" s="345">
        <f t="shared" ca="1" si="191"/>
        <v>1.6499999999999939</v>
      </c>
      <c r="CW105" s="347">
        <f t="shared" ca="1" si="175"/>
        <v>57.020496894409945</v>
      </c>
      <c r="CX105" s="483">
        <v>0.17800000000000002</v>
      </c>
      <c r="CY105" s="190">
        <f t="shared" si="148"/>
        <v>3.0000000000002247E-4</v>
      </c>
      <c r="CZ105" s="190">
        <f t="shared" ca="1" si="180"/>
        <v>-0.03</v>
      </c>
      <c r="DA105" s="354">
        <f t="shared" ca="1" si="149"/>
        <v>0.1477</v>
      </c>
      <c r="DB105" s="483">
        <v>0.17800000000000002</v>
      </c>
      <c r="DC105" s="190">
        <f t="shared" si="150"/>
        <v>3.0000000000002247E-4</v>
      </c>
      <c r="DD105" s="190">
        <f t="shared" ca="1" si="181"/>
        <v>0.03</v>
      </c>
      <c r="DE105" s="354">
        <f t="shared" ca="1" si="151"/>
        <v>0.2077</v>
      </c>
      <c r="DG105" s="341"/>
      <c r="DH105" s="114"/>
      <c r="DI105" s="126">
        <f t="shared" ca="1" si="176"/>
        <v>-19.969565217391306</v>
      </c>
      <c r="DJ105" s="126">
        <f t="shared" ca="1" si="124"/>
        <v>-2</v>
      </c>
      <c r="DK105" s="356">
        <f t="shared" ca="1" si="125"/>
        <v>17.969565217391306</v>
      </c>
      <c r="DL105" s="114"/>
      <c r="DM105" s="126">
        <f t="shared" ca="1" si="177"/>
        <v>-19.969565217391306</v>
      </c>
      <c r="DN105" s="126">
        <f t="shared" ca="1" si="152"/>
        <v>-3</v>
      </c>
      <c r="DO105" s="356">
        <f t="shared" ca="1" si="126"/>
        <v>16.969565217391306</v>
      </c>
      <c r="DP105" s="114"/>
      <c r="DQ105" s="126">
        <f t="shared" ca="1" si="178"/>
        <v>-19.969565217391306</v>
      </c>
      <c r="DR105" s="126">
        <f t="shared" ca="1" si="153"/>
        <v>-6</v>
      </c>
      <c r="DS105" s="356">
        <f t="shared" ca="1" si="127"/>
        <v>13.969565217391306</v>
      </c>
      <c r="DT105" s="114"/>
      <c r="DU105" s="126">
        <f t="shared" ca="1" si="179"/>
        <v>-19.969565217391306</v>
      </c>
      <c r="DV105" s="126">
        <f t="shared" ca="1" si="154"/>
        <v>-5</v>
      </c>
      <c r="DW105" s="356">
        <f t="shared" ca="1" si="128"/>
        <v>14.969565217391306</v>
      </c>
    </row>
    <row r="106" spans="2:127" x14ac:dyDescent="0.25">
      <c r="B106" s="396">
        <v>38777</v>
      </c>
      <c r="C106" s="400">
        <v>38768</v>
      </c>
      <c r="I106" s="136">
        <f t="shared" ca="1" si="205"/>
        <v>40026</v>
      </c>
      <c r="J106" s="131">
        <f t="shared" ca="1" si="130"/>
        <v>40014</v>
      </c>
      <c r="K106" s="106">
        <f t="shared" ca="1" si="206"/>
        <v>0.7142857142857143</v>
      </c>
      <c r="L106" s="133">
        <f t="shared" ca="1" si="193"/>
        <v>109</v>
      </c>
      <c r="M106" s="134">
        <f t="shared" ca="1" si="194"/>
        <v>8</v>
      </c>
      <c r="N106" s="103">
        <f t="shared" ca="1" si="197"/>
        <v>21</v>
      </c>
      <c r="O106" s="104">
        <f t="shared" ca="1" si="132"/>
        <v>3068</v>
      </c>
      <c r="P106" s="105">
        <f t="shared" ca="1" si="195"/>
        <v>8.4106776180698155</v>
      </c>
      <c r="Q106" s="105">
        <f t="shared" ca="1" si="196"/>
        <v>8.4928131416837775</v>
      </c>
      <c r="R106" s="114">
        <v>19.95</v>
      </c>
      <c r="S106" s="198">
        <v>0</v>
      </c>
      <c r="T106" s="189">
        <f t="shared" si="133"/>
        <v>19.95</v>
      </c>
      <c r="U106" s="199">
        <f t="shared" ca="1" si="198"/>
        <v>20.014285714285716</v>
      </c>
      <c r="V106" s="379">
        <f t="shared" ca="1" si="199"/>
        <v>20.014285714285716</v>
      </c>
      <c r="W106" s="483">
        <v>0.17729999999999901</v>
      </c>
      <c r="X106" s="166" t="str">
        <f t="shared" ca="1" si="200"/>
        <v/>
      </c>
      <c r="Y106" s="91">
        <f t="shared" ca="1" si="208"/>
        <v>1.7314565313379261E-3</v>
      </c>
      <c r="Z106" s="91">
        <f t="shared" ca="1" si="209"/>
        <v>6.2061308248314423E-4</v>
      </c>
      <c r="AA106" s="91">
        <f t="shared" ca="1" si="210"/>
        <v>2.2558763107330957E-4</v>
      </c>
      <c r="AB106" s="91">
        <f t="shared" ca="1" si="211"/>
        <v>5.0820381528196134E-4</v>
      </c>
      <c r="AC106" s="91">
        <f t="shared" ca="1" si="212"/>
        <v>1.3981171522180974E-3</v>
      </c>
      <c r="AD106" s="91">
        <f t="shared" ca="1" si="213"/>
        <v>3.9006252737980081E-3</v>
      </c>
      <c r="AE106" s="124">
        <v>7.3631083886359028E-2</v>
      </c>
      <c r="AF106" s="191">
        <f t="shared" ca="1" si="161"/>
        <v>0.54112825511368035</v>
      </c>
      <c r="AG106" s="189">
        <f t="shared" ca="1" si="207"/>
        <v>1</v>
      </c>
      <c r="AH106" s="192">
        <f t="shared" ca="1" si="201"/>
        <v>0</v>
      </c>
      <c r="AI106" s="192">
        <f t="shared" ca="1" si="202"/>
        <v>0</v>
      </c>
      <c r="AJ106" s="192">
        <f t="shared" ca="1" si="203"/>
        <v>0</v>
      </c>
      <c r="AK106" s="192">
        <f t="shared" ca="1" si="204"/>
        <v>0</v>
      </c>
      <c r="AL106" s="191" t="str">
        <f t="shared" ca="1" si="162"/>
        <v/>
      </c>
      <c r="AM106" s="191" t="str">
        <f t="shared" ca="1" si="163"/>
        <v/>
      </c>
      <c r="AN106" s="191" t="str">
        <f t="shared" ca="1" si="164"/>
        <v/>
      </c>
      <c r="AO106" s="193" t="str">
        <f t="shared" ca="1" si="165"/>
        <v/>
      </c>
      <c r="AP106" s="194" t="str">
        <f t="shared" ca="1" si="135"/>
        <v/>
      </c>
      <c r="AQ106" s="194" t="str">
        <f t="shared" ca="1" si="136"/>
        <v/>
      </c>
      <c r="AR106" s="195">
        <f ca="1">IF(AH106,_xll.xASN(AL106,Strike1,AE106,AP106,0,N106,0,P106,Q106,IF(OptControl=4,0,1),0),0)</f>
        <v>0</v>
      </c>
      <c r="AS106" s="196">
        <f ca="1">IF(AH106,_xll.xASN(AL106,Strike1,AE106,AP106,0,N106,0,P106,Q106,IF(OptControl=4,0,1),1),0)</f>
        <v>0</v>
      </c>
      <c r="AT106" s="196">
        <f ca="1">IF(AH106,_xll.xASN(AL106,Strike1,AE106,AP106,0,N106,0,P106,Q106,IF(OptControl=4,0,1),2),0)</f>
        <v>0</v>
      </c>
      <c r="AU106" s="196">
        <f ca="1">IF(AH106,_xll.xASN(AL106,Strike1,AE106,AP106,0,N106,0,P106,Q106,IF(OptControl=4,0,1),3)/100,0)</f>
        <v>0</v>
      </c>
      <c r="AV106" s="196">
        <f ca="1">IF(AH106,_xll.xASN(AL106,Strike1,AE106,AP106,0,N106,0,P106-DaysForThetaCalculation/365.25,Q106-DaysForThetaCalculation/365.25,IF(OptControl=4,0,1),0)-_xll.xASN(AL106,Strike1,AE106,AP106,0,N106,0,P106,Q106,IF(OptControl=4,0,1),0),0)</f>
        <v>0</v>
      </c>
      <c r="AW106" s="196">
        <f ca="1">IF(AH106,_xll.xASN(AL106,Strike2,AE106,AQ106,0,N106,0,P106,Q106,IF(OptControl=3,1,0),0),0)</f>
        <v>0</v>
      </c>
      <c r="AX106" s="196">
        <f ca="1">IF(AH106,_xll.xASN(AL106,Strike2,AE106,AQ106,0,N106,0,P106,Q106,IF(OptControl=3,1,0),1),0)</f>
        <v>0</v>
      </c>
      <c r="AY106" s="196">
        <f ca="1">IF(AH106,_xll.xASN(AL106,Strike2,AE106,AQ106,0,N106,0,P106,Q106,IF(OptControl=3,1,0),2),0)</f>
        <v>0</v>
      </c>
      <c r="AZ106" s="196">
        <f ca="1">IF(AH106,_xll.xASN(AL106,Strike2,AE106,AQ106,0,N106,0,P106,Q106,IF(OptControl=3,1,0),3)/100,0)</f>
        <v>0</v>
      </c>
      <c r="BA106" s="196">
        <f ca="1">IF(AH106,_xll.xASN(AL106,Strike2,AE106,AQ106,0,N106,0,P106-DaysForThetaCalculation/365.25,Q106-DaysForThetaCalculation/365.25,IF(OptControl=3,1,0),0)-_xll.xASN(AL106,Strike2,AE106,AQ106,0,N106,0,P106,Q106,IF(OptControl=3,1,0),0),0)</f>
        <v>0</v>
      </c>
      <c r="BB106" s="126" t="str">
        <f t="shared" ca="1" si="166"/>
        <v/>
      </c>
      <c r="BC106" s="191" t="str">
        <f t="shared" ca="1" si="167"/>
        <v/>
      </c>
      <c r="BD106" s="191" t="str">
        <f t="shared" ca="1" si="168"/>
        <v/>
      </c>
      <c r="BE106" s="190" t="str">
        <f t="shared" ca="1" si="169"/>
        <v/>
      </c>
      <c r="BF106" s="194" t="str">
        <f t="shared" ca="1" si="170"/>
        <v/>
      </c>
      <c r="BG106" s="194" t="str">
        <f t="shared" ca="1" si="171"/>
        <v/>
      </c>
      <c r="BH106" s="195">
        <f ca="1">IF(AH106,_xll.xEURO(BB106,Strike1,AE106,AE106,BF106,O106,IF(OptControl=4,0,1),0),0)</f>
        <v>0</v>
      </c>
      <c r="BI106" s="196">
        <f ca="1">IF(AH106,_xll.xEURO(BB106,Strike1,AE106,AE106,BF106,O106,IF(OptControl=4,0,1),1),0)</f>
        <v>0</v>
      </c>
      <c r="BJ106" s="196">
        <f ca="1">IF(AH106,_xll.xEURO(BB106,Strike1,AE106,AE106,BF106,O106,IF(OptControl=4,0,1),2),0)</f>
        <v>0</v>
      </c>
      <c r="BK106" s="196">
        <f ca="1">IF(AH106,_xll.xEURO(BB106,Strike1,AE106,AE106,BF106,O106,IF(OptControl=4,0,1),3)/100,0)</f>
        <v>0</v>
      </c>
      <c r="BL106" s="196">
        <f ca="1">IF(AH106,_xll.xEURO(BB106,Strike1,AE106,AE106,BF106,O106-DaysForThetaCalculation,IF(OptControl=4,0,1),0)-_xll.xEURO(BB106,Strike1,AE106,AE106,BF106,O106,IF(OptControl=4,0,1),0),0)</f>
        <v>0</v>
      </c>
      <c r="BM106" s="196">
        <f ca="1">IF(AH106,_xll.xEURO(BB106,Strike2,AE106,AE106,BG106,O106,IF(OptControl=3,1,0),0),0)</f>
        <v>0</v>
      </c>
      <c r="BN106" s="196">
        <f ca="1">IF(AH106,_xll.xEURO(BB106,Strike2,AE106,AE106,BG106,O106,IF(OptControl=3,1,0),1),0)</f>
        <v>0</v>
      </c>
      <c r="BO106" s="196">
        <f ca="1">IF(AH106,_xll.xEURO(BB106,Strike2,AE106,AE106,BG106,O106,IF(OptControl=3,1,0),2),0)</f>
        <v>0</v>
      </c>
      <c r="BP106" s="196">
        <f ca="1">IF(AH106,_xll.xEURO(BB106,Strike2,AE106,AE106,BG106,O106,IF(OptControl=3,1,0),3)/100,0)</f>
        <v>0</v>
      </c>
      <c r="BQ106" s="197">
        <f ca="1">IF(AH106,_xll.xEURO(BB106,Strike2,AE106,AE106,BG106,O106-DaysForThetaCalculation,IF(OptControl=3,1,0),0)-_xll.xEURO(BB106,Strike2,AE106,AE106,BG106,O106,IF(OptControl=3,1,0),0),0)</f>
        <v>0</v>
      </c>
      <c r="BR106" s="301"/>
      <c r="BS106" s="114">
        <v>26.733000000000004</v>
      </c>
      <c r="BT106" s="345">
        <f t="shared" si="137"/>
        <v>63.650000000000006</v>
      </c>
      <c r="BU106" s="345">
        <f t="shared" ca="1" si="185"/>
        <v>6.2107142857142854</v>
      </c>
      <c r="BV106" s="73"/>
      <c r="BW106" s="345">
        <f t="shared" ca="1" si="182"/>
        <v>7.2318695652173908</v>
      </c>
      <c r="BX106" s="345">
        <f t="shared" ca="1" si="186"/>
        <v>65.959354413702272</v>
      </c>
      <c r="BY106" s="373">
        <f t="shared" ca="1" si="138"/>
        <v>64.871798284531195</v>
      </c>
      <c r="BZ106" s="114">
        <v>24.335000000000001</v>
      </c>
      <c r="CA106" s="345">
        <f t="shared" si="139"/>
        <v>57.94047619047619</v>
      </c>
      <c r="CB106" s="345">
        <f t="shared" ca="1" si="187"/>
        <v>4.3207142857142848</v>
      </c>
      <c r="CC106" s="345">
        <f t="shared" ca="1" si="183"/>
        <v>4.8168695652173907</v>
      </c>
      <c r="CD106" s="345">
        <f t="shared" ca="1" si="140"/>
        <v>59.121798284531209</v>
      </c>
      <c r="CE106" s="347">
        <f t="shared" ca="1" si="172"/>
        <v>-5.7499999999999858</v>
      </c>
      <c r="CF106" s="114">
        <v>22.352000000000004</v>
      </c>
      <c r="CG106" s="345">
        <f t="shared" si="141"/>
        <v>53.219047619047629</v>
      </c>
      <c r="CH106" s="345">
        <f t="shared" ca="1" si="142"/>
        <v>2.799714285714284</v>
      </c>
      <c r="CI106" s="73"/>
      <c r="CJ106" s="345">
        <f t="shared" ca="1" si="190"/>
        <v>3.6934545454545451</v>
      </c>
      <c r="CK106" s="345">
        <f t="shared" ca="1" si="184"/>
        <v>55.370496894409953</v>
      </c>
      <c r="CL106" s="345">
        <f t="shared" ca="1" si="143"/>
        <v>56.447000618429193</v>
      </c>
      <c r="CM106" s="114">
        <v>21.89</v>
      </c>
      <c r="CN106" s="345">
        <f t="shared" si="144"/>
        <v>52.11904761904762</v>
      </c>
      <c r="CO106" s="345">
        <f t="shared" ca="1" si="145"/>
        <v>1.8757142857142846</v>
      </c>
      <c r="CP106" s="345">
        <f t="shared" ca="1" si="192"/>
        <v>2.7694545454545456</v>
      </c>
      <c r="CQ106" s="345">
        <f t="shared" ca="1" si="146"/>
        <v>54.247000618429198</v>
      </c>
      <c r="CR106" s="347">
        <f t="shared" ca="1" si="173"/>
        <v>-2.1999999999999957</v>
      </c>
      <c r="CS106" s="114">
        <v>22.94</v>
      </c>
      <c r="CT106" s="345">
        <f t="shared" si="147"/>
        <v>54.61904761904762</v>
      </c>
      <c r="CU106" s="345">
        <f t="shared" si="174"/>
        <v>0.29999999999999716</v>
      </c>
      <c r="CV106" s="345">
        <f t="shared" ca="1" si="191"/>
        <v>1.6499999999999939</v>
      </c>
      <c r="CW106" s="347">
        <f t="shared" ca="1" si="175"/>
        <v>58.097000618429185</v>
      </c>
      <c r="CX106" s="483">
        <v>0.17699999999999999</v>
      </c>
      <c r="CY106" s="190">
        <f t="shared" si="148"/>
        <v>-2.9999999999902327E-4</v>
      </c>
      <c r="CZ106" s="190">
        <f t="shared" ca="1" si="180"/>
        <v>-0.03</v>
      </c>
      <c r="DA106" s="354">
        <f t="shared" ca="1" si="149"/>
        <v>0.14729999999999902</v>
      </c>
      <c r="DB106" s="483">
        <v>0.17699999999999999</v>
      </c>
      <c r="DC106" s="190">
        <f t="shared" si="150"/>
        <v>-2.9999999999902327E-4</v>
      </c>
      <c r="DD106" s="190">
        <f t="shared" ca="1" si="181"/>
        <v>0.03</v>
      </c>
      <c r="DE106" s="354">
        <f t="shared" ca="1" si="151"/>
        <v>0.20729999999999901</v>
      </c>
      <c r="DG106" s="341"/>
      <c r="DH106" s="114"/>
      <c r="DI106" s="126">
        <f t="shared" ca="1" si="176"/>
        <v>-20.014285714285716</v>
      </c>
      <c r="DJ106" s="126">
        <f t="shared" ca="1" si="124"/>
        <v>-2</v>
      </c>
      <c r="DK106" s="356">
        <f t="shared" ca="1" si="125"/>
        <v>18.014285714285716</v>
      </c>
      <c r="DL106" s="114"/>
      <c r="DM106" s="126">
        <f t="shared" ca="1" si="177"/>
        <v>-20.014285714285716</v>
      </c>
      <c r="DN106" s="126">
        <f t="shared" ca="1" si="152"/>
        <v>-3</v>
      </c>
      <c r="DO106" s="356">
        <f t="shared" ca="1" si="126"/>
        <v>17.014285714285716</v>
      </c>
      <c r="DP106" s="114"/>
      <c r="DQ106" s="126">
        <f t="shared" ca="1" si="178"/>
        <v>-20.014285714285716</v>
      </c>
      <c r="DR106" s="126">
        <f t="shared" ca="1" si="153"/>
        <v>-6</v>
      </c>
      <c r="DS106" s="356">
        <f t="shared" ca="1" si="127"/>
        <v>14.014285714285716</v>
      </c>
      <c r="DT106" s="114"/>
      <c r="DU106" s="126">
        <f t="shared" ca="1" si="179"/>
        <v>-20.014285714285716</v>
      </c>
      <c r="DV106" s="126">
        <f t="shared" ca="1" si="154"/>
        <v>-5</v>
      </c>
      <c r="DW106" s="356">
        <f t="shared" ca="1" si="128"/>
        <v>15.014285714285716</v>
      </c>
    </row>
    <row r="107" spans="2:127" x14ac:dyDescent="0.25">
      <c r="B107" s="396">
        <v>38808</v>
      </c>
      <c r="C107" s="400">
        <v>38796</v>
      </c>
      <c r="I107" s="136">
        <f t="shared" ca="1" si="205"/>
        <v>40057</v>
      </c>
      <c r="J107" s="131">
        <f t="shared" ca="1" si="130"/>
        <v>40046</v>
      </c>
      <c r="K107" s="106">
        <f t="shared" ca="1" si="206"/>
        <v>0.63636363636363635</v>
      </c>
      <c r="L107" s="133">
        <f t="shared" ca="1" si="193"/>
        <v>109</v>
      </c>
      <c r="M107" s="134">
        <f t="shared" ca="1" si="194"/>
        <v>9</v>
      </c>
      <c r="N107" s="103">
        <f t="shared" ca="1" si="197"/>
        <v>22</v>
      </c>
      <c r="O107" s="104">
        <f t="shared" ca="1" si="132"/>
        <v>3097</v>
      </c>
      <c r="P107" s="105">
        <f t="shared" ca="1" si="195"/>
        <v>8.4955509924709105</v>
      </c>
      <c r="Q107" s="105">
        <f t="shared" ca="1" si="196"/>
        <v>8.5749486652977414</v>
      </c>
      <c r="R107" s="114">
        <v>20</v>
      </c>
      <c r="S107" s="198">
        <v>0</v>
      </c>
      <c r="T107" s="189">
        <f t="shared" si="133"/>
        <v>20</v>
      </c>
      <c r="U107" s="199">
        <f t="shared" ca="1" si="198"/>
        <v>20.06818181818182</v>
      </c>
      <c r="V107" s="379">
        <f t="shared" ca="1" si="199"/>
        <v>20.06818181818182</v>
      </c>
      <c r="W107" s="483">
        <v>0.17689999999999903</v>
      </c>
      <c r="X107" s="166" t="str">
        <f t="shared" ca="1" si="200"/>
        <v/>
      </c>
      <c r="Y107" s="91">
        <f t="shared" ca="1" si="208"/>
        <v>1.6943886804214468E-3</v>
      </c>
      <c r="Z107" s="91">
        <f t="shared" ca="1" si="209"/>
        <v>6.0407504159543741E-4</v>
      </c>
      <c r="AA107" s="91">
        <f t="shared" ca="1" si="210"/>
        <v>2.1898737809528457E-4</v>
      </c>
      <c r="AB107" s="91">
        <f t="shared" ca="1" si="211"/>
        <v>4.9333476537306701E-4</v>
      </c>
      <c r="AC107" s="91">
        <f t="shared" ca="1" si="212"/>
        <v>1.3608602537062708E-3</v>
      </c>
      <c r="AD107" s="91">
        <f t="shared" ca="1" si="213"/>
        <v>3.8171188192533618E-3</v>
      </c>
      <c r="AE107" s="124">
        <v>7.3638673956491027E-2</v>
      </c>
      <c r="AF107" s="191">
        <f t="shared" ca="1" si="161"/>
        <v>0.53789021952016769</v>
      </c>
      <c r="AG107" s="189">
        <f t="shared" ca="1" si="207"/>
        <v>1</v>
      </c>
      <c r="AH107" s="192">
        <f t="shared" ca="1" si="201"/>
        <v>0</v>
      </c>
      <c r="AI107" s="192">
        <f t="shared" ca="1" si="202"/>
        <v>0</v>
      </c>
      <c r="AJ107" s="192">
        <f t="shared" ca="1" si="203"/>
        <v>0</v>
      </c>
      <c r="AK107" s="192">
        <f t="shared" ca="1" si="204"/>
        <v>0</v>
      </c>
      <c r="AL107" s="191" t="str">
        <f t="shared" ca="1" si="162"/>
        <v/>
      </c>
      <c r="AM107" s="191" t="str">
        <f t="shared" ca="1" si="163"/>
        <v/>
      </c>
      <c r="AN107" s="191" t="str">
        <f t="shared" ca="1" si="164"/>
        <v/>
      </c>
      <c r="AO107" s="193" t="str">
        <f t="shared" ca="1" si="165"/>
        <v/>
      </c>
      <c r="AP107" s="194" t="str">
        <f t="shared" ca="1" si="135"/>
        <v/>
      </c>
      <c r="AQ107" s="194" t="str">
        <f t="shared" ca="1" si="136"/>
        <v/>
      </c>
      <c r="AR107" s="195">
        <f ca="1">IF(AH107,_xll.xASN(AL107,Strike1,AE107,AP107,0,N107,0,P107,Q107,IF(OptControl=4,0,1),0),0)</f>
        <v>0</v>
      </c>
      <c r="AS107" s="196">
        <f ca="1">IF(AH107,_xll.xASN(AL107,Strike1,AE107,AP107,0,N107,0,P107,Q107,IF(OptControl=4,0,1),1),0)</f>
        <v>0</v>
      </c>
      <c r="AT107" s="196">
        <f ca="1">IF(AH107,_xll.xASN(AL107,Strike1,AE107,AP107,0,N107,0,P107,Q107,IF(OptControl=4,0,1),2),0)</f>
        <v>0</v>
      </c>
      <c r="AU107" s="196">
        <f ca="1">IF(AH107,_xll.xASN(AL107,Strike1,AE107,AP107,0,N107,0,P107,Q107,IF(OptControl=4,0,1),3)/100,0)</f>
        <v>0</v>
      </c>
      <c r="AV107" s="196">
        <f ca="1">IF(AH107,_xll.xASN(AL107,Strike1,AE107,AP107,0,N107,0,P107-DaysForThetaCalculation/365.25,Q107-DaysForThetaCalculation/365.25,IF(OptControl=4,0,1),0)-_xll.xASN(AL107,Strike1,AE107,AP107,0,N107,0,P107,Q107,IF(OptControl=4,0,1),0),0)</f>
        <v>0</v>
      </c>
      <c r="AW107" s="196">
        <f ca="1">IF(AH107,_xll.xASN(AL107,Strike2,AE107,AQ107,0,N107,0,P107,Q107,IF(OptControl=3,1,0),0),0)</f>
        <v>0</v>
      </c>
      <c r="AX107" s="196">
        <f ca="1">IF(AH107,_xll.xASN(AL107,Strike2,AE107,AQ107,0,N107,0,P107,Q107,IF(OptControl=3,1,0),1),0)</f>
        <v>0</v>
      </c>
      <c r="AY107" s="196">
        <f ca="1">IF(AH107,_xll.xASN(AL107,Strike2,AE107,AQ107,0,N107,0,P107,Q107,IF(OptControl=3,1,0),2),0)</f>
        <v>0</v>
      </c>
      <c r="AZ107" s="196">
        <f ca="1">IF(AH107,_xll.xASN(AL107,Strike2,AE107,AQ107,0,N107,0,P107,Q107,IF(OptControl=3,1,0),3)/100,0)</f>
        <v>0</v>
      </c>
      <c r="BA107" s="196">
        <f ca="1">IF(AH107,_xll.xASN(AL107,Strike2,AE107,AQ107,0,N107,0,P107-DaysForThetaCalculation/365.25,Q107-DaysForThetaCalculation/365.25,IF(OptControl=3,1,0),0)-_xll.xASN(AL107,Strike2,AE107,AQ107,0,N107,0,P107,Q107,IF(OptControl=3,1,0),0),0)</f>
        <v>0</v>
      </c>
      <c r="BB107" s="126" t="str">
        <f t="shared" ca="1" si="166"/>
        <v/>
      </c>
      <c r="BC107" s="191" t="str">
        <f t="shared" ca="1" si="167"/>
        <v/>
      </c>
      <c r="BD107" s="191" t="str">
        <f t="shared" ca="1" si="168"/>
        <v/>
      </c>
      <c r="BE107" s="190" t="str">
        <f t="shared" ca="1" si="169"/>
        <v/>
      </c>
      <c r="BF107" s="194" t="str">
        <f t="shared" ca="1" si="170"/>
        <v/>
      </c>
      <c r="BG107" s="194" t="str">
        <f t="shared" ca="1" si="171"/>
        <v/>
      </c>
      <c r="BH107" s="195">
        <f ca="1">IF(AH107,_xll.xEURO(BB107,Strike1,AE107,AE107,BF107,O107,IF(OptControl=4,0,1),0),0)</f>
        <v>0</v>
      </c>
      <c r="BI107" s="196">
        <f ca="1">IF(AH107,_xll.xEURO(BB107,Strike1,AE107,AE107,BF107,O107,IF(OptControl=4,0,1),1),0)</f>
        <v>0</v>
      </c>
      <c r="BJ107" s="196">
        <f ca="1">IF(AH107,_xll.xEURO(BB107,Strike1,AE107,AE107,BF107,O107,IF(OptControl=4,0,1),2),0)</f>
        <v>0</v>
      </c>
      <c r="BK107" s="196">
        <f ca="1">IF(AH107,_xll.xEURO(BB107,Strike1,AE107,AE107,BF107,O107,IF(OptControl=4,0,1),3)/100,0)</f>
        <v>0</v>
      </c>
      <c r="BL107" s="196">
        <f ca="1">IF(AH107,_xll.xEURO(BB107,Strike1,AE107,AE107,BF107,O107-DaysForThetaCalculation,IF(OptControl=4,0,1),0)-_xll.xEURO(BB107,Strike1,AE107,AE107,BF107,O107,IF(OptControl=4,0,1),0),0)</f>
        <v>0</v>
      </c>
      <c r="BM107" s="196">
        <f ca="1">IF(AH107,_xll.xEURO(BB107,Strike2,AE107,AE107,BG107,O107,IF(OptControl=3,1,0),0),0)</f>
        <v>0</v>
      </c>
      <c r="BN107" s="196">
        <f ca="1">IF(AH107,_xll.xEURO(BB107,Strike2,AE107,AE107,BG107,O107,IF(OptControl=3,1,0),1),0)</f>
        <v>0</v>
      </c>
      <c r="BO107" s="196">
        <f ca="1">IF(AH107,_xll.xEURO(BB107,Strike2,AE107,AE107,BG107,O107,IF(OptControl=3,1,0),2),0)</f>
        <v>0</v>
      </c>
      <c r="BP107" s="196">
        <f ca="1">IF(AH107,_xll.xEURO(BB107,Strike2,AE107,AE107,BG107,O107,IF(OptControl=3,1,0),3)/100,0)</f>
        <v>0</v>
      </c>
      <c r="BQ107" s="197">
        <f ca="1">IF(AH107,_xll.xEURO(BB107,Strike2,AE107,AE107,BG107,O107-DaysForThetaCalculation,IF(OptControl=3,1,0),0)-_xll.xEURO(BB107,Strike2,AE107,AE107,BG107,O107,IF(OptControl=3,1,0),0),0)</f>
        <v>0</v>
      </c>
      <c r="BR107" s="301"/>
      <c r="BS107" s="114">
        <v>26.225000000000001</v>
      </c>
      <c r="BT107" s="345">
        <f t="shared" si="137"/>
        <v>62.44047619047619</v>
      </c>
      <c r="BU107" s="345">
        <f t="shared" ca="1" si="185"/>
        <v>5.1608181818181826</v>
      </c>
      <c r="BV107" s="73"/>
      <c r="BW107" s="345">
        <f t="shared" ca="1" si="182"/>
        <v>6.1490000000000045</v>
      </c>
      <c r="BX107" s="345">
        <f t="shared" ca="1" si="186"/>
        <v>64.871798284531195</v>
      </c>
      <c r="BY107" s="373">
        <f t="shared" ca="1" si="138"/>
        <v>62.42186147186149</v>
      </c>
      <c r="BZ107" s="114">
        <v>23.339000000000002</v>
      </c>
      <c r="CA107" s="345">
        <f t="shared" si="139"/>
        <v>55.569047619047623</v>
      </c>
      <c r="CB107" s="345">
        <f t="shared" ca="1" si="187"/>
        <v>3.2708181818181821</v>
      </c>
      <c r="CC107" s="345">
        <f t="shared" ca="1" si="183"/>
        <v>3.7340000000000018</v>
      </c>
      <c r="CD107" s="345">
        <f t="shared" ca="1" si="140"/>
        <v>56.671861471861476</v>
      </c>
      <c r="CE107" s="347">
        <f t="shared" ca="1" si="172"/>
        <v>-5.7500000000000142</v>
      </c>
      <c r="CF107" s="114">
        <v>22.814</v>
      </c>
      <c r="CG107" s="345">
        <f t="shared" si="141"/>
        <v>54.319047619047623</v>
      </c>
      <c r="CH107" s="345">
        <f t="shared" ca="1" si="142"/>
        <v>3.2548181818181838</v>
      </c>
      <c r="CI107" s="73"/>
      <c r="CJ107" s="345">
        <f t="shared" ca="1" si="190"/>
        <v>4.0410000000000004</v>
      </c>
      <c r="CK107" s="345">
        <f t="shared" ca="1" si="184"/>
        <v>56.447000618429193</v>
      </c>
      <c r="CL107" s="345">
        <f t="shared" ca="1" si="143"/>
        <v>57.402813852813857</v>
      </c>
      <c r="CM107" s="114">
        <v>22.399000000000001</v>
      </c>
      <c r="CN107" s="345">
        <f t="shared" si="144"/>
        <v>53.330952380952382</v>
      </c>
      <c r="CO107" s="345">
        <f t="shared" ca="1" si="145"/>
        <v>2.3308181818181808</v>
      </c>
      <c r="CP107" s="345">
        <f t="shared" ca="1" si="192"/>
        <v>3.2302857142857122</v>
      </c>
      <c r="CQ107" s="345">
        <f t="shared" ca="1" si="146"/>
        <v>55.472541743970318</v>
      </c>
      <c r="CR107" s="347">
        <f t="shared" ca="1" si="173"/>
        <v>-1.9302721088435391</v>
      </c>
      <c r="CS107" s="114">
        <v>23.449000000000002</v>
      </c>
      <c r="CT107" s="345">
        <f t="shared" si="147"/>
        <v>55.830952380952382</v>
      </c>
      <c r="CU107" s="345">
        <f t="shared" si="174"/>
        <v>0.29999999999999716</v>
      </c>
      <c r="CV107" s="345">
        <f t="shared" ca="1" si="191"/>
        <v>1.6500000000000081</v>
      </c>
      <c r="CW107" s="347">
        <f t="shared" ca="1" si="175"/>
        <v>59.052813852813863</v>
      </c>
      <c r="CX107" s="483">
        <v>0.17699999999999999</v>
      </c>
      <c r="CY107" s="190">
        <f t="shared" si="148"/>
        <v>1.0000000000096043E-4</v>
      </c>
      <c r="CZ107" s="190">
        <f t="shared" ca="1" si="180"/>
        <v>-0.03</v>
      </c>
      <c r="DA107" s="354">
        <f t="shared" ca="1" si="149"/>
        <v>0.14689999999999903</v>
      </c>
      <c r="DB107" s="483">
        <v>0.17699999999999999</v>
      </c>
      <c r="DC107" s="190">
        <f t="shared" si="150"/>
        <v>1.0000000000096043E-4</v>
      </c>
      <c r="DD107" s="190">
        <f t="shared" ca="1" si="181"/>
        <v>0.03</v>
      </c>
      <c r="DE107" s="354">
        <f t="shared" ca="1" si="151"/>
        <v>0.20689999999999903</v>
      </c>
      <c r="DG107" s="341"/>
      <c r="DH107" s="114"/>
      <c r="DI107" s="126">
        <f t="shared" ca="1" si="176"/>
        <v>-20.06818181818182</v>
      </c>
      <c r="DJ107" s="126">
        <f t="shared" ca="1" si="124"/>
        <v>-2</v>
      </c>
      <c r="DK107" s="356">
        <f t="shared" ca="1" si="125"/>
        <v>18.06818181818182</v>
      </c>
      <c r="DL107" s="114"/>
      <c r="DM107" s="126">
        <f t="shared" ca="1" si="177"/>
        <v>-20.06818181818182</v>
      </c>
      <c r="DN107" s="126">
        <f t="shared" ca="1" si="152"/>
        <v>-3</v>
      </c>
      <c r="DO107" s="356">
        <f t="shared" ca="1" si="126"/>
        <v>17.06818181818182</v>
      </c>
      <c r="DP107" s="114"/>
      <c r="DQ107" s="126">
        <f t="shared" ca="1" si="178"/>
        <v>-20.06818181818182</v>
      </c>
      <c r="DR107" s="126">
        <f t="shared" ca="1" si="153"/>
        <v>-6</v>
      </c>
      <c r="DS107" s="356">
        <f t="shared" ca="1" si="127"/>
        <v>14.06818181818182</v>
      </c>
      <c r="DT107" s="114"/>
      <c r="DU107" s="126">
        <f t="shared" ca="1" si="179"/>
        <v>-20.06818181818182</v>
      </c>
      <c r="DV107" s="126">
        <f t="shared" ca="1" si="154"/>
        <v>-5</v>
      </c>
      <c r="DW107" s="356">
        <f t="shared" ca="1" si="128"/>
        <v>15.06818181818182</v>
      </c>
    </row>
    <row r="108" spans="2:127" x14ac:dyDescent="0.25">
      <c r="B108" s="396">
        <v>38838</v>
      </c>
      <c r="C108" s="400">
        <v>38827</v>
      </c>
      <c r="I108" s="136">
        <f t="shared" ca="1" si="205"/>
        <v>40087</v>
      </c>
      <c r="J108" s="131">
        <f t="shared" ca="1" si="130"/>
        <v>40076</v>
      </c>
      <c r="K108" s="106">
        <f t="shared" ca="1" si="206"/>
        <v>0.72727272727272729</v>
      </c>
      <c r="L108" s="133">
        <f t="shared" ca="1" si="193"/>
        <v>109</v>
      </c>
      <c r="M108" s="134">
        <f t="shared" ca="1" si="194"/>
        <v>10</v>
      </c>
      <c r="N108" s="103">
        <f t="shared" ca="1" si="197"/>
        <v>22</v>
      </c>
      <c r="O108" s="104">
        <f t="shared" ca="1" si="132"/>
        <v>3127</v>
      </c>
      <c r="P108" s="105">
        <f t="shared" ca="1" si="195"/>
        <v>8.5776865160848725</v>
      </c>
      <c r="Q108" s="105">
        <f t="shared" ca="1" si="196"/>
        <v>8.6598220396988363</v>
      </c>
      <c r="R108" s="114">
        <v>20.05</v>
      </c>
      <c r="S108" s="198">
        <v>0</v>
      </c>
      <c r="T108" s="189">
        <f t="shared" si="133"/>
        <v>20.05</v>
      </c>
      <c r="U108" s="199">
        <f t="shared" ca="1" si="198"/>
        <v>20.113636363636363</v>
      </c>
      <c r="V108" s="379">
        <f t="shared" ca="1" si="199"/>
        <v>20.113636363636363</v>
      </c>
      <c r="W108" s="483">
        <v>0.17649999999999902</v>
      </c>
      <c r="X108" s="166" t="str">
        <f t="shared" ca="1" si="200"/>
        <v/>
      </c>
      <c r="Y108" s="91">
        <f t="shared" ca="1" si="208"/>
        <v>1.6581143958155839E-3</v>
      </c>
      <c r="Z108" s="91">
        <f t="shared" ca="1" si="209"/>
        <v>5.8797770491478523E-4</v>
      </c>
      <c r="AA108" s="91">
        <f t="shared" ca="1" si="210"/>
        <v>2.1258023561346304E-4</v>
      </c>
      <c r="AB108" s="91">
        <f t="shared" ca="1" si="211"/>
        <v>4.7890075479001986E-4</v>
      </c>
      <c r="AC108" s="91">
        <f t="shared" ca="1" si="212"/>
        <v>1.3245961736320969E-3</v>
      </c>
      <c r="AD108" s="91">
        <f t="shared" ca="1" si="213"/>
        <v>3.7354001108932718E-3</v>
      </c>
      <c r="AE108" s="124">
        <v>7.3646019185669015E-2</v>
      </c>
      <c r="AF108" s="191">
        <f t="shared" ca="1" si="161"/>
        <v>0.5345661511383788</v>
      </c>
      <c r="AG108" s="189">
        <f t="shared" ca="1" si="207"/>
        <v>1</v>
      </c>
      <c r="AH108" s="192">
        <f t="shared" ca="1" si="201"/>
        <v>0</v>
      </c>
      <c r="AI108" s="192">
        <f t="shared" ca="1" si="202"/>
        <v>0</v>
      </c>
      <c r="AJ108" s="192">
        <f t="shared" ca="1" si="203"/>
        <v>0</v>
      </c>
      <c r="AK108" s="192">
        <f t="shared" ca="1" si="204"/>
        <v>0</v>
      </c>
      <c r="AL108" s="191" t="str">
        <f t="shared" ca="1" si="162"/>
        <v/>
      </c>
      <c r="AM108" s="191" t="str">
        <f t="shared" ca="1" si="163"/>
        <v/>
      </c>
      <c r="AN108" s="191" t="str">
        <f t="shared" ca="1" si="164"/>
        <v/>
      </c>
      <c r="AO108" s="193" t="str">
        <f t="shared" ca="1" si="165"/>
        <v/>
      </c>
      <c r="AP108" s="194" t="str">
        <f t="shared" ca="1" si="135"/>
        <v/>
      </c>
      <c r="AQ108" s="194" t="str">
        <f t="shared" ca="1" si="136"/>
        <v/>
      </c>
      <c r="AR108" s="195">
        <f ca="1">IF(AH108,_xll.xASN(AL108,Strike1,AE108,AP108,0,N108,0,P108,Q108,IF(OptControl=4,0,1),0),0)</f>
        <v>0</v>
      </c>
      <c r="AS108" s="196">
        <f ca="1">IF(AH108,_xll.xASN(AL108,Strike1,AE108,AP108,0,N108,0,P108,Q108,IF(OptControl=4,0,1),1),0)</f>
        <v>0</v>
      </c>
      <c r="AT108" s="196">
        <f ca="1">IF(AH108,_xll.xASN(AL108,Strike1,AE108,AP108,0,N108,0,P108,Q108,IF(OptControl=4,0,1),2),0)</f>
        <v>0</v>
      </c>
      <c r="AU108" s="196">
        <f ca="1">IF(AH108,_xll.xASN(AL108,Strike1,AE108,AP108,0,N108,0,P108,Q108,IF(OptControl=4,0,1),3)/100,0)</f>
        <v>0</v>
      </c>
      <c r="AV108" s="196">
        <f ca="1">IF(AH108,_xll.xASN(AL108,Strike1,AE108,AP108,0,N108,0,P108-DaysForThetaCalculation/365.25,Q108-DaysForThetaCalculation/365.25,IF(OptControl=4,0,1),0)-_xll.xASN(AL108,Strike1,AE108,AP108,0,N108,0,P108,Q108,IF(OptControl=4,0,1),0),0)</f>
        <v>0</v>
      </c>
      <c r="AW108" s="196">
        <f ca="1">IF(AH108,_xll.xASN(AL108,Strike2,AE108,AQ108,0,N108,0,P108,Q108,IF(OptControl=3,1,0),0),0)</f>
        <v>0</v>
      </c>
      <c r="AX108" s="196">
        <f ca="1">IF(AH108,_xll.xASN(AL108,Strike2,AE108,AQ108,0,N108,0,P108,Q108,IF(OptControl=3,1,0),1),0)</f>
        <v>0</v>
      </c>
      <c r="AY108" s="196">
        <f ca="1">IF(AH108,_xll.xASN(AL108,Strike2,AE108,AQ108,0,N108,0,P108,Q108,IF(OptControl=3,1,0),2),0)</f>
        <v>0</v>
      </c>
      <c r="AZ108" s="196">
        <f ca="1">IF(AH108,_xll.xASN(AL108,Strike2,AE108,AQ108,0,N108,0,P108,Q108,IF(OptControl=3,1,0),3)/100,0)</f>
        <v>0</v>
      </c>
      <c r="BA108" s="196">
        <f ca="1">IF(AH108,_xll.xASN(AL108,Strike2,AE108,AQ108,0,N108,0,P108-DaysForThetaCalculation/365.25,Q108-DaysForThetaCalculation/365.25,IF(OptControl=3,1,0),0)-_xll.xASN(AL108,Strike2,AE108,AQ108,0,N108,0,P108,Q108,IF(OptControl=3,1,0),0),0)</f>
        <v>0</v>
      </c>
      <c r="BB108" s="126" t="str">
        <f t="shared" ca="1" si="166"/>
        <v/>
      </c>
      <c r="BC108" s="191" t="str">
        <f t="shared" ca="1" si="167"/>
        <v/>
      </c>
      <c r="BD108" s="191" t="str">
        <f t="shared" ca="1" si="168"/>
        <v/>
      </c>
      <c r="BE108" s="190" t="str">
        <f t="shared" ca="1" si="169"/>
        <v/>
      </c>
      <c r="BF108" s="194" t="str">
        <f t="shared" ca="1" si="170"/>
        <v/>
      </c>
      <c r="BG108" s="194" t="str">
        <f t="shared" ca="1" si="171"/>
        <v/>
      </c>
      <c r="BH108" s="195">
        <f ca="1">IF(AH108,_xll.xEURO(BB108,Strike1,AE108,AE108,BF108,O108,IF(OptControl=4,0,1),0),0)</f>
        <v>0</v>
      </c>
      <c r="BI108" s="196">
        <f ca="1">IF(AH108,_xll.xEURO(BB108,Strike1,AE108,AE108,BF108,O108,IF(OptControl=4,0,1),1),0)</f>
        <v>0</v>
      </c>
      <c r="BJ108" s="196">
        <f ca="1">IF(AH108,_xll.xEURO(BB108,Strike1,AE108,AE108,BF108,O108,IF(OptControl=4,0,1),2),0)</f>
        <v>0</v>
      </c>
      <c r="BK108" s="196">
        <f ca="1">IF(AH108,_xll.xEURO(BB108,Strike1,AE108,AE108,BF108,O108,IF(OptControl=4,0,1),3)/100,0)</f>
        <v>0</v>
      </c>
      <c r="BL108" s="196">
        <f ca="1">IF(AH108,_xll.xEURO(BB108,Strike1,AE108,AE108,BF108,O108-DaysForThetaCalculation,IF(OptControl=4,0,1),0)-_xll.xEURO(BB108,Strike1,AE108,AE108,BF108,O108,IF(OptControl=4,0,1),0),0)</f>
        <v>0</v>
      </c>
      <c r="BM108" s="196">
        <f ca="1">IF(AH108,_xll.xEURO(BB108,Strike2,AE108,AE108,BG108,O108,IF(OptControl=3,1,0),0),0)</f>
        <v>0</v>
      </c>
      <c r="BN108" s="196">
        <f ca="1">IF(AH108,_xll.xEURO(BB108,Strike2,AE108,AE108,BG108,O108,IF(OptControl=3,1,0),1),0)</f>
        <v>0</v>
      </c>
      <c r="BO108" s="196">
        <f ca="1">IF(AH108,_xll.xEURO(BB108,Strike2,AE108,AE108,BG108,O108,IF(OptControl=3,1,0),2),0)</f>
        <v>0</v>
      </c>
      <c r="BP108" s="196">
        <f ca="1">IF(AH108,_xll.xEURO(BB108,Strike2,AE108,AE108,BG108,O108,IF(OptControl=3,1,0),3)/100,0)</f>
        <v>0</v>
      </c>
      <c r="BQ108" s="197">
        <f ca="1">IF(AH108,_xll.xEURO(BB108,Strike2,AE108,AE108,BG108,O108-DaysForThetaCalculation,IF(OptControl=3,1,0),0)-_xll.xEURO(BB108,Strike2,AE108,AE108,BG108,O108,IF(OptControl=3,1,0),0),0)</f>
        <v>0</v>
      </c>
      <c r="BR108" s="301"/>
      <c r="BS108" s="114">
        <v>25.229000000000003</v>
      </c>
      <c r="BT108" s="345">
        <f t="shared" si="137"/>
        <v>60.069047619047623</v>
      </c>
      <c r="BU108" s="345">
        <f t="shared" ca="1" si="185"/>
        <v>4.7543636363636388</v>
      </c>
      <c r="BV108" s="73"/>
      <c r="BW108" s="345">
        <f t="shared" ca="1" si="182"/>
        <v>5.741782608695658</v>
      </c>
      <c r="BX108" s="345">
        <f t="shared" ca="1" si="186"/>
        <v>62.42186147186149</v>
      </c>
      <c r="BY108" s="373">
        <f t="shared" ca="1" si="138"/>
        <v>61.56052136269529</v>
      </c>
      <c r="BZ108" s="114">
        <v>22.558000000000003</v>
      </c>
      <c r="CA108" s="345">
        <f t="shared" si="139"/>
        <v>53.709523809523816</v>
      </c>
      <c r="CB108" s="345">
        <f t="shared" ca="1" si="187"/>
        <v>2.4443636363636401</v>
      </c>
      <c r="CC108" s="345">
        <f t="shared" ca="1" si="183"/>
        <v>3.4317826086956558</v>
      </c>
      <c r="CD108" s="345">
        <f t="shared" ca="1" si="140"/>
        <v>56.060521362695283</v>
      </c>
      <c r="CE108" s="347">
        <f t="shared" ca="1" si="172"/>
        <v>-5.5000000000000071</v>
      </c>
      <c r="CF108" s="114">
        <v>23.323000000000004</v>
      </c>
      <c r="CG108" s="345">
        <f t="shared" si="141"/>
        <v>55.530952380952385</v>
      </c>
      <c r="CH108" s="345">
        <f t="shared" ca="1" si="142"/>
        <v>3.8093636363636385</v>
      </c>
      <c r="CI108" s="73"/>
      <c r="CJ108" s="345">
        <f t="shared" ca="1" si="190"/>
        <v>4.5997826086956533</v>
      </c>
      <c r="CK108" s="345">
        <f t="shared" ca="1" si="184"/>
        <v>57.402813852813857</v>
      </c>
      <c r="CL108" s="345">
        <f t="shared" ca="1" si="143"/>
        <v>58.841473743647654</v>
      </c>
      <c r="CM108" s="114">
        <v>22.684000000000001</v>
      </c>
      <c r="CN108" s="345">
        <f t="shared" si="144"/>
        <v>54.009523809523813</v>
      </c>
      <c r="CO108" s="345">
        <f t="shared" ca="1" si="145"/>
        <v>2.5703636363636377</v>
      </c>
      <c r="CP108" s="345">
        <f t="shared" ca="1" si="192"/>
        <v>3.4027826086956523</v>
      </c>
      <c r="CQ108" s="345">
        <f t="shared" ca="1" si="146"/>
        <v>55.99147374364766</v>
      </c>
      <c r="CR108" s="347">
        <f t="shared" ca="1" si="173"/>
        <v>-2.8499999999999943</v>
      </c>
      <c r="CS108" s="114">
        <v>24.049000000000003</v>
      </c>
      <c r="CT108" s="345">
        <f t="shared" si="147"/>
        <v>57.259523809523813</v>
      </c>
      <c r="CU108" s="345">
        <f t="shared" si="174"/>
        <v>0.29999999999999716</v>
      </c>
      <c r="CV108" s="345">
        <f t="shared" ca="1" si="191"/>
        <v>1.800000000000008</v>
      </c>
      <c r="CW108" s="347">
        <f t="shared" ca="1" si="175"/>
        <v>60.641473743647666</v>
      </c>
      <c r="CX108" s="483">
        <v>0.17699999999999999</v>
      </c>
      <c r="CY108" s="190">
        <f t="shared" si="148"/>
        <v>5.0000000000097189E-4</v>
      </c>
      <c r="CZ108" s="190">
        <f t="shared" ca="1" si="180"/>
        <v>-0.03</v>
      </c>
      <c r="DA108" s="354">
        <f t="shared" ca="1" si="149"/>
        <v>0.14649999999999902</v>
      </c>
      <c r="DB108" s="483">
        <v>0.17600000000000002</v>
      </c>
      <c r="DC108" s="190">
        <f t="shared" si="150"/>
        <v>-4.9999999999900124E-4</v>
      </c>
      <c r="DD108" s="190">
        <f t="shared" ca="1" si="181"/>
        <v>0.03</v>
      </c>
      <c r="DE108" s="354">
        <f t="shared" ca="1" si="151"/>
        <v>0.20649999999999902</v>
      </c>
      <c r="DG108" s="341"/>
      <c r="DH108" s="114"/>
      <c r="DI108" s="126">
        <f t="shared" ca="1" si="176"/>
        <v>-20.113636363636363</v>
      </c>
      <c r="DJ108" s="126">
        <f t="shared" ca="1" si="124"/>
        <v>-2</v>
      </c>
      <c r="DK108" s="356">
        <f t="shared" ca="1" si="125"/>
        <v>18.113636363636363</v>
      </c>
      <c r="DL108" s="114"/>
      <c r="DM108" s="126">
        <f t="shared" ca="1" si="177"/>
        <v>-20.113636363636363</v>
      </c>
      <c r="DN108" s="126">
        <f t="shared" ca="1" si="152"/>
        <v>-3</v>
      </c>
      <c r="DO108" s="356">
        <f t="shared" ca="1" si="126"/>
        <v>17.113636363636363</v>
      </c>
      <c r="DP108" s="114"/>
      <c r="DQ108" s="126">
        <f t="shared" ca="1" si="178"/>
        <v>-20.113636363636363</v>
      </c>
      <c r="DR108" s="126">
        <f t="shared" ca="1" si="153"/>
        <v>-6</v>
      </c>
      <c r="DS108" s="356">
        <f t="shared" ca="1" si="127"/>
        <v>14.113636363636363</v>
      </c>
      <c r="DT108" s="114"/>
      <c r="DU108" s="126">
        <f t="shared" ca="1" si="179"/>
        <v>-20.113636363636363</v>
      </c>
      <c r="DV108" s="126">
        <f t="shared" ca="1" si="154"/>
        <v>-5</v>
      </c>
      <c r="DW108" s="356">
        <f t="shared" ca="1" si="128"/>
        <v>15.113636363636363</v>
      </c>
    </row>
    <row r="109" spans="2:127" x14ac:dyDescent="0.25">
      <c r="B109" s="396">
        <v>38869</v>
      </c>
      <c r="C109" s="400">
        <v>38859</v>
      </c>
      <c r="I109" s="136">
        <f t="shared" ca="1" si="205"/>
        <v>40118</v>
      </c>
      <c r="J109" s="131">
        <f t="shared" ca="1" si="130"/>
        <v>40108</v>
      </c>
      <c r="K109" s="106">
        <f t="shared" ca="1" si="206"/>
        <v>0.66666666666666663</v>
      </c>
      <c r="L109" s="133">
        <f t="shared" ca="1" si="193"/>
        <v>109</v>
      </c>
      <c r="M109" s="134">
        <f t="shared" ca="1" si="194"/>
        <v>11</v>
      </c>
      <c r="N109" s="103">
        <f t="shared" ca="1" si="197"/>
        <v>21</v>
      </c>
      <c r="O109" s="104">
        <f t="shared" ca="1" si="132"/>
        <v>3159</v>
      </c>
      <c r="P109" s="105">
        <f t="shared" ca="1" si="195"/>
        <v>8.6625598904859693</v>
      </c>
      <c r="Q109" s="105">
        <f t="shared" ca="1" si="196"/>
        <v>8.7419575633128002</v>
      </c>
      <c r="R109" s="114">
        <v>20.100000000000001</v>
      </c>
      <c r="S109" s="198">
        <v>0</v>
      </c>
      <c r="T109" s="189">
        <f t="shared" si="133"/>
        <v>20.100000000000001</v>
      </c>
      <c r="U109" s="199">
        <f t="shared" ca="1" si="198"/>
        <v>20.166666666666664</v>
      </c>
      <c r="V109" s="379">
        <f t="shared" ca="1" si="199"/>
        <v>20.166666666666664</v>
      </c>
      <c r="W109" s="483">
        <v>0.17609999999999904</v>
      </c>
      <c r="X109" s="166" t="str">
        <f t="shared" ca="1" si="200"/>
        <v/>
      </c>
      <c r="Y109" s="91">
        <f t="shared" ca="1" si="208"/>
        <v>1.6226166884725837E-3</v>
      </c>
      <c r="Z109" s="91">
        <f t="shared" ca="1" si="209"/>
        <v>5.723093285956237E-4</v>
      </c>
      <c r="AA109" s="91">
        <f t="shared" ca="1" si="210"/>
        <v>2.0636055359232844E-4</v>
      </c>
      <c r="AB109" s="91">
        <f t="shared" ca="1" si="211"/>
        <v>4.6488905513280816E-4</v>
      </c>
      <c r="AC109" s="91">
        <f t="shared" ca="1" si="212"/>
        <v>1.2892984554602892E-3</v>
      </c>
      <c r="AD109" s="91">
        <f t="shared" ca="1" si="213"/>
        <v>3.6554308757909587E-3</v>
      </c>
      <c r="AE109" s="124">
        <v>7.3653609255838012E-2</v>
      </c>
      <c r="AF109" s="191">
        <f t="shared" ca="1" si="161"/>
        <v>0.53136610416292906</v>
      </c>
      <c r="AG109" s="189">
        <f t="shared" ca="1" si="207"/>
        <v>1</v>
      </c>
      <c r="AH109" s="192">
        <f t="shared" ca="1" si="201"/>
        <v>0</v>
      </c>
      <c r="AI109" s="192">
        <f t="shared" ca="1" si="202"/>
        <v>0</v>
      </c>
      <c r="AJ109" s="192">
        <f t="shared" ca="1" si="203"/>
        <v>0</v>
      </c>
      <c r="AK109" s="192">
        <f t="shared" ca="1" si="204"/>
        <v>0</v>
      </c>
      <c r="AL109" s="191" t="str">
        <f t="shared" ca="1" si="162"/>
        <v/>
      </c>
      <c r="AM109" s="191" t="str">
        <f t="shared" ca="1" si="163"/>
        <v/>
      </c>
      <c r="AN109" s="191" t="str">
        <f t="shared" ca="1" si="164"/>
        <v/>
      </c>
      <c r="AO109" s="193" t="str">
        <f t="shared" ca="1" si="165"/>
        <v/>
      </c>
      <c r="AP109" s="194" t="str">
        <f t="shared" ca="1" si="135"/>
        <v/>
      </c>
      <c r="AQ109" s="194" t="str">
        <f t="shared" ca="1" si="136"/>
        <v/>
      </c>
      <c r="AR109" s="195">
        <f ca="1">IF(AH109,_xll.xASN(AL109,Strike1,AE109,AP109,0,N109,0,P109,Q109,IF(OptControl=4,0,1),0),0)</f>
        <v>0</v>
      </c>
      <c r="AS109" s="196">
        <f ca="1">IF(AH109,_xll.xASN(AL109,Strike1,AE109,AP109,0,N109,0,P109,Q109,IF(OptControl=4,0,1),1),0)</f>
        <v>0</v>
      </c>
      <c r="AT109" s="196">
        <f ca="1">IF(AH109,_xll.xASN(AL109,Strike1,AE109,AP109,0,N109,0,P109,Q109,IF(OptControl=4,0,1),2),0)</f>
        <v>0</v>
      </c>
      <c r="AU109" s="196">
        <f ca="1">IF(AH109,_xll.xASN(AL109,Strike1,AE109,AP109,0,N109,0,P109,Q109,IF(OptControl=4,0,1),3)/100,0)</f>
        <v>0</v>
      </c>
      <c r="AV109" s="196">
        <f ca="1">IF(AH109,_xll.xASN(AL109,Strike1,AE109,AP109,0,N109,0,P109-DaysForThetaCalculation/365.25,Q109-DaysForThetaCalculation/365.25,IF(OptControl=4,0,1),0)-_xll.xASN(AL109,Strike1,AE109,AP109,0,N109,0,P109,Q109,IF(OptControl=4,0,1),0),0)</f>
        <v>0</v>
      </c>
      <c r="AW109" s="196">
        <f ca="1">IF(AH109,_xll.xASN(AL109,Strike2,AE109,AQ109,0,N109,0,P109,Q109,IF(OptControl=3,1,0),0),0)</f>
        <v>0</v>
      </c>
      <c r="AX109" s="196">
        <f ca="1">IF(AH109,_xll.xASN(AL109,Strike2,AE109,AQ109,0,N109,0,P109,Q109,IF(OptControl=3,1,0),1),0)</f>
        <v>0</v>
      </c>
      <c r="AY109" s="196">
        <f ca="1">IF(AH109,_xll.xASN(AL109,Strike2,AE109,AQ109,0,N109,0,P109,Q109,IF(OptControl=3,1,0),2),0)</f>
        <v>0</v>
      </c>
      <c r="AZ109" s="196">
        <f ca="1">IF(AH109,_xll.xASN(AL109,Strike2,AE109,AQ109,0,N109,0,P109,Q109,IF(OptControl=3,1,0),3)/100,0)</f>
        <v>0</v>
      </c>
      <c r="BA109" s="196">
        <f ca="1">IF(AH109,_xll.xASN(AL109,Strike2,AE109,AQ109,0,N109,0,P109-DaysForThetaCalculation/365.25,Q109-DaysForThetaCalculation/365.25,IF(OptControl=3,1,0),0)-_xll.xASN(AL109,Strike2,AE109,AQ109,0,N109,0,P109,Q109,IF(OptControl=3,1,0),0),0)</f>
        <v>0</v>
      </c>
      <c r="BB109" s="126" t="str">
        <f t="shared" ca="1" si="166"/>
        <v/>
      </c>
      <c r="BC109" s="191" t="str">
        <f t="shared" ca="1" si="167"/>
        <v/>
      </c>
      <c r="BD109" s="191" t="str">
        <f t="shared" ca="1" si="168"/>
        <v/>
      </c>
      <c r="BE109" s="190" t="str">
        <f t="shared" ca="1" si="169"/>
        <v/>
      </c>
      <c r="BF109" s="194" t="str">
        <f t="shared" ca="1" si="170"/>
        <v/>
      </c>
      <c r="BG109" s="194" t="str">
        <f t="shared" ca="1" si="171"/>
        <v/>
      </c>
      <c r="BH109" s="195">
        <f ca="1">IF(AH109,_xll.xEURO(BB109,Strike1,AE109,AE109,BF109,O109,IF(OptControl=4,0,1),0),0)</f>
        <v>0</v>
      </c>
      <c r="BI109" s="196">
        <f ca="1">IF(AH109,_xll.xEURO(BB109,Strike1,AE109,AE109,BF109,O109,IF(OptControl=4,0,1),1),0)</f>
        <v>0</v>
      </c>
      <c r="BJ109" s="196">
        <f ca="1">IF(AH109,_xll.xEURO(BB109,Strike1,AE109,AE109,BF109,O109,IF(OptControl=4,0,1),2),0)</f>
        <v>0</v>
      </c>
      <c r="BK109" s="196">
        <f ca="1">IF(AH109,_xll.xEURO(BB109,Strike1,AE109,AE109,BF109,O109,IF(OptControl=4,0,1),3)/100,0)</f>
        <v>0</v>
      </c>
      <c r="BL109" s="196">
        <f ca="1">IF(AH109,_xll.xEURO(BB109,Strike1,AE109,AE109,BF109,O109-DaysForThetaCalculation,IF(OptControl=4,0,1),0)-_xll.xEURO(BB109,Strike1,AE109,AE109,BF109,O109,IF(OptControl=4,0,1),0),0)</f>
        <v>0</v>
      </c>
      <c r="BM109" s="196">
        <f ca="1">IF(AH109,_xll.xEURO(BB109,Strike2,AE109,AE109,BG109,O109,IF(OptControl=3,1,0),0),0)</f>
        <v>0</v>
      </c>
      <c r="BN109" s="196">
        <f ca="1">IF(AH109,_xll.xEURO(BB109,Strike2,AE109,AE109,BG109,O109,IF(OptControl=3,1,0),1),0)</f>
        <v>0</v>
      </c>
      <c r="BO109" s="196">
        <f ca="1">IF(AH109,_xll.xEURO(BB109,Strike2,AE109,AE109,BG109,O109,IF(OptControl=3,1,0),2),0)</f>
        <v>0</v>
      </c>
      <c r="BP109" s="196">
        <f ca="1">IF(AH109,_xll.xEURO(BB109,Strike2,AE109,AE109,BG109,O109,IF(OptControl=3,1,0),3)/100,0)</f>
        <v>0</v>
      </c>
      <c r="BQ109" s="197">
        <f ca="1">IF(AH109,_xll.xEURO(BB109,Strike2,AE109,AE109,BG109,O109-DaysForThetaCalculation,IF(OptControl=3,1,0),0)-_xll.xEURO(BB109,Strike2,AE109,AE109,BG109,O109,IF(OptControl=3,1,0),0),0)</f>
        <v>0</v>
      </c>
      <c r="BR109" s="301"/>
      <c r="BS109" s="114">
        <v>24.868000000000002</v>
      </c>
      <c r="BT109" s="345">
        <f t="shared" si="137"/>
        <v>59.209523809523816</v>
      </c>
      <c r="BU109" s="345">
        <f t="shared" ca="1" si="185"/>
        <v>4.592333333333336</v>
      </c>
      <c r="BV109" s="73"/>
      <c r="BW109" s="345">
        <f t="shared" ca="1" si="182"/>
        <v>5.5944545454545533</v>
      </c>
      <c r="BX109" s="345">
        <f t="shared" ca="1" si="186"/>
        <v>61.56052136269529</v>
      </c>
      <c r="BY109" s="373">
        <f t="shared" ca="1" si="138"/>
        <v>61.336002886002895</v>
      </c>
      <c r="BZ109" s="114">
        <v>22.449000000000002</v>
      </c>
      <c r="CA109" s="345">
        <f t="shared" si="139"/>
        <v>53.45</v>
      </c>
      <c r="CB109" s="345">
        <f t="shared" ca="1" si="187"/>
        <v>2.2823333333333373</v>
      </c>
      <c r="CC109" s="345">
        <f t="shared" ca="1" si="183"/>
        <v>3.2844545454545475</v>
      </c>
      <c r="CD109" s="345">
        <f t="shared" ca="1" si="140"/>
        <v>55.836002886002881</v>
      </c>
      <c r="CE109" s="347">
        <f t="shared" ca="1" si="172"/>
        <v>-5.5000000000000142</v>
      </c>
      <c r="CF109" s="114">
        <v>23.923000000000002</v>
      </c>
      <c r="CG109" s="345">
        <f t="shared" si="141"/>
        <v>56.959523809523816</v>
      </c>
      <c r="CH109" s="345">
        <f t="shared" ca="1" si="142"/>
        <v>4.3653333333333393</v>
      </c>
      <c r="CI109" s="73"/>
      <c r="CJ109" s="345">
        <f t="shared" ca="1" si="190"/>
        <v>5.166454545454549</v>
      </c>
      <c r="CK109" s="345">
        <f t="shared" ca="1" si="184"/>
        <v>58.841473743647654</v>
      </c>
      <c r="CL109" s="345">
        <f t="shared" ca="1" si="143"/>
        <v>60.316955266955269</v>
      </c>
      <c r="CM109" s="114">
        <v>23.293000000000003</v>
      </c>
      <c r="CN109" s="345">
        <f t="shared" si="144"/>
        <v>55.459523809523816</v>
      </c>
      <c r="CO109" s="345">
        <f t="shared" ca="1" si="145"/>
        <v>3.1263333333333385</v>
      </c>
      <c r="CP109" s="345">
        <f t="shared" ca="1" si="192"/>
        <v>3.9694545454545498</v>
      </c>
      <c r="CQ109" s="345">
        <f t="shared" ca="1" si="146"/>
        <v>57.466955266955274</v>
      </c>
      <c r="CR109" s="347">
        <f t="shared" ca="1" si="173"/>
        <v>-2.8499999999999943</v>
      </c>
      <c r="CS109" s="114">
        <v>24.658000000000001</v>
      </c>
      <c r="CT109" s="345">
        <f t="shared" si="147"/>
        <v>58.709523809523816</v>
      </c>
      <c r="CU109" s="345">
        <f t="shared" si="174"/>
        <v>0.29999999999999716</v>
      </c>
      <c r="CV109" s="345">
        <f t="shared" ca="1" si="191"/>
        <v>1.800000000000008</v>
      </c>
      <c r="CW109" s="347">
        <f t="shared" ca="1" si="175"/>
        <v>62.11695526695528</v>
      </c>
      <c r="CX109" s="483">
        <v>0.17600000000000002</v>
      </c>
      <c r="CY109" s="190">
        <f t="shared" si="148"/>
        <v>-9.9999999999017541E-5</v>
      </c>
      <c r="CZ109" s="190">
        <f t="shared" ca="1" si="180"/>
        <v>-0.03</v>
      </c>
      <c r="DA109" s="354">
        <f t="shared" ca="1" si="149"/>
        <v>0.14609999999999904</v>
      </c>
      <c r="DB109" s="483">
        <v>0.17600000000000002</v>
      </c>
      <c r="DC109" s="190">
        <f t="shared" si="150"/>
        <v>-9.9999999999017541E-5</v>
      </c>
      <c r="DD109" s="190">
        <f t="shared" ca="1" si="181"/>
        <v>0.03</v>
      </c>
      <c r="DE109" s="354">
        <f t="shared" ca="1" si="151"/>
        <v>0.20609999999999903</v>
      </c>
      <c r="DG109" s="341"/>
      <c r="DH109" s="114"/>
      <c r="DI109" s="126">
        <f t="shared" ca="1" si="176"/>
        <v>-20.166666666666664</v>
      </c>
      <c r="DJ109" s="126">
        <f t="shared" ca="1" si="124"/>
        <v>-2</v>
      </c>
      <c r="DK109" s="356">
        <f t="shared" ca="1" si="125"/>
        <v>18.166666666666664</v>
      </c>
      <c r="DL109" s="114"/>
      <c r="DM109" s="126">
        <f t="shared" ca="1" si="177"/>
        <v>-20.166666666666664</v>
      </c>
      <c r="DN109" s="126">
        <f t="shared" ca="1" si="152"/>
        <v>-3</v>
      </c>
      <c r="DO109" s="356">
        <f t="shared" ca="1" si="126"/>
        <v>17.166666666666664</v>
      </c>
      <c r="DP109" s="114"/>
      <c r="DQ109" s="126">
        <f t="shared" ca="1" si="178"/>
        <v>-20.166666666666664</v>
      </c>
      <c r="DR109" s="126">
        <f t="shared" ca="1" si="153"/>
        <v>-6</v>
      </c>
      <c r="DS109" s="356">
        <f t="shared" ca="1" si="127"/>
        <v>14.166666666666664</v>
      </c>
      <c r="DT109" s="114"/>
      <c r="DU109" s="126">
        <f t="shared" ca="1" si="179"/>
        <v>-20.166666666666664</v>
      </c>
      <c r="DV109" s="126">
        <f t="shared" ca="1" si="154"/>
        <v>-5</v>
      </c>
      <c r="DW109" s="356">
        <f t="shared" ca="1" si="128"/>
        <v>15.166666666666664</v>
      </c>
    </row>
    <row r="110" spans="2:127" x14ac:dyDescent="0.25">
      <c r="B110" s="396">
        <v>38899</v>
      </c>
      <c r="C110" s="400">
        <v>38888</v>
      </c>
      <c r="I110" s="136">
        <f t="shared" ca="1" si="205"/>
        <v>40148</v>
      </c>
      <c r="J110" s="131">
        <f t="shared" ca="1" si="130"/>
        <v>40136</v>
      </c>
      <c r="K110" s="106">
        <f t="shared" ca="1" si="206"/>
        <v>0.60869565217391308</v>
      </c>
      <c r="L110" s="133">
        <f t="shared" ca="1" si="193"/>
        <v>109</v>
      </c>
      <c r="M110" s="134">
        <f t="shared" ca="1" si="194"/>
        <v>12</v>
      </c>
      <c r="N110" s="103">
        <f t="shared" ca="1" si="197"/>
        <v>23</v>
      </c>
      <c r="O110" s="104">
        <f t="shared" ca="1" si="132"/>
        <v>3188</v>
      </c>
      <c r="P110" s="105">
        <f t="shared" ca="1" si="195"/>
        <v>8.7446954140999313</v>
      </c>
      <c r="Q110" s="105">
        <f t="shared" ca="1" si="196"/>
        <v>8.8268309377138952</v>
      </c>
      <c r="R110" s="114">
        <v>20.149999999999999</v>
      </c>
      <c r="S110" s="198">
        <v>0</v>
      </c>
      <c r="T110" s="189">
        <f t="shared" si="133"/>
        <v>20.149999999999999</v>
      </c>
      <c r="U110" s="199">
        <f t="shared" ca="1" si="198"/>
        <v>20.219565217391306</v>
      </c>
      <c r="V110" s="379">
        <f t="shared" ca="1" si="199"/>
        <v>20.219565217391306</v>
      </c>
      <c r="W110" s="483">
        <v>0.17569999999999905</v>
      </c>
      <c r="X110" s="166" t="str">
        <f t="shared" ca="1" si="200"/>
        <v/>
      </c>
      <c r="Y110" s="91">
        <f t="shared" ca="1" si="208"/>
        <v>1.587878933054366E-3</v>
      </c>
      <c r="Z110" s="91">
        <f t="shared" ca="1" si="209"/>
        <v>5.5705848174131571E-4</v>
      </c>
      <c r="AA110" s="91">
        <f t="shared" ca="1" si="210"/>
        <v>2.0032284730535553E-4</v>
      </c>
      <c r="AB110" s="91">
        <f t="shared" ca="1" si="211"/>
        <v>4.5128731040951589E-4</v>
      </c>
      <c r="AC110" s="91">
        <f t="shared" ca="1" si="212"/>
        <v>1.2549413476669036E-3</v>
      </c>
      <c r="AD110" s="91">
        <f t="shared" ca="1" si="213"/>
        <v>3.5771736603847954E-3</v>
      </c>
      <c r="AE110" s="124">
        <v>7.3660954485052998E-2</v>
      </c>
      <c r="AF110" s="191">
        <f t="shared" ca="1" si="161"/>
        <v>0.52808108349255389</v>
      </c>
      <c r="AG110" s="189">
        <f t="shared" ca="1" si="207"/>
        <v>1</v>
      </c>
      <c r="AH110" s="192">
        <f t="shared" ca="1" si="201"/>
        <v>0</v>
      </c>
      <c r="AI110" s="192">
        <f t="shared" ca="1" si="202"/>
        <v>0</v>
      </c>
      <c r="AJ110" s="192">
        <f t="shared" ca="1" si="203"/>
        <v>0</v>
      </c>
      <c r="AK110" s="192">
        <f t="shared" ca="1" si="204"/>
        <v>0</v>
      </c>
      <c r="AL110" s="191" t="str">
        <f t="shared" ca="1" si="162"/>
        <v/>
      </c>
      <c r="AM110" s="191" t="str">
        <f t="shared" ca="1" si="163"/>
        <v/>
      </c>
      <c r="AN110" s="191" t="str">
        <f t="shared" ca="1" si="164"/>
        <v/>
      </c>
      <c r="AO110" s="193" t="str">
        <f t="shared" ca="1" si="165"/>
        <v/>
      </c>
      <c r="AP110" s="194" t="str">
        <f t="shared" ca="1" si="135"/>
        <v/>
      </c>
      <c r="AQ110" s="194" t="str">
        <f t="shared" ca="1" si="136"/>
        <v/>
      </c>
      <c r="AR110" s="195">
        <f ca="1">IF(AH110,_xll.xASN(AL110,Strike1,AE110,AP110,0,N110,0,P110,Q110,IF(OptControl=4,0,1),0),0)</f>
        <v>0</v>
      </c>
      <c r="AS110" s="196">
        <f ca="1">IF(AH110,_xll.xASN(AL110,Strike1,AE110,AP110,0,N110,0,P110,Q110,IF(OptControl=4,0,1),1),0)</f>
        <v>0</v>
      </c>
      <c r="AT110" s="196">
        <f ca="1">IF(AH110,_xll.xASN(AL110,Strike1,AE110,AP110,0,N110,0,P110,Q110,IF(OptControl=4,0,1),2),0)</f>
        <v>0</v>
      </c>
      <c r="AU110" s="196">
        <f ca="1">IF(AH110,_xll.xASN(AL110,Strike1,AE110,AP110,0,N110,0,P110,Q110,IF(OptControl=4,0,1),3)/100,0)</f>
        <v>0</v>
      </c>
      <c r="AV110" s="196">
        <f ca="1">IF(AH110,_xll.xASN(AL110,Strike1,AE110,AP110,0,N110,0,P110-DaysForThetaCalculation/365.25,Q110-DaysForThetaCalculation/365.25,IF(OptControl=4,0,1),0)-_xll.xASN(AL110,Strike1,AE110,AP110,0,N110,0,P110,Q110,IF(OptControl=4,0,1),0),0)</f>
        <v>0</v>
      </c>
      <c r="AW110" s="196">
        <f ca="1">IF(AH110,_xll.xASN(AL110,Strike2,AE110,AQ110,0,N110,0,P110,Q110,IF(OptControl=3,1,0),0),0)</f>
        <v>0</v>
      </c>
      <c r="AX110" s="196">
        <f ca="1">IF(AH110,_xll.xASN(AL110,Strike2,AE110,AQ110,0,N110,0,P110,Q110,IF(OptControl=3,1,0),1),0)</f>
        <v>0</v>
      </c>
      <c r="AY110" s="196">
        <f ca="1">IF(AH110,_xll.xASN(AL110,Strike2,AE110,AQ110,0,N110,0,P110,Q110,IF(OptControl=3,1,0),2),0)</f>
        <v>0</v>
      </c>
      <c r="AZ110" s="196">
        <f ca="1">IF(AH110,_xll.xASN(AL110,Strike2,AE110,AQ110,0,N110,0,P110,Q110,IF(OptControl=3,1,0),3)/100,0)</f>
        <v>0</v>
      </c>
      <c r="BA110" s="196">
        <f ca="1">IF(AH110,_xll.xASN(AL110,Strike2,AE110,AQ110,0,N110,0,P110-DaysForThetaCalculation/365.25,Q110-DaysForThetaCalculation/365.25,IF(OptControl=3,1,0),0)-_xll.xASN(AL110,Strike2,AE110,AQ110,0,N110,0,P110,Q110,IF(OptControl=3,1,0),0),0)</f>
        <v>0</v>
      </c>
      <c r="BB110" s="126" t="str">
        <f t="shared" ca="1" si="166"/>
        <v/>
      </c>
      <c r="BC110" s="191" t="str">
        <f t="shared" ca="1" si="167"/>
        <v/>
      </c>
      <c r="BD110" s="191" t="str">
        <f t="shared" ca="1" si="168"/>
        <v/>
      </c>
      <c r="BE110" s="190" t="str">
        <f t="shared" ca="1" si="169"/>
        <v/>
      </c>
      <c r="BF110" s="194" t="str">
        <f t="shared" ca="1" si="170"/>
        <v/>
      </c>
      <c r="BG110" s="194" t="str">
        <f t="shared" ca="1" si="171"/>
        <v/>
      </c>
      <c r="BH110" s="195">
        <f ca="1">IF(AH110,_xll.xEURO(BB110,Strike1,AE110,AE110,BF110,O110,IF(OptControl=4,0,1),0),0)</f>
        <v>0</v>
      </c>
      <c r="BI110" s="196">
        <f ca="1">IF(AH110,_xll.xEURO(BB110,Strike1,AE110,AE110,BF110,O110,IF(OptControl=4,0,1),1),0)</f>
        <v>0</v>
      </c>
      <c r="BJ110" s="196">
        <f ca="1">IF(AH110,_xll.xEURO(BB110,Strike1,AE110,AE110,BF110,O110,IF(OptControl=4,0,1),2),0)</f>
        <v>0</v>
      </c>
      <c r="BK110" s="196">
        <f ca="1">IF(AH110,_xll.xEURO(BB110,Strike1,AE110,AE110,BF110,O110,IF(OptControl=4,0,1),3)/100,0)</f>
        <v>0</v>
      </c>
      <c r="BL110" s="196">
        <f ca="1">IF(AH110,_xll.xEURO(BB110,Strike1,AE110,AE110,BF110,O110-DaysForThetaCalculation,IF(OptControl=4,0,1),0)-_xll.xEURO(BB110,Strike1,AE110,AE110,BF110,O110,IF(OptControl=4,0,1),0),0)</f>
        <v>0</v>
      </c>
      <c r="BM110" s="196">
        <f ca="1">IF(AH110,_xll.xEURO(BB110,Strike2,AE110,AE110,BG110,O110,IF(OptControl=3,1,0),0),0)</f>
        <v>0</v>
      </c>
      <c r="BN110" s="196">
        <f ca="1">IF(AH110,_xll.xEURO(BB110,Strike2,AE110,AE110,BG110,O110,IF(OptControl=3,1,0),1),0)</f>
        <v>0</v>
      </c>
      <c r="BO110" s="196">
        <f ca="1">IF(AH110,_xll.xEURO(BB110,Strike2,AE110,AE110,BG110,O110,IF(OptControl=3,1,0),2),0)</f>
        <v>0</v>
      </c>
      <c r="BP110" s="196">
        <f ca="1">IF(AH110,_xll.xEURO(BB110,Strike2,AE110,AE110,BG110,O110,IF(OptControl=3,1,0),3)/100,0)</f>
        <v>0</v>
      </c>
      <c r="BQ110" s="197">
        <f ca="1">IF(AH110,_xll.xEURO(BB110,Strike2,AE110,AE110,BG110,O110-DaysForThetaCalculation,IF(OptControl=3,1,0),0)-_xll.xEURO(BB110,Strike2,AE110,AE110,BG110,O110,IF(OptControl=3,1,0),0),0)</f>
        <v>0</v>
      </c>
      <c r="BR110" s="301"/>
      <c r="BS110" s="114">
        <v>24.759</v>
      </c>
      <c r="BT110" s="345">
        <f t="shared" si="137"/>
        <v>58.95</v>
      </c>
      <c r="BU110" s="345">
        <f t="shared" ca="1" si="185"/>
        <v>-20.219565217391306</v>
      </c>
      <c r="BV110" s="73"/>
      <c r="BW110" s="345">
        <f t="shared" ca="1" si="182"/>
        <v>5.7671428571428613</v>
      </c>
      <c r="BX110" s="345">
        <f t="shared" ca="1" si="186"/>
        <v>61.336002886002895</v>
      </c>
      <c r="BY110" s="373">
        <f t="shared" ca="1" si="138"/>
        <v>61.873114463176591</v>
      </c>
      <c r="BZ110" s="114">
        <v>22.663000000000004</v>
      </c>
      <c r="CA110" s="345">
        <f t="shared" si="139"/>
        <v>53.959523809523816</v>
      </c>
      <c r="CB110" s="345">
        <f t="shared" ca="1" si="187"/>
        <v>2.4434347826086977</v>
      </c>
      <c r="CC110" s="345">
        <f t="shared" ca="1" si="183"/>
        <v>3.4571428571428591</v>
      </c>
      <c r="CD110" s="345">
        <f t="shared" ca="1" si="140"/>
        <v>56.373114463176591</v>
      </c>
      <c r="CE110" s="347">
        <f t="shared" ca="1" si="172"/>
        <v>-5.5</v>
      </c>
      <c r="CF110" s="114">
        <v>24.532000000000004</v>
      </c>
      <c r="CG110" s="345">
        <f t="shared" si="141"/>
        <v>58.409523809523819</v>
      </c>
      <c r="CH110" s="345">
        <f t="shared" ca="1" si="142"/>
        <v>-20.219565217391306</v>
      </c>
      <c r="CI110" s="73"/>
      <c r="CJ110" s="345">
        <f t="shared" ca="1" si="190"/>
        <v>5.5281428571428606</v>
      </c>
      <c r="CK110" s="345">
        <f t="shared" ca="1" si="184"/>
        <v>60.316955266955269</v>
      </c>
      <c r="CL110" s="345">
        <f t="shared" ca="1" si="143"/>
        <v>61.304066844128968</v>
      </c>
      <c r="CM110" s="114">
        <v>23.692000000000004</v>
      </c>
      <c r="CN110" s="345">
        <f t="shared" si="144"/>
        <v>56.409523809523819</v>
      </c>
      <c r="CO110" s="345">
        <f t="shared" ca="1" si="145"/>
        <v>3.4724347826086976</v>
      </c>
      <c r="CP110" s="345">
        <f t="shared" ca="1" si="192"/>
        <v>4.3311428571428623</v>
      </c>
      <c r="CQ110" s="345">
        <f t="shared" ca="1" si="146"/>
        <v>58.454066844128974</v>
      </c>
      <c r="CR110" s="347">
        <f t="shared" ca="1" si="173"/>
        <v>-2.8499999999999943</v>
      </c>
      <c r="CS110" s="114">
        <v>25.057000000000002</v>
      </c>
      <c r="CT110" s="345">
        <f t="shared" si="147"/>
        <v>59.659523809523819</v>
      </c>
      <c r="CU110" s="345">
        <f t="shared" si="174"/>
        <v>59.659523809523819</v>
      </c>
      <c r="CV110" s="345">
        <f t="shared" ca="1" si="191"/>
        <v>1.800000000000008</v>
      </c>
      <c r="CW110" s="347">
        <f t="shared" ca="1" si="175"/>
        <v>63.10406684412898</v>
      </c>
      <c r="CX110" s="483">
        <v>0.17600000000000002</v>
      </c>
      <c r="CY110" s="190">
        <f t="shared" si="148"/>
        <v>3.0000000000096616E-4</v>
      </c>
      <c r="CZ110" s="190">
        <f t="shared" ca="1" si="180"/>
        <v>-0.03</v>
      </c>
      <c r="DA110" s="354">
        <f t="shared" ca="1" si="149"/>
        <v>0.14569999999999905</v>
      </c>
      <c r="DB110" s="483">
        <v>0.17600000000000002</v>
      </c>
      <c r="DC110" s="190">
        <f t="shared" si="150"/>
        <v>3.0000000000096616E-4</v>
      </c>
      <c r="DD110" s="190">
        <f t="shared" ca="1" si="181"/>
        <v>0.03</v>
      </c>
      <c r="DE110" s="354">
        <f t="shared" ca="1" si="151"/>
        <v>0.20569999999999905</v>
      </c>
      <c r="DG110" s="341"/>
      <c r="DH110" s="114"/>
      <c r="DI110" s="126">
        <f t="shared" ca="1" si="176"/>
        <v>-20.219565217391306</v>
      </c>
      <c r="DJ110" s="126">
        <f t="shared" ca="1" si="124"/>
        <v>-2</v>
      </c>
      <c r="DK110" s="356">
        <f t="shared" ca="1" si="125"/>
        <v>18.219565217391306</v>
      </c>
      <c r="DL110" s="114"/>
      <c r="DM110" s="126">
        <f t="shared" ca="1" si="177"/>
        <v>-20.219565217391306</v>
      </c>
      <c r="DN110" s="126">
        <f t="shared" ca="1" si="152"/>
        <v>-3</v>
      </c>
      <c r="DO110" s="356">
        <f t="shared" ca="1" si="126"/>
        <v>17.219565217391306</v>
      </c>
      <c r="DP110" s="114"/>
      <c r="DQ110" s="126">
        <f t="shared" ca="1" si="178"/>
        <v>-20.219565217391306</v>
      </c>
      <c r="DR110" s="126">
        <f t="shared" ca="1" si="153"/>
        <v>-6</v>
      </c>
      <c r="DS110" s="356">
        <f t="shared" ca="1" si="127"/>
        <v>14.219565217391306</v>
      </c>
      <c r="DT110" s="114"/>
      <c r="DU110" s="126">
        <f t="shared" ca="1" si="179"/>
        <v>-20.219565217391306</v>
      </c>
      <c r="DV110" s="126">
        <f t="shared" ca="1" si="154"/>
        <v>-5</v>
      </c>
      <c r="DW110" s="356">
        <f t="shared" ca="1" si="128"/>
        <v>15.219565217391306</v>
      </c>
    </row>
    <row r="111" spans="2:127" x14ac:dyDescent="0.25">
      <c r="B111" s="396">
        <v>38930</v>
      </c>
      <c r="C111" s="400">
        <v>38918</v>
      </c>
      <c r="I111" s="136">
        <f t="shared" ca="1" si="205"/>
        <v>40179</v>
      </c>
      <c r="J111" s="131">
        <f t="shared" ca="1" si="130"/>
        <v>40166</v>
      </c>
      <c r="K111" s="106">
        <f t="shared" ca="1" si="206"/>
        <v>0.76190476190476186</v>
      </c>
      <c r="L111" s="133">
        <f t="shared" ca="1" si="193"/>
        <v>110</v>
      </c>
      <c r="M111" s="134">
        <f t="shared" ca="1" si="194"/>
        <v>1</v>
      </c>
      <c r="N111" s="103">
        <f t="shared" ca="1" si="197"/>
        <v>21</v>
      </c>
      <c r="O111" s="104">
        <f t="shared" ca="1" si="132"/>
        <v>3221</v>
      </c>
      <c r="P111" s="105">
        <f t="shared" ca="1" si="195"/>
        <v>8.8295687885010263</v>
      </c>
      <c r="Q111" s="105">
        <f t="shared" ca="1" si="196"/>
        <v>8.9117043121149901</v>
      </c>
      <c r="R111" s="114">
        <v>20.2</v>
      </c>
      <c r="S111" s="198">
        <v>0</v>
      </c>
      <c r="T111" s="189">
        <f t="shared" si="133"/>
        <v>20.2</v>
      </c>
      <c r="U111" s="199">
        <f t="shared" ca="1" si="198"/>
        <v>20.261904761904759</v>
      </c>
      <c r="V111" s="379">
        <f t="shared" ca="1" si="199"/>
        <v>20.261904761904759</v>
      </c>
      <c r="W111" s="483">
        <v>0.17529999999999901</v>
      </c>
      <c r="X111" s="166" t="str">
        <f t="shared" ca="1" si="200"/>
        <v/>
      </c>
      <c r="Y111" s="91">
        <f t="shared" ca="1" si="208"/>
        <v>1.5538848601460524E-3</v>
      </c>
      <c r="Z111" s="91">
        <f t="shared" ca="1" si="209"/>
        <v>5.4221403806471627E-4</v>
      </c>
      <c r="AA111" s="91">
        <f t="shared" ca="1" si="210"/>
        <v>1.9446179249839256E-4</v>
      </c>
      <c r="AB111" s="91">
        <f t="shared" ca="1" si="211"/>
        <v>4.3808352614038991E-4</v>
      </c>
      <c r="AC111" s="91">
        <f t="shared" ca="1" si="212"/>
        <v>1.2214997849522601E-3</v>
      </c>
      <c r="AD111" s="91">
        <f t="shared" ca="1" si="213"/>
        <v>3.5005918129369443E-3</v>
      </c>
      <c r="AE111" s="124">
        <v>7.3668544555259979E-2</v>
      </c>
      <c r="AF111" s="191">
        <f t="shared" ca="1" si="161"/>
        <v>0.52481463609849277</v>
      </c>
      <c r="AG111" s="189">
        <f t="shared" ca="1" si="207"/>
        <v>1</v>
      </c>
      <c r="AH111" s="192">
        <f t="shared" ca="1" si="201"/>
        <v>0</v>
      </c>
      <c r="AI111" s="192">
        <f t="shared" ca="1" si="202"/>
        <v>0</v>
      </c>
      <c r="AJ111" s="192">
        <f t="shared" ca="1" si="203"/>
        <v>0</v>
      </c>
      <c r="AK111" s="192">
        <f t="shared" ca="1" si="204"/>
        <v>0</v>
      </c>
      <c r="AL111" s="191" t="str">
        <f t="shared" ca="1" si="162"/>
        <v/>
      </c>
      <c r="AM111" s="191" t="str">
        <f t="shared" ca="1" si="163"/>
        <v/>
      </c>
      <c r="AN111" s="191" t="str">
        <f t="shared" ca="1" si="164"/>
        <v/>
      </c>
      <c r="AO111" s="193" t="str">
        <f t="shared" ca="1" si="165"/>
        <v/>
      </c>
      <c r="AP111" s="194" t="str">
        <f t="shared" ca="1" si="135"/>
        <v/>
      </c>
      <c r="AQ111" s="194" t="str">
        <f t="shared" ca="1" si="136"/>
        <v/>
      </c>
      <c r="AR111" s="195">
        <f ca="1">IF(AH111,_xll.xASN(AL111,Strike1,AE111,AP111,0,N111,0,P111,Q111,IF(OptControl=4,0,1),0),0)</f>
        <v>0</v>
      </c>
      <c r="AS111" s="196">
        <f ca="1">IF(AH111,_xll.xASN(AL111,Strike1,AE111,AP111,0,N111,0,P111,Q111,IF(OptControl=4,0,1),1),0)</f>
        <v>0</v>
      </c>
      <c r="AT111" s="196">
        <f ca="1">IF(AH111,_xll.xASN(AL111,Strike1,AE111,AP111,0,N111,0,P111,Q111,IF(OptControl=4,0,1),2),0)</f>
        <v>0</v>
      </c>
      <c r="AU111" s="196">
        <f ca="1">IF(AH111,_xll.xASN(AL111,Strike1,AE111,AP111,0,N111,0,P111,Q111,IF(OptControl=4,0,1),3)/100,0)</f>
        <v>0</v>
      </c>
      <c r="AV111" s="196">
        <f ca="1">IF(AH111,_xll.xASN(AL111,Strike1,AE111,AP111,0,N111,0,P111-DaysForThetaCalculation/365.25,Q111-DaysForThetaCalculation/365.25,IF(OptControl=4,0,1),0)-_xll.xASN(AL111,Strike1,AE111,AP111,0,N111,0,P111,Q111,IF(OptControl=4,0,1),0),0)</f>
        <v>0</v>
      </c>
      <c r="AW111" s="196">
        <f ca="1">IF(AH111,_xll.xASN(AL111,Strike2,AE111,AQ111,0,N111,0,P111,Q111,IF(OptControl=3,1,0),0),0)</f>
        <v>0</v>
      </c>
      <c r="AX111" s="196">
        <f ca="1">IF(AH111,_xll.xASN(AL111,Strike2,AE111,AQ111,0,N111,0,P111,Q111,IF(OptControl=3,1,0),1),0)</f>
        <v>0</v>
      </c>
      <c r="AY111" s="196">
        <f ca="1">IF(AH111,_xll.xASN(AL111,Strike2,AE111,AQ111,0,N111,0,P111,Q111,IF(OptControl=3,1,0),2),0)</f>
        <v>0</v>
      </c>
      <c r="AZ111" s="196">
        <f ca="1">IF(AH111,_xll.xASN(AL111,Strike2,AE111,AQ111,0,N111,0,P111,Q111,IF(OptControl=3,1,0),3)/100,0)</f>
        <v>0</v>
      </c>
      <c r="BA111" s="196">
        <f ca="1">IF(AH111,_xll.xASN(AL111,Strike2,AE111,AQ111,0,N111,0,P111-DaysForThetaCalculation/365.25,Q111-DaysForThetaCalculation/365.25,IF(OptControl=3,1,0),0)-_xll.xASN(AL111,Strike2,AE111,AQ111,0,N111,0,P111,Q111,IF(OptControl=3,1,0),0),0)</f>
        <v>0</v>
      </c>
      <c r="BB111" s="126" t="str">
        <f t="shared" ca="1" si="166"/>
        <v/>
      </c>
      <c r="BC111" s="191" t="str">
        <f t="shared" ca="1" si="167"/>
        <v/>
      </c>
      <c r="BD111" s="191" t="str">
        <f t="shared" ca="1" si="168"/>
        <v/>
      </c>
      <c r="BE111" s="190" t="str">
        <f t="shared" ca="1" si="169"/>
        <v/>
      </c>
      <c r="BF111" s="194" t="str">
        <f t="shared" ca="1" si="170"/>
        <v/>
      </c>
      <c r="BG111" s="194" t="str">
        <f t="shared" ca="1" si="171"/>
        <v/>
      </c>
      <c r="BH111" s="195">
        <f ca="1">IF(AH111,_xll.xEURO(BB111,Strike1,AE111,AE111,BF111,O111,IF(OptControl=4,0,1),0),0)</f>
        <v>0</v>
      </c>
      <c r="BI111" s="196">
        <f ca="1">IF(AH111,_xll.xEURO(BB111,Strike1,AE111,AE111,BF111,O111,IF(OptControl=4,0,1),1),0)</f>
        <v>0</v>
      </c>
      <c r="BJ111" s="196">
        <f ca="1">IF(AH111,_xll.xEURO(BB111,Strike1,AE111,AE111,BF111,O111,IF(OptControl=4,0,1),2),0)</f>
        <v>0</v>
      </c>
      <c r="BK111" s="196">
        <f ca="1">IF(AH111,_xll.xEURO(BB111,Strike1,AE111,AE111,BF111,O111,IF(OptControl=4,0,1),3)/100,0)</f>
        <v>0</v>
      </c>
      <c r="BL111" s="196">
        <f ca="1">IF(AH111,_xll.xEURO(BB111,Strike1,AE111,AE111,BF111,O111-DaysForThetaCalculation,IF(OptControl=4,0,1),0)-_xll.xEURO(BB111,Strike1,AE111,AE111,BF111,O111,IF(OptControl=4,0,1),0),0)</f>
        <v>0</v>
      </c>
      <c r="BM111" s="196">
        <f ca="1">IF(AH111,_xll.xEURO(BB111,Strike2,AE111,AE111,BG111,O111,IF(OptControl=3,1,0),0),0)</f>
        <v>0</v>
      </c>
      <c r="BN111" s="196">
        <f ca="1">IF(AH111,_xll.xEURO(BB111,Strike2,AE111,AE111,BG111,O111,IF(OptControl=3,1,0),1),0)</f>
        <v>0</v>
      </c>
      <c r="BO111" s="196">
        <f ca="1">IF(AH111,_xll.xEURO(BB111,Strike2,AE111,AE111,BG111,O111,IF(OptControl=3,1,0),2),0)</f>
        <v>0</v>
      </c>
      <c r="BP111" s="196">
        <f ca="1">IF(AH111,_xll.xEURO(BB111,Strike2,AE111,AE111,BG111,O111,IF(OptControl=3,1,0),3)/100,0)</f>
        <v>0</v>
      </c>
      <c r="BQ111" s="197">
        <f ca="1">IF(AH111,_xll.xEURO(BB111,Strike2,AE111,AE111,BG111,O111-DaysForThetaCalculation,IF(OptControl=3,1,0),0)-_xll.xEURO(BB111,Strike2,AE111,AE111,BG111,O111,IF(OptControl=3,1,0),0),0)</f>
        <v>0</v>
      </c>
      <c r="BR111" s="301"/>
      <c r="BS111" s="114"/>
      <c r="BT111" s="345">
        <f t="shared" si="137"/>
        <v>0</v>
      </c>
      <c r="BU111" s="345">
        <f t="shared" ca="1" si="185"/>
        <v>-20.261904761904759</v>
      </c>
      <c r="BV111" s="73"/>
      <c r="BW111" s="345">
        <f t="shared" ca="1" si="182"/>
        <v>6.0094782608695674</v>
      </c>
      <c r="BX111" s="345">
        <f t="shared" ca="1" si="186"/>
        <v>61.873114463176591</v>
      </c>
      <c r="BY111" s="373">
        <f t="shared" ca="1" si="138"/>
        <v>62.550911958986489</v>
      </c>
      <c r="BZ111" s="114"/>
      <c r="CA111" s="345">
        <f t="shared" si="139"/>
        <v>0</v>
      </c>
      <c r="CB111" s="345">
        <f t="shared" ca="1" si="187"/>
        <v>-20.261904761904759</v>
      </c>
      <c r="CC111" s="345">
        <f t="shared" ca="1" si="183"/>
        <v>4.4974782608695687</v>
      </c>
      <c r="CD111" s="345">
        <f t="shared" ca="1" si="140"/>
        <v>58.950911958986495</v>
      </c>
      <c r="CE111" s="347">
        <f t="shared" ca="1" si="172"/>
        <v>-3.5999999999999943</v>
      </c>
      <c r="CF111" s="114"/>
      <c r="CG111" s="345">
        <f t="shared" si="141"/>
        <v>0</v>
      </c>
      <c r="CH111" s="345">
        <f t="shared" ca="1" si="142"/>
        <v>-20.261904761904759</v>
      </c>
      <c r="CI111" s="73"/>
      <c r="CJ111" s="345">
        <f t="shared" ca="1" si="190"/>
        <v>5.3294782608695677</v>
      </c>
      <c r="CK111" s="345">
        <f t="shared" ca="1" si="184"/>
        <v>61.304066844128968</v>
      </c>
      <c r="CL111" s="345">
        <f t="shared" ca="1" si="143"/>
        <v>60.931864339938869</v>
      </c>
      <c r="CM111" s="114"/>
      <c r="CN111" s="345">
        <f t="shared" si="144"/>
        <v>0</v>
      </c>
      <c r="CO111" s="345">
        <f t="shared" ca="1" si="145"/>
        <v>-20.261904761904759</v>
      </c>
      <c r="CP111" s="345">
        <f t="shared" ca="1" si="192"/>
        <v>4.216478260869569</v>
      </c>
      <c r="CQ111" s="345">
        <f t="shared" ca="1" si="146"/>
        <v>58.281864339938878</v>
      </c>
      <c r="CR111" s="347">
        <f t="shared" ca="1" si="173"/>
        <v>-2.6499999999999915</v>
      </c>
      <c r="CS111" s="114"/>
      <c r="CT111" s="345">
        <f t="shared" si="147"/>
        <v>0</v>
      </c>
      <c r="CU111" s="345">
        <f t="shared" si="174"/>
        <v>0</v>
      </c>
      <c r="CV111" s="345">
        <f t="shared" ca="1" si="191"/>
        <v>1.800000000000008</v>
      </c>
      <c r="CW111" s="347">
        <f t="shared" ca="1" si="175"/>
        <v>62.73186433993888</v>
      </c>
      <c r="CX111" s="483"/>
      <c r="CY111" s="190">
        <f t="shared" si="148"/>
        <v>-0.17529999999999901</v>
      </c>
      <c r="CZ111" s="190">
        <f t="shared" ca="1" si="180"/>
        <v>-0.03</v>
      </c>
      <c r="DA111" s="354">
        <f t="shared" ca="1" si="149"/>
        <v>0.14529999999999901</v>
      </c>
      <c r="DB111" s="483"/>
      <c r="DC111" s="190">
        <f t="shared" si="150"/>
        <v>-0.17529999999999901</v>
      </c>
      <c r="DD111" s="190">
        <f t="shared" ca="1" si="181"/>
        <v>0.03</v>
      </c>
      <c r="DE111" s="354">
        <f t="shared" ca="1" si="151"/>
        <v>0.20529999999999901</v>
      </c>
      <c r="DG111" s="341"/>
      <c r="DH111" s="114"/>
      <c r="DI111" s="126">
        <f t="shared" ca="1" si="176"/>
        <v>-20.261904761904759</v>
      </c>
      <c r="DJ111" s="126">
        <f t="shared" ca="1" si="124"/>
        <v>-2</v>
      </c>
      <c r="DK111" s="356">
        <f t="shared" ca="1" si="125"/>
        <v>18.261904761904759</v>
      </c>
      <c r="DL111" s="114"/>
      <c r="DM111" s="126">
        <f t="shared" ca="1" si="177"/>
        <v>-20.261904761904759</v>
      </c>
      <c r="DN111" s="126">
        <f t="shared" ca="1" si="152"/>
        <v>-3</v>
      </c>
      <c r="DO111" s="356">
        <f t="shared" ca="1" si="126"/>
        <v>17.261904761904759</v>
      </c>
      <c r="DP111" s="114"/>
      <c r="DQ111" s="126">
        <f t="shared" ca="1" si="178"/>
        <v>-20.261904761904759</v>
      </c>
      <c r="DR111" s="126">
        <f t="shared" ca="1" si="153"/>
        <v>-6</v>
      </c>
      <c r="DS111" s="356">
        <f t="shared" ca="1" si="127"/>
        <v>14.261904761904759</v>
      </c>
      <c r="DT111" s="114"/>
      <c r="DU111" s="126">
        <f t="shared" ca="1" si="179"/>
        <v>-20.261904761904759</v>
      </c>
      <c r="DV111" s="126">
        <f t="shared" ca="1" si="154"/>
        <v>-5</v>
      </c>
      <c r="DW111" s="356">
        <f t="shared" ca="1" si="128"/>
        <v>15.261904761904759</v>
      </c>
    </row>
    <row r="112" spans="2:127" x14ac:dyDescent="0.25">
      <c r="B112" s="396">
        <v>38961</v>
      </c>
      <c r="C112" s="400">
        <v>38950</v>
      </c>
      <c r="I112" s="136">
        <f t="shared" ca="1" si="205"/>
        <v>40210</v>
      </c>
      <c r="J112" s="131">
        <f t="shared" ca="1" si="130"/>
        <v>40200</v>
      </c>
      <c r="K112" s="106">
        <f t="shared" ca="1" si="206"/>
        <v>0.75</v>
      </c>
      <c r="L112" s="133">
        <f t="shared" ca="1" si="193"/>
        <v>110</v>
      </c>
      <c r="M112" s="134">
        <f t="shared" ca="1" si="194"/>
        <v>2</v>
      </c>
      <c r="N112" s="103">
        <f t="shared" ca="1" si="197"/>
        <v>20</v>
      </c>
      <c r="O112" s="104">
        <f t="shared" ca="1" si="132"/>
        <v>3250</v>
      </c>
      <c r="P112" s="105">
        <f t="shared" ca="1" si="195"/>
        <v>8.9144421629021213</v>
      </c>
      <c r="Q112" s="105">
        <f t="shared" ca="1" si="196"/>
        <v>8.988364134154688</v>
      </c>
      <c r="R112" s="114">
        <v>20.25</v>
      </c>
      <c r="S112" s="198">
        <v>0</v>
      </c>
      <c r="T112" s="189">
        <f t="shared" si="133"/>
        <v>20.25</v>
      </c>
      <c r="U112" s="199">
        <f t="shared" ca="1" si="198"/>
        <v>20.3125</v>
      </c>
      <c r="V112" s="379">
        <f t="shared" ca="1" si="199"/>
        <v>20.3125</v>
      </c>
      <c r="W112" s="483">
        <v>0.17489999999999903</v>
      </c>
      <c r="X112" s="166" t="str">
        <f t="shared" ca="1" si="200"/>
        <v/>
      </c>
      <c r="Y112" s="91">
        <f t="shared" ca="1" si="208"/>
        <v>1.5206185486361932E-3</v>
      </c>
      <c r="Z112" s="91">
        <f t="shared" ca="1" si="209"/>
        <v>5.2776516777096696E-4</v>
      </c>
      <c r="AA112" s="91">
        <f t="shared" ca="1" si="210"/>
        <v>1.8877222069455335E-4</v>
      </c>
      <c r="AB112" s="91">
        <f t="shared" ca="1" si="211"/>
        <v>4.2526605878070111E-4</v>
      </c>
      <c r="AC112" s="91">
        <f t="shared" ca="1" si="212"/>
        <v>1.1889493699545012E-3</v>
      </c>
      <c r="AD112" s="91">
        <f t="shared" ca="1" si="213"/>
        <v>3.4256494663675308E-3</v>
      </c>
      <c r="AE112" s="124">
        <v>7.3676134625485015E-2</v>
      </c>
      <c r="AF112" s="191">
        <f t="shared" ca="1" si="161"/>
        <v>0.52187778588408917</v>
      </c>
      <c r="AG112" s="189">
        <f t="shared" ca="1" si="207"/>
        <v>1</v>
      </c>
      <c r="AH112" s="192">
        <f t="shared" ca="1" si="201"/>
        <v>0</v>
      </c>
      <c r="AI112" s="192">
        <f t="shared" ca="1" si="202"/>
        <v>0</v>
      </c>
      <c r="AJ112" s="192">
        <f t="shared" ca="1" si="203"/>
        <v>0</v>
      </c>
      <c r="AK112" s="192">
        <f t="shared" ca="1" si="204"/>
        <v>0</v>
      </c>
      <c r="AL112" s="191" t="str">
        <f t="shared" ca="1" si="162"/>
        <v/>
      </c>
      <c r="AM112" s="191" t="str">
        <f t="shared" ca="1" si="163"/>
        <v/>
      </c>
      <c r="AN112" s="191" t="str">
        <f t="shared" ca="1" si="164"/>
        <v/>
      </c>
      <c r="AO112" s="193" t="str">
        <f t="shared" ca="1" si="165"/>
        <v/>
      </c>
      <c r="AP112" s="194" t="str">
        <f t="shared" ca="1" si="135"/>
        <v/>
      </c>
      <c r="AQ112" s="194" t="str">
        <f t="shared" ca="1" si="136"/>
        <v/>
      </c>
      <c r="AR112" s="195">
        <f ca="1">IF(AH112,_xll.xASN(AL112,Strike1,AE112,AP112,0,N112,0,P112,Q112,IF(OptControl=4,0,1),0),0)</f>
        <v>0</v>
      </c>
      <c r="AS112" s="196">
        <f ca="1">IF(AH112,_xll.xASN(AL112,Strike1,AE112,AP112,0,N112,0,P112,Q112,IF(OptControl=4,0,1),1),0)</f>
        <v>0</v>
      </c>
      <c r="AT112" s="196">
        <f ca="1">IF(AH112,_xll.xASN(AL112,Strike1,AE112,AP112,0,N112,0,P112,Q112,IF(OptControl=4,0,1),2),0)</f>
        <v>0</v>
      </c>
      <c r="AU112" s="196">
        <f ca="1">IF(AH112,_xll.xASN(AL112,Strike1,AE112,AP112,0,N112,0,P112,Q112,IF(OptControl=4,0,1),3)/100,0)</f>
        <v>0</v>
      </c>
      <c r="AV112" s="196">
        <f ca="1">IF(AH112,_xll.xASN(AL112,Strike1,AE112,AP112,0,N112,0,P112-DaysForThetaCalculation/365.25,Q112-DaysForThetaCalculation/365.25,IF(OptControl=4,0,1),0)-_xll.xASN(AL112,Strike1,AE112,AP112,0,N112,0,P112,Q112,IF(OptControl=4,0,1),0),0)</f>
        <v>0</v>
      </c>
      <c r="AW112" s="196">
        <f ca="1">IF(AH112,_xll.xASN(AL112,Strike2,AE112,AQ112,0,N112,0,P112,Q112,IF(OptControl=3,1,0),0),0)</f>
        <v>0</v>
      </c>
      <c r="AX112" s="196">
        <f ca="1">IF(AH112,_xll.xASN(AL112,Strike2,AE112,AQ112,0,N112,0,P112,Q112,IF(OptControl=3,1,0),1),0)</f>
        <v>0</v>
      </c>
      <c r="AY112" s="196">
        <f ca="1">IF(AH112,_xll.xASN(AL112,Strike2,AE112,AQ112,0,N112,0,P112,Q112,IF(OptControl=3,1,0),2),0)</f>
        <v>0</v>
      </c>
      <c r="AZ112" s="196">
        <f ca="1">IF(AH112,_xll.xASN(AL112,Strike2,AE112,AQ112,0,N112,0,P112,Q112,IF(OptControl=3,1,0),3)/100,0)</f>
        <v>0</v>
      </c>
      <c r="BA112" s="196">
        <f ca="1">IF(AH112,_xll.xASN(AL112,Strike2,AE112,AQ112,0,N112,0,P112-DaysForThetaCalculation/365.25,Q112-DaysForThetaCalculation/365.25,IF(OptControl=3,1,0),0)-_xll.xASN(AL112,Strike2,AE112,AQ112,0,N112,0,P112,Q112,IF(OptControl=3,1,0),0),0)</f>
        <v>0</v>
      </c>
      <c r="BB112" s="126" t="str">
        <f t="shared" ca="1" si="166"/>
        <v/>
      </c>
      <c r="BC112" s="191" t="str">
        <f t="shared" ca="1" si="167"/>
        <v/>
      </c>
      <c r="BD112" s="191" t="str">
        <f t="shared" ca="1" si="168"/>
        <v/>
      </c>
      <c r="BE112" s="190" t="str">
        <f t="shared" ca="1" si="169"/>
        <v/>
      </c>
      <c r="BF112" s="194" t="str">
        <f t="shared" ca="1" si="170"/>
        <v/>
      </c>
      <c r="BG112" s="194" t="str">
        <f t="shared" ca="1" si="171"/>
        <v/>
      </c>
      <c r="BH112" s="195">
        <f ca="1">IF(AH112,_xll.xEURO(BB112,Strike1,AE112,AE112,BF112,O112,IF(OptControl=4,0,1),0),0)</f>
        <v>0</v>
      </c>
      <c r="BI112" s="196">
        <f ca="1">IF(AH112,_xll.xEURO(BB112,Strike1,AE112,AE112,BF112,O112,IF(OptControl=4,0,1),1),0)</f>
        <v>0</v>
      </c>
      <c r="BJ112" s="196">
        <f ca="1">IF(AH112,_xll.xEURO(BB112,Strike1,AE112,AE112,BF112,O112,IF(OptControl=4,0,1),2),0)</f>
        <v>0</v>
      </c>
      <c r="BK112" s="196">
        <f ca="1">IF(AH112,_xll.xEURO(BB112,Strike1,AE112,AE112,BF112,O112,IF(OptControl=4,0,1),3)/100,0)</f>
        <v>0</v>
      </c>
      <c r="BL112" s="196">
        <f ca="1">IF(AH112,_xll.xEURO(BB112,Strike1,AE112,AE112,BF112,O112-DaysForThetaCalculation,IF(OptControl=4,0,1),0)-_xll.xEURO(BB112,Strike1,AE112,AE112,BF112,O112,IF(OptControl=4,0,1),0),0)</f>
        <v>0</v>
      </c>
      <c r="BM112" s="196">
        <f ca="1">IF(AH112,_xll.xEURO(BB112,Strike2,AE112,AE112,BG112,O112,IF(OptControl=3,1,0),0),0)</f>
        <v>0</v>
      </c>
      <c r="BN112" s="196">
        <f ca="1">IF(AH112,_xll.xEURO(BB112,Strike2,AE112,AE112,BG112,O112,IF(OptControl=3,1,0),1),0)</f>
        <v>0</v>
      </c>
      <c r="BO112" s="196">
        <f ca="1">IF(AH112,_xll.xEURO(BB112,Strike2,AE112,AE112,BG112,O112,IF(OptControl=3,1,0),2),0)</f>
        <v>0</v>
      </c>
      <c r="BP112" s="196">
        <f ca="1">IF(AH112,_xll.xEURO(BB112,Strike2,AE112,AE112,BG112,O112,IF(OptControl=3,1,0),3)/100,0)</f>
        <v>0</v>
      </c>
      <c r="BQ112" s="197">
        <f ca="1">IF(AH112,_xll.xEURO(BB112,Strike2,AE112,AE112,BG112,O112-DaysForThetaCalculation,IF(OptControl=3,1,0),0)-_xll.xEURO(BB112,Strike2,AE112,AE112,BG112,O112,IF(OptControl=3,1,0),0),0)</f>
        <v>0</v>
      </c>
      <c r="BR112" s="301"/>
      <c r="BS112" s="114"/>
      <c r="BT112" s="345">
        <f t="shared" si="137"/>
        <v>0</v>
      </c>
      <c r="BU112" s="345">
        <f t="shared" ca="1" si="185"/>
        <v>-20.3125</v>
      </c>
      <c r="BV112" s="73"/>
      <c r="BW112" s="345">
        <f t="shared" ca="1" si="182"/>
        <v>6.3900000000000006</v>
      </c>
      <c r="BX112" s="345">
        <f t="shared" ca="1" si="186"/>
        <v>62.550911958986489</v>
      </c>
      <c r="BY112" s="373">
        <f t="shared" ca="1" si="138"/>
        <v>63.577380952380949</v>
      </c>
      <c r="BZ112" s="114"/>
      <c r="CA112" s="345">
        <f t="shared" si="139"/>
        <v>0</v>
      </c>
      <c r="CB112" s="345">
        <f t="shared" ca="1" si="187"/>
        <v>-20.3125</v>
      </c>
      <c r="CC112" s="345">
        <f t="shared" ca="1" si="183"/>
        <v>4.8319999999999999</v>
      </c>
      <c r="CD112" s="345">
        <f t="shared" ca="1" si="140"/>
        <v>59.867857142857147</v>
      </c>
      <c r="CE112" s="347">
        <f t="shared" ca="1" si="172"/>
        <v>-3.7095238095238017</v>
      </c>
      <c r="CF112" s="114"/>
      <c r="CG112" s="345">
        <f t="shared" si="141"/>
        <v>0</v>
      </c>
      <c r="CH112" s="345">
        <f t="shared" ca="1" si="142"/>
        <v>-20.3125</v>
      </c>
      <c r="CI112" s="73"/>
      <c r="CJ112" s="345">
        <f t="shared" ca="1" si="190"/>
        <v>4.6179999999999968</v>
      </c>
      <c r="CK112" s="345">
        <f t="shared" ca="1" si="184"/>
        <v>60.931864339938869</v>
      </c>
      <c r="CL112" s="345">
        <f t="shared" ca="1" si="143"/>
        <v>59.358333333333313</v>
      </c>
      <c r="CM112" s="114"/>
      <c r="CN112" s="345">
        <f t="shared" si="144"/>
        <v>0</v>
      </c>
      <c r="CO112" s="345">
        <f t="shared" ca="1" si="145"/>
        <v>-20.3125</v>
      </c>
      <c r="CP112" s="345">
        <f t="shared" ca="1" si="192"/>
        <v>3.504999999999999</v>
      </c>
      <c r="CQ112" s="345">
        <f t="shared" ca="1" si="146"/>
        <v>56.708333333333336</v>
      </c>
      <c r="CR112" s="347">
        <f t="shared" ca="1" si="173"/>
        <v>-2.6499999999999773</v>
      </c>
      <c r="CS112" s="114"/>
      <c r="CT112" s="345">
        <f t="shared" si="147"/>
        <v>0</v>
      </c>
      <c r="CU112" s="345">
        <f t="shared" si="174"/>
        <v>0</v>
      </c>
      <c r="CV112" s="345">
        <f t="shared" ca="1" si="191"/>
        <v>1.800000000000008</v>
      </c>
      <c r="CW112" s="347">
        <f t="shared" ca="1" si="175"/>
        <v>61.158333333333324</v>
      </c>
      <c r="CX112" s="483"/>
      <c r="CY112" s="190">
        <f t="shared" si="148"/>
        <v>-0.17489999999999903</v>
      </c>
      <c r="CZ112" s="190">
        <f t="shared" ca="1" si="180"/>
        <v>-0.03</v>
      </c>
      <c r="DA112" s="354">
        <f t="shared" ca="1" si="149"/>
        <v>0.14489999999999903</v>
      </c>
      <c r="DB112" s="483"/>
      <c r="DC112" s="190">
        <f t="shared" si="150"/>
        <v>-0.17489999999999903</v>
      </c>
      <c r="DD112" s="190">
        <f t="shared" ca="1" si="181"/>
        <v>0.03</v>
      </c>
      <c r="DE112" s="354">
        <f t="shared" ca="1" si="151"/>
        <v>0.20489999999999903</v>
      </c>
      <c r="DG112" s="341"/>
      <c r="DH112" s="114"/>
      <c r="DI112" s="126">
        <f t="shared" ca="1" si="176"/>
        <v>-20.3125</v>
      </c>
      <c r="DJ112" s="126">
        <f t="shared" ca="1" si="124"/>
        <v>-2</v>
      </c>
      <c r="DK112" s="356">
        <f t="shared" ca="1" si="125"/>
        <v>18.3125</v>
      </c>
      <c r="DL112" s="114"/>
      <c r="DM112" s="126">
        <f t="shared" ca="1" si="177"/>
        <v>-20.3125</v>
      </c>
      <c r="DN112" s="126">
        <f t="shared" ca="1" si="152"/>
        <v>-3</v>
      </c>
      <c r="DO112" s="356">
        <f t="shared" ca="1" si="126"/>
        <v>17.3125</v>
      </c>
      <c r="DP112" s="114"/>
      <c r="DQ112" s="126">
        <f t="shared" ca="1" si="178"/>
        <v>-20.3125</v>
      </c>
      <c r="DR112" s="126">
        <f t="shared" ca="1" si="153"/>
        <v>-6</v>
      </c>
      <c r="DS112" s="356">
        <f t="shared" ca="1" si="127"/>
        <v>14.3125</v>
      </c>
      <c r="DT112" s="114"/>
      <c r="DU112" s="126">
        <f t="shared" ca="1" si="179"/>
        <v>-20.3125</v>
      </c>
      <c r="DV112" s="126">
        <f t="shared" ca="1" si="154"/>
        <v>-5</v>
      </c>
      <c r="DW112" s="356">
        <f t="shared" ca="1" si="128"/>
        <v>15.3125</v>
      </c>
    </row>
    <row r="113" spans="2:127" x14ac:dyDescent="0.25">
      <c r="B113" s="396">
        <v>38991</v>
      </c>
      <c r="C113" s="400">
        <v>38980</v>
      </c>
      <c r="I113" s="136">
        <f t="shared" ca="1" si="205"/>
        <v>40238</v>
      </c>
      <c r="J113" s="131">
        <f t="shared" ca="1" si="130"/>
        <v>40229</v>
      </c>
      <c r="K113" s="106">
        <f t="shared" ca="1" si="206"/>
        <v>0.65217391304347827</v>
      </c>
      <c r="L113" s="133">
        <f t="shared" ca="1" si="193"/>
        <v>110</v>
      </c>
      <c r="M113" s="134">
        <f t="shared" ca="1" si="194"/>
        <v>3</v>
      </c>
      <c r="N113" s="103">
        <f t="shared" ca="1" si="197"/>
        <v>23</v>
      </c>
      <c r="O113" s="104">
        <f t="shared" ca="1" si="132"/>
        <v>3278</v>
      </c>
      <c r="P113" s="105">
        <f t="shared" ca="1" si="195"/>
        <v>8.991101984941821</v>
      </c>
      <c r="Q113" s="105">
        <f t="shared" ca="1" si="196"/>
        <v>9.073237508555783</v>
      </c>
      <c r="R113" s="114">
        <v>20.3</v>
      </c>
      <c r="S113" s="198">
        <v>0</v>
      </c>
      <c r="T113" s="189">
        <f t="shared" si="133"/>
        <v>20.3</v>
      </c>
      <c r="U113" s="199">
        <f t="shared" ca="1" si="198"/>
        <v>20.367391304347827</v>
      </c>
      <c r="V113" s="379">
        <f t="shared" ca="1" si="199"/>
        <v>20.367391304347827</v>
      </c>
      <c r="W113" s="483">
        <v>0.17449999999999904</v>
      </c>
      <c r="X113" s="166" t="str">
        <f t="shared" ca="1" si="200"/>
        <v/>
      </c>
      <c r="Y113" s="91">
        <f t="shared" ca="1" si="208"/>
        <v>1.4880644182601193E-3</v>
      </c>
      <c r="Z113" s="91">
        <f t="shared" ca="1" si="209"/>
        <v>5.1370132965659605E-4</v>
      </c>
      <c r="AA113" s="91">
        <f t="shared" ca="1" si="210"/>
        <v>1.8324911463647912E-4</v>
      </c>
      <c r="AB113" s="91">
        <f t="shared" ca="1" si="211"/>
        <v>4.1282360545307167E-4</v>
      </c>
      <c r="AC113" s="91">
        <f t="shared" ca="1" si="212"/>
        <v>1.1572663554504457E-3</v>
      </c>
      <c r="AD113" s="91">
        <f t="shared" ca="1" si="213"/>
        <v>3.3523115214563097E-3</v>
      </c>
      <c r="AE113" s="124">
        <v>7.3682990172802013E-2</v>
      </c>
      <c r="AF113" s="191">
        <f t="shared" ca="1" si="161"/>
        <v>0.5186517852027368</v>
      </c>
      <c r="AG113" s="189">
        <f t="shared" ca="1" si="207"/>
        <v>1</v>
      </c>
      <c r="AH113" s="192">
        <f t="shared" ca="1" si="201"/>
        <v>0</v>
      </c>
      <c r="AI113" s="192">
        <f t="shared" ca="1" si="202"/>
        <v>0</v>
      </c>
      <c r="AJ113" s="192">
        <f t="shared" ca="1" si="203"/>
        <v>0</v>
      </c>
      <c r="AK113" s="192">
        <f t="shared" ca="1" si="204"/>
        <v>0</v>
      </c>
      <c r="AL113" s="191" t="str">
        <f t="shared" ca="1" si="162"/>
        <v/>
      </c>
      <c r="AM113" s="191" t="str">
        <f t="shared" ca="1" si="163"/>
        <v/>
      </c>
      <c r="AN113" s="191" t="str">
        <f t="shared" ca="1" si="164"/>
        <v/>
      </c>
      <c r="AO113" s="193" t="str">
        <f t="shared" ca="1" si="165"/>
        <v/>
      </c>
      <c r="AP113" s="194" t="str">
        <f t="shared" ca="1" si="135"/>
        <v/>
      </c>
      <c r="AQ113" s="194" t="str">
        <f t="shared" ca="1" si="136"/>
        <v/>
      </c>
      <c r="AR113" s="195">
        <f ca="1">IF(AH113,_xll.xASN(AL113,Strike1,AE113,AP113,0,N113,0,P113,Q113,IF(OptControl=4,0,1),0),0)</f>
        <v>0</v>
      </c>
      <c r="AS113" s="196">
        <f ca="1">IF(AH113,_xll.xASN(AL113,Strike1,AE113,AP113,0,N113,0,P113,Q113,IF(OptControl=4,0,1),1),0)</f>
        <v>0</v>
      </c>
      <c r="AT113" s="196">
        <f ca="1">IF(AH113,_xll.xASN(AL113,Strike1,AE113,AP113,0,N113,0,P113,Q113,IF(OptControl=4,0,1),2),0)</f>
        <v>0</v>
      </c>
      <c r="AU113" s="196">
        <f ca="1">IF(AH113,_xll.xASN(AL113,Strike1,AE113,AP113,0,N113,0,P113,Q113,IF(OptControl=4,0,1),3)/100,0)</f>
        <v>0</v>
      </c>
      <c r="AV113" s="196">
        <f ca="1">IF(AH113,_xll.xASN(AL113,Strike1,AE113,AP113,0,N113,0,P113-DaysForThetaCalculation/365.25,Q113-DaysForThetaCalculation/365.25,IF(OptControl=4,0,1),0)-_xll.xASN(AL113,Strike1,AE113,AP113,0,N113,0,P113,Q113,IF(OptControl=4,0,1),0),0)</f>
        <v>0</v>
      </c>
      <c r="AW113" s="196">
        <f ca="1">IF(AH113,_xll.xASN(AL113,Strike2,AE113,AQ113,0,N113,0,P113,Q113,IF(OptControl=3,1,0),0),0)</f>
        <v>0</v>
      </c>
      <c r="AX113" s="196">
        <f ca="1">IF(AH113,_xll.xASN(AL113,Strike2,AE113,AQ113,0,N113,0,P113,Q113,IF(OptControl=3,1,0),1),0)</f>
        <v>0</v>
      </c>
      <c r="AY113" s="196">
        <f ca="1">IF(AH113,_xll.xASN(AL113,Strike2,AE113,AQ113,0,N113,0,P113,Q113,IF(OptControl=3,1,0),2),0)</f>
        <v>0</v>
      </c>
      <c r="AZ113" s="196">
        <f ca="1">IF(AH113,_xll.xASN(AL113,Strike2,AE113,AQ113,0,N113,0,P113,Q113,IF(OptControl=3,1,0),3)/100,0)</f>
        <v>0</v>
      </c>
      <c r="BA113" s="196">
        <f ca="1">IF(AH113,_xll.xASN(AL113,Strike2,AE113,AQ113,0,N113,0,P113-DaysForThetaCalculation/365.25,Q113-DaysForThetaCalculation/365.25,IF(OptControl=3,1,0),0)-_xll.xASN(AL113,Strike2,AE113,AQ113,0,N113,0,P113,Q113,IF(OptControl=3,1,0),0),0)</f>
        <v>0</v>
      </c>
      <c r="BB113" s="126" t="str">
        <f t="shared" ca="1" si="166"/>
        <v/>
      </c>
      <c r="BC113" s="191" t="str">
        <f t="shared" ca="1" si="167"/>
        <v/>
      </c>
      <c r="BD113" s="191" t="str">
        <f t="shared" ca="1" si="168"/>
        <v/>
      </c>
      <c r="BE113" s="190" t="str">
        <f t="shared" ca="1" si="169"/>
        <v/>
      </c>
      <c r="BF113" s="194" t="str">
        <f t="shared" ca="1" si="170"/>
        <v/>
      </c>
      <c r="BG113" s="194" t="str">
        <f t="shared" ca="1" si="171"/>
        <v/>
      </c>
      <c r="BH113" s="195">
        <f ca="1">IF(AH113,_xll.xEURO(BB113,Strike1,AE113,AE113,BF113,O113,IF(OptControl=4,0,1),0),0)</f>
        <v>0</v>
      </c>
      <c r="BI113" s="196">
        <f ca="1">IF(AH113,_xll.xEURO(BB113,Strike1,AE113,AE113,BF113,O113,IF(OptControl=4,0,1),1),0)</f>
        <v>0</v>
      </c>
      <c r="BJ113" s="196">
        <f ca="1">IF(AH113,_xll.xEURO(BB113,Strike1,AE113,AE113,BF113,O113,IF(OptControl=4,0,1),2),0)</f>
        <v>0</v>
      </c>
      <c r="BK113" s="196">
        <f ca="1">IF(AH113,_xll.xEURO(BB113,Strike1,AE113,AE113,BF113,O113,IF(OptControl=4,0,1),3)/100,0)</f>
        <v>0</v>
      </c>
      <c r="BL113" s="196">
        <f ca="1">IF(AH113,_xll.xEURO(BB113,Strike1,AE113,AE113,BF113,O113-DaysForThetaCalculation,IF(OptControl=4,0,1),0)-_xll.xEURO(BB113,Strike1,AE113,AE113,BF113,O113,IF(OptControl=4,0,1),0),0)</f>
        <v>0</v>
      </c>
      <c r="BM113" s="196">
        <f ca="1">IF(AH113,_xll.xEURO(BB113,Strike2,AE113,AE113,BG113,O113,IF(OptControl=3,1,0),0),0)</f>
        <v>0</v>
      </c>
      <c r="BN113" s="196">
        <f ca="1">IF(AH113,_xll.xEURO(BB113,Strike2,AE113,AE113,BG113,O113,IF(OptControl=3,1,0),1),0)</f>
        <v>0</v>
      </c>
      <c r="BO113" s="196">
        <f ca="1">IF(AH113,_xll.xEURO(BB113,Strike2,AE113,AE113,BG113,O113,IF(OptControl=3,1,0),2),0)</f>
        <v>0</v>
      </c>
      <c r="BP113" s="196">
        <f ca="1">IF(AH113,_xll.xEURO(BB113,Strike2,AE113,AE113,BG113,O113,IF(OptControl=3,1,0),3)/100,0)</f>
        <v>0</v>
      </c>
      <c r="BQ113" s="197">
        <f ca="1">IF(AH113,_xll.xEURO(BB113,Strike2,AE113,AE113,BG113,O113-DaysForThetaCalculation,IF(OptControl=3,1,0),0)-_xll.xEURO(BB113,Strike2,AE113,AE113,BG113,O113,IF(OptControl=3,1,0),0),0)</f>
        <v>0</v>
      </c>
      <c r="BR113" s="301"/>
      <c r="BS113" s="114"/>
      <c r="BT113" s="345">
        <f t="shared" si="137"/>
        <v>0</v>
      </c>
      <c r="BU113" s="345">
        <f t="shared" ca="1" si="185"/>
        <v>-20.367391304347827</v>
      </c>
      <c r="BV113" s="73"/>
      <c r="BW113" s="345">
        <f t="shared" ca="1" si="182"/>
        <v>10.456000000000005</v>
      </c>
      <c r="BX113" s="345">
        <f t="shared" ca="1" si="186"/>
        <v>63.577380952380949</v>
      </c>
      <c r="BY113" s="373">
        <f t="shared" ca="1" si="138"/>
        <v>73.389026915113874</v>
      </c>
      <c r="BZ113" s="114"/>
      <c r="CA113" s="345">
        <f t="shared" si="139"/>
        <v>0</v>
      </c>
      <c r="CB113" s="345">
        <f t="shared" ca="1" si="187"/>
        <v>-20.367391304347827</v>
      </c>
      <c r="CC113" s="345">
        <f t="shared" ca="1" si="183"/>
        <v>6.9980000000000047</v>
      </c>
      <c r="CD113" s="345">
        <f t="shared" ca="1" si="140"/>
        <v>65.155693581780554</v>
      </c>
      <c r="CE113" s="347">
        <f t="shared" ca="1" si="172"/>
        <v>-8.2333333333333201</v>
      </c>
      <c r="CF113" s="114"/>
      <c r="CG113" s="345">
        <f t="shared" si="141"/>
        <v>0</v>
      </c>
      <c r="CH113" s="345">
        <f t="shared" ca="1" si="142"/>
        <v>-20.367391304347827</v>
      </c>
      <c r="CI113" s="73"/>
      <c r="CJ113" s="345">
        <f t="shared" ca="1" si="190"/>
        <v>3.9789999999999992</v>
      </c>
      <c r="CK113" s="345">
        <f t="shared" ca="1" si="184"/>
        <v>59.358333333333313</v>
      </c>
      <c r="CL113" s="345">
        <f t="shared" ca="1" si="143"/>
        <v>57.967598343685303</v>
      </c>
      <c r="CM113" s="114"/>
      <c r="CN113" s="345">
        <f t="shared" si="144"/>
        <v>0</v>
      </c>
      <c r="CO113" s="345">
        <f t="shared" ca="1" si="145"/>
        <v>-20.367391304347827</v>
      </c>
      <c r="CP113" s="345">
        <f t="shared" ca="1" si="192"/>
        <v>2.8659999999999997</v>
      </c>
      <c r="CQ113" s="345">
        <f t="shared" ca="1" si="146"/>
        <v>55.317598343685297</v>
      </c>
      <c r="CR113" s="347">
        <f t="shared" ca="1" si="173"/>
        <v>-2.6500000000000057</v>
      </c>
      <c r="CS113" s="114"/>
      <c r="CT113" s="345">
        <f t="shared" si="147"/>
        <v>0</v>
      </c>
      <c r="CU113" s="345">
        <f t="shared" si="174"/>
        <v>0</v>
      </c>
      <c r="CV113" s="345">
        <f t="shared" ca="1" si="191"/>
        <v>1.7999999999999938</v>
      </c>
      <c r="CW113" s="347">
        <f t="shared" ca="1" si="175"/>
        <v>59.7675983436853</v>
      </c>
      <c r="CX113" s="483"/>
      <c r="CY113" s="190">
        <f t="shared" si="148"/>
        <v>-0.17449999999999904</v>
      </c>
      <c r="CZ113" s="190">
        <f t="shared" ca="1" si="180"/>
        <v>-0.03</v>
      </c>
      <c r="DA113" s="354">
        <f t="shared" ca="1" si="149"/>
        <v>0.14449999999999905</v>
      </c>
      <c r="DB113" s="483"/>
      <c r="DC113" s="190">
        <f t="shared" si="150"/>
        <v>-0.17449999999999904</v>
      </c>
      <c r="DD113" s="190">
        <f t="shared" ca="1" si="181"/>
        <v>0.03</v>
      </c>
      <c r="DE113" s="354">
        <f t="shared" ca="1" si="151"/>
        <v>0.20449999999999904</v>
      </c>
      <c r="DG113" s="341"/>
      <c r="DH113" s="114"/>
      <c r="DI113" s="126">
        <f t="shared" ca="1" si="176"/>
        <v>-20.367391304347827</v>
      </c>
      <c r="DJ113" s="126">
        <f t="shared" ca="1" si="124"/>
        <v>-2</v>
      </c>
      <c r="DK113" s="356">
        <f t="shared" ca="1" si="125"/>
        <v>18.367391304347827</v>
      </c>
      <c r="DL113" s="114"/>
      <c r="DM113" s="126">
        <f t="shared" ca="1" si="177"/>
        <v>-20.367391304347827</v>
      </c>
      <c r="DN113" s="126">
        <f t="shared" ca="1" si="152"/>
        <v>-3</v>
      </c>
      <c r="DO113" s="356">
        <f t="shared" ca="1" si="126"/>
        <v>17.367391304347827</v>
      </c>
      <c r="DP113" s="114"/>
      <c r="DQ113" s="126">
        <f t="shared" ca="1" si="178"/>
        <v>-20.367391304347827</v>
      </c>
      <c r="DR113" s="126">
        <f t="shared" ca="1" si="153"/>
        <v>-6</v>
      </c>
      <c r="DS113" s="356">
        <f t="shared" ca="1" si="127"/>
        <v>14.367391304347827</v>
      </c>
      <c r="DT113" s="114"/>
      <c r="DU113" s="126">
        <f t="shared" ca="1" si="179"/>
        <v>-20.367391304347827</v>
      </c>
      <c r="DV113" s="126">
        <f t="shared" ca="1" si="154"/>
        <v>-5</v>
      </c>
      <c r="DW113" s="356">
        <f t="shared" ca="1" si="128"/>
        <v>15.367391304347827</v>
      </c>
    </row>
    <row r="114" spans="2:127" x14ac:dyDescent="0.25">
      <c r="B114" s="396">
        <v>39022</v>
      </c>
      <c r="C114" s="400">
        <v>39012</v>
      </c>
      <c r="I114" s="136">
        <f t="shared" ca="1" si="205"/>
        <v>40269</v>
      </c>
      <c r="J114" s="131">
        <f t="shared" ca="1" si="130"/>
        <v>40257</v>
      </c>
      <c r="K114" s="106">
        <f t="shared" ca="1" si="206"/>
        <v>0.63636363636363635</v>
      </c>
      <c r="L114" s="133">
        <f t="shared" ca="1" si="193"/>
        <v>110</v>
      </c>
      <c r="M114" s="134">
        <f t="shared" ca="1" si="194"/>
        <v>4</v>
      </c>
      <c r="N114" s="103">
        <f t="shared" ca="1" si="197"/>
        <v>22</v>
      </c>
      <c r="O114" s="104">
        <f t="shared" ca="1" si="132"/>
        <v>3309</v>
      </c>
      <c r="P114" s="105">
        <f t="shared" ca="1" si="195"/>
        <v>9.075975359342916</v>
      </c>
      <c r="Q114" s="105">
        <f t="shared" ca="1" si="196"/>
        <v>9.1553730321697468</v>
      </c>
      <c r="R114" s="114">
        <v>20.350000000000001</v>
      </c>
      <c r="S114" s="198">
        <v>0</v>
      </c>
      <c r="T114" s="189">
        <f t="shared" si="133"/>
        <v>20.350000000000001</v>
      </c>
      <c r="U114" s="199">
        <f t="shared" ca="1" si="198"/>
        <v>20.418181818181818</v>
      </c>
      <c r="V114" s="379">
        <f t="shared" ca="1" si="199"/>
        <v>20.418181818181818</v>
      </c>
      <c r="W114" s="483">
        <v>0.17409999999999903</v>
      </c>
      <c r="X114" s="166" t="str">
        <f t="shared" ca="1" si="200"/>
        <v/>
      </c>
      <c r="Y114" s="91">
        <f t="shared" ca="1" si="208"/>
        <v>1.4562072223029325E-3</v>
      </c>
      <c r="Z114" s="91">
        <f t="shared" ca="1" si="209"/>
        <v>5.0001226341916157E-4</v>
      </c>
      <c r="AA114" s="91">
        <f t="shared" ca="1" si="210"/>
        <v>1.7788760386195084E-4</v>
      </c>
      <c r="AB114" s="91">
        <f t="shared" ca="1" si="211"/>
        <v>4.0074519398021458E-4</v>
      </c>
      <c r="AC114" s="91">
        <f t="shared" ca="1" si="212"/>
        <v>1.1264276270307528E-3</v>
      </c>
      <c r="AD114" s="91">
        <f t="shared" ca="1" si="213"/>
        <v>3.2805436304039572E-3</v>
      </c>
      <c r="AE114" s="124">
        <v>7.3690580243065004E-2</v>
      </c>
      <c r="AF114" s="191">
        <f t="shared" ca="1" si="161"/>
        <v>0.51554393606869087</v>
      </c>
      <c r="AG114" s="189">
        <f t="shared" ca="1" si="207"/>
        <v>1</v>
      </c>
      <c r="AH114" s="192">
        <f t="shared" ca="1" si="201"/>
        <v>0</v>
      </c>
      <c r="AI114" s="192">
        <f t="shared" ca="1" si="202"/>
        <v>0</v>
      </c>
      <c r="AJ114" s="192">
        <f t="shared" ca="1" si="203"/>
        <v>0</v>
      </c>
      <c r="AK114" s="192">
        <f t="shared" ca="1" si="204"/>
        <v>0</v>
      </c>
      <c r="AL114" s="191" t="str">
        <f t="shared" ca="1" si="162"/>
        <v/>
      </c>
      <c r="AM114" s="191" t="str">
        <f t="shared" ca="1" si="163"/>
        <v/>
      </c>
      <c r="AN114" s="191" t="str">
        <f t="shared" ca="1" si="164"/>
        <v/>
      </c>
      <c r="AO114" s="193" t="str">
        <f t="shared" ca="1" si="165"/>
        <v/>
      </c>
      <c r="AP114" s="194" t="str">
        <f t="shared" ca="1" si="135"/>
        <v/>
      </c>
      <c r="AQ114" s="194" t="str">
        <f t="shared" ca="1" si="136"/>
        <v/>
      </c>
      <c r="AR114" s="195">
        <f ca="1">IF(AH114,_xll.xASN(AL114,Strike1,AE114,AP114,0,N114,0,P114,Q114,IF(OptControl=4,0,1),0),0)</f>
        <v>0</v>
      </c>
      <c r="AS114" s="196">
        <f ca="1">IF(AH114,_xll.xASN(AL114,Strike1,AE114,AP114,0,N114,0,P114,Q114,IF(OptControl=4,0,1),1),0)</f>
        <v>0</v>
      </c>
      <c r="AT114" s="196">
        <f ca="1">IF(AH114,_xll.xASN(AL114,Strike1,AE114,AP114,0,N114,0,P114,Q114,IF(OptControl=4,0,1),2),0)</f>
        <v>0</v>
      </c>
      <c r="AU114" s="196">
        <f ca="1">IF(AH114,_xll.xASN(AL114,Strike1,AE114,AP114,0,N114,0,P114,Q114,IF(OptControl=4,0,1),3)/100,0)</f>
        <v>0</v>
      </c>
      <c r="AV114" s="196">
        <f ca="1">IF(AH114,_xll.xASN(AL114,Strike1,AE114,AP114,0,N114,0,P114-DaysForThetaCalculation/365.25,Q114-DaysForThetaCalculation/365.25,IF(OptControl=4,0,1),0)-_xll.xASN(AL114,Strike1,AE114,AP114,0,N114,0,P114,Q114,IF(OptControl=4,0,1),0),0)</f>
        <v>0</v>
      </c>
      <c r="AW114" s="196">
        <f ca="1">IF(AH114,_xll.xASN(AL114,Strike2,AE114,AQ114,0,N114,0,P114,Q114,IF(OptControl=3,1,0),0),0)</f>
        <v>0</v>
      </c>
      <c r="AX114" s="196">
        <f ca="1">IF(AH114,_xll.xASN(AL114,Strike2,AE114,AQ114,0,N114,0,P114,Q114,IF(OptControl=3,1,0),1),0)</f>
        <v>0</v>
      </c>
      <c r="AY114" s="196">
        <f ca="1">IF(AH114,_xll.xASN(AL114,Strike2,AE114,AQ114,0,N114,0,P114,Q114,IF(OptControl=3,1,0),2),0)</f>
        <v>0</v>
      </c>
      <c r="AZ114" s="196">
        <f ca="1">IF(AH114,_xll.xASN(AL114,Strike2,AE114,AQ114,0,N114,0,P114,Q114,IF(OptControl=3,1,0),3)/100,0)</f>
        <v>0</v>
      </c>
      <c r="BA114" s="196">
        <f ca="1">IF(AH114,_xll.xASN(AL114,Strike2,AE114,AQ114,0,N114,0,P114-DaysForThetaCalculation/365.25,Q114-DaysForThetaCalculation/365.25,IF(OptControl=3,1,0),0)-_xll.xASN(AL114,Strike2,AE114,AQ114,0,N114,0,P114,Q114,IF(OptControl=3,1,0),0),0)</f>
        <v>0</v>
      </c>
      <c r="BB114" s="126" t="str">
        <f t="shared" ca="1" si="166"/>
        <v/>
      </c>
      <c r="BC114" s="191" t="str">
        <f t="shared" ca="1" si="167"/>
        <v/>
      </c>
      <c r="BD114" s="191" t="str">
        <f t="shared" ca="1" si="168"/>
        <v/>
      </c>
      <c r="BE114" s="190" t="str">
        <f t="shared" ca="1" si="169"/>
        <v/>
      </c>
      <c r="BF114" s="194" t="str">
        <f t="shared" ca="1" si="170"/>
        <v/>
      </c>
      <c r="BG114" s="194" t="str">
        <f t="shared" ca="1" si="171"/>
        <v/>
      </c>
      <c r="BH114" s="195">
        <f ca="1">IF(AH114,_xll.xEURO(BB114,Strike1,AE114,AE114,BF114,O114,IF(OptControl=4,0,1),0),0)</f>
        <v>0</v>
      </c>
      <c r="BI114" s="196">
        <f ca="1">IF(AH114,_xll.xEURO(BB114,Strike1,AE114,AE114,BF114,O114,IF(OptControl=4,0,1),1),0)</f>
        <v>0</v>
      </c>
      <c r="BJ114" s="196">
        <f ca="1">IF(AH114,_xll.xEURO(BB114,Strike1,AE114,AE114,BF114,O114,IF(OptControl=4,0,1),2),0)</f>
        <v>0</v>
      </c>
      <c r="BK114" s="196">
        <f ca="1">IF(AH114,_xll.xEURO(BB114,Strike1,AE114,AE114,BF114,O114,IF(OptControl=4,0,1),3)/100,0)</f>
        <v>0</v>
      </c>
      <c r="BL114" s="196">
        <f ca="1">IF(AH114,_xll.xEURO(BB114,Strike1,AE114,AE114,BF114,O114-DaysForThetaCalculation,IF(OptControl=4,0,1),0)-_xll.xEURO(BB114,Strike1,AE114,AE114,BF114,O114,IF(OptControl=4,0,1),0),0)</f>
        <v>0</v>
      </c>
      <c r="BM114" s="196">
        <f ca="1">IF(AH114,_xll.xEURO(BB114,Strike2,AE114,AE114,BG114,O114,IF(OptControl=3,1,0),0),0)</f>
        <v>0</v>
      </c>
      <c r="BN114" s="196">
        <f ca="1">IF(AH114,_xll.xEURO(BB114,Strike2,AE114,AE114,BG114,O114,IF(OptControl=3,1,0),1),0)</f>
        <v>0</v>
      </c>
      <c r="BO114" s="196">
        <f ca="1">IF(AH114,_xll.xEURO(BB114,Strike2,AE114,AE114,BG114,O114,IF(OptControl=3,1,0),2),0)</f>
        <v>0</v>
      </c>
      <c r="BP114" s="196">
        <f ca="1">IF(AH114,_xll.xEURO(BB114,Strike2,AE114,AE114,BG114,O114,IF(OptControl=3,1,0),3)/100,0)</f>
        <v>0</v>
      </c>
      <c r="BQ114" s="197">
        <f ca="1">IF(AH114,_xll.xEURO(BB114,Strike2,AE114,AE114,BG114,O114-DaysForThetaCalculation,IF(OptControl=3,1,0),0)-_xll.xEURO(BB114,Strike2,AE114,AE114,BG114,O114,IF(OptControl=3,1,0),0),0)</f>
        <v>0</v>
      </c>
      <c r="BR114" s="301"/>
      <c r="BS114" s="114"/>
      <c r="BT114" s="345">
        <f t="shared" si="137"/>
        <v>0</v>
      </c>
      <c r="BU114" s="345">
        <f t="shared" ca="1" si="185"/>
        <v>-20.418181818181818</v>
      </c>
      <c r="BV114" s="73"/>
      <c r="BW114" s="345">
        <f t="shared" ca="1" si="182"/>
        <v>9.3957142857142895</v>
      </c>
      <c r="BX114" s="345">
        <f t="shared" ca="1" si="186"/>
        <v>73.389026915113874</v>
      </c>
      <c r="BY114" s="373">
        <f t="shared" ca="1" si="138"/>
        <v>70.985466914038341</v>
      </c>
      <c r="BZ114" s="114"/>
      <c r="CA114" s="345">
        <f t="shared" si="139"/>
        <v>0</v>
      </c>
      <c r="CB114" s="345">
        <f t="shared" ca="1" si="187"/>
        <v>-20.418181818181818</v>
      </c>
      <c r="CC114" s="345">
        <f t="shared" ca="1" si="183"/>
        <v>6.7707142857142895</v>
      </c>
      <c r="CD114" s="345">
        <f t="shared" ca="1" si="140"/>
        <v>64.735466914038341</v>
      </c>
      <c r="CE114" s="347">
        <f t="shared" ca="1" si="172"/>
        <v>-6.25</v>
      </c>
      <c r="CF114" s="114"/>
      <c r="CG114" s="345">
        <f t="shared" si="141"/>
        <v>0</v>
      </c>
      <c r="CH114" s="345">
        <f t="shared" ca="1" si="142"/>
        <v>-20.418181818181818</v>
      </c>
      <c r="CI114" s="73"/>
      <c r="CJ114" s="345">
        <f t="shared" ca="1" si="190"/>
        <v>3.4270909090909107</v>
      </c>
      <c r="CK114" s="345">
        <f t="shared" ca="1" si="184"/>
        <v>57.967598343685303</v>
      </c>
      <c r="CL114" s="345">
        <f t="shared" ca="1" si="143"/>
        <v>56.774458874458873</v>
      </c>
      <c r="CM114" s="114"/>
      <c r="CN114" s="345">
        <f t="shared" si="144"/>
        <v>0</v>
      </c>
      <c r="CO114" s="345">
        <f t="shared" ca="1" si="145"/>
        <v>-20.418181818181818</v>
      </c>
      <c r="CP114" s="345">
        <f t="shared" ca="1" si="192"/>
        <v>2.5030909090909077</v>
      </c>
      <c r="CQ114" s="345">
        <f t="shared" ca="1" si="146"/>
        <v>54.57445887445887</v>
      </c>
      <c r="CR114" s="347">
        <f t="shared" ca="1" si="173"/>
        <v>-2.2000000000000028</v>
      </c>
      <c r="CS114" s="114"/>
      <c r="CT114" s="345">
        <f t="shared" si="147"/>
        <v>0</v>
      </c>
      <c r="CU114" s="345">
        <f t="shared" si="174"/>
        <v>0</v>
      </c>
      <c r="CV114" s="345">
        <f t="shared" ca="1" si="191"/>
        <v>1.7999999999999938</v>
      </c>
      <c r="CW114" s="347">
        <f t="shared" ca="1" si="175"/>
        <v>58.57445887445887</v>
      </c>
      <c r="CX114" s="483"/>
      <c r="CY114" s="190">
        <f t="shared" si="148"/>
        <v>-0.17409999999999903</v>
      </c>
      <c r="CZ114" s="190">
        <f t="shared" ca="1" si="180"/>
        <v>-0.03</v>
      </c>
      <c r="DA114" s="354">
        <f t="shared" ca="1" si="149"/>
        <v>0.14409999999999903</v>
      </c>
      <c r="DB114" s="483"/>
      <c r="DC114" s="190">
        <f t="shared" si="150"/>
        <v>-0.17409999999999903</v>
      </c>
      <c r="DD114" s="190">
        <f t="shared" ca="1" si="181"/>
        <v>0.03</v>
      </c>
      <c r="DE114" s="354">
        <f t="shared" ca="1" si="151"/>
        <v>0.20409999999999903</v>
      </c>
      <c r="DG114" s="341"/>
      <c r="DH114" s="114"/>
      <c r="DI114" s="126">
        <f t="shared" ca="1" si="176"/>
        <v>-20.418181818181818</v>
      </c>
      <c r="DJ114" s="126">
        <f t="shared" ca="1" si="124"/>
        <v>-2</v>
      </c>
      <c r="DK114" s="356">
        <f t="shared" ca="1" si="125"/>
        <v>18.418181818181818</v>
      </c>
      <c r="DL114" s="114"/>
      <c r="DM114" s="126">
        <f t="shared" ca="1" si="177"/>
        <v>-20.418181818181818</v>
      </c>
      <c r="DN114" s="126">
        <f t="shared" ca="1" si="152"/>
        <v>-3</v>
      </c>
      <c r="DO114" s="356">
        <f t="shared" ca="1" si="126"/>
        <v>17.418181818181818</v>
      </c>
      <c r="DP114" s="114"/>
      <c r="DQ114" s="126">
        <f t="shared" ca="1" si="178"/>
        <v>-20.418181818181818</v>
      </c>
      <c r="DR114" s="126">
        <f t="shared" ca="1" si="153"/>
        <v>-6</v>
      </c>
      <c r="DS114" s="356">
        <f t="shared" ca="1" si="127"/>
        <v>14.418181818181818</v>
      </c>
      <c r="DT114" s="114"/>
      <c r="DU114" s="126">
        <f t="shared" ca="1" si="179"/>
        <v>-20.418181818181818</v>
      </c>
      <c r="DV114" s="126">
        <f t="shared" ca="1" si="154"/>
        <v>-5</v>
      </c>
      <c r="DW114" s="356">
        <f t="shared" ca="1" si="128"/>
        <v>15.418181818181818</v>
      </c>
    </row>
    <row r="115" spans="2:127" x14ac:dyDescent="0.25">
      <c r="B115" s="396">
        <v>39052</v>
      </c>
      <c r="C115" s="400">
        <v>39040</v>
      </c>
      <c r="I115" s="136">
        <f t="shared" ca="1" si="205"/>
        <v>40299</v>
      </c>
      <c r="J115" s="131">
        <f t="shared" ca="1" si="130"/>
        <v>40288</v>
      </c>
      <c r="K115" s="106">
        <f t="shared" ca="1" si="206"/>
        <v>0.7142857142857143</v>
      </c>
      <c r="L115" s="133">
        <f t="shared" ca="1" si="193"/>
        <v>110</v>
      </c>
      <c r="M115" s="134">
        <f t="shared" ca="1" si="194"/>
        <v>5</v>
      </c>
      <c r="N115" s="103">
        <f t="shared" ca="1" si="197"/>
        <v>21</v>
      </c>
      <c r="O115" s="104">
        <f t="shared" ca="1" si="132"/>
        <v>3341</v>
      </c>
      <c r="P115" s="105">
        <f t="shared" ca="1" si="195"/>
        <v>9.158110882956878</v>
      </c>
      <c r="Q115" s="105">
        <f t="shared" ca="1" si="196"/>
        <v>9.2402464065708418</v>
      </c>
      <c r="R115" s="114">
        <v>20.399999999999999</v>
      </c>
      <c r="S115" s="198">
        <v>0</v>
      </c>
      <c r="T115" s="189">
        <f t="shared" si="133"/>
        <v>20.399999999999999</v>
      </c>
      <c r="U115" s="199">
        <f t="shared" ca="1" si="198"/>
        <v>20.464285714285715</v>
      </c>
      <c r="V115" s="379">
        <f t="shared" ca="1" si="199"/>
        <v>20.464285714285715</v>
      </c>
      <c r="W115" s="483">
        <v>0.17369999999999902</v>
      </c>
      <c r="X115" s="166" t="str">
        <f t="shared" ca="1" si="200"/>
        <v/>
      </c>
      <c r="Y115" s="91">
        <f t="shared" ca="1" si="208"/>
        <v>1.4250320404587107E-3</v>
      </c>
      <c r="Z115" s="91">
        <f t="shared" ca="1" si="209"/>
        <v>4.8668798217182653E-4</v>
      </c>
      <c r="AA115" s="91">
        <f t="shared" ca="1" si="210"/>
        <v>1.7268296040895046E-4</v>
      </c>
      <c r="AB115" s="91">
        <f t="shared" ca="1" si="211"/>
        <v>3.890201732092955E-4</v>
      </c>
      <c r="AC115" s="91">
        <f t="shared" ca="1" si="212"/>
        <v>1.0964106862367559E-3</v>
      </c>
      <c r="AD115" s="91">
        <f t="shared" ca="1" si="213"/>
        <v>3.2103121807452928E-3</v>
      </c>
      <c r="AE115" s="124">
        <v>7.3697925472369016E-2</v>
      </c>
      <c r="AF115" s="191">
        <f t="shared" ca="1" si="161"/>
        <v>0.51235368092783162</v>
      </c>
      <c r="AG115" s="189">
        <f t="shared" ca="1" si="207"/>
        <v>1</v>
      </c>
      <c r="AH115" s="192">
        <f t="shared" ca="1" si="201"/>
        <v>0</v>
      </c>
      <c r="AI115" s="192">
        <f t="shared" ca="1" si="202"/>
        <v>0</v>
      </c>
      <c r="AJ115" s="192">
        <f t="shared" ca="1" si="203"/>
        <v>0</v>
      </c>
      <c r="AK115" s="192">
        <f t="shared" ca="1" si="204"/>
        <v>0</v>
      </c>
      <c r="AL115" s="191" t="str">
        <f t="shared" ca="1" si="162"/>
        <v/>
      </c>
      <c r="AM115" s="191" t="str">
        <f t="shared" ca="1" si="163"/>
        <v/>
      </c>
      <c r="AN115" s="191" t="str">
        <f t="shared" ca="1" si="164"/>
        <v/>
      </c>
      <c r="AO115" s="193" t="str">
        <f t="shared" ca="1" si="165"/>
        <v/>
      </c>
      <c r="AP115" s="194" t="str">
        <f t="shared" ca="1" si="135"/>
        <v/>
      </c>
      <c r="AQ115" s="194" t="str">
        <f t="shared" ca="1" si="136"/>
        <v/>
      </c>
      <c r="AR115" s="195">
        <f ca="1">IF(AH115,_xll.xASN(AL115,Strike1,AE115,AP115,0,N115,0,P115,Q115,IF(OptControl=4,0,1),0),0)</f>
        <v>0</v>
      </c>
      <c r="AS115" s="196">
        <f ca="1">IF(AH115,_xll.xASN(AL115,Strike1,AE115,AP115,0,N115,0,P115,Q115,IF(OptControl=4,0,1),1),0)</f>
        <v>0</v>
      </c>
      <c r="AT115" s="196">
        <f ca="1">IF(AH115,_xll.xASN(AL115,Strike1,AE115,AP115,0,N115,0,P115,Q115,IF(OptControl=4,0,1),2),0)</f>
        <v>0</v>
      </c>
      <c r="AU115" s="196">
        <f ca="1">IF(AH115,_xll.xASN(AL115,Strike1,AE115,AP115,0,N115,0,P115,Q115,IF(OptControl=4,0,1),3)/100,0)</f>
        <v>0</v>
      </c>
      <c r="AV115" s="196">
        <f ca="1">IF(AH115,_xll.xASN(AL115,Strike1,AE115,AP115,0,N115,0,P115-DaysForThetaCalculation/365.25,Q115-DaysForThetaCalculation/365.25,IF(OptControl=4,0,1),0)-_xll.xASN(AL115,Strike1,AE115,AP115,0,N115,0,P115,Q115,IF(OptControl=4,0,1),0),0)</f>
        <v>0</v>
      </c>
      <c r="AW115" s="196">
        <f ca="1">IF(AH115,_xll.xASN(AL115,Strike2,AE115,AQ115,0,N115,0,P115,Q115,IF(OptControl=3,1,0),0),0)</f>
        <v>0</v>
      </c>
      <c r="AX115" s="196">
        <f ca="1">IF(AH115,_xll.xASN(AL115,Strike2,AE115,AQ115,0,N115,0,P115,Q115,IF(OptControl=3,1,0),1),0)</f>
        <v>0</v>
      </c>
      <c r="AY115" s="196">
        <f ca="1">IF(AH115,_xll.xASN(AL115,Strike2,AE115,AQ115,0,N115,0,P115,Q115,IF(OptControl=3,1,0),2),0)</f>
        <v>0</v>
      </c>
      <c r="AZ115" s="196">
        <f ca="1">IF(AH115,_xll.xASN(AL115,Strike2,AE115,AQ115,0,N115,0,P115,Q115,IF(OptControl=3,1,0),3)/100,0)</f>
        <v>0</v>
      </c>
      <c r="BA115" s="196">
        <f ca="1">IF(AH115,_xll.xASN(AL115,Strike2,AE115,AQ115,0,N115,0,P115-DaysForThetaCalculation/365.25,Q115-DaysForThetaCalculation/365.25,IF(OptControl=3,1,0),0)-_xll.xASN(AL115,Strike2,AE115,AQ115,0,N115,0,P115,Q115,IF(OptControl=3,1,0),0),0)</f>
        <v>0</v>
      </c>
      <c r="BB115" s="126" t="str">
        <f t="shared" ca="1" si="166"/>
        <v/>
      </c>
      <c r="BC115" s="191" t="str">
        <f t="shared" ca="1" si="167"/>
        <v/>
      </c>
      <c r="BD115" s="191" t="str">
        <f t="shared" ca="1" si="168"/>
        <v/>
      </c>
      <c r="BE115" s="190" t="str">
        <f t="shared" ca="1" si="169"/>
        <v/>
      </c>
      <c r="BF115" s="194" t="str">
        <f t="shared" ca="1" si="170"/>
        <v/>
      </c>
      <c r="BG115" s="194" t="str">
        <f t="shared" ca="1" si="171"/>
        <v/>
      </c>
      <c r="BH115" s="195">
        <f ca="1">IF(AH115,_xll.xEURO(BB115,Strike1,AE115,AE115,BF115,O115,IF(OptControl=4,0,1),0),0)</f>
        <v>0</v>
      </c>
      <c r="BI115" s="196">
        <f ca="1">IF(AH115,_xll.xEURO(BB115,Strike1,AE115,AE115,BF115,O115,IF(OptControl=4,0,1),1),0)</f>
        <v>0</v>
      </c>
      <c r="BJ115" s="196">
        <f ca="1">IF(AH115,_xll.xEURO(BB115,Strike1,AE115,AE115,BF115,O115,IF(OptControl=4,0,1),2),0)</f>
        <v>0</v>
      </c>
      <c r="BK115" s="196">
        <f ca="1">IF(AH115,_xll.xEURO(BB115,Strike1,AE115,AE115,BF115,O115,IF(OptControl=4,0,1),3)/100,0)</f>
        <v>0</v>
      </c>
      <c r="BL115" s="196">
        <f ca="1">IF(AH115,_xll.xEURO(BB115,Strike1,AE115,AE115,BF115,O115-DaysForThetaCalculation,IF(OptControl=4,0,1),0)-_xll.xEURO(BB115,Strike1,AE115,AE115,BF115,O115,IF(OptControl=4,0,1),0),0)</f>
        <v>0</v>
      </c>
      <c r="BM115" s="196">
        <f ca="1">IF(AH115,_xll.xEURO(BB115,Strike2,AE115,AE115,BG115,O115,IF(OptControl=3,1,0),0),0)</f>
        <v>0</v>
      </c>
      <c r="BN115" s="196">
        <f ca="1">IF(AH115,_xll.xEURO(BB115,Strike2,AE115,AE115,BG115,O115,IF(OptControl=3,1,0),1),0)</f>
        <v>0</v>
      </c>
      <c r="BO115" s="196">
        <f ca="1">IF(AH115,_xll.xEURO(BB115,Strike2,AE115,AE115,BG115,O115,IF(OptControl=3,1,0),2),0)</f>
        <v>0</v>
      </c>
      <c r="BP115" s="196">
        <f ca="1">IF(AH115,_xll.xEURO(BB115,Strike2,AE115,AE115,BG115,O115,IF(OptControl=3,1,0),3)/100,0)</f>
        <v>0</v>
      </c>
      <c r="BQ115" s="197">
        <f ca="1">IF(AH115,_xll.xEURO(BB115,Strike2,AE115,AE115,BG115,O115-DaysForThetaCalculation,IF(OptControl=3,1,0),0)-_xll.xEURO(BB115,Strike2,AE115,AE115,BG115,O115,IF(OptControl=3,1,0),0),0)</f>
        <v>0</v>
      </c>
      <c r="BR115" s="301"/>
      <c r="BS115" s="114"/>
      <c r="BT115" s="345">
        <f t="shared" si="137"/>
        <v>0</v>
      </c>
      <c r="BU115" s="345">
        <f t="shared" ca="1" si="185"/>
        <v>-20.464285714285715</v>
      </c>
      <c r="BV115" s="73"/>
      <c r="BW115" s="345">
        <f t="shared" ca="1" si="182"/>
        <v>8.9039130434782638</v>
      </c>
      <c r="BX115" s="345">
        <f t="shared" ca="1" si="186"/>
        <v>70.985466914038341</v>
      </c>
      <c r="BY115" s="373">
        <f t="shared" ca="1" si="138"/>
        <v>69.924282756580894</v>
      </c>
      <c r="BZ115" s="114"/>
      <c r="CA115" s="345">
        <f t="shared" si="139"/>
        <v>0</v>
      </c>
      <c r="CB115" s="345">
        <f t="shared" ca="1" si="187"/>
        <v>-20.464285714285715</v>
      </c>
      <c r="CC115" s="345">
        <f t="shared" ca="1" si="183"/>
        <v>6.2789130434782638</v>
      </c>
      <c r="CD115" s="345">
        <f t="shared" ca="1" si="140"/>
        <v>63.674282756580894</v>
      </c>
      <c r="CE115" s="347">
        <f t="shared" ca="1" si="172"/>
        <v>-6.25</v>
      </c>
      <c r="CF115" s="114"/>
      <c r="CG115" s="345">
        <f t="shared" si="141"/>
        <v>0</v>
      </c>
      <c r="CH115" s="345">
        <f t="shared" ca="1" si="142"/>
        <v>-20.464285714285715</v>
      </c>
      <c r="CI115" s="73"/>
      <c r="CJ115" s="345">
        <f t="shared" ca="1" si="190"/>
        <v>3.0220869565217363</v>
      </c>
      <c r="CK115" s="345">
        <f t="shared" ca="1" si="184"/>
        <v>56.774458874458873</v>
      </c>
      <c r="CL115" s="345">
        <f t="shared" ca="1" si="143"/>
        <v>55.91993493049393</v>
      </c>
      <c r="CM115" s="114"/>
      <c r="CN115" s="345">
        <f t="shared" si="144"/>
        <v>0</v>
      </c>
      <c r="CO115" s="345">
        <f t="shared" ca="1" si="145"/>
        <v>-20.464285714285715</v>
      </c>
      <c r="CP115" s="345">
        <f t="shared" ca="1" si="192"/>
        <v>2.0980869565217404</v>
      </c>
      <c r="CQ115" s="345">
        <f t="shared" ca="1" si="146"/>
        <v>53.719934930493935</v>
      </c>
      <c r="CR115" s="347">
        <f t="shared" ca="1" si="173"/>
        <v>-2.1999999999999957</v>
      </c>
      <c r="CS115" s="114"/>
      <c r="CT115" s="345">
        <f t="shared" si="147"/>
        <v>0</v>
      </c>
      <c r="CU115" s="345">
        <f t="shared" si="174"/>
        <v>0</v>
      </c>
      <c r="CV115" s="345">
        <f t="shared" ca="1" si="191"/>
        <v>1.800000000000008</v>
      </c>
      <c r="CW115" s="347">
        <f t="shared" ca="1" si="175"/>
        <v>57.719934930493942</v>
      </c>
      <c r="CX115" s="483"/>
      <c r="CY115" s="190">
        <f t="shared" si="148"/>
        <v>-0.17369999999999902</v>
      </c>
      <c r="CZ115" s="190">
        <f t="shared" ca="1" si="180"/>
        <v>-0.03</v>
      </c>
      <c r="DA115" s="354">
        <f t="shared" ca="1" si="149"/>
        <v>0.14369999999999902</v>
      </c>
      <c r="DB115" s="483"/>
      <c r="DC115" s="190">
        <f t="shared" si="150"/>
        <v>-0.17369999999999902</v>
      </c>
      <c r="DD115" s="190">
        <f t="shared" ca="1" si="181"/>
        <v>0.03</v>
      </c>
      <c r="DE115" s="354">
        <f t="shared" ca="1" si="151"/>
        <v>0.20369999999999902</v>
      </c>
      <c r="DG115" s="341"/>
      <c r="DH115" s="114"/>
      <c r="DI115" s="126">
        <f t="shared" ca="1" si="176"/>
        <v>-20.464285714285715</v>
      </c>
      <c r="DJ115" s="126">
        <f t="shared" ca="1" si="124"/>
        <v>-2</v>
      </c>
      <c r="DK115" s="356">
        <f t="shared" ca="1" si="125"/>
        <v>18.464285714285715</v>
      </c>
      <c r="DL115" s="114"/>
      <c r="DM115" s="126">
        <f t="shared" ca="1" si="177"/>
        <v>-20.464285714285715</v>
      </c>
      <c r="DN115" s="126">
        <f t="shared" ca="1" si="152"/>
        <v>-3</v>
      </c>
      <c r="DO115" s="356">
        <f t="shared" ca="1" si="126"/>
        <v>17.464285714285715</v>
      </c>
      <c r="DP115" s="114"/>
      <c r="DQ115" s="126">
        <f t="shared" ca="1" si="178"/>
        <v>-20.464285714285715</v>
      </c>
      <c r="DR115" s="126">
        <f t="shared" ca="1" si="153"/>
        <v>-6</v>
      </c>
      <c r="DS115" s="356">
        <f t="shared" ca="1" si="127"/>
        <v>14.464285714285715</v>
      </c>
      <c r="DT115" s="114"/>
      <c r="DU115" s="126">
        <f t="shared" ca="1" si="179"/>
        <v>-20.464285714285715</v>
      </c>
      <c r="DV115" s="126">
        <f t="shared" ca="1" si="154"/>
        <v>-5</v>
      </c>
      <c r="DW115" s="356">
        <f t="shared" ca="1" si="128"/>
        <v>15.464285714285715</v>
      </c>
    </row>
    <row r="116" spans="2:127" x14ac:dyDescent="0.25">
      <c r="B116" s="396">
        <v>39083</v>
      </c>
      <c r="C116" s="400">
        <v>39070</v>
      </c>
      <c r="I116" s="136">
        <f t="shared" ca="1" si="205"/>
        <v>40330</v>
      </c>
      <c r="J116" s="131">
        <f t="shared" ca="1" si="130"/>
        <v>40320</v>
      </c>
      <c r="K116" s="106">
        <f t="shared" ca="1" si="206"/>
        <v>0.63636363636363635</v>
      </c>
      <c r="L116" s="133">
        <f t="shared" ca="1" si="193"/>
        <v>110</v>
      </c>
      <c r="M116" s="134">
        <f t="shared" ca="1" si="194"/>
        <v>6</v>
      </c>
      <c r="N116" s="103">
        <f t="shared" ca="1" si="197"/>
        <v>22</v>
      </c>
      <c r="O116" s="104">
        <f t="shared" ca="1" si="132"/>
        <v>3370</v>
      </c>
      <c r="P116" s="105">
        <f t="shared" ca="1" si="195"/>
        <v>9.2429842573579748</v>
      </c>
      <c r="Q116" s="105">
        <f t="shared" ca="1" si="196"/>
        <v>9.3223819301848057</v>
      </c>
      <c r="R116" s="114">
        <v>20.45</v>
      </c>
      <c r="S116" s="198">
        <v>0</v>
      </c>
      <c r="T116" s="189">
        <f t="shared" si="133"/>
        <v>20.45</v>
      </c>
      <c r="U116" s="199">
        <f t="shared" ca="1" si="198"/>
        <v>20.518181818181819</v>
      </c>
      <c r="V116" s="379">
        <f t="shared" ca="1" si="199"/>
        <v>20.518181818181819</v>
      </c>
      <c r="W116" s="483">
        <v>0.17329999999999904</v>
      </c>
      <c r="X116" s="166" t="str">
        <f t="shared" ca="1" si="200"/>
        <v/>
      </c>
      <c r="Y116" s="91">
        <f t="shared" ca="1" si="208"/>
        <v>1.3945242718425893E-3</v>
      </c>
      <c r="Z116" s="91">
        <f t="shared" ca="1" si="209"/>
        <v>4.7371876515740465E-4</v>
      </c>
      <c r="AA116" s="91">
        <f t="shared" ca="1" si="210"/>
        <v>1.6763059464638364E-4</v>
      </c>
      <c r="AB116" s="91">
        <f t="shared" ca="1" si="211"/>
        <v>3.776382036193851E-4</v>
      </c>
      <c r="AC116" s="91">
        <f t="shared" ca="1" si="212"/>
        <v>1.0671936341466659E-3</v>
      </c>
      <c r="AD116" s="91">
        <f t="shared" ca="1" si="213"/>
        <v>3.141584279606893E-3</v>
      </c>
      <c r="AE116" s="124">
        <v>7.3705515542668007E-2</v>
      </c>
      <c r="AF116" s="191">
        <f t="shared" ca="1" si="161"/>
        <v>0.50928234617106094</v>
      </c>
      <c r="AG116" s="189">
        <f t="shared" ca="1" si="207"/>
        <v>1</v>
      </c>
      <c r="AH116" s="192">
        <f t="shared" ca="1" si="201"/>
        <v>0</v>
      </c>
      <c r="AI116" s="192">
        <f t="shared" ca="1" si="202"/>
        <v>0</v>
      </c>
      <c r="AJ116" s="192">
        <f t="shared" ca="1" si="203"/>
        <v>0</v>
      </c>
      <c r="AK116" s="192">
        <f t="shared" ca="1" si="204"/>
        <v>0</v>
      </c>
      <c r="AL116" s="191" t="str">
        <f t="shared" ca="1" si="162"/>
        <v/>
      </c>
      <c r="AM116" s="191" t="str">
        <f t="shared" ca="1" si="163"/>
        <v/>
      </c>
      <c r="AN116" s="191" t="str">
        <f t="shared" ca="1" si="164"/>
        <v/>
      </c>
      <c r="AO116" s="193" t="str">
        <f t="shared" ca="1" si="165"/>
        <v/>
      </c>
      <c r="AP116" s="194" t="str">
        <f t="shared" ca="1" si="135"/>
        <v/>
      </c>
      <c r="AQ116" s="194" t="str">
        <f t="shared" ca="1" si="136"/>
        <v/>
      </c>
      <c r="AR116" s="195">
        <f ca="1">IF(AH116,_xll.xASN(AL116,Strike1,AE116,AP116,0,N116,0,P116,Q116,IF(OptControl=4,0,1),0),0)</f>
        <v>0</v>
      </c>
      <c r="AS116" s="196">
        <f ca="1">IF(AH116,_xll.xASN(AL116,Strike1,AE116,AP116,0,N116,0,P116,Q116,IF(OptControl=4,0,1),1),0)</f>
        <v>0</v>
      </c>
      <c r="AT116" s="196">
        <f ca="1">IF(AH116,_xll.xASN(AL116,Strike1,AE116,AP116,0,N116,0,P116,Q116,IF(OptControl=4,0,1),2),0)</f>
        <v>0</v>
      </c>
      <c r="AU116" s="196">
        <f ca="1">IF(AH116,_xll.xASN(AL116,Strike1,AE116,AP116,0,N116,0,P116,Q116,IF(OptControl=4,0,1),3)/100,0)</f>
        <v>0</v>
      </c>
      <c r="AV116" s="196">
        <f ca="1">IF(AH116,_xll.xASN(AL116,Strike1,AE116,AP116,0,N116,0,P116-DaysForThetaCalculation/365.25,Q116-DaysForThetaCalculation/365.25,IF(OptControl=4,0,1),0)-_xll.xASN(AL116,Strike1,AE116,AP116,0,N116,0,P116,Q116,IF(OptControl=4,0,1),0),0)</f>
        <v>0</v>
      </c>
      <c r="AW116" s="196">
        <f ca="1">IF(AH116,_xll.xASN(AL116,Strike2,AE116,AQ116,0,N116,0,P116,Q116,IF(OptControl=3,1,0),0),0)</f>
        <v>0</v>
      </c>
      <c r="AX116" s="196">
        <f ca="1">IF(AH116,_xll.xASN(AL116,Strike2,AE116,AQ116,0,N116,0,P116,Q116,IF(OptControl=3,1,0),1),0)</f>
        <v>0</v>
      </c>
      <c r="AY116" s="196">
        <f ca="1">IF(AH116,_xll.xASN(AL116,Strike2,AE116,AQ116,0,N116,0,P116,Q116,IF(OptControl=3,1,0),2),0)</f>
        <v>0</v>
      </c>
      <c r="AZ116" s="196">
        <f ca="1">IF(AH116,_xll.xASN(AL116,Strike2,AE116,AQ116,0,N116,0,P116,Q116,IF(OptControl=3,1,0),3)/100,0)</f>
        <v>0</v>
      </c>
      <c r="BA116" s="196">
        <f ca="1">IF(AH116,_xll.xASN(AL116,Strike2,AE116,AQ116,0,N116,0,P116-DaysForThetaCalculation/365.25,Q116-DaysForThetaCalculation/365.25,IF(OptControl=3,1,0),0)-_xll.xASN(AL116,Strike2,AE116,AQ116,0,N116,0,P116,Q116,IF(OptControl=3,1,0),0),0)</f>
        <v>0</v>
      </c>
      <c r="BB116" s="126" t="str">
        <f t="shared" ca="1" si="166"/>
        <v/>
      </c>
      <c r="BC116" s="191" t="str">
        <f t="shared" ca="1" si="167"/>
        <v/>
      </c>
      <c r="BD116" s="191" t="str">
        <f t="shared" ca="1" si="168"/>
        <v/>
      </c>
      <c r="BE116" s="190" t="str">
        <f t="shared" ca="1" si="169"/>
        <v/>
      </c>
      <c r="BF116" s="194" t="str">
        <f t="shared" ca="1" si="170"/>
        <v/>
      </c>
      <c r="BG116" s="194" t="str">
        <f t="shared" ca="1" si="171"/>
        <v/>
      </c>
      <c r="BH116" s="195">
        <f ca="1">IF(AH116,_xll.xEURO(BB116,Strike1,AE116,AE116,BF116,O116,IF(OptControl=4,0,1),0),0)</f>
        <v>0</v>
      </c>
      <c r="BI116" s="196">
        <f ca="1">IF(AH116,_xll.xEURO(BB116,Strike1,AE116,AE116,BF116,O116,IF(OptControl=4,0,1),1),0)</f>
        <v>0</v>
      </c>
      <c r="BJ116" s="196">
        <f ca="1">IF(AH116,_xll.xEURO(BB116,Strike1,AE116,AE116,BF116,O116,IF(OptControl=4,0,1),2),0)</f>
        <v>0</v>
      </c>
      <c r="BK116" s="196">
        <f ca="1">IF(AH116,_xll.xEURO(BB116,Strike1,AE116,AE116,BF116,O116,IF(OptControl=4,0,1),3)/100,0)</f>
        <v>0</v>
      </c>
      <c r="BL116" s="196">
        <f ca="1">IF(AH116,_xll.xEURO(BB116,Strike1,AE116,AE116,BF116,O116-DaysForThetaCalculation,IF(OptControl=4,0,1),0)-_xll.xEURO(BB116,Strike1,AE116,AE116,BF116,O116,IF(OptControl=4,0,1),0),0)</f>
        <v>0</v>
      </c>
      <c r="BM116" s="196">
        <f ca="1">IF(AH116,_xll.xEURO(BB116,Strike2,AE116,AE116,BG116,O116,IF(OptControl=3,1,0),0),0)</f>
        <v>0</v>
      </c>
      <c r="BN116" s="196">
        <f ca="1">IF(AH116,_xll.xEURO(BB116,Strike2,AE116,AE116,BG116,O116,IF(OptControl=3,1,0),1),0)</f>
        <v>0</v>
      </c>
      <c r="BO116" s="196">
        <f ca="1">IF(AH116,_xll.xEURO(BB116,Strike2,AE116,AE116,BG116,O116,IF(OptControl=3,1,0),2),0)</f>
        <v>0</v>
      </c>
      <c r="BP116" s="196">
        <f ca="1">IF(AH116,_xll.xEURO(BB116,Strike2,AE116,AE116,BG116,O116,IF(OptControl=3,1,0),3)/100,0)</f>
        <v>0</v>
      </c>
      <c r="BQ116" s="197">
        <f ca="1">IF(AH116,_xll.xEURO(BB116,Strike2,AE116,AE116,BG116,O116-DaysForThetaCalculation,IF(OptControl=3,1,0),0)-_xll.xEURO(BB116,Strike2,AE116,AE116,BG116,O116,IF(OptControl=3,1,0),0),0)</f>
        <v>0</v>
      </c>
      <c r="BR116" s="301"/>
      <c r="BS116" s="114"/>
      <c r="BT116" s="345">
        <f t="shared" si="137"/>
        <v>0</v>
      </c>
      <c r="BU116" s="345">
        <f t="shared" ca="1" si="185"/>
        <v>-20.518181818181819</v>
      </c>
      <c r="BV116" s="73"/>
      <c r="BW116" s="345">
        <f t="shared" ca="1" si="182"/>
        <v>8.4236666666666711</v>
      </c>
      <c r="BX116" s="345">
        <f t="shared" ca="1" si="186"/>
        <v>69.924282756580894</v>
      </c>
      <c r="BY116" s="373">
        <f t="shared" ca="1" si="138"/>
        <v>68.909163059163077</v>
      </c>
      <c r="BZ116" s="114"/>
      <c r="CA116" s="345">
        <f t="shared" si="139"/>
        <v>0</v>
      </c>
      <c r="CB116" s="345">
        <f t="shared" ca="1" si="187"/>
        <v>-20.518181818181819</v>
      </c>
      <c r="CC116" s="345">
        <f t="shared" ca="1" si="183"/>
        <v>5.7986666666666746</v>
      </c>
      <c r="CD116" s="345">
        <f t="shared" ca="1" si="140"/>
        <v>62.659163059163077</v>
      </c>
      <c r="CE116" s="347">
        <f t="shared" ca="1" si="172"/>
        <v>-6.25</v>
      </c>
      <c r="CF116" s="114"/>
      <c r="CG116" s="345">
        <f t="shared" si="141"/>
        <v>0</v>
      </c>
      <c r="CH116" s="345">
        <f t="shared" ca="1" si="142"/>
        <v>-20.518181818181819</v>
      </c>
      <c r="CI116" s="73"/>
      <c r="CJ116" s="345">
        <f t="shared" ca="1" si="190"/>
        <v>3.0970000000000013</v>
      </c>
      <c r="CK116" s="345">
        <f t="shared" ca="1" si="184"/>
        <v>55.91993493049393</v>
      </c>
      <c r="CL116" s="345">
        <f t="shared" ca="1" si="143"/>
        <v>56.226623376623387</v>
      </c>
      <c r="CM116" s="114"/>
      <c r="CN116" s="345">
        <f t="shared" si="144"/>
        <v>0</v>
      </c>
      <c r="CO116" s="345">
        <f t="shared" ca="1" si="145"/>
        <v>-20.518181818181819</v>
      </c>
      <c r="CP116" s="345">
        <f t="shared" ca="1" si="192"/>
        <v>2.1729999999999983</v>
      </c>
      <c r="CQ116" s="345">
        <f t="shared" ca="1" si="146"/>
        <v>54.026623376623377</v>
      </c>
      <c r="CR116" s="347">
        <f t="shared" ca="1" si="173"/>
        <v>-2.2000000000000099</v>
      </c>
      <c r="CS116" s="114"/>
      <c r="CT116" s="345">
        <f t="shared" si="147"/>
        <v>0</v>
      </c>
      <c r="CU116" s="345">
        <f t="shared" si="174"/>
        <v>0</v>
      </c>
      <c r="CV116" s="345">
        <f t="shared" ca="1" si="191"/>
        <v>1.7999999999999938</v>
      </c>
      <c r="CW116" s="347">
        <f t="shared" ca="1" si="175"/>
        <v>58.026623376623384</v>
      </c>
      <c r="CX116" s="483"/>
      <c r="CY116" s="190">
        <f t="shared" si="148"/>
        <v>-0.17329999999999904</v>
      </c>
      <c r="CZ116" s="190">
        <f t="shared" ca="1" si="180"/>
        <v>-0.03</v>
      </c>
      <c r="DA116" s="354">
        <f t="shared" ca="1" si="149"/>
        <v>0.14329999999999904</v>
      </c>
      <c r="DB116" s="483"/>
      <c r="DC116" s="190">
        <f t="shared" si="150"/>
        <v>-0.17329999999999904</v>
      </c>
      <c r="DD116" s="190">
        <f t="shared" ca="1" si="181"/>
        <v>0.03</v>
      </c>
      <c r="DE116" s="354">
        <f t="shared" ca="1" si="151"/>
        <v>0.20329999999999904</v>
      </c>
      <c r="DG116" s="341"/>
      <c r="DH116" s="114"/>
      <c r="DI116" s="126">
        <f t="shared" ca="1" si="176"/>
        <v>-20.518181818181819</v>
      </c>
      <c r="DJ116" s="126">
        <f t="shared" ca="1" si="124"/>
        <v>-2</v>
      </c>
      <c r="DK116" s="356">
        <f t="shared" ca="1" si="125"/>
        <v>18.518181818181819</v>
      </c>
      <c r="DL116" s="114"/>
      <c r="DM116" s="126">
        <f t="shared" ca="1" si="177"/>
        <v>-20.518181818181819</v>
      </c>
      <c r="DN116" s="126">
        <f t="shared" ca="1" si="152"/>
        <v>-3</v>
      </c>
      <c r="DO116" s="356">
        <f t="shared" ca="1" si="126"/>
        <v>17.518181818181819</v>
      </c>
      <c r="DP116" s="114"/>
      <c r="DQ116" s="126">
        <f t="shared" ca="1" si="178"/>
        <v>-20.518181818181819</v>
      </c>
      <c r="DR116" s="126">
        <f t="shared" ca="1" si="153"/>
        <v>-6</v>
      </c>
      <c r="DS116" s="356">
        <f t="shared" ca="1" si="127"/>
        <v>14.518181818181819</v>
      </c>
      <c r="DT116" s="114"/>
      <c r="DU116" s="126">
        <f t="shared" ca="1" si="179"/>
        <v>-20.518181818181819</v>
      </c>
      <c r="DV116" s="126">
        <f t="shared" ca="1" si="154"/>
        <v>-5</v>
      </c>
      <c r="DW116" s="356">
        <f t="shared" ca="1" si="128"/>
        <v>15.518181818181819</v>
      </c>
    </row>
    <row r="117" spans="2:127" x14ac:dyDescent="0.25">
      <c r="B117" s="396">
        <v>39114</v>
      </c>
      <c r="C117" s="400">
        <v>39104</v>
      </c>
      <c r="I117" s="136">
        <f t="shared" ca="1" si="205"/>
        <v>40360</v>
      </c>
      <c r="J117" s="131">
        <f t="shared" ca="1" si="130"/>
        <v>40349</v>
      </c>
      <c r="K117" s="106">
        <f t="shared" ca="1" si="206"/>
        <v>0.63636363636363635</v>
      </c>
      <c r="L117" s="133">
        <f t="shared" ca="1" si="193"/>
        <v>110</v>
      </c>
      <c r="M117" s="134">
        <f t="shared" ca="1" si="194"/>
        <v>7</v>
      </c>
      <c r="N117" s="103">
        <f t="shared" ca="1" si="197"/>
        <v>22</v>
      </c>
      <c r="O117" s="104">
        <f t="shared" ca="1" si="132"/>
        <v>3400</v>
      </c>
      <c r="P117" s="105">
        <f t="shared" ca="1" si="195"/>
        <v>9.3251197809719368</v>
      </c>
      <c r="Q117" s="105">
        <f t="shared" ca="1" si="196"/>
        <v>9.4072553045859006</v>
      </c>
      <c r="R117" s="114">
        <v>20.5</v>
      </c>
      <c r="S117" s="198">
        <v>0</v>
      </c>
      <c r="T117" s="189">
        <f t="shared" si="133"/>
        <v>20.5</v>
      </c>
      <c r="U117" s="199">
        <f t="shared" ca="1" si="198"/>
        <v>20.56818181818182</v>
      </c>
      <c r="V117" s="379">
        <f t="shared" ca="1" si="199"/>
        <v>20.56818181818182</v>
      </c>
      <c r="W117" s="483">
        <v>0.17289999999999903</v>
      </c>
      <c r="X117" s="166" t="str">
        <f t="shared" ca="1" si="200"/>
        <v/>
      </c>
      <c r="Y117" s="91">
        <f t="shared" ca="1" si="208"/>
        <v>1.3646696281524415E-3</v>
      </c>
      <c r="Z117" s="91">
        <f t="shared" ca="1" si="209"/>
        <v>4.6109515065656157E-4</v>
      </c>
      <c r="AA117" s="91">
        <f t="shared" ca="1" si="210"/>
        <v>1.6272605122678746E-4</v>
      </c>
      <c r="AB117" s="91">
        <f t="shared" ca="1" si="211"/>
        <v>3.6658924820371898E-4</v>
      </c>
      <c r="AC117" s="91">
        <f t="shared" ca="1" si="212"/>
        <v>1.0387551553991661E-3</v>
      </c>
      <c r="AD117" s="91">
        <f t="shared" ca="1" si="213"/>
        <v>3.074327738301727E-3</v>
      </c>
      <c r="AE117" s="124">
        <v>7.3712860772008004E-2</v>
      </c>
      <c r="AF117" s="191">
        <f t="shared" ca="1" si="161"/>
        <v>0.50612962124357264</v>
      </c>
      <c r="AG117" s="189">
        <f t="shared" ca="1" si="207"/>
        <v>1</v>
      </c>
      <c r="AH117" s="192">
        <f t="shared" ca="1" si="201"/>
        <v>0</v>
      </c>
      <c r="AI117" s="192">
        <f t="shared" ref="AI117:AI132" ca="1" si="214">AH117*AF117</f>
        <v>0</v>
      </c>
      <c r="AJ117" s="192">
        <f t="shared" ca="1" si="203"/>
        <v>0</v>
      </c>
      <c r="AK117" s="192">
        <f t="shared" ref="AK117:AK132" ca="1" si="215">AJ117*AF117</f>
        <v>0</v>
      </c>
      <c r="AL117" s="191" t="str">
        <f t="shared" ca="1" si="162"/>
        <v/>
      </c>
      <c r="AM117" s="191" t="str">
        <f t="shared" ca="1" si="163"/>
        <v/>
      </c>
      <c r="AN117" s="191" t="str">
        <f t="shared" ca="1" si="164"/>
        <v/>
      </c>
      <c r="AO117" s="193" t="str">
        <f t="shared" ca="1" si="165"/>
        <v/>
      </c>
      <c r="AP117" s="194" t="str">
        <f t="shared" ca="1" si="135"/>
        <v/>
      </c>
      <c r="AQ117" s="194" t="str">
        <f t="shared" ca="1" si="136"/>
        <v/>
      </c>
      <c r="AR117" s="195">
        <f ca="1">IF(AH117,_xll.xASN(AL117,Strike1,AE117,AP117,0,N117,0,P117,Q117,IF(OptControl=4,0,1),0),0)</f>
        <v>0</v>
      </c>
      <c r="AS117" s="196">
        <f ca="1">IF(AH117,_xll.xASN(AL117,Strike1,AE117,AP117,0,N117,0,P117,Q117,IF(OptControl=4,0,1),1),0)</f>
        <v>0</v>
      </c>
      <c r="AT117" s="196">
        <f ca="1">IF(AH117,_xll.xASN(AL117,Strike1,AE117,AP117,0,N117,0,P117,Q117,IF(OptControl=4,0,1),2),0)</f>
        <v>0</v>
      </c>
      <c r="AU117" s="196">
        <f ca="1">IF(AH117,_xll.xASN(AL117,Strike1,AE117,AP117,0,N117,0,P117,Q117,IF(OptControl=4,0,1),3)/100,0)</f>
        <v>0</v>
      </c>
      <c r="AV117" s="196">
        <f ca="1">IF(AH117,_xll.xASN(AL117,Strike1,AE117,AP117,0,N117,0,P117-DaysForThetaCalculation/365.25,Q117-DaysForThetaCalculation/365.25,IF(OptControl=4,0,1),0)-_xll.xASN(AL117,Strike1,AE117,AP117,0,N117,0,P117,Q117,IF(OptControl=4,0,1),0),0)</f>
        <v>0</v>
      </c>
      <c r="AW117" s="196">
        <f ca="1">IF(AH117,_xll.xASN(AL117,Strike2,AE117,AQ117,0,N117,0,P117,Q117,IF(OptControl=3,1,0),0),0)</f>
        <v>0</v>
      </c>
      <c r="AX117" s="196">
        <f ca="1">IF(AH117,_xll.xASN(AL117,Strike2,AE117,AQ117,0,N117,0,P117,Q117,IF(OptControl=3,1,0),1),0)</f>
        <v>0</v>
      </c>
      <c r="AY117" s="196">
        <f ca="1">IF(AH117,_xll.xASN(AL117,Strike2,AE117,AQ117,0,N117,0,P117,Q117,IF(OptControl=3,1,0),2),0)</f>
        <v>0</v>
      </c>
      <c r="AZ117" s="196">
        <f ca="1">IF(AH117,_xll.xASN(AL117,Strike2,AE117,AQ117,0,N117,0,P117,Q117,IF(OptControl=3,1,0),3)/100,0)</f>
        <v>0</v>
      </c>
      <c r="BA117" s="196">
        <f ca="1">IF(AH117,_xll.xASN(AL117,Strike2,AE117,AQ117,0,N117,0,P117-DaysForThetaCalculation/365.25,Q117-DaysForThetaCalculation/365.25,IF(OptControl=3,1,0),0)-_xll.xASN(AL117,Strike2,AE117,AQ117,0,N117,0,P117,Q117,IF(OptControl=3,1,0),0),0)</f>
        <v>0</v>
      </c>
      <c r="BB117" s="126" t="str">
        <f t="shared" ca="1" si="166"/>
        <v/>
      </c>
      <c r="BC117" s="191" t="str">
        <f t="shared" ca="1" si="167"/>
        <v/>
      </c>
      <c r="BD117" s="191" t="str">
        <f t="shared" ca="1" si="168"/>
        <v/>
      </c>
      <c r="BE117" s="190" t="str">
        <f t="shared" ca="1" si="169"/>
        <v/>
      </c>
      <c r="BF117" s="194" t="str">
        <f t="shared" ca="1" si="170"/>
        <v/>
      </c>
      <c r="BG117" s="194" t="str">
        <f t="shared" ca="1" si="171"/>
        <v/>
      </c>
      <c r="BH117" s="195">
        <f ca="1">IF(AH117,_xll.xEURO(BB117,Strike1,AE117,AE117,BF117,O117,IF(OptControl=4,0,1),0),0)</f>
        <v>0</v>
      </c>
      <c r="BI117" s="196">
        <f ca="1">IF(AH117,_xll.xEURO(BB117,Strike1,AE117,AE117,BF117,O117,IF(OptControl=4,0,1),1),0)</f>
        <v>0</v>
      </c>
      <c r="BJ117" s="196">
        <f ca="1">IF(AH117,_xll.xEURO(BB117,Strike1,AE117,AE117,BF117,O117,IF(OptControl=4,0,1),2),0)</f>
        <v>0</v>
      </c>
      <c r="BK117" s="196">
        <f ca="1">IF(AH117,_xll.xEURO(BB117,Strike1,AE117,AE117,BF117,O117,IF(OptControl=4,0,1),3)/100,0)</f>
        <v>0</v>
      </c>
      <c r="BL117" s="196">
        <f ca="1">IF(AH117,_xll.xEURO(BB117,Strike1,AE117,AE117,BF117,O117-DaysForThetaCalculation,IF(OptControl=4,0,1),0)-_xll.xEURO(BB117,Strike1,AE117,AE117,BF117,O117,IF(OptControl=4,0,1),0),0)</f>
        <v>0</v>
      </c>
      <c r="BM117" s="196">
        <f ca="1">IF(AH117,_xll.xEURO(BB117,Strike2,AE117,AE117,BG117,O117,IF(OptControl=3,1,0),0),0)</f>
        <v>0</v>
      </c>
      <c r="BN117" s="196">
        <f ca="1">IF(AH117,_xll.xEURO(BB117,Strike2,AE117,AE117,BG117,O117,IF(OptControl=3,1,0),1),0)</f>
        <v>0</v>
      </c>
      <c r="BO117" s="196">
        <f ca="1">IF(AH117,_xll.xEURO(BB117,Strike2,AE117,AE117,BG117,O117,IF(OptControl=3,1,0),2),0)</f>
        <v>0</v>
      </c>
      <c r="BP117" s="196">
        <f ca="1">IF(AH117,_xll.xEURO(BB117,Strike2,AE117,AE117,BG117,O117,IF(OptControl=3,1,0),3)/100,0)</f>
        <v>0</v>
      </c>
      <c r="BQ117" s="197">
        <f ca="1">IF(AH117,_xll.xEURO(BB117,Strike2,AE117,AE117,BG117,O117-DaysForThetaCalculation,IF(OptControl=3,1,0),0)-_xll.xEURO(BB117,Strike2,AE117,AE117,BG117,O117,IF(OptControl=3,1,0),0),0)</f>
        <v>0</v>
      </c>
      <c r="BR117" s="301"/>
      <c r="BS117" s="114"/>
      <c r="BT117" s="345">
        <f t="shared" si="137"/>
        <v>0</v>
      </c>
      <c r="BU117" s="345">
        <f t="shared" ca="1" si="185"/>
        <v>-20.56818181818182</v>
      </c>
      <c r="BV117" s="73"/>
      <c r="BW117" s="345">
        <f t="shared" ca="1" si="182"/>
        <v>7.883363636363649</v>
      </c>
      <c r="BX117" s="345">
        <f t="shared" ca="1" si="186"/>
        <v>68.909163059163077</v>
      </c>
      <c r="BY117" s="373">
        <f t="shared" ca="1" si="138"/>
        <v>67.741774891774924</v>
      </c>
      <c r="BZ117" s="114"/>
      <c r="CA117" s="345">
        <f t="shared" si="139"/>
        <v>0</v>
      </c>
      <c r="CB117" s="345">
        <f t="shared" ca="1" si="187"/>
        <v>-20.56818181818182</v>
      </c>
      <c r="CC117" s="345">
        <f t="shared" ca="1" si="183"/>
        <v>5.4683636363636463</v>
      </c>
      <c r="CD117" s="345">
        <f t="shared" ca="1" si="140"/>
        <v>61.991774891774924</v>
      </c>
      <c r="CE117" s="347">
        <f t="shared" ca="1" si="172"/>
        <v>-5.75</v>
      </c>
      <c r="CF117" s="114"/>
      <c r="CG117" s="345">
        <f t="shared" si="141"/>
        <v>0</v>
      </c>
      <c r="CH117" s="345">
        <f t="shared" ca="1" si="142"/>
        <v>-20.56818181818182</v>
      </c>
      <c r="CI117" s="73"/>
      <c r="CJ117" s="345">
        <f t="shared" ca="1" si="190"/>
        <v>3.4360434782608742</v>
      </c>
      <c r="CK117" s="345">
        <f t="shared" ca="1" si="184"/>
        <v>56.226623376623387</v>
      </c>
      <c r="CL117" s="345">
        <f t="shared" ca="1" si="143"/>
        <v>57.152917372482612</v>
      </c>
      <c r="CM117" s="114"/>
      <c r="CN117" s="345">
        <f t="shared" si="144"/>
        <v>0</v>
      </c>
      <c r="CO117" s="345">
        <f t="shared" ca="1" si="145"/>
        <v>-20.56818181818182</v>
      </c>
      <c r="CP117" s="345">
        <f t="shared" ca="1" si="192"/>
        <v>2.5120434782608712</v>
      </c>
      <c r="CQ117" s="345">
        <f t="shared" ca="1" si="146"/>
        <v>54.952917372482595</v>
      </c>
      <c r="CR117" s="347">
        <f t="shared" ca="1" si="173"/>
        <v>-2.2000000000000171</v>
      </c>
      <c r="CS117" s="114"/>
      <c r="CT117" s="345">
        <f t="shared" si="147"/>
        <v>0</v>
      </c>
      <c r="CU117" s="345">
        <f t="shared" si="174"/>
        <v>0</v>
      </c>
      <c r="CV117" s="345">
        <f t="shared" ca="1" si="191"/>
        <v>1.7999999999999938</v>
      </c>
      <c r="CW117" s="347">
        <f t="shared" ca="1" si="175"/>
        <v>58.952917372482609</v>
      </c>
      <c r="CX117" s="483"/>
      <c r="CY117" s="190">
        <f t="shared" si="148"/>
        <v>-0.17289999999999903</v>
      </c>
      <c r="CZ117" s="190">
        <f t="shared" ca="1" si="180"/>
        <v>-0.03</v>
      </c>
      <c r="DA117" s="354">
        <f t="shared" ca="1" si="149"/>
        <v>0.14289999999999903</v>
      </c>
      <c r="DB117" s="483"/>
      <c r="DC117" s="190">
        <f t="shared" si="150"/>
        <v>-0.17289999999999903</v>
      </c>
      <c r="DD117" s="190">
        <f t="shared" ca="1" si="181"/>
        <v>0.03</v>
      </c>
      <c r="DE117" s="354">
        <f t="shared" ca="1" si="151"/>
        <v>0.20289999999999903</v>
      </c>
      <c r="DG117" s="341"/>
      <c r="DH117" s="114"/>
      <c r="DI117" s="126">
        <f t="shared" ca="1" si="176"/>
        <v>-20.56818181818182</v>
      </c>
      <c r="DJ117" s="126">
        <f t="shared" ca="1" si="124"/>
        <v>-2</v>
      </c>
      <c r="DK117" s="356">
        <f t="shared" ca="1" si="125"/>
        <v>18.56818181818182</v>
      </c>
      <c r="DL117" s="114"/>
      <c r="DM117" s="126">
        <f t="shared" ca="1" si="177"/>
        <v>-20.56818181818182</v>
      </c>
      <c r="DN117" s="126">
        <f t="shared" ca="1" si="152"/>
        <v>-3</v>
      </c>
      <c r="DO117" s="356">
        <f t="shared" ca="1" si="126"/>
        <v>17.56818181818182</v>
      </c>
      <c r="DP117" s="114"/>
      <c r="DQ117" s="126">
        <f t="shared" ca="1" si="178"/>
        <v>-20.56818181818182</v>
      </c>
      <c r="DR117" s="126">
        <f t="shared" ca="1" si="153"/>
        <v>-6</v>
      </c>
      <c r="DS117" s="356">
        <f t="shared" ca="1" si="127"/>
        <v>14.56818181818182</v>
      </c>
      <c r="DT117" s="114"/>
      <c r="DU117" s="126">
        <f t="shared" ca="1" si="179"/>
        <v>-20.56818181818182</v>
      </c>
      <c r="DV117" s="126">
        <f t="shared" ca="1" si="154"/>
        <v>-5</v>
      </c>
      <c r="DW117" s="356">
        <f t="shared" ca="1" si="128"/>
        <v>15.56818181818182</v>
      </c>
    </row>
    <row r="118" spans="2:127" x14ac:dyDescent="0.25">
      <c r="B118" s="396">
        <v>39142</v>
      </c>
      <c r="C118" s="400">
        <v>39133</v>
      </c>
      <c r="I118" s="136">
        <f t="shared" ca="1" si="205"/>
        <v>40391</v>
      </c>
      <c r="J118" s="131">
        <f t="shared" ca="1" si="130"/>
        <v>40379</v>
      </c>
      <c r="K118" s="106">
        <f t="shared" ca="1" si="206"/>
        <v>0.68181818181818177</v>
      </c>
      <c r="L118" s="133">
        <f t="shared" ca="1" si="193"/>
        <v>110</v>
      </c>
      <c r="M118" s="134">
        <f t="shared" ca="1" si="194"/>
        <v>8</v>
      </c>
      <c r="N118" s="103">
        <f t="shared" ca="1" si="197"/>
        <v>22</v>
      </c>
      <c r="O118" s="104">
        <f t="shared" ca="1" si="132"/>
        <v>3432</v>
      </c>
      <c r="P118" s="105">
        <f t="shared" ca="1" si="195"/>
        <v>9.4099931553730318</v>
      </c>
      <c r="Q118" s="105">
        <f t="shared" ca="1" si="196"/>
        <v>9.4921286789869956</v>
      </c>
      <c r="R118" s="114">
        <v>20.55</v>
      </c>
      <c r="S118" s="198">
        <v>0</v>
      </c>
      <c r="T118" s="189">
        <f t="shared" si="133"/>
        <v>20.55</v>
      </c>
      <c r="U118" s="199">
        <f t="shared" ca="1" si="198"/>
        <v>20.615909090909092</v>
      </c>
      <c r="V118" s="379">
        <f t="shared" ca="1" si="199"/>
        <v>20.615909090909092</v>
      </c>
      <c r="W118" s="483">
        <v>0.17249999999999904</v>
      </c>
      <c r="X118" s="166" t="str">
        <f t="shared" ca="1" si="200"/>
        <v/>
      </c>
      <c r="Y118" s="91">
        <f t="shared" ca="1" si="208"/>
        <v>1.3354541269769581E-3</v>
      </c>
      <c r="Z118" s="91">
        <f t="shared" ca="1" si="209"/>
        <v>4.4880792908499786E-4</v>
      </c>
      <c r="AA118" s="91">
        <f t="shared" ca="1" si="210"/>
        <v>1.579650051574539E-4</v>
      </c>
      <c r="AB118" s="91">
        <f t="shared" ca="1" si="211"/>
        <v>3.5586356361872449E-4</v>
      </c>
      <c r="AC118" s="91">
        <f t="shared" ca="1" si="212"/>
        <v>1.0110745026427469E-3</v>
      </c>
      <c r="AD118" s="91">
        <f t="shared" ca="1" si="213"/>
        <v>3.0085110572535966E-3</v>
      </c>
      <c r="AE118" s="124">
        <v>7.3720450842345006E-2</v>
      </c>
      <c r="AF118" s="191">
        <f t="shared" ca="1" si="161"/>
        <v>0.50299468116426549</v>
      </c>
      <c r="AG118" s="189">
        <f t="shared" ca="1" si="207"/>
        <v>1</v>
      </c>
      <c r="AH118" s="192">
        <f t="shared" ca="1" si="201"/>
        <v>0</v>
      </c>
      <c r="AI118" s="192">
        <f t="shared" ca="1" si="214"/>
        <v>0</v>
      </c>
      <c r="AJ118" s="192">
        <f t="shared" ca="1" si="203"/>
        <v>0</v>
      </c>
      <c r="AK118" s="192">
        <f t="shared" ca="1" si="215"/>
        <v>0</v>
      </c>
      <c r="AL118" s="191" t="str">
        <f t="shared" ca="1" si="162"/>
        <v/>
      </c>
      <c r="AM118" s="191" t="str">
        <f t="shared" ca="1" si="163"/>
        <v/>
      </c>
      <c r="AN118" s="191" t="str">
        <f t="shared" ca="1" si="164"/>
        <v/>
      </c>
      <c r="AO118" s="193" t="str">
        <f t="shared" ca="1" si="165"/>
        <v/>
      </c>
      <c r="AP118" s="194" t="str">
        <f t="shared" ca="1" si="135"/>
        <v/>
      </c>
      <c r="AQ118" s="194" t="str">
        <f t="shared" ca="1" si="136"/>
        <v/>
      </c>
      <c r="AR118" s="195">
        <f ca="1">IF(AH118,_xll.xASN(AL118,Strike1,AE118,AP118,0,N118,0,P118,Q118,IF(OptControl=4,0,1),0),0)</f>
        <v>0</v>
      </c>
      <c r="AS118" s="196">
        <f ca="1">IF(AH118,_xll.xASN(AL118,Strike1,AE118,AP118,0,N118,0,P118,Q118,IF(OptControl=4,0,1),1),0)</f>
        <v>0</v>
      </c>
      <c r="AT118" s="196">
        <f ca="1">IF(AH118,_xll.xASN(AL118,Strike1,AE118,AP118,0,N118,0,P118,Q118,IF(OptControl=4,0,1),2),0)</f>
        <v>0</v>
      </c>
      <c r="AU118" s="196">
        <f ca="1">IF(AH118,_xll.xASN(AL118,Strike1,AE118,AP118,0,N118,0,P118,Q118,IF(OptControl=4,0,1),3)/100,0)</f>
        <v>0</v>
      </c>
      <c r="AV118" s="196">
        <f ca="1">IF(AH118,_xll.xASN(AL118,Strike1,AE118,AP118,0,N118,0,P118-DaysForThetaCalculation/365.25,Q118-DaysForThetaCalculation/365.25,IF(OptControl=4,0,1),0)-_xll.xASN(AL118,Strike1,AE118,AP118,0,N118,0,P118,Q118,IF(OptControl=4,0,1),0),0)</f>
        <v>0</v>
      </c>
      <c r="AW118" s="196">
        <f ca="1">IF(AH118,_xll.xASN(AL118,Strike2,AE118,AQ118,0,N118,0,P118,Q118,IF(OptControl=3,1,0),0),0)</f>
        <v>0</v>
      </c>
      <c r="AX118" s="196">
        <f ca="1">IF(AH118,_xll.xASN(AL118,Strike2,AE118,AQ118,0,N118,0,P118,Q118,IF(OptControl=3,1,0),1),0)</f>
        <v>0</v>
      </c>
      <c r="AY118" s="196">
        <f ca="1">IF(AH118,_xll.xASN(AL118,Strike2,AE118,AQ118,0,N118,0,P118,Q118,IF(OptControl=3,1,0),2),0)</f>
        <v>0</v>
      </c>
      <c r="AZ118" s="196">
        <f ca="1">IF(AH118,_xll.xASN(AL118,Strike2,AE118,AQ118,0,N118,0,P118,Q118,IF(OptControl=3,1,0),3)/100,0)</f>
        <v>0</v>
      </c>
      <c r="BA118" s="196">
        <f ca="1">IF(AH118,_xll.xASN(AL118,Strike2,AE118,AQ118,0,N118,0,P118-DaysForThetaCalculation/365.25,Q118-DaysForThetaCalculation/365.25,IF(OptControl=3,1,0),0)-_xll.xASN(AL118,Strike2,AE118,AQ118,0,N118,0,P118,Q118,IF(OptControl=3,1,0),0),0)</f>
        <v>0</v>
      </c>
      <c r="BB118" s="126" t="str">
        <f t="shared" ca="1" si="166"/>
        <v/>
      </c>
      <c r="BC118" s="191" t="str">
        <f t="shared" ca="1" si="167"/>
        <v/>
      </c>
      <c r="BD118" s="191" t="str">
        <f t="shared" ca="1" si="168"/>
        <v/>
      </c>
      <c r="BE118" s="190" t="str">
        <f t="shared" ca="1" si="169"/>
        <v/>
      </c>
      <c r="BF118" s="194" t="str">
        <f t="shared" ca="1" si="170"/>
        <v/>
      </c>
      <c r="BG118" s="194" t="str">
        <f t="shared" ca="1" si="171"/>
        <v/>
      </c>
      <c r="BH118" s="195">
        <f ca="1">IF(AH118,_xll.xEURO(BB118,Strike1,AE118,AE118,BF118,O118,IF(OptControl=4,0,1),0),0)</f>
        <v>0</v>
      </c>
      <c r="BI118" s="196">
        <f ca="1">IF(AH118,_xll.xEURO(BB118,Strike1,AE118,AE118,BF118,O118,IF(OptControl=4,0,1),1),0)</f>
        <v>0</v>
      </c>
      <c r="BJ118" s="196">
        <f ca="1">IF(AH118,_xll.xEURO(BB118,Strike1,AE118,AE118,BF118,O118,IF(OptControl=4,0,1),2),0)</f>
        <v>0</v>
      </c>
      <c r="BK118" s="196">
        <f ca="1">IF(AH118,_xll.xEURO(BB118,Strike1,AE118,AE118,BF118,O118,IF(OptControl=4,0,1),3)/100,0)</f>
        <v>0</v>
      </c>
      <c r="BL118" s="196">
        <f ca="1">IF(AH118,_xll.xEURO(BB118,Strike1,AE118,AE118,BF118,O118-DaysForThetaCalculation,IF(OptControl=4,0,1),0)-_xll.xEURO(BB118,Strike1,AE118,AE118,BF118,O118,IF(OptControl=4,0,1),0),0)</f>
        <v>0</v>
      </c>
      <c r="BM118" s="196">
        <f ca="1">IF(AH118,_xll.xEURO(BB118,Strike2,AE118,AE118,BG118,O118,IF(OptControl=3,1,0),0),0)</f>
        <v>0</v>
      </c>
      <c r="BN118" s="196">
        <f ca="1">IF(AH118,_xll.xEURO(BB118,Strike2,AE118,AE118,BG118,O118,IF(OptControl=3,1,0),1),0)</f>
        <v>0</v>
      </c>
      <c r="BO118" s="196">
        <f ca="1">IF(AH118,_xll.xEURO(BB118,Strike2,AE118,AE118,BG118,O118,IF(OptControl=3,1,0),2),0)</f>
        <v>0</v>
      </c>
      <c r="BP118" s="196">
        <f ca="1">IF(AH118,_xll.xEURO(BB118,Strike2,AE118,AE118,BG118,O118,IF(OptControl=3,1,0),3)/100,0)</f>
        <v>0</v>
      </c>
      <c r="BQ118" s="197">
        <f ca="1">IF(AH118,_xll.xEURO(BB118,Strike2,AE118,AE118,BG118,O118-DaysForThetaCalculation,IF(OptControl=3,1,0),0)-_xll.xEURO(BB118,Strike2,AE118,AE118,BG118,O118,IF(OptControl=3,1,0),0),0)</f>
        <v>0</v>
      </c>
      <c r="BR118" s="301"/>
      <c r="BS118" s="114"/>
      <c r="BT118" s="345">
        <f t="shared" si="137"/>
        <v>0</v>
      </c>
      <c r="BU118" s="345">
        <f t="shared" ca="1" si="185"/>
        <v>-20.615909090909092</v>
      </c>
      <c r="BV118" s="73"/>
      <c r="BW118" s="345">
        <f t="shared" ca="1" si="182"/>
        <v>7.3818695652173911</v>
      </c>
      <c r="BX118" s="345">
        <f t="shared" ca="1" si="186"/>
        <v>67.741774891774924</v>
      </c>
      <c r="BY118" s="373">
        <f t="shared" ca="1" si="138"/>
        <v>66.6613777526821</v>
      </c>
      <c r="BZ118" s="114"/>
      <c r="CA118" s="345">
        <f t="shared" si="139"/>
        <v>0</v>
      </c>
      <c r="CB118" s="345">
        <f t="shared" ca="1" si="187"/>
        <v>-20.615909090909092</v>
      </c>
      <c r="CC118" s="345">
        <f t="shared" ca="1" si="183"/>
        <v>4.9668695652173911</v>
      </c>
      <c r="CD118" s="345">
        <f t="shared" ca="1" si="140"/>
        <v>60.911377752682107</v>
      </c>
      <c r="CE118" s="347">
        <f t="shared" ca="1" si="172"/>
        <v>-5.7499999999999929</v>
      </c>
      <c r="CF118" s="114"/>
      <c r="CG118" s="345">
        <f t="shared" si="141"/>
        <v>0</v>
      </c>
      <c r="CH118" s="345">
        <f t="shared" ca="1" si="142"/>
        <v>-20.615909090909092</v>
      </c>
      <c r="CI118" s="73"/>
      <c r="CJ118" s="345">
        <f t="shared" ca="1" si="190"/>
        <v>3.843454545454545</v>
      </c>
      <c r="CK118" s="345">
        <f t="shared" ca="1" si="184"/>
        <v>57.152917372482612</v>
      </c>
      <c r="CL118" s="345">
        <f t="shared" ca="1" si="143"/>
        <v>58.236580086580091</v>
      </c>
      <c r="CM118" s="114"/>
      <c r="CN118" s="345">
        <f t="shared" si="144"/>
        <v>0</v>
      </c>
      <c r="CO118" s="345">
        <f t="shared" ca="1" si="145"/>
        <v>-20.615909090909092</v>
      </c>
      <c r="CP118" s="345">
        <f t="shared" ca="1" si="192"/>
        <v>2.9194545454545455</v>
      </c>
      <c r="CQ118" s="345">
        <f t="shared" ca="1" si="146"/>
        <v>56.036580086580088</v>
      </c>
      <c r="CR118" s="347">
        <f t="shared" ca="1" si="173"/>
        <v>-2.2000000000000028</v>
      </c>
      <c r="CS118" s="114"/>
      <c r="CT118" s="345">
        <f t="shared" si="147"/>
        <v>0</v>
      </c>
      <c r="CU118" s="345">
        <f t="shared" si="174"/>
        <v>0</v>
      </c>
      <c r="CV118" s="345">
        <f t="shared" ca="1" si="191"/>
        <v>1.7999999999999938</v>
      </c>
      <c r="CW118" s="347">
        <f t="shared" ca="1" si="175"/>
        <v>60.036580086580088</v>
      </c>
      <c r="CX118" s="483"/>
      <c r="CY118" s="190">
        <f t="shared" si="148"/>
        <v>-0.17249999999999904</v>
      </c>
      <c r="CZ118" s="190">
        <f t="shared" ca="1" si="180"/>
        <v>-0.03</v>
      </c>
      <c r="DA118" s="354">
        <f t="shared" ca="1" si="149"/>
        <v>0.14249999999999904</v>
      </c>
      <c r="DB118" s="483"/>
      <c r="DC118" s="190">
        <f t="shared" si="150"/>
        <v>-0.17249999999999904</v>
      </c>
      <c r="DD118" s="190">
        <f t="shared" ca="1" si="181"/>
        <v>0.03</v>
      </c>
      <c r="DE118" s="354">
        <f t="shared" ca="1" si="151"/>
        <v>0.20249999999999904</v>
      </c>
      <c r="DG118" s="341"/>
      <c r="DH118" s="114"/>
      <c r="DI118" s="126">
        <f t="shared" ca="1" si="176"/>
        <v>-20.615909090909092</v>
      </c>
      <c r="DJ118" s="126">
        <f t="shared" ca="1" si="124"/>
        <v>-2</v>
      </c>
      <c r="DK118" s="356">
        <f t="shared" ca="1" si="125"/>
        <v>18.615909090909092</v>
      </c>
      <c r="DL118" s="114"/>
      <c r="DM118" s="126">
        <f t="shared" ca="1" si="177"/>
        <v>-20.615909090909092</v>
      </c>
      <c r="DN118" s="126">
        <f t="shared" ca="1" si="152"/>
        <v>-3</v>
      </c>
      <c r="DO118" s="356">
        <f t="shared" ca="1" si="126"/>
        <v>17.615909090909092</v>
      </c>
      <c r="DP118" s="114"/>
      <c r="DQ118" s="126">
        <f t="shared" ca="1" si="178"/>
        <v>-20.615909090909092</v>
      </c>
      <c r="DR118" s="126">
        <f t="shared" ca="1" si="153"/>
        <v>-6</v>
      </c>
      <c r="DS118" s="356">
        <f t="shared" ca="1" si="127"/>
        <v>14.615909090909092</v>
      </c>
      <c r="DT118" s="114"/>
      <c r="DU118" s="126">
        <f t="shared" ca="1" si="179"/>
        <v>-20.615909090909092</v>
      </c>
      <c r="DV118" s="126">
        <f t="shared" ca="1" si="154"/>
        <v>-5</v>
      </c>
      <c r="DW118" s="356">
        <f t="shared" ca="1" si="128"/>
        <v>15.615909090909092</v>
      </c>
    </row>
    <row r="119" spans="2:127" x14ac:dyDescent="0.25">
      <c r="B119" s="396">
        <v>39173</v>
      </c>
      <c r="C119" s="400">
        <v>39161</v>
      </c>
      <c r="I119" s="136">
        <f t="shared" ca="1" si="205"/>
        <v>40422</v>
      </c>
      <c r="J119" s="131">
        <f t="shared" ca="1" si="130"/>
        <v>40411</v>
      </c>
      <c r="K119" s="106">
        <f t="shared" ca="1" si="206"/>
        <v>0.63636363636363635</v>
      </c>
      <c r="L119" s="133">
        <f t="shared" ca="1" si="193"/>
        <v>110</v>
      </c>
      <c r="M119" s="134">
        <f t="shared" ca="1" si="194"/>
        <v>9</v>
      </c>
      <c r="N119" s="103">
        <f t="shared" ca="1" si="197"/>
        <v>22</v>
      </c>
      <c r="O119" s="104">
        <f t="shared" ca="1" si="132"/>
        <v>3462</v>
      </c>
      <c r="P119" s="105">
        <f t="shared" ca="1" si="195"/>
        <v>9.4948665297741268</v>
      </c>
      <c r="Q119" s="105">
        <f t="shared" ca="1" si="196"/>
        <v>9.5742642026009577</v>
      </c>
      <c r="R119" s="114">
        <v>20.6</v>
      </c>
      <c r="S119" s="198">
        <v>0</v>
      </c>
      <c r="T119" s="189">
        <f t="shared" si="133"/>
        <v>20.6</v>
      </c>
      <c r="U119" s="199">
        <f t="shared" ca="1" si="198"/>
        <v>20.668181818181818</v>
      </c>
      <c r="V119" s="379">
        <f t="shared" ca="1" si="199"/>
        <v>20.668181818181818</v>
      </c>
      <c r="W119" s="483">
        <v>0.172099999999999</v>
      </c>
      <c r="X119" s="166" t="str">
        <f t="shared" ca="1" si="200"/>
        <v/>
      </c>
      <c r="Y119" s="91">
        <f t="shared" ca="1" si="208"/>
        <v>1.306864085246989E-3</v>
      </c>
      <c r="Z119" s="91">
        <f t="shared" ca="1" si="209"/>
        <v>4.3684813627457755E-4</v>
      </c>
      <c r="AA119" s="91">
        <f t="shared" ca="1" si="210"/>
        <v>1.5334325798650462E-4</v>
      </c>
      <c r="AB119" s="91">
        <f t="shared" ca="1" si="211"/>
        <v>3.4545169159201015E-4</v>
      </c>
      <c r="AC119" s="91">
        <f t="shared" ca="1" si="212"/>
        <v>9.8413148139943145E-4</v>
      </c>
      <c r="AD119" s="91">
        <f t="shared" ca="1" si="213"/>
        <v>2.9441034112443211E-3</v>
      </c>
      <c r="AE119" s="124">
        <v>7.3728040912701021E-2</v>
      </c>
      <c r="AF119" s="191">
        <f t="shared" ca="1" si="161"/>
        <v>0.49997763583543464</v>
      </c>
      <c r="AG119" s="189">
        <f t="shared" ca="1" si="207"/>
        <v>1</v>
      </c>
      <c r="AH119" s="192">
        <f t="shared" ca="1" si="201"/>
        <v>0</v>
      </c>
      <c r="AI119" s="192">
        <f t="shared" ca="1" si="214"/>
        <v>0</v>
      </c>
      <c r="AJ119" s="192">
        <f t="shared" ca="1" si="203"/>
        <v>0</v>
      </c>
      <c r="AK119" s="192">
        <f t="shared" ca="1" si="215"/>
        <v>0</v>
      </c>
      <c r="AL119" s="191" t="str">
        <f t="shared" ca="1" si="162"/>
        <v/>
      </c>
      <c r="AM119" s="191" t="str">
        <f t="shared" ca="1" si="163"/>
        <v/>
      </c>
      <c r="AN119" s="191" t="str">
        <f t="shared" ca="1" si="164"/>
        <v/>
      </c>
      <c r="AO119" s="193" t="str">
        <f t="shared" ca="1" si="165"/>
        <v/>
      </c>
      <c r="AP119" s="194" t="str">
        <f t="shared" ca="1" si="135"/>
        <v/>
      </c>
      <c r="AQ119" s="194" t="str">
        <f t="shared" ca="1" si="136"/>
        <v/>
      </c>
      <c r="AR119" s="195">
        <f ca="1">IF(AH119,_xll.xASN(AL119,Strike1,AE119,AP119,0,N119,0,P119,Q119,IF(OptControl=4,0,1),0),0)</f>
        <v>0</v>
      </c>
      <c r="AS119" s="196">
        <f ca="1">IF(AH119,_xll.xASN(AL119,Strike1,AE119,AP119,0,N119,0,P119,Q119,IF(OptControl=4,0,1),1),0)</f>
        <v>0</v>
      </c>
      <c r="AT119" s="196">
        <f ca="1">IF(AH119,_xll.xASN(AL119,Strike1,AE119,AP119,0,N119,0,P119,Q119,IF(OptControl=4,0,1),2),0)</f>
        <v>0</v>
      </c>
      <c r="AU119" s="196">
        <f ca="1">IF(AH119,_xll.xASN(AL119,Strike1,AE119,AP119,0,N119,0,P119,Q119,IF(OptControl=4,0,1),3)/100,0)</f>
        <v>0</v>
      </c>
      <c r="AV119" s="196">
        <f ca="1">IF(AH119,_xll.xASN(AL119,Strike1,AE119,AP119,0,N119,0,P119-DaysForThetaCalculation/365.25,Q119-DaysForThetaCalculation/365.25,IF(OptControl=4,0,1),0)-_xll.xASN(AL119,Strike1,AE119,AP119,0,N119,0,P119,Q119,IF(OptControl=4,0,1),0),0)</f>
        <v>0</v>
      </c>
      <c r="AW119" s="196">
        <f ca="1">IF(AH119,_xll.xASN(AL119,Strike2,AE119,AQ119,0,N119,0,P119,Q119,IF(OptControl=3,1,0),0),0)</f>
        <v>0</v>
      </c>
      <c r="AX119" s="196">
        <f ca="1">IF(AH119,_xll.xASN(AL119,Strike2,AE119,AQ119,0,N119,0,P119,Q119,IF(OptControl=3,1,0),1),0)</f>
        <v>0</v>
      </c>
      <c r="AY119" s="196">
        <f ca="1">IF(AH119,_xll.xASN(AL119,Strike2,AE119,AQ119,0,N119,0,P119,Q119,IF(OptControl=3,1,0),2),0)</f>
        <v>0</v>
      </c>
      <c r="AZ119" s="196">
        <f ca="1">IF(AH119,_xll.xASN(AL119,Strike2,AE119,AQ119,0,N119,0,P119,Q119,IF(OptControl=3,1,0),3)/100,0)</f>
        <v>0</v>
      </c>
      <c r="BA119" s="196">
        <f ca="1">IF(AH119,_xll.xASN(AL119,Strike2,AE119,AQ119,0,N119,0,P119-DaysForThetaCalculation/365.25,Q119-DaysForThetaCalculation/365.25,IF(OptControl=3,1,0),0)-_xll.xASN(AL119,Strike2,AE119,AQ119,0,N119,0,P119,Q119,IF(OptControl=3,1,0),0),0)</f>
        <v>0</v>
      </c>
      <c r="BB119" s="126" t="str">
        <f t="shared" ca="1" si="166"/>
        <v/>
      </c>
      <c r="BC119" s="191" t="str">
        <f t="shared" ca="1" si="167"/>
        <v/>
      </c>
      <c r="BD119" s="191" t="str">
        <f t="shared" ca="1" si="168"/>
        <v/>
      </c>
      <c r="BE119" s="190" t="str">
        <f t="shared" ca="1" si="169"/>
        <v/>
      </c>
      <c r="BF119" s="194" t="str">
        <f t="shared" ca="1" si="170"/>
        <v/>
      </c>
      <c r="BG119" s="194" t="str">
        <f t="shared" ca="1" si="171"/>
        <v/>
      </c>
      <c r="BH119" s="195">
        <f ca="1">IF(AH119,_xll.xEURO(BB119,Strike1,AE119,AE119,BF119,O119,IF(OptControl=4,0,1),0),0)</f>
        <v>0</v>
      </c>
      <c r="BI119" s="196">
        <f ca="1">IF(AH119,_xll.xEURO(BB119,Strike1,AE119,AE119,BF119,O119,IF(OptControl=4,0,1),1),0)</f>
        <v>0</v>
      </c>
      <c r="BJ119" s="196">
        <f ca="1">IF(AH119,_xll.xEURO(BB119,Strike1,AE119,AE119,BF119,O119,IF(OptControl=4,0,1),2),0)</f>
        <v>0</v>
      </c>
      <c r="BK119" s="196">
        <f ca="1">IF(AH119,_xll.xEURO(BB119,Strike1,AE119,AE119,BF119,O119,IF(OptControl=4,0,1),3)/100,0)</f>
        <v>0</v>
      </c>
      <c r="BL119" s="196">
        <f ca="1">IF(AH119,_xll.xEURO(BB119,Strike1,AE119,AE119,BF119,O119-DaysForThetaCalculation,IF(OptControl=4,0,1),0)-_xll.xEURO(BB119,Strike1,AE119,AE119,BF119,O119,IF(OptControl=4,0,1),0),0)</f>
        <v>0</v>
      </c>
      <c r="BM119" s="196">
        <f ca="1">IF(AH119,_xll.xEURO(BB119,Strike2,AE119,AE119,BG119,O119,IF(OptControl=3,1,0),0),0)</f>
        <v>0</v>
      </c>
      <c r="BN119" s="196">
        <f ca="1">IF(AH119,_xll.xEURO(BB119,Strike2,AE119,AE119,BG119,O119,IF(OptControl=3,1,0),1),0)</f>
        <v>0</v>
      </c>
      <c r="BO119" s="196">
        <f ca="1">IF(AH119,_xll.xEURO(BB119,Strike2,AE119,AE119,BG119,O119,IF(OptControl=3,1,0),2),0)</f>
        <v>0</v>
      </c>
      <c r="BP119" s="196">
        <f ca="1">IF(AH119,_xll.xEURO(BB119,Strike2,AE119,AE119,BG119,O119,IF(OptControl=3,1,0),3)/100,0)</f>
        <v>0</v>
      </c>
      <c r="BQ119" s="197">
        <f ca="1">IF(AH119,_xll.xEURO(BB119,Strike2,AE119,AE119,BG119,O119-DaysForThetaCalculation,IF(OptControl=3,1,0),0)-_xll.xEURO(BB119,Strike2,AE119,AE119,BG119,O119,IF(OptControl=3,1,0),0),0)</f>
        <v>0</v>
      </c>
      <c r="BR119" s="301"/>
      <c r="BS119" s="114"/>
      <c r="BT119" s="345">
        <f t="shared" si="137"/>
        <v>0</v>
      </c>
      <c r="BU119" s="345">
        <f t="shared" ca="1" si="185"/>
        <v>-20.668181818181818</v>
      </c>
      <c r="BV119" s="73"/>
      <c r="BW119" s="345">
        <f t="shared" ca="1" si="182"/>
        <v>6.2990000000000048</v>
      </c>
      <c r="BX119" s="345">
        <f t="shared" ca="1" si="186"/>
        <v>66.6613777526821</v>
      </c>
      <c r="BY119" s="373">
        <f t="shared" ca="1" si="138"/>
        <v>64.207575757575768</v>
      </c>
      <c r="BZ119" s="114"/>
      <c r="CA119" s="345">
        <f t="shared" si="139"/>
        <v>0</v>
      </c>
      <c r="CB119" s="345">
        <f t="shared" ca="1" si="187"/>
        <v>-20.668181818181818</v>
      </c>
      <c r="CC119" s="345">
        <f t="shared" ca="1" si="183"/>
        <v>3.8840000000000017</v>
      </c>
      <c r="CD119" s="345">
        <f t="shared" ca="1" si="140"/>
        <v>58.457575757575754</v>
      </c>
      <c r="CE119" s="347">
        <f t="shared" ca="1" si="172"/>
        <v>-5.7500000000000142</v>
      </c>
      <c r="CF119" s="114"/>
      <c r="CG119" s="345">
        <f t="shared" si="141"/>
        <v>0</v>
      </c>
      <c r="CH119" s="345">
        <f t="shared" ca="1" si="142"/>
        <v>-20.668181818181818</v>
      </c>
      <c r="CI119" s="73"/>
      <c r="CJ119" s="345">
        <f t="shared" ca="1" si="190"/>
        <v>4.1910000000000007</v>
      </c>
      <c r="CK119" s="345">
        <f t="shared" ca="1" si="184"/>
        <v>58.236580086580091</v>
      </c>
      <c r="CL119" s="345">
        <f t="shared" ca="1" si="143"/>
        <v>59.188528138528142</v>
      </c>
      <c r="CM119" s="114"/>
      <c r="CN119" s="345">
        <f t="shared" si="144"/>
        <v>0</v>
      </c>
      <c r="CO119" s="345">
        <f t="shared" ca="1" si="145"/>
        <v>-20.668181818181818</v>
      </c>
      <c r="CP119" s="345">
        <f t="shared" ca="1" si="192"/>
        <v>3.3802857142857121</v>
      </c>
      <c r="CQ119" s="345">
        <f t="shared" ca="1" si="146"/>
        <v>57.258256029684595</v>
      </c>
      <c r="CR119" s="347">
        <f t="shared" ca="1" si="173"/>
        <v>-1.9302721088435462</v>
      </c>
      <c r="CS119" s="114"/>
      <c r="CT119" s="345">
        <f t="shared" si="147"/>
        <v>0</v>
      </c>
      <c r="CU119" s="345">
        <f t="shared" si="174"/>
        <v>0</v>
      </c>
      <c r="CV119" s="345">
        <f t="shared" ca="1" si="191"/>
        <v>1.800000000000008</v>
      </c>
      <c r="CW119" s="347">
        <f t="shared" ca="1" si="175"/>
        <v>60.988528138528153</v>
      </c>
      <c r="CX119" s="483"/>
      <c r="CY119" s="190">
        <f t="shared" si="148"/>
        <v>-0.172099999999999</v>
      </c>
      <c r="CZ119" s="190">
        <f t="shared" ca="1" si="180"/>
        <v>-0.03</v>
      </c>
      <c r="DA119" s="354">
        <f t="shared" ca="1" si="149"/>
        <v>0.142099999999999</v>
      </c>
      <c r="DB119" s="483"/>
      <c r="DC119" s="190">
        <f t="shared" si="150"/>
        <v>-0.172099999999999</v>
      </c>
      <c r="DD119" s="190">
        <f t="shared" ca="1" si="181"/>
        <v>0.03</v>
      </c>
      <c r="DE119" s="354">
        <f t="shared" ca="1" si="151"/>
        <v>0.202099999999999</v>
      </c>
      <c r="DG119" s="341"/>
      <c r="DH119" s="114"/>
      <c r="DI119" s="126">
        <f t="shared" ca="1" si="176"/>
        <v>-20.668181818181818</v>
      </c>
      <c r="DJ119" s="126">
        <f t="shared" ca="1" si="124"/>
        <v>-2</v>
      </c>
      <c r="DK119" s="356">
        <f t="shared" ca="1" si="125"/>
        <v>18.668181818181818</v>
      </c>
      <c r="DL119" s="114"/>
      <c r="DM119" s="126">
        <f t="shared" ca="1" si="177"/>
        <v>-20.668181818181818</v>
      </c>
      <c r="DN119" s="126">
        <f t="shared" ca="1" si="152"/>
        <v>-3</v>
      </c>
      <c r="DO119" s="356">
        <f t="shared" ca="1" si="126"/>
        <v>17.668181818181818</v>
      </c>
      <c r="DP119" s="114"/>
      <c r="DQ119" s="126">
        <f t="shared" ca="1" si="178"/>
        <v>-20.668181818181818</v>
      </c>
      <c r="DR119" s="126">
        <f t="shared" ca="1" si="153"/>
        <v>-6</v>
      </c>
      <c r="DS119" s="356">
        <f t="shared" ca="1" si="127"/>
        <v>14.668181818181818</v>
      </c>
      <c r="DT119" s="114"/>
      <c r="DU119" s="126">
        <f t="shared" ca="1" si="179"/>
        <v>-20.668181818181818</v>
      </c>
      <c r="DV119" s="126">
        <f t="shared" ca="1" si="154"/>
        <v>-5</v>
      </c>
      <c r="DW119" s="356">
        <f t="shared" ca="1" si="128"/>
        <v>15.668181818181818</v>
      </c>
    </row>
    <row r="120" spans="2:127" x14ac:dyDescent="0.25">
      <c r="B120" s="396">
        <v>39203</v>
      </c>
      <c r="C120" s="400">
        <v>39192</v>
      </c>
      <c r="I120" s="136">
        <f t="shared" ca="1" si="205"/>
        <v>40452</v>
      </c>
      <c r="J120" s="131">
        <f t="shared" ca="1" si="130"/>
        <v>40441</v>
      </c>
      <c r="K120" s="106">
        <f t="shared" ca="1" si="206"/>
        <v>0.76190476190476186</v>
      </c>
      <c r="L120" s="133">
        <f t="shared" ca="1" si="193"/>
        <v>110</v>
      </c>
      <c r="M120" s="134">
        <f t="shared" ca="1" si="194"/>
        <v>10</v>
      </c>
      <c r="N120" s="103">
        <f t="shared" ca="1" si="197"/>
        <v>21</v>
      </c>
      <c r="O120" s="104">
        <f t="shared" ca="1" si="132"/>
        <v>3494</v>
      </c>
      <c r="P120" s="105">
        <f t="shared" ca="1" si="195"/>
        <v>9.5770020533880906</v>
      </c>
      <c r="Q120" s="105">
        <f t="shared" ca="1" si="196"/>
        <v>9.6591375770020527</v>
      </c>
      <c r="R120" s="114">
        <v>20.65</v>
      </c>
      <c r="S120" s="198">
        <v>0</v>
      </c>
      <c r="T120" s="189">
        <f t="shared" si="133"/>
        <v>20.65</v>
      </c>
      <c r="U120" s="199">
        <f t="shared" ca="1" si="198"/>
        <v>20.711904761904762</v>
      </c>
      <c r="V120" s="379">
        <f t="shared" ca="1" si="199"/>
        <v>20.711904761904762</v>
      </c>
      <c r="W120" s="483">
        <v>0.17169999999999902</v>
      </c>
      <c r="X120" s="166" t="str">
        <f t="shared" ca="1" si="200"/>
        <v/>
      </c>
      <c r="Y120" s="91">
        <f t="shared" ca="1" si="208"/>
        <v>1.2788861128270842E-3</v>
      </c>
      <c r="Z120" s="91">
        <f t="shared" ca="1" si="209"/>
        <v>4.2520704693350053E-4</v>
      </c>
      <c r="AA120" s="91">
        <f t="shared" ca="1" si="210"/>
        <v>1.4885673410055373E-4</v>
      </c>
      <c r="AB120" s="91">
        <f t="shared" ca="1" si="211"/>
        <v>3.3534445058174017E-4</v>
      </c>
      <c r="AC120" s="91">
        <f t="shared" ca="1" si="212"/>
        <v>9.579064353318525E-4</v>
      </c>
      <c r="AD120" s="91">
        <f t="shared" ca="1" si="213"/>
        <v>2.8810746349767586E-3</v>
      </c>
      <c r="AE120" s="124">
        <v>7.3735386142096002E-2</v>
      </c>
      <c r="AF120" s="191">
        <f t="shared" ca="1" si="161"/>
        <v>0.49688070952312235</v>
      </c>
      <c r="AG120" s="189">
        <f t="shared" ca="1" si="207"/>
        <v>1</v>
      </c>
      <c r="AH120" s="192">
        <f t="shared" ca="1" si="201"/>
        <v>0</v>
      </c>
      <c r="AI120" s="192">
        <f t="shared" ca="1" si="214"/>
        <v>0</v>
      </c>
      <c r="AJ120" s="192">
        <f t="shared" ca="1" si="203"/>
        <v>0</v>
      </c>
      <c r="AK120" s="192">
        <f t="shared" ca="1" si="215"/>
        <v>0</v>
      </c>
      <c r="AL120" s="191" t="str">
        <f t="shared" ca="1" si="162"/>
        <v/>
      </c>
      <c r="AM120" s="191" t="str">
        <f t="shared" ca="1" si="163"/>
        <v/>
      </c>
      <c r="AN120" s="191" t="str">
        <f t="shared" ca="1" si="164"/>
        <v/>
      </c>
      <c r="AO120" s="193" t="str">
        <f t="shared" ca="1" si="165"/>
        <v/>
      </c>
      <c r="AP120" s="194" t="str">
        <f t="shared" ca="1" si="135"/>
        <v/>
      </c>
      <c r="AQ120" s="194" t="str">
        <f t="shared" ca="1" si="136"/>
        <v/>
      </c>
      <c r="AR120" s="195">
        <f ca="1">IF(AH120,_xll.xASN(AL120,Strike1,AE120,AP120,0,N120,0,P120,Q120,IF(OptControl=4,0,1),0),0)</f>
        <v>0</v>
      </c>
      <c r="AS120" s="196">
        <f ca="1">IF(AH120,_xll.xASN(AL120,Strike1,AE120,AP120,0,N120,0,P120,Q120,IF(OptControl=4,0,1),1),0)</f>
        <v>0</v>
      </c>
      <c r="AT120" s="196">
        <f ca="1">IF(AH120,_xll.xASN(AL120,Strike1,AE120,AP120,0,N120,0,P120,Q120,IF(OptControl=4,0,1),2),0)</f>
        <v>0</v>
      </c>
      <c r="AU120" s="196">
        <f ca="1">IF(AH120,_xll.xASN(AL120,Strike1,AE120,AP120,0,N120,0,P120,Q120,IF(OptControl=4,0,1),3)/100,0)</f>
        <v>0</v>
      </c>
      <c r="AV120" s="196">
        <f ca="1">IF(AH120,_xll.xASN(AL120,Strike1,AE120,AP120,0,N120,0,P120-DaysForThetaCalculation/365.25,Q120-DaysForThetaCalculation/365.25,IF(OptControl=4,0,1),0)-_xll.xASN(AL120,Strike1,AE120,AP120,0,N120,0,P120,Q120,IF(OptControl=4,0,1),0),0)</f>
        <v>0</v>
      </c>
      <c r="AW120" s="196">
        <f ca="1">IF(AH120,_xll.xASN(AL120,Strike2,AE120,AQ120,0,N120,0,P120,Q120,IF(OptControl=3,1,0),0),0)</f>
        <v>0</v>
      </c>
      <c r="AX120" s="196">
        <f ca="1">IF(AH120,_xll.xASN(AL120,Strike2,AE120,AQ120,0,N120,0,P120,Q120,IF(OptControl=3,1,0),1),0)</f>
        <v>0</v>
      </c>
      <c r="AY120" s="196">
        <f ca="1">IF(AH120,_xll.xASN(AL120,Strike2,AE120,AQ120,0,N120,0,P120,Q120,IF(OptControl=3,1,0),2),0)</f>
        <v>0</v>
      </c>
      <c r="AZ120" s="196">
        <f ca="1">IF(AH120,_xll.xASN(AL120,Strike2,AE120,AQ120,0,N120,0,P120,Q120,IF(OptControl=3,1,0),3)/100,0)</f>
        <v>0</v>
      </c>
      <c r="BA120" s="196">
        <f ca="1">IF(AH120,_xll.xASN(AL120,Strike2,AE120,AQ120,0,N120,0,P120-DaysForThetaCalculation/365.25,Q120-DaysForThetaCalculation/365.25,IF(OptControl=3,1,0),0)-_xll.xASN(AL120,Strike2,AE120,AQ120,0,N120,0,P120,Q120,IF(OptControl=3,1,0),0),0)</f>
        <v>0</v>
      </c>
      <c r="BB120" s="126" t="str">
        <f t="shared" ca="1" si="166"/>
        <v/>
      </c>
      <c r="BC120" s="191" t="str">
        <f t="shared" ca="1" si="167"/>
        <v/>
      </c>
      <c r="BD120" s="191" t="str">
        <f t="shared" ca="1" si="168"/>
        <v/>
      </c>
      <c r="BE120" s="190" t="str">
        <f t="shared" ca="1" si="169"/>
        <v/>
      </c>
      <c r="BF120" s="194" t="str">
        <f t="shared" ca="1" si="170"/>
        <v/>
      </c>
      <c r="BG120" s="194" t="str">
        <f t="shared" ca="1" si="171"/>
        <v/>
      </c>
      <c r="BH120" s="195">
        <f ca="1">IF(AH120,_xll.xEURO(BB120,Strike1,AE120,AE120,BF120,O120,IF(OptControl=4,0,1),0),0)</f>
        <v>0</v>
      </c>
      <c r="BI120" s="196">
        <f ca="1">IF(AH120,_xll.xEURO(BB120,Strike1,AE120,AE120,BF120,O120,IF(OptControl=4,0,1),1),0)</f>
        <v>0</v>
      </c>
      <c r="BJ120" s="196">
        <f ca="1">IF(AH120,_xll.xEURO(BB120,Strike1,AE120,AE120,BF120,O120,IF(OptControl=4,0,1),2),0)</f>
        <v>0</v>
      </c>
      <c r="BK120" s="196">
        <f ca="1">IF(AH120,_xll.xEURO(BB120,Strike1,AE120,AE120,BF120,O120,IF(OptControl=4,0,1),3)/100,0)</f>
        <v>0</v>
      </c>
      <c r="BL120" s="196">
        <f ca="1">IF(AH120,_xll.xEURO(BB120,Strike1,AE120,AE120,BF120,O120-DaysForThetaCalculation,IF(OptControl=4,0,1),0)-_xll.xEURO(BB120,Strike1,AE120,AE120,BF120,O120,IF(OptControl=4,0,1),0),0)</f>
        <v>0</v>
      </c>
      <c r="BM120" s="196">
        <f ca="1">IF(AH120,_xll.xEURO(BB120,Strike2,AE120,AE120,BG120,O120,IF(OptControl=3,1,0),0),0)</f>
        <v>0</v>
      </c>
      <c r="BN120" s="196">
        <f ca="1">IF(AH120,_xll.xEURO(BB120,Strike2,AE120,AE120,BG120,O120,IF(OptControl=3,1,0),1),0)</f>
        <v>0</v>
      </c>
      <c r="BO120" s="196">
        <f ca="1">IF(AH120,_xll.xEURO(BB120,Strike2,AE120,AE120,BG120,O120,IF(OptControl=3,1,0),2),0)</f>
        <v>0</v>
      </c>
      <c r="BP120" s="196">
        <f ca="1">IF(AH120,_xll.xEURO(BB120,Strike2,AE120,AE120,BG120,O120,IF(OptControl=3,1,0),3)/100,0)</f>
        <v>0</v>
      </c>
      <c r="BQ120" s="197">
        <f ca="1">IF(AH120,_xll.xEURO(BB120,Strike2,AE120,AE120,BG120,O120-DaysForThetaCalculation,IF(OptControl=3,1,0),0)-_xll.xEURO(BB120,Strike2,AE120,AE120,BG120,O120,IF(OptControl=3,1,0),0),0)</f>
        <v>0</v>
      </c>
      <c r="BR120" s="301"/>
      <c r="BS120" s="114"/>
      <c r="BT120" s="345">
        <f t="shared" si="137"/>
        <v>0</v>
      </c>
      <c r="BU120" s="345">
        <f t="shared" ca="1" si="185"/>
        <v>-20.711904761904762</v>
      </c>
      <c r="BV120" s="73"/>
      <c r="BW120" s="345">
        <f t="shared" ca="1" si="182"/>
        <v>5.8917826086956584</v>
      </c>
      <c r="BX120" s="345">
        <f t="shared" ca="1" si="186"/>
        <v>64.207575757575768</v>
      </c>
      <c r="BY120" s="373">
        <f t="shared" ca="1" si="138"/>
        <v>63.342112787143854</v>
      </c>
      <c r="BZ120" s="114"/>
      <c r="CA120" s="345">
        <f t="shared" si="139"/>
        <v>0</v>
      </c>
      <c r="CB120" s="345">
        <f t="shared" ca="1" si="187"/>
        <v>-20.711904761904762</v>
      </c>
      <c r="CC120" s="345">
        <f t="shared" ca="1" si="183"/>
        <v>3.5817826086956557</v>
      </c>
      <c r="CD120" s="345">
        <f t="shared" ca="1" si="140"/>
        <v>57.842112787143847</v>
      </c>
      <c r="CE120" s="347">
        <f t="shared" ca="1" si="172"/>
        <v>-5.5000000000000071</v>
      </c>
      <c r="CF120" s="114"/>
      <c r="CG120" s="345">
        <f t="shared" si="141"/>
        <v>0</v>
      </c>
      <c r="CH120" s="345">
        <f t="shared" ca="1" si="142"/>
        <v>-20.711904761904762</v>
      </c>
      <c r="CI120" s="73"/>
      <c r="CJ120" s="345">
        <f t="shared" ca="1" si="190"/>
        <v>4.7497826086956536</v>
      </c>
      <c r="CK120" s="345">
        <f t="shared" ca="1" si="184"/>
        <v>59.188528138528142</v>
      </c>
      <c r="CL120" s="345">
        <f t="shared" ca="1" si="143"/>
        <v>60.623065168096232</v>
      </c>
      <c r="CM120" s="114"/>
      <c r="CN120" s="345">
        <f t="shared" si="144"/>
        <v>0</v>
      </c>
      <c r="CO120" s="345">
        <f t="shared" ca="1" si="145"/>
        <v>-20.711904761904762</v>
      </c>
      <c r="CP120" s="345">
        <f t="shared" ca="1" si="192"/>
        <v>3.5527826086956522</v>
      </c>
      <c r="CQ120" s="345">
        <f t="shared" ca="1" si="146"/>
        <v>57.773065168096224</v>
      </c>
      <c r="CR120" s="347">
        <f t="shared" ca="1" si="173"/>
        <v>-2.8500000000000085</v>
      </c>
      <c r="CS120" s="114"/>
      <c r="CT120" s="345">
        <f t="shared" si="147"/>
        <v>0</v>
      </c>
      <c r="CU120" s="345">
        <f t="shared" si="174"/>
        <v>0</v>
      </c>
      <c r="CV120" s="345">
        <f t="shared" ca="1" si="191"/>
        <v>1.9500000000000079</v>
      </c>
      <c r="CW120" s="347">
        <f t="shared" ca="1" si="175"/>
        <v>62.573065168096242</v>
      </c>
      <c r="CX120" s="483"/>
      <c r="CY120" s="190">
        <f t="shared" si="148"/>
        <v>-0.17169999999999902</v>
      </c>
      <c r="CZ120" s="190">
        <f t="shared" ca="1" si="180"/>
        <v>-0.03</v>
      </c>
      <c r="DA120" s="354">
        <f t="shared" ca="1" si="149"/>
        <v>0.14169999999999902</v>
      </c>
      <c r="DB120" s="483"/>
      <c r="DC120" s="190">
        <f t="shared" si="150"/>
        <v>-0.17169999999999902</v>
      </c>
      <c r="DD120" s="190">
        <f t="shared" ca="1" si="181"/>
        <v>0.03</v>
      </c>
      <c r="DE120" s="354">
        <f t="shared" ca="1" si="151"/>
        <v>0.20169999999999902</v>
      </c>
      <c r="DG120" s="341"/>
      <c r="DH120" s="114"/>
      <c r="DI120" s="126">
        <f t="shared" ca="1" si="176"/>
        <v>-20.711904761904762</v>
      </c>
      <c r="DJ120" s="126">
        <f t="shared" ca="1" si="124"/>
        <v>-2</v>
      </c>
      <c r="DK120" s="356">
        <f t="shared" ca="1" si="125"/>
        <v>18.711904761904762</v>
      </c>
      <c r="DL120" s="114"/>
      <c r="DM120" s="126">
        <f t="shared" ca="1" si="177"/>
        <v>-20.711904761904762</v>
      </c>
      <c r="DN120" s="126">
        <f t="shared" ca="1" si="152"/>
        <v>-3</v>
      </c>
      <c r="DO120" s="356">
        <f t="shared" ca="1" si="126"/>
        <v>17.711904761904762</v>
      </c>
      <c r="DP120" s="114"/>
      <c r="DQ120" s="126">
        <f t="shared" ca="1" si="178"/>
        <v>-20.711904761904762</v>
      </c>
      <c r="DR120" s="126">
        <f t="shared" ca="1" si="153"/>
        <v>-6</v>
      </c>
      <c r="DS120" s="356">
        <f t="shared" ca="1" si="127"/>
        <v>14.711904761904762</v>
      </c>
      <c r="DT120" s="114"/>
      <c r="DU120" s="126">
        <f t="shared" ca="1" si="179"/>
        <v>-20.711904761904762</v>
      </c>
      <c r="DV120" s="126">
        <f t="shared" ca="1" si="154"/>
        <v>-5</v>
      </c>
      <c r="DW120" s="356">
        <f t="shared" ca="1" si="128"/>
        <v>15.711904761904762</v>
      </c>
    </row>
    <row r="121" spans="2:127" x14ac:dyDescent="0.25">
      <c r="B121" s="396">
        <v>39234</v>
      </c>
      <c r="C121" s="400">
        <v>39224</v>
      </c>
      <c r="I121" s="136">
        <f t="shared" ca="1" si="205"/>
        <v>40483</v>
      </c>
      <c r="J121" s="131">
        <f t="shared" ca="1" si="130"/>
        <v>40473</v>
      </c>
      <c r="K121" s="106">
        <f t="shared" ca="1" si="206"/>
        <v>0.68181818181818177</v>
      </c>
      <c r="L121" s="133">
        <f t="shared" ca="1" si="193"/>
        <v>110</v>
      </c>
      <c r="M121" s="134">
        <f t="shared" ca="1" si="194"/>
        <v>11</v>
      </c>
      <c r="N121" s="103">
        <f t="shared" ca="1" si="197"/>
        <v>22</v>
      </c>
      <c r="O121" s="104">
        <f t="shared" ca="1" si="132"/>
        <v>3523</v>
      </c>
      <c r="P121" s="105">
        <f t="shared" ca="1" si="195"/>
        <v>9.6618754277891856</v>
      </c>
      <c r="Q121" s="105">
        <f t="shared" ca="1" si="196"/>
        <v>9.7412731006160165</v>
      </c>
      <c r="R121" s="114">
        <v>20.7</v>
      </c>
      <c r="S121" s="198">
        <v>0</v>
      </c>
      <c r="T121" s="189">
        <f t="shared" si="133"/>
        <v>20.7</v>
      </c>
      <c r="U121" s="199">
        <f t="shared" ca="1" si="198"/>
        <v>20.765909090909091</v>
      </c>
      <c r="V121" s="379">
        <f t="shared" ca="1" si="199"/>
        <v>20.765909090909091</v>
      </c>
      <c r="W121" s="483">
        <v>0.17129999999999904</v>
      </c>
      <c r="X121" s="166" t="str">
        <f t="shared" ca="1" si="200"/>
        <v/>
      </c>
      <c r="Y121" s="91">
        <f t="shared" ca="1" si="208"/>
        <v>1.2515071062442281E-3</v>
      </c>
      <c r="Z121" s="91">
        <f t="shared" ca="1" si="209"/>
        <v>4.1387616828074782E-4</v>
      </c>
      <c r="AA121" s="91">
        <f t="shared" ca="1" si="210"/>
        <v>1.4450147713069366E-4</v>
      </c>
      <c r="AB121" s="91">
        <f t="shared" ca="1" si="211"/>
        <v>3.2553292768003957E-4</v>
      </c>
      <c r="AC121" s="91">
        <f t="shared" ca="1" si="212"/>
        <v>9.3238023190293058E-4</v>
      </c>
      <c r="AD121" s="91">
        <f t="shared" ca="1" si="213"/>
        <v>2.8193952089468999E-3</v>
      </c>
      <c r="AE121" s="124">
        <v>7.3742976212489E-2</v>
      </c>
      <c r="AF121" s="191">
        <f t="shared" ca="1" si="161"/>
        <v>0.49389914891220327</v>
      </c>
      <c r="AG121" s="189">
        <f t="shared" ca="1" si="207"/>
        <v>1</v>
      </c>
      <c r="AH121" s="192">
        <f t="shared" ca="1" si="201"/>
        <v>0</v>
      </c>
      <c r="AI121" s="192">
        <f t="shared" ca="1" si="214"/>
        <v>0</v>
      </c>
      <c r="AJ121" s="192">
        <f t="shared" ca="1" si="203"/>
        <v>0</v>
      </c>
      <c r="AK121" s="192">
        <f t="shared" ca="1" si="215"/>
        <v>0</v>
      </c>
      <c r="AL121" s="191" t="str">
        <f t="shared" ca="1" si="162"/>
        <v/>
      </c>
      <c r="AM121" s="191" t="str">
        <f t="shared" ca="1" si="163"/>
        <v/>
      </c>
      <c r="AN121" s="191" t="str">
        <f t="shared" ca="1" si="164"/>
        <v/>
      </c>
      <c r="AO121" s="193" t="str">
        <f t="shared" ca="1" si="165"/>
        <v/>
      </c>
      <c r="AP121" s="194" t="str">
        <f t="shared" ca="1" si="135"/>
        <v/>
      </c>
      <c r="AQ121" s="194" t="str">
        <f t="shared" ca="1" si="136"/>
        <v/>
      </c>
      <c r="AR121" s="195">
        <f ca="1">IF(AH121,_xll.xASN(AL121,Strike1,AE121,AP121,0,N121,0,P121,Q121,IF(OptControl=4,0,1),0),0)</f>
        <v>0</v>
      </c>
      <c r="AS121" s="196">
        <f ca="1">IF(AH121,_xll.xASN(AL121,Strike1,AE121,AP121,0,N121,0,P121,Q121,IF(OptControl=4,0,1),1),0)</f>
        <v>0</v>
      </c>
      <c r="AT121" s="196">
        <f ca="1">IF(AH121,_xll.xASN(AL121,Strike1,AE121,AP121,0,N121,0,P121,Q121,IF(OptControl=4,0,1),2),0)</f>
        <v>0</v>
      </c>
      <c r="AU121" s="196">
        <f ca="1">IF(AH121,_xll.xASN(AL121,Strike1,AE121,AP121,0,N121,0,P121,Q121,IF(OptControl=4,0,1),3)/100,0)</f>
        <v>0</v>
      </c>
      <c r="AV121" s="196">
        <f ca="1">IF(AH121,_xll.xASN(AL121,Strike1,AE121,AP121,0,N121,0,P121-DaysForThetaCalculation/365.25,Q121-DaysForThetaCalculation/365.25,IF(OptControl=4,0,1),0)-_xll.xASN(AL121,Strike1,AE121,AP121,0,N121,0,P121,Q121,IF(OptControl=4,0,1),0),0)</f>
        <v>0</v>
      </c>
      <c r="AW121" s="196">
        <f ca="1">IF(AH121,_xll.xASN(AL121,Strike2,AE121,AQ121,0,N121,0,P121,Q121,IF(OptControl=3,1,0),0),0)</f>
        <v>0</v>
      </c>
      <c r="AX121" s="196">
        <f ca="1">IF(AH121,_xll.xASN(AL121,Strike2,AE121,AQ121,0,N121,0,P121,Q121,IF(OptControl=3,1,0),1),0)</f>
        <v>0</v>
      </c>
      <c r="AY121" s="196">
        <f ca="1">IF(AH121,_xll.xASN(AL121,Strike2,AE121,AQ121,0,N121,0,P121,Q121,IF(OptControl=3,1,0),2),0)</f>
        <v>0</v>
      </c>
      <c r="AZ121" s="196">
        <f ca="1">IF(AH121,_xll.xASN(AL121,Strike2,AE121,AQ121,0,N121,0,P121,Q121,IF(OptControl=3,1,0),3)/100,0)</f>
        <v>0</v>
      </c>
      <c r="BA121" s="196">
        <f ca="1">IF(AH121,_xll.xASN(AL121,Strike2,AE121,AQ121,0,N121,0,P121-DaysForThetaCalculation/365.25,Q121-DaysForThetaCalculation/365.25,IF(OptControl=3,1,0),0)-_xll.xASN(AL121,Strike2,AE121,AQ121,0,N121,0,P121,Q121,IF(OptControl=3,1,0),0),0)</f>
        <v>0</v>
      </c>
      <c r="BB121" s="126" t="str">
        <f t="shared" ca="1" si="166"/>
        <v/>
      </c>
      <c r="BC121" s="191" t="str">
        <f t="shared" ca="1" si="167"/>
        <v/>
      </c>
      <c r="BD121" s="191" t="str">
        <f t="shared" ca="1" si="168"/>
        <v/>
      </c>
      <c r="BE121" s="190" t="str">
        <f t="shared" ca="1" si="169"/>
        <v/>
      </c>
      <c r="BF121" s="194" t="str">
        <f t="shared" ca="1" si="170"/>
        <v/>
      </c>
      <c r="BG121" s="194" t="str">
        <f t="shared" ca="1" si="171"/>
        <v/>
      </c>
      <c r="BH121" s="195">
        <f ca="1">IF(AH121,_xll.xEURO(BB121,Strike1,AE121,AE121,BF121,O121,IF(OptControl=4,0,1),0),0)</f>
        <v>0</v>
      </c>
      <c r="BI121" s="196">
        <f ca="1">IF(AH121,_xll.xEURO(BB121,Strike1,AE121,AE121,BF121,O121,IF(OptControl=4,0,1),1),0)</f>
        <v>0</v>
      </c>
      <c r="BJ121" s="196">
        <f ca="1">IF(AH121,_xll.xEURO(BB121,Strike1,AE121,AE121,BF121,O121,IF(OptControl=4,0,1),2),0)</f>
        <v>0</v>
      </c>
      <c r="BK121" s="196">
        <f ca="1">IF(AH121,_xll.xEURO(BB121,Strike1,AE121,AE121,BF121,O121,IF(OptControl=4,0,1),3)/100,0)</f>
        <v>0</v>
      </c>
      <c r="BL121" s="196">
        <f ca="1">IF(AH121,_xll.xEURO(BB121,Strike1,AE121,AE121,BF121,O121-DaysForThetaCalculation,IF(OptControl=4,0,1),0)-_xll.xEURO(BB121,Strike1,AE121,AE121,BF121,O121,IF(OptControl=4,0,1),0),0)</f>
        <v>0</v>
      </c>
      <c r="BM121" s="196">
        <f ca="1">IF(AH121,_xll.xEURO(BB121,Strike2,AE121,AE121,BG121,O121,IF(OptControl=3,1,0),0),0)</f>
        <v>0</v>
      </c>
      <c r="BN121" s="196">
        <f ca="1">IF(AH121,_xll.xEURO(BB121,Strike2,AE121,AE121,BG121,O121,IF(OptControl=3,1,0),1),0)</f>
        <v>0</v>
      </c>
      <c r="BO121" s="196">
        <f ca="1">IF(AH121,_xll.xEURO(BB121,Strike2,AE121,AE121,BG121,O121,IF(OptControl=3,1,0),2),0)</f>
        <v>0</v>
      </c>
      <c r="BP121" s="196">
        <f ca="1">IF(AH121,_xll.xEURO(BB121,Strike2,AE121,AE121,BG121,O121,IF(OptControl=3,1,0),3)/100,0)</f>
        <v>0</v>
      </c>
      <c r="BQ121" s="197">
        <f ca="1">IF(AH121,_xll.xEURO(BB121,Strike2,AE121,AE121,BG121,O121-DaysForThetaCalculation,IF(OptControl=3,1,0),0)-_xll.xEURO(BB121,Strike2,AE121,AE121,BG121,O121,IF(OptControl=3,1,0),0),0)</f>
        <v>0</v>
      </c>
      <c r="BR121" s="301"/>
      <c r="BS121" s="114"/>
      <c r="BT121" s="345">
        <f t="shared" si="137"/>
        <v>0</v>
      </c>
      <c r="BU121" s="345">
        <f t="shared" ca="1" si="185"/>
        <v>-20.765909090909091</v>
      </c>
      <c r="BV121" s="73"/>
      <c r="BW121" s="345">
        <f t="shared" ca="1" si="182"/>
        <v>5.7444545454545537</v>
      </c>
      <c r="BX121" s="345">
        <f t="shared" ca="1" si="186"/>
        <v>63.342112787143854</v>
      </c>
      <c r="BY121" s="373">
        <f t="shared" ca="1" si="138"/>
        <v>63.119913419913431</v>
      </c>
      <c r="BZ121" s="114"/>
      <c r="CA121" s="345">
        <f t="shared" si="139"/>
        <v>0</v>
      </c>
      <c r="CB121" s="345">
        <f t="shared" ca="1" si="187"/>
        <v>-20.765909090909091</v>
      </c>
      <c r="CC121" s="345">
        <f t="shared" ca="1" si="183"/>
        <v>3.4344545454545474</v>
      </c>
      <c r="CD121" s="345">
        <f t="shared" ca="1" si="140"/>
        <v>57.619913419913416</v>
      </c>
      <c r="CE121" s="347">
        <f t="shared" ca="1" si="172"/>
        <v>-5.5000000000000142</v>
      </c>
      <c r="CF121" s="114"/>
      <c r="CG121" s="345">
        <f t="shared" si="141"/>
        <v>0</v>
      </c>
      <c r="CH121" s="345">
        <f t="shared" ca="1" si="142"/>
        <v>-20.765909090909091</v>
      </c>
      <c r="CI121" s="73"/>
      <c r="CJ121" s="345">
        <f t="shared" ca="1" si="190"/>
        <v>5.3164545454545493</v>
      </c>
      <c r="CK121" s="345">
        <f t="shared" ca="1" si="184"/>
        <v>60.623065168096232</v>
      </c>
      <c r="CL121" s="345">
        <f t="shared" ca="1" si="143"/>
        <v>62.100865800865805</v>
      </c>
      <c r="CM121" s="114"/>
      <c r="CN121" s="345">
        <f t="shared" si="144"/>
        <v>0</v>
      </c>
      <c r="CO121" s="345">
        <f t="shared" ca="1" si="145"/>
        <v>-20.765909090909091</v>
      </c>
      <c r="CP121" s="345">
        <f t="shared" ca="1" si="192"/>
        <v>4.1194545454545501</v>
      </c>
      <c r="CQ121" s="345">
        <f t="shared" ca="1" si="146"/>
        <v>59.25086580086581</v>
      </c>
      <c r="CR121" s="347">
        <f t="shared" ca="1" si="173"/>
        <v>-2.8499999999999943</v>
      </c>
      <c r="CS121" s="114"/>
      <c r="CT121" s="345">
        <f t="shared" si="147"/>
        <v>0</v>
      </c>
      <c r="CU121" s="345">
        <f t="shared" si="174"/>
        <v>0</v>
      </c>
      <c r="CV121" s="345">
        <f t="shared" ca="1" si="191"/>
        <v>1.9500000000000079</v>
      </c>
      <c r="CW121" s="347">
        <f t="shared" ca="1" si="175"/>
        <v>64.050865800865807</v>
      </c>
      <c r="CX121" s="483"/>
      <c r="CY121" s="190">
        <f t="shared" si="148"/>
        <v>-0.17129999999999904</v>
      </c>
      <c r="CZ121" s="190">
        <f t="shared" ca="1" si="180"/>
        <v>-0.03</v>
      </c>
      <c r="DA121" s="354">
        <f t="shared" ca="1" si="149"/>
        <v>0.14129999999999904</v>
      </c>
      <c r="DB121" s="483"/>
      <c r="DC121" s="190">
        <f t="shared" si="150"/>
        <v>-0.17129999999999904</v>
      </c>
      <c r="DD121" s="190">
        <f t="shared" ca="1" si="181"/>
        <v>0.03</v>
      </c>
      <c r="DE121" s="354">
        <f t="shared" ca="1" si="151"/>
        <v>0.20129999999999904</v>
      </c>
      <c r="DG121" s="341"/>
      <c r="DH121" s="114"/>
      <c r="DI121" s="126">
        <f t="shared" ca="1" si="176"/>
        <v>-20.765909090909091</v>
      </c>
      <c r="DJ121" s="126">
        <f t="shared" ca="1" si="124"/>
        <v>-2</v>
      </c>
      <c r="DK121" s="356">
        <f t="shared" ca="1" si="125"/>
        <v>18.765909090909091</v>
      </c>
      <c r="DL121" s="114"/>
      <c r="DM121" s="126">
        <f t="shared" ca="1" si="177"/>
        <v>-20.765909090909091</v>
      </c>
      <c r="DN121" s="126">
        <f t="shared" ca="1" si="152"/>
        <v>-3</v>
      </c>
      <c r="DO121" s="356">
        <f t="shared" ca="1" si="126"/>
        <v>17.765909090909091</v>
      </c>
      <c r="DP121" s="114"/>
      <c r="DQ121" s="126">
        <f t="shared" ca="1" si="178"/>
        <v>-20.765909090909091</v>
      </c>
      <c r="DR121" s="126">
        <f t="shared" ca="1" si="153"/>
        <v>-6</v>
      </c>
      <c r="DS121" s="356">
        <f t="shared" ca="1" si="127"/>
        <v>14.765909090909091</v>
      </c>
      <c r="DT121" s="114"/>
      <c r="DU121" s="126">
        <f t="shared" ca="1" si="179"/>
        <v>-20.765909090909091</v>
      </c>
      <c r="DV121" s="126">
        <f t="shared" ca="1" si="154"/>
        <v>-5</v>
      </c>
      <c r="DW121" s="356">
        <f t="shared" ca="1" si="128"/>
        <v>15.765909090909091</v>
      </c>
    </row>
    <row r="122" spans="2:127" x14ac:dyDescent="0.25">
      <c r="B122" s="396">
        <v>39264</v>
      </c>
      <c r="C122" s="400">
        <v>39253</v>
      </c>
      <c r="I122" s="136">
        <f t="shared" ca="1" si="205"/>
        <v>40513</v>
      </c>
      <c r="J122" s="131">
        <f t="shared" ca="1" si="130"/>
        <v>40501</v>
      </c>
      <c r="K122" s="106">
        <f t="shared" ca="1" si="206"/>
        <v>0.56521739130434778</v>
      </c>
      <c r="L122" s="133">
        <f t="shared" ca="1" si="193"/>
        <v>110</v>
      </c>
      <c r="M122" s="134">
        <f t="shared" ca="1" si="194"/>
        <v>12</v>
      </c>
      <c r="N122" s="103">
        <f t="shared" ca="1" si="197"/>
        <v>23</v>
      </c>
      <c r="O122" s="104">
        <f t="shared" ca="1" si="132"/>
        <v>3553</v>
      </c>
      <c r="P122" s="105">
        <f t="shared" ca="1" si="195"/>
        <v>9.7440109514031477</v>
      </c>
      <c r="Q122" s="105">
        <f t="shared" ca="1" si="196"/>
        <v>9.8261464750171115</v>
      </c>
      <c r="R122" s="114">
        <v>20.75</v>
      </c>
      <c r="S122" s="198">
        <v>0</v>
      </c>
      <c r="T122" s="189">
        <f t="shared" si="133"/>
        <v>20.75</v>
      </c>
      <c r="U122" s="199">
        <f t="shared" ca="1" si="198"/>
        <v>20.821739130434786</v>
      </c>
      <c r="V122" s="379">
        <f t="shared" ca="1" si="199"/>
        <v>20.821739130434786</v>
      </c>
      <c r="W122" s="483">
        <v>0.17089999999999905</v>
      </c>
      <c r="X122" s="166" t="str">
        <f t="shared" ca="1" si="200"/>
        <v/>
      </c>
      <c r="Y122" s="91">
        <f t="shared" ca="1" si="208"/>
        <v>1.2247142425508329E-3</v>
      </c>
      <c r="Z122" s="91">
        <f t="shared" ca="1" si="209"/>
        <v>4.0284723385015545E-4</v>
      </c>
      <c r="AA122" s="91">
        <f t="shared" ca="1" si="210"/>
        <v>1.4027364646363493E-4</v>
      </c>
      <c r="AB122" s="91">
        <f t="shared" ca="1" si="211"/>
        <v>3.1600847075328981E-4</v>
      </c>
      <c r="AC122" s="91">
        <f t="shared" ca="1" si="212"/>
        <v>9.0753424841769135E-4</v>
      </c>
      <c r="AD122" s="91">
        <f t="shared" ca="1" si="213"/>
        <v>2.7590362456184187E-3</v>
      </c>
      <c r="AE122" s="124">
        <v>7.3750321441919994E-2</v>
      </c>
      <c r="AF122" s="191">
        <f t="shared" ca="1" si="161"/>
        <v>0.49083869299959137</v>
      </c>
      <c r="AG122" s="189">
        <f t="shared" ca="1" si="207"/>
        <v>1</v>
      </c>
      <c r="AH122" s="192">
        <f t="shared" ca="1" si="201"/>
        <v>0</v>
      </c>
      <c r="AI122" s="192">
        <f t="shared" ca="1" si="214"/>
        <v>0</v>
      </c>
      <c r="AJ122" s="192">
        <f t="shared" ca="1" si="203"/>
        <v>0</v>
      </c>
      <c r="AK122" s="192">
        <f t="shared" ca="1" si="215"/>
        <v>0</v>
      </c>
      <c r="AL122" s="191" t="str">
        <f t="shared" ca="1" si="162"/>
        <v/>
      </c>
      <c r="AM122" s="191" t="str">
        <f t="shared" ca="1" si="163"/>
        <v/>
      </c>
      <c r="AN122" s="191" t="str">
        <f t="shared" ca="1" si="164"/>
        <v/>
      </c>
      <c r="AO122" s="193" t="str">
        <f t="shared" ca="1" si="165"/>
        <v/>
      </c>
      <c r="AP122" s="194" t="str">
        <f t="shared" ca="1" si="135"/>
        <v/>
      </c>
      <c r="AQ122" s="194" t="str">
        <f t="shared" ca="1" si="136"/>
        <v/>
      </c>
      <c r="AR122" s="195">
        <f ca="1">IF(AH122,_xll.xASN(AL122,Strike1,AE122,AP122,0,N122,0,P122,Q122,IF(OptControl=4,0,1),0),0)</f>
        <v>0</v>
      </c>
      <c r="AS122" s="196">
        <f ca="1">IF(AH122,_xll.xASN(AL122,Strike1,AE122,AP122,0,N122,0,P122,Q122,IF(OptControl=4,0,1),1),0)</f>
        <v>0</v>
      </c>
      <c r="AT122" s="196">
        <f ca="1">IF(AH122,_xll.xASN(AL122,Strike1,AE122,AP122,0,N122,0,P122,Q122,IF(OptControl=4,0,1),2),0)</f>
        <v>0</v>
      </c>
      <c r="AU122" s="196">
        <f ca="1">IF(AH122,_xll.xASN(AL122,Strike1,AE122,AP122,0,N122,0,P122,Q122,IF(OptControl=4,0,1),3)/100,0)</f>
        <v>0</v>
      </c>
      <c r="AV122" s="196">
        <f ca="1">IF(AH122,_xll.xASN(AL122,Strike1,AE122,AP122,0,N122,0,P122-DaysForThetaCalculation/365.25,Q122-DaysForThetaCalculation/365.25,IF(OptControl=4,0,1),0)-_xll.xASN(AL122,Strike1,AE122,AP122,0,N122,0,P122,Q122,IF(OptControl=4,0,1),0),0)</f>
        <v>0</v>
      </c>
      <c r="AW122" s="196">
        <f ca="1">IF(AH122,_xll.xASN(AL122,Strike2,AE122,AQ122,0,N122,0,P122,Q122,IF(OptControl=3,1,0),0),0)</f>
        <v>0</v>
      </c>
      <c r="AX122" s="196">
        <f ca="1">IF(AH122,_xll.xASN(AL122,Strike2,AE122,AQ122,0,N122,0,P122,Q122,IF(OptControl=3,1,0),1),0)</f>
        <v>0</v>
      </c>
      <c r="AY122" s="196">
        <f ca="1">IF(AH122,_xll.xASN(AL122,Strike2,AE122,AQ122,0,N122,0,P122,Q122,IF(OptControl=3,1,0),2),0)</f>
        <v>0</v>
      </c>
      <c r="AZ122" s="196">
        <f ca="1">IF(AH122,_xll.xASN(AL122,Strike2,AE122,AQ122,0,N122,0,P122,Q122,IF(OptControl=3,1,0),3)/100,0)</f>
        <v>0</v>
      </c>
      <c r="BA122" s="196">
        <f ca="1">IF(AH122,_xll.xASN(AL122,Strike2,AE122,AQ122,0,N122,0,P122-DaysForThetaCalculation/365.25,Q122-DaysForThetaCalculation/365.25,IF(OptControl=3,1,0),0)-_xll.xASN(AL122,Strike2,AE122,AQ122,0,N122,0,P122,Q122,IF(OptControl=3,1,0),0),0)</f>
        <v>0</v>
      </c>
      <c r="BB122" s="126" t="str">
        <f t="shared" ca="1" si="166"/>
        <v/>
      </c>
      <c r="BC122" s="191" t="str">
        <f t="shared" ca="1" si="167"/>
        <v/>
      </c>
      <c r="BD122" s="191" t="str">
        <f t="shared" ca="1" si="168"/>
        <v/>
      </c>
      <c r="BE122" s="190" t="str">
        <f t="shared" ca="1" si="169"/>
        <v/>
      </c>
      <c r="BF122" s="194" t="str">
        <f t="shared" ca="1" si="170"/>
        <v/>
      </c>
      <c r="BG122" s="194" t="str">
        <f t="shared" ca="1" si="171"/>
        <v/>
      </c>
      <c r="BH122" s="195">
        <f ca="1">IF(AH122,_xll.xEURO(BB122,Strike1,AE122,AE122,BF122,O122,IF(OptControl=4,0,1),0),0)</f>
        <v>0</v>
      </c>
      <c r="BI122" s="196">
        <f ca="1">IF(AH122,_xll.xEURO(BB122,Strike1,AE122,AE122,BF122,O122,IF(OptControl=4,0,1),1),0)</f>
        <v>0</v>
      </c>
      <c r="BJ122" s="196">
        <f ca="1">IF(AH122,_xll.xEURO(BB122,Strike1,AE122,AE122,BF122,O122,IF(OptControl=4,0,1),2),0)</f>
        <v>0</v>
      </c>
      <c r="BK122" s="196">
        <f ca="1">IF(AH122,_xll.xEURO(BB122,Strike1,AE122,AE122,BF122,O122,IF(OptControl=4,0,1),3)/100,0)</f>
        <v>0</v>
      </c>
      <c r="BL122" s="196">
        <f ca="1">IF(AH122,_xll.xEURO(BB122,Strike1,AE122,AE122,BF122,O122-DaysForThetaCalculation,IF(OptControl=4,0,1),0)-_xll.xEURO(BB122,Strike1,AE122,AE122,BF122,O122,IF(OptControl=4,0,1),0),0)</f>
        <v>0</v>
      </c>
      <c r="BM122" s="196">
        <f ca="1">IF(AH122,_xll.xEURO(BB122,Strike2,AE122,AE122,BG122,O122,IF(OptControl=3,1,0),0),0)</f>
        <v>0</v>
      </c>
      <c r="BN122" s="196">
        <f ca="1">IF(AH122,_xll.xEURO(BB122,Strike2,AE122,AE122,BG122,O122,IF(OptControl=3,1,0),1),0)</f>
        <v>0</v>
      </c>
      <c r="BO122" s="196">
        <f ca="1">IF(AH122,_xll.xEURO(BB122,Strike2,AE122,AE122,BG122,O122,IF(OptControl=3,1,0),2),0)</f>
        <v>0</v>
      </c>
      <c r="BP122" s="196">
        <f ca="1">IF(AH122,_xll.xEURO(BB122,Strike2,AE122,AE122,BG122,O122,IF(OptControl=3,1,0),3)/100,0)</f>
        <v>0</v>
      </c>
      <c r="BQ122" s="197">
        <f ca="1">IF(AH122,_xll.xEURO(BB122,Strike2,AE122,AE122,BG122,O122-DaysForThetaCalculation,IF(OptControl=3,1,0),0)-_xll.xEURO(BB122,Strike2,AE122,AE122,BG122,O122,IF(OptControl=3,1,0),0),0)</f>
        <v>0</v>
      </c>
      <c r="BR122" s="301"/>
      <c r="BS122" s="114"/>
      <c r="BT122" s="345">
        <f t="shared" si="137"/>
        <v>0</v>
      </c>
      <c r="BU122" s="345">
        <f t="shared" ca="1" si="185"/>
        <v>-20.821739130434786</v>
      </c>
      <c r="BV122" s="73"/>
      <c r="BW122" s="345">
        <f t="shared" ca="1" si="182"/>
        <v>5.9171428571428617</v>
      </c>
      <c r="BX122" s="345">
        <f t="shared" ca="1" si="186"/>
        <v>63.119913419913431</v>
      </c>
      <c r="BY122" s="373">
        <f t="shared" ca="1" si="138"/>
        <v>63.664004732327733</v>
      </c>
      <c r="BZ122" s="114"/>
      <c r="CA122" s="345">
        <f t="shared" si="139"/>
        <v>0</v>
      </c>
      <c r="CB122" s="345">
        <f t="shared" ca="1" si="187"/>
        <v>-20.821739130434786</v>
      </c>
      <c r="CC122" s="345">
        <f t="shared" ca="1" si="183"/>
        <v>3.607142857142859</v>
      </c>
      <c r="CD122" s="345">
        <f t="shared" ca="1" si="140"/>
        <v>58.164004732327719</v>
      </c>
      <c r="CE122" s="347">
        <f t="shared" ca="1" si="172"/>
        <v>-5.5000000000000142</v>
      </c>
      <c r="CF122" s="114"/>
      <c r="CG122" s="345">
        <f t="shared" si="141"/>
        <v>0</v>
      </c>
      <c r="CH122" s="345">
        <f t="shared" ca="1" si="142"/>
        <v>-20.821739130434786</v>
      </c>
      <c r="CI122" s="73"/>
      <c r="CJ122" s="345">
        <f t="shared" ca="1" si="190"/>
        <v>5.6781428571428609</v>
      </c>
      <c r="CK122" s="345">
        <f t="shared" ca="1" si="184"/>
        <v>62.100865800865805</v>
      </c>
      <c r="CL122" s="345">
        <f t="shared" ca="1" si="143"/>
        <v>63.09495711328011</v>
      </c>
      <c r="CM122" s="114"/>
      <c r="CN122" s="345">
        <f t="shared" si="144"/>
        <v>0</v>
      </c>
      <c r="CO122" s="345">
        <f t="shared" ca="1" si="145"/>
        <v>-20.821739130434786</v>
      </c>
      <c r="CP122" s="345">
        <f t="shared" ca="1" si="192"/>
        <v>4.4811428571428626</v>
      </c>
      <c r="CQ122" s="345">
        <f t="shared" ca="1" si="146"/>
        <v>60.244957113280115</v>
      </c>
      <c r="CR122" s="347">
        <f t="shared" ca="1" si="173"/>
        <v>-2.8499999999999943</v>
      </c>
      <c r="CS122" s="114"/>
      <c r="CT122" s="345">
        <f t="shared" si="147"/>
        <v>0</v>
      </c>
      <c r="CU122" s="345">
        <f t="shared" si="174"/>
        <v>0</v>
      </c>
      <c r="CV122" s="345">
        <f t="shared" ca="1" si="191"/>
        <v>1.9500000000000079</v>
      </c>
      <c r="CW122" s="347">
        <f t="shared" ca="1" si="175"/>
        <v>65.04495711328012</v>
      </c>
      <c r="CX122" s="483"/>
      <c r="CY122" s="190">
        <f t="shared" si="148"/>
        <v>-0.17089999999999905</v>
      </c>
      <c r="CZ122" s="190">
        <f t="shared" ca="1" si="180"/>
        <v>-0.03</v>
      </c>
      <c r="DA122" s="354">
        <f t="shared" ca="1" si="149"/>
        <v>0.14089999999999905</v>
      </c>
      <c r="DB122" s="483"/>
      <c r="DC122" s="190">
        <f t="shared" si="150"/>
        <v>-0.17089999999999905</v>
      </c>
      <c r="DD122" s="190">
        <f t="shared" ca="1" si="181"/>
        <v>0.03</v>
      </c>
      <c r="DE122" s="354">
        <f t="shared" ca="1" si="151"/>
        <v>0.20089999999999905</v>
      </c>
      <c r="DG122" s="341"/>
      <c r="DH122" s="114"/>
      <c r="DI122" s="126">
        <f t="shared" ca="1" si="176"/>
        <v>-20.821739130434786</v>
      </c>
      <c r="DJ122" s="126">
        <f t="shared" ca="1" si="124"/>
        <v>-2</v>
      </c>
      <c r="DK122" s="356">
        <f t="shared" ca="1" si="125"/>
        <v>18.821739130434786</v>
      </c>
      <c r="DL122" s="114"/>
      <c r="DM122" s="126">
        <f t="shared" ca="1" si="177"/>
        <v>-20.821739130434786</v>
      </c>
      <c r="DN122" s="126">
        <f t="shared" ca="1" si="152"/>
        <v>-3</v>
      </c>
      <c r="DO122" s="356">
        <f t="shared" ca="1" si="126"/>
        <v>17.821739130434786</v>
      </c>
      <c r="DP122" s="114"/>
      <c r="DQ122" s="126">
        <f t="shared" ca="1" si="178"/>
        <v>-20.821739130434786</v>
      </c>
      <c r="DR122" s="126">
        <f t="shared" ca="1" si="153"/>
        <v>-6</v>
      </c>
      <c r="DS122" s="356">
        <f t="shared" ca="1" si="127"/>
        <v>14.821739130434786</v>
      </c>
      <c r="DT122" s="114"/>
      <c r="DU122" s="126">
        <f t="shared" ca="1" si="179"/>
        <v>-20.821739130434786</v>
      </c>
      <c r="DV122" s="126">
        <f t="shared" ca="1" si="154"/>
        <v>-5</v>
      </c>
      <c r="DW122" s="356">
        <f t="shared" ca="1" si="128"/>
        <v>15.821739130434786</v>
      </c>
    </row>
    <row r="123" spans="2:127" x14ac:dyDescent="0.25">
      <c r="B123" s="396">
        <v>39295</v>
      </c>
      <c r="C123" s="400">
        <v>39283</v>
      </c>
      <c r="I123" s="136">
        <f t="shared" ca="1" si="205"/>
        <v>40544</v>
      </c>
      <c r="J123" s="131">
        <f t="shared" ca="1" si="130"/>
        <v>40531</v>
      </c>
      <c r="K123" s="106">
        <f t="shared" ca="1" si="206"/>
        <v>0.7142857142857143</v>
      </c>
      <c r="L123" s="133">
        <f t="shared" ca="1" si="193"/>
        <v>111</v>
      </c>
      <c r="M123" s="134">
        <f t="shared" ca="1" si="194"/>
        <v>1</v>
      </c>
      <c r="N123" s="103">
        <f t="shared" ca="1" si="197"/>
        <v>21</v>
      </c>
      <c r="O123" s="104">
        <f t="shared" ca="1" si="132"/>
        <v>3586</v>
      </c>
      <c r="P123" s="105">
        <f t="shared" ca="1" si="195"/>
        <v>9.8288843258042444</v>
      </c>
      <c r="Q123" s="105">
        <f t="shared" ca="1" si="196"/>
        <v>9.9110198494182065</v>
      </c>
      <c r="R123" s="114">
        <v>20.8</v>
      </c>
      <c r="S123" s="198">
        <v>0</v>
      </c>
      <c r="T123" s="189">
        <f t="shared" si="133"/>
        <v>20.8</v>
      </c>
      <c r="U123" s="199">
        <f t="shared" ca="1" si="198"/>
        <v>20.864285714285714</v>
      </c>
      <c r="V123" s="379">
        <f t="shared" ca="1" si="199"/>
        <v>20.864285714285714</v>
      </c>
      <c r="W123" s="483">
        <v>0.17049999999999901</v>
      </c>
      <c r="X123" s="166" t="str">
        <f t="shared" ca="1" si="200"/>
        <v/>
      </c>
      <c r="Y123" s="91">
        <f t="shared" ca="1" si="208"/>
        <v>1.1984949733191163E-3</v>
      </c>
      <c r="Z123" s="91">
        <f t="shared" ca="1" si="209"/>
        <v>3.9211219745959665E-4</v>
      </c>
      <c r="AA123" s="91">
        <f t="shared" ca="1" si="210"/>
        <v>1.3616951385492308E-4</v>
      </c>
      <c r="AB123" s="91">
        <f t="shared" ca="1" si="211"/>
        <v>3.0676268081238387E-4</v>
      </c>
      <c r="AC123" s="91">
        <f t="shared" ca="1" si="212"/>
        <v>8.8335035843703968E-4</v>
      </c>
      <c r="AD123" s="91">
        <f t="shared" ca="1" si="213"/>
        <v>2.6999694758932068E-3</v>
      </c>
      <c r="AE123" s="124">
        <v>7.3757911512351018E-2</v>
      </c>
      <c r="AF123" s="191">
        <f t="shared" ca="1" si="161"/>
        <v>0.48779547321709771</v>
      </c>
      <c r="AG123" s="189">
        <f t="shared" ca="1" si="207"/>
        <v>1</v>
      </c>
      <c r="AH123" s="192">
        <f t="shared" ca="1" si="201"/>
        <v>0</v>
      </c>
      <c r="AI123" s="192">
        <f t="shared" ca="1" si="214"/>
        <v>0</v>
      </c>
      <c r="AJ123" s="192">
        <f t="shared" ca="1" si="203"/>
        <v>0</v>
      </c>
      <c r="AK123" s="192">
        <f t="shared" ca="1" si="215"/>
        <v>0</v>
      </c>
      <c r="AL123" s="191" t="str">
        <f t="shared" ca="1" si="162"/>
        <v/>
      </c>
      <c r="AM123" s="191" t="str">
        <f t="shared" ca="1" si="163"/>
        <v/>
      </c>
      <c r="AN123" s="191" t="str">
        <f t="shared" ca="1" si="164"/>
        <v/>
      </c>
      <c r="AO123" s="193" t="str">
        <f t="shared" ca="1" si="165"/>
        <v/>
      </c>
      <c r="AP123" s="194" t="str">
        <f t="shared" ca="1" si="135"/>
        <v/>
      </c>
      <c r="AQ123" s="194" t="str">
        <f t="shared" ca="1" si="136"/>
        <v/>
      </c>
      <c r="AR123" s="195">
        <f ca="1">IF(AH123,_xll.xASN(AL123,Strike1,AE123,AP123,0,N123,0,P123,Q123,IF(OptControl=4,0,1),0),0)</f>
        <v>0</v>
      </c>
      <c r="AS123" s="196">
        <f ca="1">IF(AH123,_xll.xASN(AL123,Strike1,AE123,AP123,0,N123,0,P123,Q123,IF(OptControl=4,0,1),1),0)</f>
        <v>0</v>
      </c>
      <c r="AT123" s="196">
        <f ca="1">IF(AH123,_xll.xASN(AL123,Strike1,AE123,AP123,0,N123,0,P123,Q123,IF(OptControl=4,0,1),2),0)</f>
        <v>0</v>
      </c>
      <c r="AU123" s="196">
        <f ca="1">IF(AH123,_xll.xASN(AL123,Strike1,AE123,AP123,0,N123,0,P123,Q123,IF(OptControl=4,0,1),3)/100,0)</f>
        <v>0</v>
      </c>
      <c r="AV123" s="196">
        <f ca="1">IF(AH123,_xll.xASN(AL123,Strike1,AE123,AP123,0,N123,0,P123-DaysForThetaCalculation/365.25,Q123-DaysForThetaCalculation/365.25,IF(OptControl=4,0,1),0)-_xll.xASN(AL123,Strike1,AE123,AP123,0,N123,0,P123,Q123,IF(OptControl=4,0,1),0),0)</f>
        <v>0</v>
      </c>
      <c r="AW123" s="196">
        <f ca="1">IF(AH123,_xll.xASN(AL123,Strike2,AE123,AQ123,0,N123,0,P123,Q123,IF(OptControl=3,1,0),0),0)</f>
        <v>0</v>
      </c>
      <c r="AX123" s="196">
        <f ca="1">IF(AH123,_xll.xASN(AL123,Strike2,AE123,AQ123,0,N123,0,P123,Q123,IF(OptControl=3,1,0),1),0)</f>
        <v>0</v>
      </c>
      <c r="AY123" s="196">
        <f ca="1">IF(AH123,_xll.xASN(AL123,Strike2,AE123,AQ123,0,N123,0,P123,Q123,IF(OptControl=3,1,0),2),0)</f>
        <v>0</v>
      </c>
      <c r="AZ123" s="196">
        <f ca="1">IF(AH123,_xll.xASN(AL123,Strike2,AE123,AQ123,0,N123,0,P123,Q123,IF(OptControl=3,1,0),3)/100,0)</f>
        <v>0</v>
      </c>
      <c r="BA123" s="196">
        <f ca="1">IF(AH123,_xll.xASN(AL123,Strike2,AE123,AQ123,0,N123,0,P123-DaysForThetaCalculation/365.25,Q123-DaysForThetaCalculation/365.25,IF(OptControl=3,1,0),0)-_xll.xASN(AL123,Strike2,AE123,AQ123,0,N123,0,P123,Q123,IF(OptControl=3,1,0),0),0)</f>
        <v>0</v>
      </c>
      <c r="BB123" s="126" t="str">
        <f t="shared" ca="1" si="166"/>
        <v/>
      </c>
      <c r="BC123" s="191" t="str">
        <f t="shared" ca="1" si="167"/>
        <v/>
      </c>
      <c r="BD123" s="191" t="str">
        <f t="shared" ca="1" si="168"/>
        <v/>
      </c>
      <c r="BE123" s="190" t="str">
        <f t="shared" ca="1" si="169"/>
        <v/>
      </c>
      <c r="BF123" s="194" t="str">
        <f t="shared" ca="1" si="170"/>
        <v/>
      </c>
      <c r="BG123" s="194" t="str">
        <f t="shared" ca="1" si="171"/>
        <v/>
      </c>
      <c r="BH123" s="195">
        <f ca="1">IF(AH123,_xll.xEURO(BB123,Strike1,AE123,AE123,BF123,O123,IF(OptControl=4,0,1),0),0)</f>
        <v>0</v>
      </c>
      <c r="BI123" s="196">
        <f ca="1">IF(AH123,_xll.xEURO(BB123,Strike1,AE123,AE123,BF123,O123,IF(OptControl=4,0,1),1),0)</f>
        <v>0</v>
      </c>
      <c r="BJ123" s="196">
        <f ca="1">IF(AH123,_xll.xEURO(BB123,Strike1,AE123,AE123,BF123,O123,IF(OptControl=4,0,1),2),0)</f>
        <v>0</v>
      </c>
      <c r="BK123" s="196">
        <f ca="1">IF(AH123,_xll.xEURO(BB123,Strike1,AE123,AE123,BF123,O123,IF(OptControl=4,0,1),3)/100,0)</f>
        <v>0</v>
      </c>
      <c r="BL123" s="196">
        <f ca="1">IF(AH123,_xll.xEURO(BB123,Strike1,AE123,AE123,BF123,O123-DaysForThetaCalculation,IF(OptControl=4,0,1),0)-_xll.xEURO(BB123,Strike1,AE123,AE123,BF123,O123,IF(OptControl=4,0,1),0),0)</f>
        <v>0</v>
      </c>
      <c r="BM123" s="196">
        <f ca="1">IF(AH123,_xll.xEURO(BB123,Strike2,AE123,AE123,BG123,O123,IF(OptControl=3,1,0),0),0)</f>
        <v>0</v>
      </c>
      <c r="BN123" s="196">
        <f ca="1">IF(AH123,_xll.xEURO(BB123,Strike2,AE123,AE123,BG123,O123,IF(OptControl=3,1,0),1),0)</f>
        <v>0</v>
      </c>
      <c r="BO123" s="196">
        <f ca="1">IF(AH123,_xll.xEURO(BB123,Strike2,AE123,AE123,BG123,O123,IF(OptControl=3,1,0),2),0)</f>
        <v>0</v>
      </c>
      <c r="BP123" s="196">
        <f ca="1">IF(AH123,_xll.xEURO(BB123,Strike2,AE123,AE123,BG123,O123,IF(OptControl=3,1,0),3)/100,0)</f>
        <v>0</v>
      </c>
      <c r="BQ123" s="197">
        <f ca="1">IF(AH123,_xll.xEURO(BB123,Strike2,AE123,AE123,BG123,O123-DaysForThetaCalculation,IF(OptControl=3,1,0),0)-_xll.xEURO(BB123,Strike2,AE123,AE123,BG123,O123,IF(OptControl=3,1,0),0),0)</f>
        <v>0</v>
      </c>
      <c r="BR123" s="301"/>
      <c r="BS123" s="114"/>
      <c r="BT123" s="345">
        <f t="shared" si="137"/>
        <v>0</v>
      </c>
      <c r="BU123" s="345">
        <f t="shared" ca="1" si="185"/>
        <v>-20.864285714285714</v>
      </c>
      <c r="BV123" s="73"/>
      <c r="BW123" s="345">
        <f t="shared" ca="1" si="182"/>
        <v>6.1594782608695677</v>
      </c>
      <c r="BX123" s="345">
        <f t="shared" ca="1" si="186"/>
        <v>63.664004732327733</v>
      </c>
      <c r="BY123" s="373">
        <f t="shared" ca="1" si="138"/>
        <v>64.342295178941157</v>
      </c>
      <c r="BZ123" s="114"/>
      <c r="CA123" s="345">
        <f t="shared" si="139"/>
        <v>0</v>
      </c>
      <c r="CB123" s="345">
        <f t="shared" ca="1" si="187"/>
        <v>-20.864285714285714</v>
      </c>
      <c r="CC123" s="345">
        <f t="shared" ca="1" si="183"/>
        <v>4.6474782608695691</v>
      </c>
      <c r="CD123" s="345">
        <f t="shared" ca="1" si="140"/>
        <v>60.742295178941148</v>
      </c>
      <c r="CE123" s="347">
        <f t="shared" ca="1" si="172"/>
        <v>-3.6000000000000085</v>
      </c>
      <c r="CF123" s="114"/>
      <c r="CG123" s="345">
        <f t="shared" si="141"/>
        <v>0</v>
      </c>
      <c r="CH123" s="345">
        <f t="shared" ca="1" si="142"/>
        <v>-20.864285714285714</v>
      </c>
      <c r="CI123" s="73"/>
      <c r="CJ123" s="345">
        <f t="shared" ca="1" si="190"/>
        <v>5.479478260869568</v>
      </c>
      <c r="CK123" s="345">
        <f t="shared" ca="1" si="184"/>
        <v>63.09495711328011</v>
      </c>
      <c r="CL123" s="345">
        <f t="shared" ca="1" si="143"/>
        <v>62.723247559893537</v>
      </c>
      <c r="CM123" s="114"/>
      <c r="CN123" s="345">
        <f t="shared" si="144"/>
        <v>0</v>
      </c>
      <c r="CO123" s="345">
        <f t="shared" ca="1" si="145"/>
        <v>-20.864285714285714</v>
      </c>
      <c r="CP123" s="345">
        <f t="shared" ca="1" si="192"/>
        <v>4.3664782608695694</v>
      </c>
      <c r="CQ123" s="345">
        <f t="shared" ca="1" si="146"/>
        <v>60.073247559893531</v>
      </c>
      <c r="CR123" s="347">
        <f t="shared" ca="1" si="173"/>
        <v>-2.6500000000000057</v>
      </c>
      <c r="CS123" s="114"/>
      <c r="CT123" s="345">
        <f t="shared" si="147"/>
        <v>0</v>
      </c>
      <c r="CU123" s="345">
        <f t="shared" si="174"/>
        <v>0</v>
      </c>
      <c r="CV123" s="345">
        <f t="shared" ca="1" si="191"/>
        <v>1.9500000000000079</v>
      </c>
      <c r="CW123" s="347">
        <f t="shared" ca="1" si="175"/>
        <v>64.673247559893539</v>
      </c>
      <c r="CX123" s="483"/>
      <c r="CY123" s="190">
        <f t="shared" si="148"/>
        <v>-0.17049999999999901</v>
      </c>
      <c r="CZ123" s="190">
        <f t="shared" ca="1" si="180"/>
        <v>-0.03</v>
      </c>
      <c r="DA123" s="354">
        <f t="shared" ca="1" si="149"/>
        <v>0.14049999999999901</v>
      </c>
      <c r="DB123" s="483"/>
      <c r="DC123" s="190">
        <f t="shared" si="150"/>
        <v>-0.17049999999999901</v>
      </c>
      <c r="DD123" s="190">
        <f t="shared" ca="1" si="181"/>
        <v>0.03</v>
      </c>
      <c r="DE123" s="354">
        <f t="shared" ca="1" si="151"/>
        <v>0.20049999999999901</v>
      </c>
      <c r="DG123" s="341"/>
      <c r="DH123" s="114"/>
      <c r="DI123" s="126">
        <f t="shared" ca="1" si="176"/>
        <v>-20.864285714285714</v>
      </c>
      <c r="DJ123" s="126">
        <f t="shared" ca="1" si="124"/>
        <v>-2</v>
      </c>
      <c r="DK123" s="356">
        <f t="shared" ca="1" si="125"/>
        <v>18.864285714285714</v>
      </c>
      <c r="DL123" s="114"/>
      <c r="DM123" s="126">
        <f t="shared" ca="1" si="177"/>
        <v>-20.864285714285714</v>
      </c>
      <c r="DN123" s="126">
        <f t="shared" ca="1" si="152"/>
        <v>-3</v>
      </c>
      <c r="DO123" s="356">
        <f t="shared" ca="1" si="126"/>
        <v>17.864285714285714</v>
      </c>
      <c r="DP123" s="114"/>
      <c r="DQ123" s="126">
        <f t="shared" ca="1" si="178"/>
        <v>-20.864285714285714</v>
      </c>
      <c r="DR123" s="126">
        <f t="shared" ca="1" si="153"/>
        <v>-6</v>
      </c>
      <c r="DS123" s="356">
        <f t="shared" ca="1" si="127"/>
        <v>14.864285714285714</v>
      </c>
      <c r="DT123" s="114"/>
      <c r="DU123" s="126">
        <f t="shared" ca="1" si="179"/>
        <v>-20.864285714285714</v>
      </c>
      <c r="DV123" s="126">
        <f t="shared" ca="1" si="154"/>
        <v>-5</v>
      </c>
      <c r="DW123" s="356">
        <f t="shared" ca="1" si="128"/>
        <v>15.864285714285714</v>
      </c>
    </row>
    <row r="124" spans="2:127" x14ac:dyDescent="0.25">
      <c r="B124" s="396">
        <v>39326</v>
      </c>
      <c r="C124" s="400">
        <v>39315</v>
      </c>
      <c r="I124" s="136">
        <f t="shared" ca="1" si="205"/>
        <v>40575</v>
      </c>
      <c r="J124" s="131">
        <f t="shared" ca="1" si="130"/>
        <v>40565</v>
      </c>
      <c r="K124" s="106">
        <f t="shared" ca="1" si="206"/>
        <v>0.7</v>
      </c>
      <c r="L124" s="133">
        <f t="shared" ca="1" si="193"/>
        <v>111</v>
      </c>
      <c r="M124" s="134">
        <f t="shared" ca="1" si="194"/>
        <v>2</v>
      </c>
      <c r="N124" s="103">
        <f t="shared" ca="1" si="197"/>
        <v>20</v>
      </c>
      <c r="O124" s="104">
        <f t="shared" ca="1" si="132"/>
        <v>3615</v>
      </c>
      <c r="P124" s="105">
        <f t="shared" ca="1" si="195"/>
        <v>9.9137577002053394</v>
      </c>
      <c r="Q124" s="105">
        <f t="shared" ca="1" si="196"/>
        <v>9.9876796714579061</v>
      </c>
      <c r="R124" s="114">
        <v>20.85</v>
      </c>
      <c r="S124" s="198">
        <v>0</v>
      </c>
      <c r="T124" s="189">
        <f t="shared" si="133"/>
        <v>20.85</v>
      </c>
      <c r="U124" s="199">
        <f t="shared" ca="1" si="198"/>
        <v>20.914999999999999</v>
      </c>
      <c r="V124" s="379">
        <f t="shared" ca="1" si="199"/>
        <v>20.914999999999999</v>
      </c>
      <c r="W124" s="483">
        <v>0.17009999999999903</v>
      </c>
      <c r="X124" s="166" t="str">
        <f t="shared" ca="1" si="200"/>
        <v/>
      </c>
      <c r="Y124" s="91">
        <f t="shared" ca="1" si="208"/>
        <v>1.172837018764049E-3</v>
      </c>
      <c r="Z124" s="91">
        <f t="shared" ca="1" si="209"/>
        <v>3.8166322734087304E-4</v>
      </c>
      <c r="AA124" s="91">
        <f t="shared" ca="1" si="210"/>
        <v>1.3218546014124631E-4</v>
      </c>
      <c r="AB124" s="91">
        <f t="shared" ca="1" si="211"/>
        <v>2.9778740460621289E-4</v>
      </c>
      <c r="AC124" s="91">
        <f t="shared" ca="1" si="212"/>
        <v>8.5981091855357827E-4</v>
      </c>
      <c r="AD124" s="91">
        <f t="shared" ca="1" si="213"/>
        <v>2.6421672358715505E-3</v>
      </c>
      <c r="AE124" s="124">
        <v>7.3765501582800014E-2</v>
      </c>
      <c r="AF124" s="191">
        <f t="shared" ca="1" si="161"/>
        <v>0.485059029489253</v>
      </c>
      <c r="AG124" s="189">
        <f t="shared" ca="1" si="207"/>
        <v>1</v>
      </c>
      <c r="AH124" s="192">
        <f t="shared" ca="1" si="201"/>
        <v>0</v>
      </c>
      <c r="AI124" s="192">
        <f t="shared" ca="1" si="214"/>
        <v>0</v>
      </c>
      <c r="AJ124" s="192">
        <f t="shared" ca="1" si="203"/>
        <v>0</v>
      </c>
      <c r="AK124" s="192">
        <f t="shared" ca="1" si="215"/>
        <v>0</v>
      </c>
      <c r="AL124" s="191" t="str">
        <f t="shared" ca="1" si="162"/>
        <v/>
      </c>
      <c r="AM124" s="191" t="str">
        <f t="shared" ca="1" si="163"/>
        <v/>
      </c>
      <c r="AN124" s="191" t="str">
        <f t="shared" ca="1" si="164"/>
        <v/>
      </c>
      <c r="AO124" s="193" t="str">
        <f t="shared" ca="1" si="165"/>
        <v/>
      </c>
      <c r="AP124" s="194" t="str">
        <f t="shared" ca="1" si="135"/>
        <v/>
      </c>
      <c r="AQ124" s="194" t="str">
        <f t="shared" ca="1" si="136"/>
        <v/>
      </c>
      <c r="AR124" s="195">
        <f ca="1">IF(AH124,_xll.xASN(AL124,Strike1,AE124,AP124,0,N124,0,P124,Q124,IF(OptControl=4,0,1),0),0)</f>
        <v>0</v>
      </c>
      <c r="AS124" s="196">
        <f ca="1">IF(AH124,_xll.xASN(AL124,Strike1,AE124,AP124,0,N124,0,P124,Q124,IF(OptControl=4,0,1),1),0)</f>
        <v>0</v>
      </c>
      <c r="AT124" s="196">
        <f ca="1">IF(AH124,_xll.xASN(AL124,Strike1,AE124,AP124,0,N124,0,P124,Q124,IF(OptControl=4,0,1),2),0)</f>
        <v>0</v>
      </c>
      <c r="AU124" s="196">
        <f ca="1">IF(AH124,_xll.xASN(AL124,Strike1,AE124,AP124,0,N124,0,P124,Q124,IF(OptControl=4,0,1),3)/100,0)</f>
        <v>0</v>
      </c>
      <c r="AV124" s="196">
        <f ca="1">IF(AH124,_xll.xASN(AL124,Strike1,AE124,AP124,0,N124,0,P124-DaysForThetaCalculation/365.25,Q124-DaysForThetaCalculation/365.25,IF(OptControl=4,0,1),0)-_xll.xASN(AL124,Strike1,AE124,AP124,0,N124,0,P124,Q124,IF(OptControl=4,0,1),0),0)</f>
        <v>0</v>
      </c>
      <c r="AW124" s="196">
        <f ca="1">IF(AH124,_xll.xASN(AL124,Strike2,AE124,AQ124,0,N124,0,P124,Q124,IF(OptControl=3,1,0),0),0)</f>
        <v>0</v>
      </c>
      <c r="AX124" s="196">
        <f ca="1">IF(AH124,_xll.xASN(AL124,Strike2,AE124,AQ124,0,N124,0,P124,Q124,IF(OptControl=3,1,0),1),0)</f>
        <v>0</v>
      </c>
      <c r="AY124" s="196">
        <f ca="1">IF(AH124,_xll.xASN(AL124,Strike2,AE124,AQ124,0,N124,0,P124,Q124,IF(OptControl=3,1,0),2),0)</f>
        <v>0</v>
      </c>
      <c r="AZ124" s="196">
        <f ca="1">IF(AH124,_xll.xASN(AL124,Strike2,AE124,AQ124,0,N124,0,P124,Q124,IF(OptControl=3,1,0),3)/100,0)</f>
        <v>0</v>
      </c>
      <c r="BA124" s="196">
        <f ca="1">IF(AH124,_xll.xASN(AL124,Strike2,AE124,AQ124,0,N124,0,P124-DaysForThetaCalculation/365.25,Q124-DaysForThetaCalculation/365.25,IF(OptControl=3,1,0),0)-_xll.xASN(AL124,Strike2,AE124,AQ124,0,N124,0,P124,Q124,IF(OptControl=3,1,0),0),0)</f>
        <v>0</v>
      </c>
      <c r="BB124" s="126" t="str">
        <f t="shared" ca="1" si="166"/>
        <v/>
      </c>
      <c r="BC124" s="191" t="str">
        <f t="shared" ca="1" si="167"/>
        <v/>
      </c>
      <c r="BD124" s="191" t="str">
        <f t="shared" ca="1" si="168"/>
        <v/>
      </c>
      <c r="BE124" s="190" t="str">
        <f t="shared" ca="1" si="169"/>
        <v/>
      </c>
      <c r="BF124" s="194" t="str">
        <f t="shared" ca="1" si="170"/>
        <v/>
      </c>
      <c r="BG124" s="194" t="str">
        <f t="shared" ca="1" si="171"/>
        <v/>
      </c>
      <c r="BH124" s="195">
        <f ca="1">IF(AH124,_xll.xEURO(BB124,Strike1,AE124,AE124,BF124,O124,IF(OptControl=4,0,1),0),0)</f>
        <v>0</v>
      </c>
      <c r="BI124" s="196">
        <f ca="1">IF(AH124,_xll.xEURO(BB124,Strike1,AE124,AE124,BF124,O124,IF(OptControl=4,0,1),1),0)</f>
        <v>0</v>
      </c>
      <c r="BJ124" s="196">
        <f ca="1">IF(AH124,_xll.xEURO(BB124,Strike1,AE124,AE124,BF124,O124,IF(OptControl=4,0,1),2),0)</f>
        <v>0</v>
      </c>
      <c r="BK124" s="196">
        <f ca="1">IF(AH124,_xll.xEURO(BB124,Strike1,AE124,AE124,BF124,O124,IF(OptControl=4,0,1),3)/100,0)</f>
        <v>0</v>
      </c>
      <c r="BL124" s="196">
        <f ca="1">IF(AH124,_xll.xEURO(BB124,Strike1,AE124,AE124,BF124,O124-DaysForThetaCalculation,IF(OptControl=4,0,1),0)-_xll.xEURO(BB124,Strike1,AE124,AE124,BF124,O124,IF(OptControl=4,0,1),0),0)</f>
        <v>0</v>
      </c>
      <c r="BM124" s="196">
        <f ca="1">IF(AH124,_xll.xEURO(BB124,Strike2,AE124,AE124,BG124,O124,IF(OptControl=3,1,0),0),0)</f>
        <v>0</v>
      </c>
      <c r="BN124" s="196">
        <f ca="1">IF(AH124,_xll.xEURO(BB124,Strike2,AE124,AE124,BG124,O124,IF(OptControl=3,1,0),1),0)</f>
        <v>0</v>
      </c>
      <c r="BO124" s="196">
        <f ca="1">IF(AH124,_xll.xEURO(BB124,Strike2,AE124,AE124,BG124,O124,IF(OptControl=3,1,0),2),0)</f>
        <v>0</v>
      </c>
      <c r="BP124" s="196">
        <f ca="1">IF(AH124,_xll.xEURO(BB124,Strike2,AE124,AE124,BG124,O124,IF(OptControl=3,1,0),3)/100,0)</f>
        <v>0</v>
      </c>
      <c r="BQ124" s="197">
        <f ca="1">IF(AH124,_xll.xEURO(BB124,Strike2,AE124,AE124,BG124,O124-DaysForThetaCalculation,IF(OptControl=3,1,0),0)-_xll.xEURO(BB124,Strike2,AE124,AE124,BG124,O124,IF(OptControl=3,1,0),0),0)</f>
        <v>0</v>
      </c>
      <c r="BR124" s="301"/>
      <c r="BS124" s="114"/>
      <c r="BT124" s="345">
        <f t="shared" si="137"/>
        <v>0</v>
      </c>
      <c r="BU124" s="345">
        <f t="shared" ca="1" si="185"/>
        <v>-20.914999999999999</v>
      </c>
      <c r="BV124" s="73"/>
      <c r="BW124" s="345">
        <f t="shared" ca="1" si="182"/>
        <v>6.5400000000000009</v>
      </c>
      <c r="BX124" s="345">
        <f t="shared" ca="1" si="186"/>
        <v>64.342295178941157</v>
      </c>
      <c r="BY124" s="373">
        <f t="shared" ca="1" si="138"/>
        <v>65.36904761904762</v>
      </c>
      <c r="BZ124" s="114"/>
      <c r="CA124" s="345">
        <f t="shared" si="139"/>
        <v>0</v>
      </c>
      <c r="CB124" s="345">
        <f t="shared" ca="1" si="187"/>
        <v>-20.914999999999999</v>
      </c>
      <c r="CC124" s="345">
        <f t="shared" ca="1" si="183"/>
        <v>4.9820000000000002</v>
      </c>
      <c r="CD124" s="345">
        <f t="shared" ca="1" si="140"/>
        <v>61.659523809523805</v>
      </c>
      <c r="CE124" s="347">
        <f t="shared" ca="1" si="172"/>
        <v>-3.7095238095238159</v>
      </c>
      <c r="CF124" s="114"/>
      <c r="CG124" s="345">
        <f t="shared" si="141"/>
        <v>0</v>
      </c>
      <c r="CH124" s="345">
        <f t="shared" ca="1" si="142"/>
        <v>-20.914999999999999</v>
      </c>
      <c r="CI124" s="73"/>
      <c r="CJ124" s="345">
        <f t="shared" ca="1" si="190"/>
        <v>4.7679999999999971</v>
      </c>
      <c r="CK124" s="345">
        <f t="shared" ca="1" si="184"/>
        <v>62.723247559893537</v>
      </c>
      <c r="CL124" s="345">
        <f t="shared" ca="1" si="143"/>
        <v>61.149999999999991</v>
      </c>
      <c r="CM124" s="114"/>
      <c r="CN124" s="345">
        <f t="shared" si="144"/>
        <v>0</v>
      </c>
      <c r="CO124" s="345">
        <f t="shared" ca="1" si="145"/>
        <v>-20.914999999999999</v>
      </c>
      <c r="CP124" s="345">
        <f t="shared" ca="1" si="192"/>
        <v>3.6549999999999989</v>
      </c>
      <c r="CQ124" s="345">
        <f t="shared" ca="1" si="146"/>
        <v>58.499999999999986</v>
      </c>
      <c r="CR124" s="347">
        <f t="shared" ca="1" si="173"/>
        <v>-2.6500000000000057</v>
      </c>
      <c r="CS124" s="114"/>
      <c r="CT124" s="345">
        <f t="shared" si="147"/>
        <v>0</v>
      </c>
      <c r="CU124" s="345">
        <f t="shared" si="174"/>
        <v>0</v>
      </c>
      <c r="CV124" s="345">
        <f t="shared" ca="1" si="191"/>
        <v>1.9500000000000079</v>
      </c>
      <c r="CW124" s="347">
        <f t="shared" ca="1" si="175"/>
        <v>63.1</v>
      </c>
      <c r="CX124" s="483"/>
      <c r="CY124" s="190">
        <f t="shared" si="148"/>
        <v>-0.17009999999999903</v>
      </c>
      <c r="CZ124" s="190">
        <f t="shared" ca="1" si="180"/>
        <v>-0.03</v>
      </c>
      <c r="DA124" s="354">
        <f t="shared" ca="1" si="149"/>
        <v>0.14009999999999903</v>
      </c>
      <c r="DB124" s="483"/>
      <c r="DC124" s="190">
        <f t="shared" si="150"/>
        <v>-0.17009999999999903</v>
      </c>
      <c r="DD124" s="190">
        <f t="shared" ca="1" si="181"/>
        <v>0.03</v>
      </c>
      <c r="DE124" s="354">
        <f t="shared" ca="1" si="151"/>
        <v>0.20009999999999903</v>
      </c>
      <c r="DG124" s="341"/>
      <c r="DH124" s="114"/>
      <c r="DI124" s="126">
        <f t="shared" ca="1" si="176"/>
        <v>-20.914999999999999</v>
      </c>
      <c r="DJ124" s="126">
        <f t="shared" ca="1" si="124"/>
        <v>-2</v>
      </c>
      <c r="DK124" s="356">
        <f t="shared" ca="1" si="125"/>
        <v>18.914999999999999</v>
      </c>
      <c r="DL124" s="114"/>
      <c r="DM124" s="126">
        <f t="shared" ca="1" si="177"/>
        <v>-20.914999999999999</v>
      </c>
      <c r="DN124" s="126">
        <f t="shared" ca="1" si="152"/>
        <v>-3</v>
      </c>
      <c r="DO124" s="356">
        <f t="shared" ca="1" si="126"/>
        <v>17.914999999999999</v>
      </c>
      <c r="DP124" s="114"/>
      <c r="DQ124" s="126">
        <f t="shared" ca="1" si="178"/>
        <v>-20.914999999999999</v>
      </c>
      <c r="DR124" s="126">
        <f t="shared" ca="1" si="153"/>
        <v>-6</v>
      </c>
      <c r="DS124" s="356">
        <f t="shared" ca="1" si="127"/>
        <v>14.914999999999999</v>
      </c>
      <c r="DT124" s="114"/>
      <c r="DU124" s="126">
        <f t="shared" ca="1" si="179"/>
        <v>-20.914999999999999</v>
      </c>
      <c r="DV124" s="126">
        <f t="shared" ca="1" si="154"/>
        <v>-5</v>
      </c>
      <c r="DW124" s="356">
        <f t="shared" ca="1" si="128"/>
        <v>15.914999999999999</v>
      </c>
    </row>
    <row r="125" spans="2:127" x14ac:dyDescent="0.25">
      <c r="B125" s="396">
        <v>39356</v>
      </c>
      <c r="C125" s="400">
        <v>39345</v>
      </c>
      <c r="I125" s="136">
        <f t="shared" ca="1" si="205"/>
        <v>40603</v>
      </c>
      <c r="J125" s="131">
        <f t="shared" ca="1" si="130"/>
        <v>40594</v>
      </c>
      <c r="K125" s="106">
        <f t="shared" ca="1" si="206"/>
        <v>0.60869565217391308</v>
      </c>
      <c r="L125" s="133">
        <f t="shared" ca="1" si="193"/>
        <v>111</v>
      </c>
      <c r="M125" s="134">
        <f t="shared" ca="1" si="194"/>
        <v>3</v>
      </c>
      <c r="N125" s="103">
        <f t="shared" ca="1" si="197"/>
        <v>23</v>
      </c>
      <c r="O125" s="104">
        <f t="shared" ca="1" si="132"/>
        <v>3643</v>
      </c>
      <c r="P125" s="105">
        <f t="shared" ca="1" si="195"/>
        <v>9.9904175222450373</v>
      </c>
      <c r="Q125" s="105">
        <f t="shared" ca="1" si="196"/>
        <v>10.072553045859001</v>
      </c>
      <c r="R125" s="114">
        <v>20.9</v>
      </c>
      <c r="S125" s="198">
        <v>0</v>
      </c>
      <c r="T125" s="189">
        <f t="shared" si="133"/>
        <v>20.9</v>
      </c>
      <c r="U125" s="199">
        <f t="shared" ca="1" si="198"/>
        <v>20.969565217391303</v>
      </c>
      <c r="V125" s="379">
        <f t="shared" ca="1" si="199"/>
        <v>20.969565217391303</v>
      </c>
      <c r="W125" s="483">
        <v>0.16969999999999905</v>
      </c>
      <c r="X125" s="166" t="str">
        <f t="shared" ca="1" si="200"/>
        <v/>
      </c>
      <c r="Y125" s="91">
        <f t="shared" ca="1" si="208"/>
        <v>1.1477283619921229E-3</v>
      </c>
      <c r="Z125" s="91">
        <f t="shared" ca="1" si="209"/>
        <v>3.7149270042603175E-4</v>
      </c>
      <c r="AA125" s="91">
        <f t="shared" ca="1" si="210"/>
        <v>1.2831797204893448E-4</v>
      </c>
      <c r="AB125" s="91">
        <f t="shared" ca="1" si="211"/>
        <v>2.8907472743185282E-4</v>
      </c>
      <c r="AC125" s="91">
        <f t="shared" ca="1" si="212"/>
        <v>8.368987555198229E-4</v>
      </c>
      <c r="AD125" s="91">
        <f t="shared" ca="1" si="213"/>
        <v>2.5856024538957545E-3</v>
      </c>
      <c r="AE125" s="124">
        <v>7.3772357130319002E-2</v>
      </c>
      <c r="AF125" s="191">
        <f t="shared" ca="1" si="161"/>
        <v>0.48205391473589237</v>
      </c>
      <c r="AG125" s="189">
        <f t="shared" ca="1" si="207"/>
        <v>1</v>
      </c>
      <c r="AH125" s="192">
        <f t="shared" ca="1" si="201"/>
        <v>0</v>
      </c>
      <c r="AI125" s="192">
        <f t="shared" ca="1" si="214"/>
        <v>0</v>
      </c>
      <c r="AJ125" s="192">
        <f t="shared" ca="1" si="203"/>
        <v>0</v>
      </c>
      <c r="AK125" s="192">
        <f t="shared" ca="1" si="215"/>
        <v>0</v>
      </c>
      <c r="AL125" s="191" t="str">
        <f t="shared" ca="1" si="162"/>
        <v/>
      </c>
      <c r="AM125" s="191" t="str">
        <f t="shared" ca="1" si="163"/>
        <v/>
      </c>
      <c r="AN125" s="191" t="str">
        <f t="shared" ca="1" si="164"/>
        <v/>
      </c>
      <c r="AO125" s="193" t="str">
        <f t="shared" ca="1" si="165"/>
        <v/>
      </c>
      <c r="AP125" s="194" t="str">
        <f t="shared" ca="1" si="135"/>
        <v/>
      </c>
      <c r="AQ125" s="194" t="str">
        <f t="shared" ca="1" si="136"/>
        <v/>
      </c>
      <c r="AR125" s="195">
        <f ca="1">IF(AH125,_xll.xASN(AL125,Strike1,AE125,AP125,0,N125,0,P125,Q125,IF(OptControl=4,0,1),0),0)</f>
        <v>0</v>
      </c>
      <c r="AS125" s="196">
        <f ca="1">IF(AH125,_xll.xASN(AL125,Strike1,AE125,AP125,0,N125,0,P125,Q125,IF(OptControl=4,0,1),1),0)</f>
        <v>0</v>
      </c>
      <c r="AT125" s="196">
        <f ca="1">IF(AH125,_xll.xASN(AL125,Strike1,AE125,AP125,0,N125,0,P125,Q125,IF(OptControl=4,0,1),2),0)</f>
        <v>0</v>
      </c>
      <c r="AU125" s="196">
        <f ca="1">IF(AH125,_xll.xASN(AL125,Strike1,AE125,AP125,0,N125,0,P125,Q125,IF(OptControl=4,0,1),3)/100,0)</f>
        <v>0</v>
      </c>
      <c r="AV125" s="196">
        <f ca="1">IF(AH125,_xll.xASN(AL125,Strike1,AE125,AP125,0,N125,0,P125-DaysForThetaCalculation/365.25,Q125-DaysForThetaCalculation/365.25,IF(OptControl=4,0,1),0)-_xll.xASN(AL125,Strike1,AE125,AP125,0,N125,0,P125,Q125,IF(OptControl=4,0,1),0),0)</f>
        <v>0</v>
      </c>
      <c r="AW125" s="196">
        <f ca="1">IF(AH125,_xll.xASN(AL125,Strike2,AE125,AQ125,0,N125,0,P125,Q125,IF(OptControl=3,1,0),0),0)</f>
        <v>0</v>
      </c>
      <c r="AX125" s="196">
        <f ca="1">IF(AH125,_xll.xASN(AL125,Strike2,AE125,AQ125,0,N125,0,P125,Q125,IF(OptControl=3,1,0),1),0)</f>
        <v>0</v>
      </c>
      <c r="AY125" s="196">
        <f ca="1">IF(AH125,_xll.xASN(AL125,Strike2,AE125,AQ125,0,N125,0,P125,Q125,IF(OptControl=3,1,0),2),0)</f>
        <v>0</v>
      </c>
      <c r="AZ125" s="196">
        <f ca="1">IF(AH125,_xll.xASN(AL125,Strike2,AE125,AQ125,0,N125,0,P125,Q125,IF(OptControl=3,1,0),3)/100,0)</f>
        <v>0</v>
      </c>
      <c r="BA125" s="196">
        <f ca="1">IF(AH125,_xll.xASN(AL125,Strike2,AE125,AQ125,0,N125,0,P125-DaysForThetaCalculation/365.25,Q125-DaysForThetaCalculation/365.25,IF(OptControl=3,1,0),0)-_xll.xASN(AL125,Strike2,AE125,AQ125,0,N125,0,P125,Q125,IF(OptControl=3,1,0),0),0)</f>
        <v>0</v>
      </c>
      <c r="BB125" s="126" t="str">
        <f t="shared" ca="1" si="166"/>
        <v/>
      </c>
      <c r="BC125" s="191" t="str">
        <f t="shared" ca="1" si="167"/>
        <v/>
      </c>
      <c r="BD125" s="191" t="str">
        <f t="shared" ca="1" si="168"/>
        <v/>
      </c>
      <c r="BE125" s="190" t="str">
        <f t="shared" ca="1" si="169"/>
        <v/>
      </c>
      <c r="BF125" s="194" t="str">
        <f t="shared" ca="1" si="170"/>
        <v/>
      </c>
      <c r="BG125" s="194" t="str">
        <f t="shared" ca="1" si="171"/>
        <v/>
      </c>
      <c r="BH125" s="195">
        <f ca="1">IF(AH125,_xll.xEURO(BB125,Strike1,AE125,AE125,BF125,O125,IF(OptControl=4,0,1),0),0)</f>
        <v>0</v>
      </c>
      <c r="BI125" s="196">
        <f ca="1">IF(AH125,_xll.xEURO(BB125,Strike1,AE125,AE125,BF125,O125,IF(OptControl=4,0,1),1),0)</f>
        <v>0</v>
      </c>
      <c r="BJ125" s="196">
        <f ca="1">IF(AH125,_xll.xEURO(BB125,Strike1,AE125,AE125,BF125,O125,IF(OptControl=4,0,1),2),0)</f>
        <v>0</v>
      </c>
      <c r="BK125" s="196">
        <f ca="1">IF(AH125,_xll.xEURO(BB125,Strike1,AE125,AE125,BF125,O125,IF(OptControl=4,0,1),3)/100,0)</f>
        <v>0</v>
      </c>
      <c r="BL125" s="196">
        <f ca="1">IF(AH125,_xll.xEURO(BB125,Strike1,AE125,AE125,BF125,O125-DaysForThetaCalculation,IF(OptControl=4,0,1),0)-_xll.xEURO(BB125,Strike1,AE125,AE125,BF125,O125,IF(OptControl=4,0,1),0),0)</f>
        <v>0</v>
      </c>
      <c r="BM125" s="196">
        <f ca="1">IF(AH125,_xll.xEURO(BB125,Strike2,AE125,AE125,BG125,O125,IF(OptControl=3,1,0),0),0)</f>
        <v>0</v>
      </c>
      <c r="BN125" s="196">
        <f ca="1">IF(AH125,_xll.xEURO(BB125,Strike2,AE125,AE125,BG125,O125,IF(OptControl=3,1,0),1),0)</f>
        <v>0</v>
      </c>
      <c r="BO125" s="196">
        <f ca="1">IF(AH125,_xll.xEURO(BB125,Strike2,AE125,AE125,BG125,O125,IF(OptControl=3,1,0),2),0)</f>
        <v>0</v>
      </c>
      <c r="BP125" s="196">
        <f ca="1">IF(AH125,_xll.xEURO(BB125,Strike2,AE125,AE125,BG125,O125,IF(OptControl=3,1,0),3)/100,0)</f>
        <v>0</v>
      </c>
      <c r="BQ125" s="197">
        <f ca="1">IF(AH125,_xll.xEURO(BB125,Strike2,AE125,AE125,BG125,O125-DaysForThetaCalculation,IF(OptControl=3,1,0),0)-_xll.xEURO(BB125,Strike2,AE125,AE125,BG125,O125,IF(OptControl=3,1,0),0),0)</f>
        <v>0</v>
      </c>
      <c r="BR125" s="301"/>
      <c r="BS125" s="114"/>
      <c r="BT125" s="345">
        <f t="shared" si="137"/>
        <v>0</v>
      </c>
      <c r="BU125" s="345">
        <f t="shared" ca="1" si="185"/>
        <v>-20.969565217391303</v>
      </c>
      <c r="BV125" s="73"/>
      <c r="BW125" s="345">
        <f t="shared" ca="1" si="182"/>
        <v>10.606000000000005</v>
      </c>
      <c r="BX125" s="345">
        <f t="shared" ca="1" si="186"/>
        <v>65.36904761904762</v>
      </c>
      <c r="BY125" s="373">
        <f t="shared" ca="1" si="138"/>
        <v>75.179917184265022</v>
      </c>
      <c r="BZ125" s="114"/>
      <c r="CA125" s="345">
        <f t="shared" si="139"/>
        <v>0</v>
      </c>
      <c r="CB125" s="345">
        <f t="shared" ca="1" si="187"/>
        <v>-20.969565217391303</v>
      </c>
      <c r="CC125" s="345">
        <f t="shared" ca="1" si="183"/>
        <v>7.148000000000005</v>
      </c>
      <c r="CD125" s="345">
        <f t="shared" ca="1" si="140"/>
        <v>66.946583850931688</v>
      </c>
      <c r="CE125" s="347">
        <f t="shared" ca="1" si="172"/>
        <v>-8.2333333333333343</v>
      </c>
      <c r="CF125" s="114"/>
      <c r="CG125" s="345">
        <f t="shared" si="141"/>
        <v>0</v>
      </c>
      <c r="CH125" s="345">
        <f t="shared" ca="1" si="142"/>
        <v>-20.969565217391303</v>
      </c>
      <c r="CI125" s="73"/>
      <c r="CJ125" s="345">
        <f t="shared" ca="1" si="190"/>
        <v>4.1289999999999996</v>
      </c>
      <c r="CK125" s="345">
        <f t="shared" ca="1" si="184"/>
        <v>61.149999999999991</v>
      </c>
      <c r="CL125" s="345">
        <f t="shared" ca="1" si="143"/>
        <v>59.758488612836445</v>
      </c>
      <c r="CM125" s="114"/>
      <c r="CN125" s="345">
        <f t="shared" si="144"/>
        <v>0</v>
      </c>
      <c r="CO125" s="345">
        <f t="shared" ca="1" si="145"/>
        <v>-20.969565217391303</v>
      </c>
      <c r="CP125" s="345">
        <f t="shared" ca="1" si="192"/>
        <v>3.0159999999999996</v>
      </c>
      <c r="CQ125" s="345">
        <f t="shared" ca="1" si="146"/>
        <v>57.108488612836425</v>
      </c>
      <c r="CR125" s="347">
        <f t="shared" ca="1" si="173"/>
        <v>-2.6500000000000199</v>
      </c>
      <c r="CS125" s="114"/>
      <c r="CT125" s="345">
        <f t="shared" si="147"/>
        <v>0</v>
      </c>
      <c r="CU125" s="345">
        <f t="shared" si="174"/>
        <v>0</v>
      </c>
      <c r="CV125" s="345">
        <f t="shared" ca="1" si="191"/>
        <v>1.9499999999999937</v>
      </c>
      <c r="CW125" s="347">
        <f t="shared" ca="1" si="175"/>
        <v>61.70848861283644</v>
      </c>
      <c r="CX125" s="483"/>
      <c r="CY125" s="190">
        <f t="shared" si="148"/>
        <v>-0.16969999999999905</v>
      </c>
      <c r="CZ125" s="190">
        <f t="shared" ca="1" si="180"/>
        <v>-0.03</v>
      </c>
      <c r="DA125" s="354">
        <f t="shared" ca="1" si="149"/>
        <v>0.13969999999999905</v>
      </c>
      <c r="DB125" s="483"/>
      <c r="DC125" s="190">
        <f t="shared" si="150"/>
        <v>-0.16969999999999905</v>
      </c>
      <c r="DD125" s="190">
        <f t="shared" ca="1" si="181"/>
        <v>0.03</v>
      </c>
      <c r="DE125" s="354">
        <f t="shared" ca="1" si="151"/>
        <v>0.19969999999999904</v>
      </c>
      <c r="DG125" s="341"/>
      <c r="DH125" s="114"/>
      <c r="DI125" s="126">
        <f t="shared" ca="1" si="176"/>
        <v>-20.969565217391303</v>
      </c>
      <c r="DJ125" s="126">
        <f t="shared" ca="1" si="124"/>
        <v>-2</v>
      </c>
      <c r="DK125" s="356">
        <f t="shared" ca="1" si="125"/>
        <v>18.969565217391303</v>
      </c>
      <c r="DL125" s="114"/>
      <c r="DM125" s="126">
        <f t="shared" ca="1" si="177"/>
        <v>-20.969565217391303</v>
      </c>
      <c r="DN125" s="126">
        <f t="shared" ca="1" si="152"/>
        <v>-3</v>
      </c>
      <c r="DO125" s="356">
        <f t="shared" ca="1" si="126"/>
        <v>17.969565217391303</v>
      </c>
      <c r="DP125" s="114"/>
      <c r="DQ125" s="126">
        <f t="shared" ca="1" si="178"/>
        <v>-20.969565217391303</v>
      </c>
      <c r="DR125" s="126">
        <f t="shared" ca="1" si="153"/>
        <v>-6</v>
      </c>
      <c r="DS125" s="356">
        <f t="shared" ca="1" si="127"/>
        <v>14.969565217391303</v>
      </c>
      <c r="DT125" s="114"/>
      <c r="DU125" s="126">
        <f t="shared" ca="1" si="179"/>
        <v>-20.969565217391303</v>
      </c>
      <c r="DV125" s="126">
        <f t="shared" ca="1" si="154"/>
        <v>-5</v>
      </c>
      <c r="DW125" s="356">
        <f t="shared" ca="1" si="128"/>
        <v>15.969565217391303</v>
      </c>
    </row>
    <row r="126" spans="2:127" x14ac:dyDescent="0.25">
      <c r="B126" s="396">
        <v>39387</v>
      </c>
      <c r="C126" s="400">
        <v>39377</v>
      </c>
      <c r="I126" s="136">
        <f t="shared" ca="1" si="205"/>
        <v>40634</v>
      </c>
      <c r="J126" s="131">
        <f t="shared" ca="1" si="130"/>
        <v>40622</v>
      </c>
      <c r="K126" s="106">
        <f t="shared" ca="1" si="206"/>
        <v>0.66666666666666663</v>
      </c>
      <c r="L126" s="133">
        <f t="shared" ca="1" si="193"/>
        <v>111</v>
      </c>
      <c r="M126" s="134">
        <f t="shared" ca="1" si="194"/>
        <v>4</v>
      </c>
      <c r="N126" s="103">
        <f t="shared" ca="1" si="197"/>
        <v>21</v>
      </c>
      <c r="O126" s="104">
        <f t="shared" ca="1" si="132"/>
        <v>3676</v>
      </c>
      <c r="P126" s="105">
        <f t="shared" ca="1" si="195"/>
        <v>10.075290896646132</v>
      </c>
      <c r="Q126" s="105">
        <f t="shared" ca="1" si="196"/>
        <v>10.154688569472963</v>
      </c>
      <c r="R126" s="114">
        <v>20.95</v>
      </c>
      <c r="S126" s="198">
        <v>0</v>
      </c>
      <c r="T126" s="189">
        <f t="shared" si="133"/>
        <v>20.95</v>
      </c>
      <c r="U126" s="199">
        <f t="shared" ca="1" si="198"/>
        <v>21.016666666666666</v>
      </c>
      <c r="V126" s="379">
        <f t="shared" ca="1" si="199"/>
        <v>21.016666666666666</v>
      </c>
      <c r="W126" s="483">
        <v>0.16929999999999903</v>
      </c>
      <c r="X126" s="166" t="str">
        <f t="shared" ca="1" si="200"/>
        <v/>
      </c>
      <c r="Y126" s="91">
        <f t="shared" ca="1" si="208"/>
        <v>1.1231572433732428E-3</v>
      </c>
      <c r="Z126" s="91">
        <f t="shared" ca="1" si="209"/>
        <v>3.615931967859403E-4</v>
      </c>
      <c r="AA126" s="91">
        <f t="shared" ca="1" si="210"/>
        <v>1.2456363909583531E-4</v>
      </c>
      <c r="AB126" s="91">
        <f t="shared" ca="1" si="211"/>
        <v>2.8061696615511102E-4</v>
      </c>
      <c r="AC126" s="91">
        <f t="shared" ca="1" si="212"/>
        <v>8.1459715371942393E-4</v>
      </c>
      <c r="AD126" s="91">
        <f t="shared" ca="1" si="213"/>
        <v>2.5302486378711406E-3</v>
      </c>
      <c r="AE126" s="124">
        <v>7.3776220868782008E-2</v>
      </c>
      <c r="AF126" s="191">
        <f t="shared" ca="1" si="161"/>
        <v>0.47917595692473725</v>
      </c>
      <c r="AG126" s="189">
        <f t="shared" ca="1" si="207"/>
        <v>1</v>
      </c>
      <c r="AH126" s="192">
        <f t="shared" ca="1" si="201"/>
        <v>0</v>
      </c>
      <c r="AI126" s="192">
        <f t="shared" ca="1" si="214"/>
        <v>0</v>
      </c>
      <c r="AJ126" s="192">
        <f t="shared" ca="1" si="203"/>
        <v>0</v>
      </c>
      <c r="AK126" s="192">
        <f t="shared" ca="1" si="215"/>
        <v>0</v>
      </c>
      <c r="AL126" s="191" t="str">
        <f t="shared" ca="1" si="162"/>
        <v/>
      </c>
      <c r="AM126" s="191" t="str">
        <f t="shared" ca="1" si="163"/>
        <v/>
      </c>
      <c r="AN126" s="191" t="str">
        <f t="shared" ca="1" si="164"/>
        <v/>
      </c>
      <c r="AO126" s="193" t="str">
        <f t="shared" ca="1" si="165"/>
        <v/>
      </c>
      <c r="AP126" s="194" t="str">
        <f t="shared" ca="1" si="135"/>
        <v/>
      </c>
      <c r="AQ126" s="194" t="str">
        <f t="shared" ca="1" si="136"/>
        <v/>
      </c>
      <c r="AR126" s="195">
        <f ca="1">IF(AH126,_xll.xASN(AL126,Strike1,AE126,AP126,0,N126,0,P126,Q126,IF(OptControl=4,0,1),0),0)</f>
        <v>0</v>
      </c>
      <c r="AS126" s="196">
        <f ca="1">IF(AH126,_xll.xASN(AL126,Strike1,AE126,AP126,0,N126,0,P126,Q126,IF(OptControl=4,0,1),1),0)</f>
        <v>0</v>
      </c>
      <c r="AT126" s="196">
        <f ca="1">IF(AH126,_xll.xASN(AL126,Strike1,AE126,AP126,0,N126,0,P126,Q126,IF(OptControl=4,0,1),2),0)</f>
        <v>0</v>
      </c>
      <c r="AU126" s="196">
        <f ca="1">IF(AH126,_xll.xASN(AL126,Strike1,AE126,AP126,0,N126,0,P126,Q126,IF(OptControl=4,0,1),3)/100,0)</f>
        <v>0</v>
      </c>
      <c r="AV126" s="196">
        <f ca="1">IF(AH126,_xll.xASN(AL126,Strike1,AE126,AP126,0,N126,0,P126-DaysForThetaCalculation/365.25,Q126-DaysForThetaCalculation/365.25,IF(OptControl=4,0,1),0)-_xll.xASN(AL126,Strike1,AE126,AP126,0,N126,0,P126,Q126,IF(OptControl=4,0,1),0),0)</f>
        <v>0</v>
      </c>
      <c r="AW126" s="196">
        <f ca="1">IF(AH126,_xll.xASN(AL126,Strike2,AE126,AQ126,0,N126,0,P126,Q126,IF(OptControl=3,1,0),0),0)</f>
        <v>0</v>
      </c>
      <c r="AX126" s="196">
        <f ca="1">IF(AH126,_xll.xASN(AL126,Strike2,AE126,AQ126,0,N126,0,P126,Q126,IF(OptControl=3,1,0),1),0)</f>
        <v>0</v>
      </c>
      <c r="AY126" s="196">
        <f ca="1">IF(AH126,_xll.xASN(AL126,Strike2,AE126,AQ126,0,N126,0,P126,Q126,IF(OptControl=3,1,0),2),0)</f>
        <v>0</v>
      </c>
      <c r="AZ126" s="196">
        <f ca="1">IF(AH126,_xll.xASN(AL126,Strike2,AE126,AQ126,0,N126,0,P126,Q126,IF(OptControl=3,1,0),3)/100,0)</f>
        <v>0</v>
      </c>
      <c r="BA126" s="196">
        <f ca="1">IF(AH126,_xll.xASN(AL126,Strike2,AE126,AQ126,0,N126,0,P126-DaysForThetaCalculation/365.25,Q126-DaysForThetaCalculation/365.25,IF(OptControl=3,1,0),0)-_xll.xASN(AL126,Strike2,AE126,AQ126,0,N126,0,P126,Q126,IF(OptControl=3,1,0),0),0)</f>
        <v>0</v>
      </c>
      <c r="BB126" s="126" t="str">
        <f t="shared" ca="1" si="166"/>
        <v/>
      </c>
      <c r="BC126" s="191" t="str">
        <f t="shared" ca="1" si="167"/>
        <v/>
      </c>
      <c r="BD126" s="191" t="str">
        <f t="shared" ca="1" si="168"/>
        <v/>
      </c>
      <c r="BE126" s="190" t="str">
        <f t="shared" ca="1" si="169"/>
        <v/>
      </c>
      <c r="BF126" s="194" t="str">
        <f t="shared" ca="1" si="170"/>
        <v/>
      </c>
      <c r="BG126" s="194" t="str">
        <f t="shared" ca="1" si="171"/>
        <v/>
      </c>
      <c r="BH126" s="195">
        <f ca="1">IF(AH126,_xll.xEURO(BB126,Strike1,AE126,AE126,BF126,O126,IF(OptControl=4,0,1),0),0)</f>
        <v>0</v>
      </c>
      <c r="BI126" s="196">
        <f ca="1">IF(AH126,_xll.xEURO(BB126,Strike1,AE126,AE126,BF126,O126,IF(OptControl=4,0,1),1),0)</f>
        <v>0</v>
      </c>
      <c r="BJ126" s="196">
        <f ca="1">IF(AH126,_xll.xEURO(BB126,Strike1,AE126,AE126,BF126,O126,IF(OptControl=4,0,1),2),0)</f>
        <v>0</v>
      </c>
      <c r="BK126" s="196">
        <f ca="1">IF(AH126,_xll.xEURO(BB126,Strike1,AE126,AE126,BF126,O126,IF(OptControl=4,0,1),3)/100,0)</f>
        <v>0</v>
      </c>
      <c r="BL126" s="196">
        <f ca="1">IF(AH126,_xll.xEURO(BB126,Strike1,AE126,AE126,BF126,O126-DaysForThetaCalculation,IF(OptControl=4,0,1),0)-_xll.xEURO(BB126,Strike1,AE126,AE126,BF126,O126,IF(OptControl=4,0,1),0),0)</f>
        <v>0</v>
      </c>
      <c r="BM126" s="196">
        <f ca="1">IF(AH126,_xll.xEURO(BB126,Strike2,AE126,AE126,BG126,O126,IF(OptControl=3,1,0),0),0)</f>
        <v>0</v>
      </c>
      <c r="BN126" s="196">
        <f ca="1">IF(AH126,_xll.xEURO(BB126,Strike2,AE126,AE126,BG126,O126,IF(OptControl=3,1,0),1),0)</f>
        <v>0</v>
      </c>
      <c r="BO126" s="196">
        <f ca="1">IF(AH126,_xll.xEURO(BB126,Strike2,AE126,AE126,BG126,O126,IF(OptControl=3,1,0),2),0)</f>
        <v>0</v>
      </c>
      <c r="BP126" s="196">
        <f ca="1">IF(AH126,_xll.xEURO(BB126,Strike2,AE126,AE126,BG126,O126,IF(OptControl=3,1,0),3)/100,0)</f>
        <v>0</v>
      </c>
      <c r="BQ126" s="197">
        <f ca="1">IF(AH126,_xll.xEURO(BB126,Strike2,AE126,AE126,BG126,O126-DaysForThetaCalculation,IF(OptControl=3,1,0),0)-_xll.xEURO(BB126,Strike2,AE126,AE126,BG126,O126,IF(OptControl=3,1,0),0),0)</f>
        <v>0</v>
      </c>
      <c r="BR126" s="301"/>
      <c r="BS126" s="114"/>
      <c r="BT126" s="345">
        <f t="shared" si="137"/>
        <v>0</v>
      </c>
      <c r="BU126" s="345">
        <f t="shared" ca="1" si="185"/>
        <v>-21.016666666666666</v>
      </c>
      <c r="BV126" s="73"/>
      <c r="BW126" s="345">
        <f t="shared" ca="1" si="182"/>
        <v>9.5457142857142898</v>
      </c>
      <c r="BX126" s="345">
        <f t="shared" ca="1" si="186"/>
        <v>75.179917184265022</v>
      </c>
      <c r="BY126" s="373">
        <f t="shared" ca="1" si="138"/>
        <v>72.767573696145135</v>
      </c>
      <c r="BZ126" s="114"/>
      <c r="CA126" s="345">
        <f t="shared" si="139"/>
        <v>0</v>
      </c>
      <c r="CB126" s="345">
        <f t="shared" ca="1" si="187"/>
        <v>-21.016666666666666</v>
      </c>
      <c r="CC126" s="345">
        <f t="shared" ca="1" si="183"/>
        <v>6.9207142857142898</v>
      </c>
      <c r="CD126" s="345">
        <f t="shared" ca="1" si="140"/>
        <v>66.517573696145135</v>
      </c>
      <c r="CE126" s="347">
        <f t="shared" ca="1" si="172"/>
        <v>-6.25</v>
      </c>
      <c r="CF126" s="114"/>
      <c r="CG126" s="345">
        <f t="shared" si="141"/>
        <v>0</v>
      </c>
      <c r="CH126" s="345">
        <f t="shared" ca="1" si="142"/>
        <v>-21.016666666666666</v>
      </c>
      <c r="CI126" s="73"/>
      <c r="CJ126" s="345">
        <f t="shared" ca="1" si="190"/>
        <v>3.5770909090909107</v>
      </c>
      <c r="CK126" s="345">
        <f t="shared" ca="1" si="184"/>
        <v>59.758488612836445</v>
      </c>
      <c r="CL126" s="345">
        <f t="shared" ca="1" si="143"/>
        <v>58.55656565656566</v>
      </c>
      <c r="CM126" s="114"/>
      <c r="CN126" s="345">
        <f t="shared" si="144"/>
        <v>0</v>
      </c>
      <c r="CO126" s="345">
        <f t="shared" ca="1" si="145"/>
        <v>-21.016666666666666</v>
      </c>
      <c r="CP126" s="345">
        <f t="shared" ca="1" si="192"/>
        <v>2.6530909090909076</v>
      </c>
      <c r="CQ126" s="345">
        <f t="shared" ca="1" si="146"/>
        <v>56.35656565656565</v>
      </c>
      <c r="CR126" s="347">
        <f t="shared" ca="1" si="173"/>
        <v>-2.2000000000000099</v>
      </c>
      <c r="CS126" s="114"/>
      <c r="CT126" s="345">
        <f t="shared" si="147"/>
        <v>0</v>
      </c>
      <c r="CU126" s="345">
        <f t="shared" si="174"/>
        <v>0</v>
      </c>
      <c r="CV126" s="345">
        <f t="shared" ca="1" si="191"/>
        <v>1.9499999999999937</v>
      </c>
      <c r="CW126" s="347">
        <f t="shared" ca="1" si="175"/>
        <v>60.506565656565655</v>
      </c>
      <c r="CX126" s="483"/>
      <c r="CY126" s="190">
        <f t="shared" si="148"/>
        <v>-0.16929999999999903</v>
      </c>
      <c r="CZ126" s="190">
        <f t="shared" ca="1" si="180"/>
        <v>-0.03</v>
      </c>
      <c r="DA126" s="354">
        <f t="shared" ca="1" si="149"/>
        <v>0.13929999999999904</v>
      </c>
      <c r="DB126" s="483"/>
      <c r="DC126" s="190">
        <f t="shared" si="150"/>
        <v>-0.16929999999999903</v>
      </c>
      <c r="DD126" s="190">
        <f t="shared" ca="1" si="181"/>
        <v>0.03</v>
      </c>
      <c r="DE126" s="354">
        <f t="shared" ca="1" si="151"/>
        <v>0.19929999999999903</v>
      </c>
      <c r="DG126" s="341"/>
      <c r="DH126" s="114"/>
      <c r="DI126" s="126">
        <f t="shared" ca="1" si="176"/>
        <v>-21.016666666666666</v>
      </c>
      <c r="DJ126" s="126">
        <f t="shared" ca="1" si="124"/>
        <v>-2</v>
      </c>
      <c r="DK126" s="356">
        <f t="shared" ca="1" si="125"/>
        <v>19.016666666666666</v>
      </c>
      <c r="DL126" s="114"/>
      <c r="DM126" s="126">
        <f t="shared" ca="1" si="177"/>
        <v>-21.016666666666666</v>
      </c>
      <c r="DN126" s="126">
        <f t="shared" ca="1" si="152"/>
        <v>-3</v>
      </c>
      <c r="DO126" s="356">
        <f t="shared" ca="1" si="126"/>
        <v>18.016666666666666</v>
      </c>
      <c r="DP126" s="114"/>
      <c r="DQ126" s="126">
        <f t="shared" ca="1" si="178"/>
        <v>-21.016666666666666</v>
      </c>
      <c r="DR126" s="126">
        <f t="shared" ca="1" si="153"/>
        <v>-6</v>
      </c>
      <c r="DS126" s="356">
        <f t="shared" ca="1" si="127"/>
        <v>15.016666666666666</v>
      </c>
      <c r="DT126" s="114"/>
      <c r="DU126" s="126">
        <f t="shared" ca="1" si="179"/>
        <v>-21.016666666666666</v>
      </c>
      <c r="DV126" s="126">
        <f t="shared" ca="1" si="154"/>
        <v>-5</v>
      </c>
      <c r="DW126" s="356">
        <f t="shared" ca="1" si="128"/>
        <v>16.016666666666666</v>
      </c>
    </row>
    <row r="127" spans="2:127" x14ac:dyDescent="0.25">
      <c r="B127" s="396">
        <v>39417</v>
      </c>
      <c r="C127" s="400">
        <v>39405</v>
      </c>
      <c r="I127" s="136">
        <f t="shared" ca="1" si="205"/>
        <v>40664</v>
      </c>
      <c r="J127" s="131">
        <f t="shared" ca="1" si="130"/>
        <v>40653</v>
      </c>
      <c r="K127" s="106">
        <f t="shared" ca="1" si="206"/>
        <v>0.68181818181818177</v>
      </c>
      <c r="L127" s="133">
        <f t="shared" ca="1" si="193"/>
        <v>111</v>
      </c>
      <c r="M127" s="134">
        <f t="shared" ca="1" si="194"/>
        <v>5</v>
      </c>
      <c r="N127" s="103">
        <f t="shared" ca="1" si="197"/>
        <v>22</v>
      </c>
      <c r="O127" s="104">
        <f t="shared" ca="1" si="132"/>
        <v>3705</v>
      </c>
      <c r="P127" s="105">
        <f t="shared" ca="1" si="195"/>
        <v>10.157426420260096</v>
      </c>
      <c r="Q127" s="105">
        <f t="shared" ca="1" si="196"/>
        <v>10.239561943874058</v>
      </c>
      <c r="R127" s="114">
        <v>21</v>
      </c>
      <c r="S127" s="198">
        <v>0</v>
      </c>
      <c r="T127" s="189">
        <f t="shared" si="133"/>
        <v>21</v>
      </c>
      <c r="U127" s="199">
        <f t="shared" ca="1" si="198"/>
        <v>21.065909090909091</v>
      </c>
      <c r="V127" s="379">
        <f t="shared" ca="1" si="199"/>
        <v>21.065909090909091</v>
      </c>
      <c r="W127" s="483">
        <v>0.16889999999999902</v>
      </c>
      <c r="X127" s="166" t="str">
        <f t="shared" ca="1" si="200"/>
        <v/>
      </c>
      <c r="Y127" s="91">
        <f t="shared" ca="1" si="208"/>
        <v>1.0991121550331085E-3</v>
      </c>
      <c r="Z127" s="91">
        <f t="shared" ca="1" si="209"/>
        <v>3.5195749421706182E-4</v>
      </c>
      <c r="AA127" s="91">
        <f t="shared" ca="1" si="210"/>
        <v>1.2091915058383557E-4</v>
      </c>
      <c r="AB127" s="91">
        <f t="shared" ca="1" si="211"/>
        <v>2.7240666243527801E-4</v>
      </c>
      <c r="AC127" s="91">
        <f t="shared" ca="1" si="212"/>
        <v>7.9288984297225349E-4</v>
      </c>
      <c r="AD127" s="91">
        <f t="shared" ca="1" si="213"/>
        <v>2.4760798628584847E-3</v>
      </c>
      <c r="AE127" s="124">
        <v>7.3772387102222017E-2</v>
      </c>
      <c r="AF127" s="191">
        <f t="shared" ca="1" si="161"/>
        <v>0.47625661737082908</v>
      </c>
      <c r="AG127" s="189">
        <f t="shared" ca="1" si="207"/>
        <v>1</v>
      </c>
      <c r="AH127" s="192">
        <f t="shared" ca="1" si="201"/>
        <v>0</v>
      </c>
      <c r="AI127" s="192">
        <f t="shared" ca="1" si="214"/>
        <v>0</v>
      </c>
      <c r="AJ127" s="192">
        <f t="shared" ca="1" si="203"/>
        <v>0</v>
      </c>
      <c r="AK127" s="192">
        <f t="shared" ca="1" si="215"/>
        <v>0</v>
      </c>
      <c r="AL127" s="191" t="str">
        <f t="shared" ca="1" si="162"/>
        <v/>
      </c>
      <c r="AM127" s="191" t="str">
        <f t="shared" ca="1" si="163"/>
        <v/>
      </c>
      <c r="AN127" s="191" t="str">
        <f t="shared" ca="1" si="164"/>
        <v/>
      </c>
      <c r="AO127" s="193" t="str">
        <f t="shared" ca="1" si="165"/>
        <v/>
      </c>
      <c r="AP127" s="194" t="str">
        <f t="shared" ca="1" si="135"/>
        <v/>
      </c>
      <c r="AQ127" s="194" t="str">
        <f t="shared" ca="1" si="136"/>
        <v/>
      </c>
      <c r="AR127" s="195">
        <f ca="1">IF(AH127,_xll.xASN(AL127,Strike1,AE127,AP127,0,N127,0,P127,Q127,IF(OptControl=4,0,1),0),0)</f>
        <v>0</v>
      </c>
      <c r="AS127" s="196">
        <f ca="1">IF(AH127,_xll.xASN(AL127,Strike1,AE127,AP127,0,N127,0,P127,Q127,IF(OptControl=4,0,1),1),0)</f>
        <v>0</v>
      </c>
      <c r="AT127" s="196">
        <f ca="1">IF(AH127,_xll.xASN(AL127,Strike1,AE127,AP127,0,N127,0,P127,Q127,IF(OptControl=4,0,1),2),0)</f>
        <v>0</v>
      </c>
      <c r="AU127" s="196">
        <f ca="1">IF(AH127,_xll.xASN(AL127,Strike1,AE127,AP127,0,N127,0,P127,Q127,IF(OptControl=4,0,1),3)/100,0)</f>
        <v>0</v>
      </c>
      <c r="AV127" s="196">
        <f ca="1">IF(AH127,_xll.xASN(AL127,Strike1,AE127,AP127,0,N127,0,P127-DaysForThetaCalculation/365.25,Q127-DaysForThetaCalculation/365.25,IF(OptControl=4,0,1),0)-_xll.xASN(AL127,Strike1,AE127,AP127,0,N127,0,P127,Q127,IF(OptControl=4,0,1),0),0)</f>
        <v>0</v>
      </c>
      <c r="AW127" s="196">
        <f ca="1">IF(AH127,_xll.xASN(AL127,Strike2,AE127,AQ127,0,N127,0,P127,Q127,IF(OptControl=3,1,0),0),0)</f>
        <v>0</v>
      </c>
      <c r="AX127" s="196">
        <f ca="1">IF(AH127,_xll.xASN(AL127,Strike2,AE127,AQ127,0,N127,0,P127,Q127,IF(OptControl=3,1,0),1),0)</f>
        <v>0</v>
      </c>
      <c r="AY127" s="196">
        <f ca="1">IF(AH127,_xll.xASN(AL127,Strike2,AE127,AQ127,0,N127,0,P127,Q127,IF(OptControl=3,1,0),2),0)</f>
        <v>0</v>
      </c>
      <c r="AZ127" s="196">
        <f ca="1">IF(AH127,_xll.xASN(AL127,Strike2,AE127,AQ127,0,N127,0,P127,Q127,IF(OptControl=3,1,0),3)/100,0)</f>
        <v>0</v>
      </c>
      <c r="BA127" s="196">
        <f ca="1">IF(AH127,_xll.xASN(AL127,Strike2,AE127,AQ127,0,N127,0,P127-DaysForThetaCalculation/365.25,Q127-DaysForThetaCalculation/365.25,IF(OptControl=3,1,0),0)-_xll.xASN(AL127,Strike2,AE127,AQ127,0,N127,0,P127,Q127,IF(OptControl=3,1,0),0),0)</f>
        <v>0</v>
      </c>
      <c r="BB127" s="126" t="str">
        <f t="shared" ca="1" si="166"/>
        <v/>
      </c>
      <c r="BC127" s="191" t="str">
        <f t="shared" ca="1" si="167"/>
        <v/>
      </c>
      <c r="BD127" s="191" t="str">
        <f t="shared" ca="1" si="168"/>
        <v/>
      </c>
      <c r="BE127" s="190" t="str">
        <f t="shared" ca="1" si="169"/>
        <v/>
      </c>
      <c r="BF127" s="194" t="str">
        <f t="shared" ca="1" si="170"/>
        <v/>
      </c>
      <c r="BG127" s="194" t="str">
        <f t="shared" ca="1" si="171"/>
        <v/>
      </c>
      <c r="BH127" s="195">
        <f ca="1">IF(AH127,_xll.xEURO(BB127,Strike1,AE127,AE127,BF127,O127,IF(OptControl=4,0,1),0),0)</f>
        <v>0</v>
      </c>
      <c r="BI127" s="196">
        <f ca="1">IF(AH127,_xll.xEURO(BB127,Strike1,AE127,AE127,BF127,O127,IF(OptControl=4,0,1),1),0)</f>
        <v>0</v>
      </c>
      <c r="BJ127" s="196">
        <f ca="1">IF(AH127,_xll.xEURO(BB127,Strike1,AE127,AE127,BF127,O127,IF(OptControl=4,0,1),2),0)</f>
        <v>0</v>
      </c>
      <c r="BK127" s="196">
        <f ca="1">IF(AH127,_xll.xEURO(BB127,Strike1,AE127,AE127,BF127,O127,IF(OptControl=4,0,1),3)/100,0)</f>
        <v>0</v>
      </c>
      <c r="BL127" s="196">
        <f ca="1">IF(AH127,_xll.xEURO(BB127,Strike1,AE127,AE127,BF127,O127-DaysForThetaCalculation,IF(OptControl=4,0,1),0)-_xll.xEURO(BB127,Strike1,AE127,AE127,BF127,O127,IF(OptControl=4,0,1),0),0)</f>
        <v>0</v>
      </c>
      <c r="BM127" s="196">
        <f ca="1">IF(AH127,_xll.xEURO(BB127,Strike2,AE127,AE127,BG127,O127,IF(OptControl=3,1,0),0),0)</f>
        <v>0</v>
      </c>
      <c r="BN127" s="196">
        <f ca="1">IF(AH127,_xll.xEURO(BB127,Strike2,AE127,AE127,BG127,O127,IF(OptControl=3,1,0),1),0)</f>
        <v>0</v>
      </c>
      <c r="BO127" s="196">
        <f ca="1">IF(AH127,_xll.xEURO(BB127,Strike2,AE127,AE127,BG127,O127,IF(OptControl=3,1,0),2),0)</f>
        <v>0</v>
      </c>
      <c r="BP127" s="196">
        <f ca="1">IF(AH127,_xll.xEURO(BB127,Strike2,AE127,AE127,BG127,O127,IF(OptControl=3,1,0),3)/100,0)</f>
        <v>0</v>
      </c>
      <c r="BQ127" s="197">
        <f ca="1">IF(AH127,_xll.xEURO(BB127,Strike2,AE127,AE127,BG127,O127-DaysForThetaCalculation,IF(OptControl=3,1,0),0)-_xll.xEURO(BB127,Strike2,AE127,AE127,BG127,O127,IF(OptControl=3,1,0),0),0)</f>
        <v>0</v>
      </c>
      <c r="BR127" s="301"/>
      <c r="BS127" s="114"/>
      <c r="BT127" s="345">
        <f t="shared" si="137"/>
        <v>0</v>
      </c>
      <c r="BU127" s="345">
        <f t="shared" ca="1" si="185"/>
        <v>-21.065909090909091</v>
      </c>
      <c r="BV127" s="73"/>
      <c r="BW127" s="345">
        <f t="shared" ca="1" si="182"/>
        <v>9.0539130434782642</v>
      </c>
      <c r="BX127" s="345">
        <f t="shared" ca="1" si="186"/>
        <v>72.767573696145135</v>
      </c>
      <c r="BY127" s="373">
        <f t="shared" ca="1" si="138"/>
        <v>71.713862224731798</v>
      </c>
      <c r="BZ127" s="114"/>
      <c r="CA127" s="345">
        <f t="shared" si="139"/>
        <v>0</v>
      </c>
      <c r="CB127" s="345">
        <f t="shared" ca="1" si="187"/>
        <v>-21.065909090909091</v>
      </c>
      <c r="CC127" s="345">
        <f t="shared" ca="1" si="183"/>
        <v>6.4289130434782642</v>
      </c>
      <c r="CD127" s="345">
        <f t="shared" ca="1" si="140"/>
        <v>65.463862224731798</v>
      </c>
      <c r="CE127" s="347">
        <f t="shared" ca="1" si="172"/>
        <v>-6.25</v>
      </c>
      <c r="CF127" s="114"/>
      <c r="CG127" s="345">
        <f t="shared" si="141"/>
        <v>0</v>
      </c>
      <c r="CH127" s="345">
        <f t="shared" ca="1" si="142"/>
        <v>-21.065909090909091</v>
      </c>
      <c r="CI127" s="73"/>
      <c r="CJ127" s="345">
        <f t="shared" ca="1" si="190"/>
        <v>3.1720869565217362</v>
      </c>
      <c r="CK127" s="345">
        <f t="shared" ca="1" si="184"/>
        <v>58.55656565656566</v>
      </c>
      <c r="CL127" s="345">
        <f t="shared" ca="1" si="143"/>
        <v>57.709514398644821</v>
      </c>
      <c r="CM127" s="114"/>
      <c r="CN127" s="345">
        <f t="shared" si="144"/>
        <v>0</v>
      </c>
      <c r="CO127" s="345">
        <f t="shared" ca="1" si="145"/>
        <v>-21.065909090909091</v>
      </c>
      <c r="CP127" s="345">
        <f t="shared" ca="1" si="192"/>
        <v>2.2480869565217403</v>
      </c>
      <c r="CQ127" s="345">
        <f t="shared" ca="1" si="146"/>
        <v>55.509514398644832</v>
      </c>
      <c r="CR127" s="347">
        <f t="shared" ca="1" si="173"/>
        <v>-2.1999999999999886</v>
      </c>
      <c r="CS127" s="114"/>
      <c r="CT127" s="345">
        <f t="shared" si="147"/>
        <v>0</v>
      </c>
      <c r="CU127" s="345">
        <f t="shared" si="174"/>
        <v>0</v>
      </c>
      <c r="CV127" s="345">
        <f t="shared" ca="1" si="191"/>
        <v>1.9500000000000079</v>
      </c>
      <c r="CW127" s="347">
        <f t="shared" ca="1" si="175"/>
        <v>59.659514398644831</v>
      </c>
      <c r="CX127" s="483"/>
      <c r="CY127" s="190">
        <f t="shared" si="148"/>
        <v>-0.16889999999999902</v>
      </c>
      <c r="CZ127" s="190">
        <f t="shared" ca="1" si="180"/>
        <v>-0.03</v>
      </c>
      <c r="DA127" s="354">
        <f t="shared" ca="1" si="149"/>
        <v>0.13889999999999902</v>
      </c>
      <c r="DB127" s="483"/>
      <c r="DC127" s="190">
        <f t="shared" si="150"/>
        <v>-0.16889999999999902</v>
      </c>
      <c r="DD127" s="190">
        <f t="shared" ca="1" si="181"/>
        <v>0.03</v>
      </c>
      <c r="DE127" s="354">
        <f t="shared" ca="1" si="151"/>
        <v>0.19889999999999902</v>
      </c>
      <c r="DG127" s="341"/>
      <c r="DH127" s="114"/>
      <c r="DI127" s="126">
        <f t="shared" ca="1" si="176"/>
        <v>-21.065909090909091</v>
      </c>
      <c r="DJ127" s="126">
        <f t="shared" ca="1" si="124"/>
        <v>-2</v>
      </c>
      <c r="DK127" s="356">
        <f t="shared" ca="1" si="125"/>
        <v>19.065909090909091</v>
      </c>
      <c r="DL127" s="114"/>
      <c r="DM127" s="126">
        <f t="shared" ca="1" si="177"/>
        <v>-21.065909090909091</v>
      </c>
      <c r="DN127" s="126">
        <f t="shared" ca="1" si="152"/>
        <v>-3</v>
      </c>
      <c r="DO127" s="356">
        <f t="shared" ca="1" si="126"/>
        <v>18.065909090909091</v>
      </c>
      <c r="DP127" s="114"/>
      <c r="DQ127" s="126">
        <f t="shared" ca="1" si="178"/>
        <v>-21.065909090909091</v>
      </c>
      <c r="DR127" s="126">
        <f t="shared" ca="1" si="153"/>
        <v>-6</v>
      </c>
      <c r="DS127" s="356">
        <f t="shared" ca="1" si="127"/>
        <v>15.065909090909091</v>
      </c>
      <c r="DT127" s="114"/>
      <c r="DU127" s="126">
        <f t="shared" ca="1" si="179"/>
        <v>-21.065909090909091</v>
      </c>
      <c r="DV127" s="126">
        <f t="shared" ca="1" si="154"/>
        <v>-5</v>
      </c>
      <c r="DW127" s="356">
        <f t="shared" ca="1" si="128"/>
        <v>16.065909090909091</v>
      </c>
    </row>
    <row r="128" spans="2:127" x14ac:dyDescent="0.25">
      <c r="B128" s="396">
        <v>39448</v>
      </c>
      <c r="C128" s="400">
        <v>39435</v>
      </c>
      <c r="I128" s="136">
        <f t="shared" ca="1" si="205"/>
        <v>40695</v>
      </c>
      <c r="J128" s="131">
        <f t="shared" ca="1" si="130"/>
        <v>40685</v>
      </c>
      <c r="K128" s="106">
        <f t="shared" ca="1" si="206"/>
        <v>0.63636363636363635</v>
      </c>
      <c r="L128" s="133">
        <f t="shared" ca="1" si="193"/>
        <v>111</v>
      </c>
      <c r="M128" s="134">
        <f t="shared" ca="1" si="194"/>
        <v>6</v>
      </c>
      <c r="N128" s="103">
        <f t="shared" ca="1" si="197"/>
        <v>22</v>
      </c>
      <c r="O128" s="104">
        <f t="shared" ca="1" si="132"/>
        <v>3735</v>
      </c>
      <c r="P128" s="105">
        <f t="shared" ca="1" si="195"/>
        <v>10.242299794661191</v>
      </c>
      <c r="Q128" s="105">
        <f t="shared" ca="1" si="196"/>
        <v>10.321697467488022</v>
      </c>
      <c r="R128" s="114">
        <v>21.05</v>
      </c>
      <c r="S128" s="198">
        <v>0</v>
      </c>
      <c r="T128" s="189">
        <f t="shared" si="133"/>
        <v>21.05</v>
      </c>
      <c r="U128" s="199">
        <f t="shared" ca="1" si="198"/>
        <v>21.118181818181817</v>
      </c>
      <c r="V128" s="379">
        <f t="shared" ca="1" si="199"/>
        <v>21.118181818181817</v>
      </c>
      <c r="W128" s="483">
        <v>0.16849999999999901</v>
      </c>
      <c r="X128" s="166" t="str">
        <f t="shared" ca="1" si="200"/>
        <v/>
      </c>
      <c r="Y128" s="91">
        <f t="shared" ca="1" si="208"/>
        <v>1.0755818354635058E-3</v>
      </c>
      <c r="Z128" s="91">
        <f t="shared" ca="1" si="209"/>
        <v>3.4257856297248142E-4</v>
      </c>
      <c r="AA128" s="91">
        <f t="shared" ca="1" si="210"/>
        <v>1.1738129267937515E-4</v>
      </c>
      <c r="AB128" s="91">
        <f t="shared" ca="1" si="211"/>
        <v>2.6443657614810958E-4</v>
      </c>
      <c r="AC128" s="91">
        <f t="shared" ca="1" si="212"/>
        <v>7.7176098666446164E-4</v>
      </c>
      <c r="AD128" s="91">
        <f t="shared" ca="1" si="213"/>
        <v>2.4230707589320824E-3</v>
      </c>
      <c r="AE128" s="124">
        <v>7.3768425543449007E-2</v>
      </c>
      <c r="AF128" s="191">
        <f t="shared" ca="1" si="161"/>
        <v>0.47344985373915588</v>
      </c>
      <c r="AG128" s="189">
        <f t="shared" ca="1" si="207"/>
        <v>1</v>
      </c>
      <c r="AH128" s="192">
        <f t="shared" ca="1" si="201"/>
        <v>0</v>
      </c>
      <c r="AI128" s="192">
        <f t="shared" ca="1" si="214"/>
        <v>0</v>
      </c>
      <c r="AJ128" s="192">
        <f t="shared" ca="1" si="203"/>
        <v>0</v>
      </c>
      <c r="AK128" s="192">
        <f t="shared" ca="1" si="215"/>
        <v>0</v>
      </c>
      <c r="AL128" s="191" t="str">
        <f t="shared" ca="1" si="162"/>
        <v/>
      </c>
      <c r="AM128" s="191" t="str">
        <f t="shared" ca="1" si="163"/>
        <v/>
      </c>
      <c r="AN128" s="191" t="str">
        <f t="shared" ca="1" si="164"/>
        <v/>
      </c>
      <c r="AO128" s="193" t="str">
        <f t="shared" ca="1" si="165"/>
        <v/>
      </c>
      <c r="AP128" s="194" t="str">
        <f t="shared" ca="1" si="135"/>
        <v/>
      </c>
      <c r="AQ128" s="194" t="str">
        <f t="shared" ca="1" si="136"/>
        <v/>
      </c>
      <c r="AR128" s="195">
        <f ca="1">IF(AH128,_xll.xASN(AL128,Strike1,AE128,AP128,0,N128,0,P128,Q128,IF(OptControl=4,0,1),0),0)</f>
        <v>0</v>
      </c>
      <c r="AS128" s="196">
        <f ca="1">IF(AH128,_xll.xASN(AL128,Strike1,AE128,AP128,0,N128,0,P128,Q128,IF(OptControl=4,0,1),1),0)</f>
        <v>0</v>
      </c>
      <c r="AT128" s="196">
        <f ca="1">IF(AH128,_xll.xASN(AL128,Strike1,AE128,AP128,0,N128,0,P128,Q128,IF(OptControl=4,0,1),2),0)</f>
        <v>0</v>
      </c>
      <c r="AU128" s="196">
        <f ca="1">IF(AH128,_xll.xASN(AL128,Strike1,AE128,AP128,0,N128,0,P128,Q128,IF(OptControl=4,0,1),3)/100,0)</f>
        <v>0</v>
      </c>
      <c r="AV128" s="196">
        <f ca="1">IF(AH128,_xll.xASN(AL128,Strike1,AE128,AP128,0,N128,0,P128-DaysForThetaCalculation/365.25,Q128-DaysForThetaCalculation/365.25,IF(OptControl=4,0,1),0)-_xll.xASN(AL128,Strike1,AE128,AP128,0,N128,0,P128,Q128,IF(OptControl=4,0,1),0),0)</f>
        <v>0</v>
      </c>
      <c r="AW128" s="196">
        <f ca="1">IF(AH128,_xll.xASN(AL128,Strike2,AE128,AQ128,0,N128,0,P128,Q128,IF(OptControl=3,1,0),0),0)</f>
        <v>0</v>
      </c>
      <c r="AX128" s="196">
        <f ca="1">IF(AH128,_xll.xASN(AL128,Strike2,AE128,AQ128,0,N128,0,P128,Q128,IF(OptControl=3,1,0),1),0)</f>
        <v>0</v>
      </c>
      <c r="AY128" s="196">
        <f ca="1">IF(AH128,_xll.xASN(AL128,Strike2,AE128,AQ128,0,N128,0,P128,Q128,IF(OptControl=3,1,0),2),0)</f>
        <v>0</v>
      </c>
      <c r="AZ128" s="196">
        <f ca="1">IF(AH128,_xll.xASN(AL128,Strike2,AE128,AQ128,0,N128,0,P128,Q128,IF(OptControl=3,1,0),3)/100,0)</f>
        <v>0</v>
      </c>
      <c r="BA128" s="196">
        <f ca="1">IF(AH128,_xll.xASN(AL128,Strike2,AE128,AQ128,0,N128,0,P128-DaysForThetaCalculation/365.25,Q128-DaysForThetaCalculation/365.25,IF(OptControl=3,1,0),0)-_xll.xASN(AL128,Strike2,AE128,AQ128,0,N128,0,P128,Q128,IF(OptControl=3,1,0),0),0)</f>
        <v>0</v>
      </c>
      <c r="BB128" s="126" t="str">
        <f t="shared" ca="1" si="166"/>
        <v/>
      </c>
      <c r="BC128" s="191" t="str">
        <f t="shared" ca="1" si="167"/>
        <v/>
      </c>
      <c r="BD128" s="191" t="str">
        <f t="shared" ca="1" si="168"/>
        <v/>
      </c>
      <c r="BE128" s="190" t="str">
        <f t="shared" ca="1" si="169"/>
        <v/>
      </c>
      <c r="BF128" s="194" t="str">
        <f t="shared" ca="1" si="170"/>
        <v/>
      </c>
      <c r="BG128" s="194" t="str">
        <f t="shared" ca="1" si="171"/>
        <v/>
      </c>
      <c r="BH128" s="195">
        <f ca="1">IF(AH128,_xll.xEURO(BB128,Strike1,AE128,AE128,BF128,O128,IF(OptControl=4,0,1),0),0)</f>
        <v>0</v>
      </c>
      <c r="BI128" s="196">
        <f ca="1">IF(AH128,_xll.xEURO(BB128,Strike1,AE128,AE128,BF128,O128,IF(OptControl=4,0,1),1),0)</f>
        <v>0</v>
      </c>
      <c r="BJ128" s="196">
        <f ca="1">IF(AH128,_xll.xEURO(BB128,Strike1,AE128,AE128,BF128,O128,IF(OptControl=4,0,1),2),0)</f>
        <v>0</v>
      </c>
      <c r="BK128" s="196">
        <f ca="1">IF(AH128,_xll.xEURO(BB128,Strike1,AE128,AE128,BF128,O128,IF(OptControl=4,0,1),3)/100,0)</f>
        <v>0</v>
      </c>
      <c r="BL128" s="196">
        <f ca="1">IF(AH128,_xll.xEURO(BB128,Strike1,AE128,AE128,BF128,O128-DaysForThetaCalculation,IF(OptControl=4,0,1),0)-_xll.xEURO(BB128,Strike1,AE128,AE128,BF128,O128,IF(OptControl=4,0,1),0),0)</f>
        <v>0</v>
      </c>
      <c r="BM128" s="196">
        <f ca="1">IF(AH128,_xll.xEURO(BB128,Strike2,AE128,AE128,BG128,O128,IF(OptControl=3,1,0),0),0)</f>
        <v>0</v>
      </c>
      <c r="BN128" s="196">
        <f ca="1">IF(AH128,_xll.xEURO(BB128,Strike2,AE128,AE128,BG128,O128,IF(OptControl=3,1,0),1),0)</f>
        <v>0</v>
      </c>
      <c r="BO128" s="196">
        <f ca="1">IF(AH128,_xll.xEURO(BB128,Strike2,AE128,AE128,BG128,O128,IF(OptControl=3,1,0),2),0)</f>
        <v>0</v>
      </c>
      <c r="BP128" s="196">
        <f ca="1">IF(AH128,_xll.xEURO(BB128,Strike2,AE128,AE128,BG128,O128,IF(OptControl=3,1,0),3)/100,0)</f>
        <v>0</v>
      </c>
      <c r="BQ128" s="197">
        <f ca="1">IF(AH128,_xll.xEURO(BB128,Strike2,AE128,AE128,BG128,O128-DaysForThetaCalculation,IF(OptControl=3,1,0),0)-_xll.xEURO(BB128,Strike2,AE128,AE128,BG128,O128,IF(OptControl=3,1,0),0),0)</f>
        <v>0</v>
      </c>
      <c r="BR128" s="301"/>
      <c r="BS128" s="114"/>
      <c r="BT128" s="345">
        <f t="shared" si="137"/>
        <v>0</v>
      </c>
      <c r="BU128" s="345">
        <f t="shared" ca="1" si="185"/>
        <v>-21.118181818181817</v>
      </c>
      <c r="BV128" s="73"/>
      <c r="BW128" s="345">
        <f t="shared" ca="1" si="182"/>
        <v>8.5736666666666714</v>
      </c>
      <c r="BX128" s="345">
        <f t="shared" ca="1" si="186"/>
        <v>71.713862224731798</v>
      </c>
      <c r="BY128" s="373">
        <f t="shared" ca="1" si="138"/>
        <v>70.694877344877355</v>
      </c>
      <c r="BZ128" s="114"/>
      <c r="CA128" s="345">
        <f t="shared" si="139"/>
        <v>0</v>
      </c>
      <c r="CB128" s="345">
        <f t="shared" ca="1" si="187"/>
        <v>-21.118181818181817</v>
      </c>
      <c r="CC128" s="345">
        <f t="shared" ca="1" si="183"/>
        <v>5.948666666666675</v>
      </c>
      <c r="CD128" s="345">
        <f t="shared" ca="1" si="140"/>
        <v>64.444877344877369</v>
      </c>
      <c r="CE128" s="347">
        <f t="shared" ca="1" si="172"/>
        <v>-6.2499999999999858</v>
      </c>
      <c r="CF128" s="114"/>
      <c r="CG128" s="345">
        <f t="shared" si="141"/>
        <v>0</v>
      </c>
      <c r="CH128" s="345">
        <f t="shared" ca="1" si="142"/>
        <v>-21.118181818181817</v>
      </c>
      <c r="CI128" s="73"/>
      <c r="CJ128" s="345">
        <f t="shared" ca="1" si="190"/>
        <v>3.2470000000000012</v>
      </c>
      <c r="CK128" s="345">
        <f t="shared" ca="1" si="184"/>
        <v>57.709514398644821</v>
      </c>
      <c r="CL128" s="345">
        <f t="shared" ca="1" si="143"/>
        <v>58.012337662337664</v>
      </c>
      <c r="CM128" s="114"/>
      <c r="CN128" s="345">
        <f t="shared" si="144"/>
        <v>0</v>
      </c>
      <c r="CO128" s="345">
        <f t="shared" ca="1" si="145"/>
        <v>-21.118181818181817</v>
      </c>
      <c r="CP128" s="345">
        <f t="shared" ca="1" si="192"/>
        <v>2.3229999999999982</v>
      </c>
      <c r="CQ128" s="345">
        <f t="shared" ca="1" si="146"/>
        <v>55.812337662337647</v>
      </c>
      <c r="CR128" s="347">
        <f t="shared" ca="1" si="173"/>
        <v>-2.2000000000000171</v>
      </c>
      <c r="CS128" s="114"/>
      <c r="CT128" s="345">
        <f t="shared" si="147"/>
        <v>0</v>
      </c>
      <c r="CU128" s="345">
        <f t="shared" si="174"/>
        <v>0</v>
      </c>
      <c r="CV128" s="345">
        <f t="shared" ca="1" si="191"/>
        <v>1.9499999999999937</v>
      </c>
      <c r="CW128" s="347">
        <f t="shared" ca="1" si="175"/>
        <v>59.96233766233766</v>
      </c>
      <c r="CX128" s="483"/>
      <c r="CY128" s="190">
        <f t="shared" si="148"/>
        <v>-0.16849999999999901</v>
      </c>
      <c r="CZ128" s="190">
        <f t="shared" ca="1" si="180"/>
        <v>-0.03</v>
      </c>
      <c r="DA128" s="354">
        <f t="shared" ca="1" si="149"/>
        <v>0.13849999999999901</v>
      </c>
      <c r="DB128" s="483"/>
      <c r="DC128" s="190">
        <f t="shared" si="150"/>
        <v>-0.16849999999999901</v>
      </c>
      <c r="DD128" s="190">
        <f t="shared" ca="1" si="181"/>
        <v>0.03</v>
      </c>
      <c r="DE128" s="354">
        <f t="shared" ca="1" si="151"/>
        <v>0.19849999999999901</v>
      </c>
      <c r="DG128" s="341"/>
      <c r="DH128" s="114"/>
      <c r="DI128" s="126">
        <f t="shared" ca="1" si="176"/>
        <v>-21.118181818181817</v>
      </c>
      <c r="DJ128" s="126">
        <f t="shared" ca="1" si="124"/>
        <v>-2</v>
      </c>
      <c r="DK128" s="356">
        <f t="shared" ca="1" si="125"/>
        <v>19.118181818181817</v>
      </c>
      <c r="DL128" s="114"/>
      <c r="DM128" s="126">
        <f t="shared" ca="1" si="177"/>
        <v>-21.118181818181817</v>
      </c>
      <c r="DN128" s="126">
        <f t="shared" ca="1" si="152"/>
        <v>-3</v>
      </c>
      <c r="DO128" s="356">
        <f t="shared" ca="1" si="126"/>
        <v>18.118181818181817</v>
      </c>
      <c r="DP128" s="114"/>
      <c r="DQ128" s="126">
        <f t="shared" ca="1" si="178"/>
        <v>-21.118181818181817</v>
      </c>
      <c r="DR128" s="126">
        <f t="shared" ca="1" si="153"/>
        <v>-6</v>
      </c>
      <c r="DS128" s="356">
        <f t="shared" ca="1" si="127"/>
        <v>15.118181818181817</v>
      </c>
      <c r="DT128" s="114"/>
      <c r="DU128" s="126">
        <f t="shared" ca="1" si="179"/>
        <v>-21.118181818181817</v>
      </c>
      <c r="DV128" s="126">
        <f t="shared" ca="1" si="154"/>
        <v>-5</v>
      </c>
      <c r="DW128" s="356">
        <f t="shared" ca="1" si="128"/>
        <v>16.118181818181817</v>
      </c>
    </row>
    <row r="129" spans="2:127" x14ac:dyDescent="0.25">
      <c r="B129" s="396">
        <v>39479</v>
      </c>
      <c r="C129" s="400">
        <v>39469</v>
      </c>
      <c r="I129" s="136">
        <f t="shared" ca="1" si="205"/>
        <v>40725</v>
      </c>
      <c r="J129" s="131">
        <f t="shared" ca="1" si="130"/>
        <v>40714</v>
      </c>
      <c r="K129" s="106">
        <f t="shared" ca="1" si="206"/>
        <v>0.66666666666666663</v>
      </c>
      <c r="L129" s="133">
        <f t="shared" ca="1" si="193"/>
        <v>111</v>
      </c>
      <c r="M129" s="134">
        <f t="shared" ca="1" si="194"/>
        <v>7</v>
      </c>
      <c r="N129" s="103">
        <f t="shared" ca="1" si="197"/>
        <v>21</v>
      </c>
      <c r="O129" s="104">
        <f t="shared" ca="1" si="132"/>
        <v>3767</v>
      </c>
      <c r="P129" s="105">
        <f t="shared" ca="1" si="195"/>
        <v>10.324435318275153</v>
      </c>
      <c r="Q129" s="105">
        <f t="shared" ca="1" si="196"/>
        <v>10.406570841889117</v>
      </c>
      <c r="R129" s="114">
        <v>21.1</v>
      </c>
      <c r="S129" s="198">
        <v>0</v>
      </c>
      <c r="T129" s="189">
        <f t="shared" si="133"/>
        <v>21.1</v>
      </c>
      <c r="U129" s="199">
        <f t="shared" ca="1" si="198"/>
        <v>21.166666666666664</v>
      </c>
      <c r="V129" s="379">
        <f t="shared" ca="1" si="199"/>
        <v>21.166666666666664</v>
      </c>
      <c r="W129" s="483">
        <v>0.16809999999999903</v>
      </c>
      <c r="X129" s="166" t="str">
        <f t="shared" ca="1" si="200"/>
        <v/>
      </c>
      <c r="Y129" s="91">
        <f t="shared" ca="1" si="208"/>
        <v>1.0525552642479837E-3</v>
      </c>
      <c r="Z129" s="91">
        <f t="shared" ca="1" si="209"/>
        <v>3.334495606333396E-4</v>
      </c>
      <c r="AA129" s="91">
        <f t="shared" ca="1" si="210"/>
        <v>1.139469455793797E-4</v>
      </c>
      <c r="AB129" s="91">
        <f t="shared" ca="1" si="211"/>
        <v>2.5669967900123977E-4</v>
      </c>
      <c r="AC129" s="91">
        <f t="shared" ca="1" si="212"/>
        <v>7.5119517019484169E-4</v>
      </c>
      <c r="AD129" s="91">
        <f t="shared" ca="1" si="213"/>
        <v>2.3711964992977523E-3</v>
      </c>
      <c r="AE129" s="124">
        <v>7.3764591776900007E-2</v>
      </c>
      <c r="AF129" s="191">
        <f t="shared" ca="1" si="161"/>
        <v>0.47056599088975987</v>
      </c>
      <c r="AG129" s="189">
        <f t="shared" ca="1" si="207"/>
        <v>1</v>
      </c>
      <c r="AH129" s="192">
        <f t="shared" ca="1" si="201"/>
        <v>0</v>
      </c>
      <c r="AI129" s="192">
        <f t="shared" ca="1" si="214"/>
        <v>0</v>
      </c>
      <c r="AJ129" s="192">
        <f t="shared" ca="1" si="203"/>
        <v>0</v>
      </c>
      <c r="AK129" s="192">
        <f t="shared" ca="1" si="215"/>
        <v>0</v>
      </c>
      <c r="AL129" s="191" t="str">
        <f t="shared" ca="1" si="162"/>
        <v/>
      </c>
      <c r="AM129" s="191" t="str">
        <f t="shared" ca="1" si="163"/>
        <v/>
      </c>
      <c r="AN129" s="191" t="str">
        <f t="shared" ca="1" si="164"/>
        <v/>
      </c>
      <c r="AO129" s="193" t="str">
        <f t="shared" ca="1" si="165"/>
        <v/>
      </c>
      <c r="AP129" s="194" t="str">
        <f t="shared" ca="1" si="135"/>
        <v/>
      </c>
      <c r="AQ129" s="194" t="str">
        <f t="shared" ca="1" si="136"/>
        <v/>
      </c>
      <c r="AR129" s="195">
        <f ca="1">IF(AH129,_xll.xASN(AL129,Strike1,AE129,AP129,0,N129,0,P129,Q129,IF(OptControl=4,0,1),0),0)</f>
        <v>0</v>
      </c>
      <c r="AS129" s="196">
        <f ca="1">IF(AH129,_xll.xASN(AL129,Strike1,AE129,AP129,0,N129,0,P129,Q129,IF(OptControl=4,0,1),1),0)</f>
        <v>0</v>
      </c>
      <c r="AT129" s="196">
        <f ca="1">IF(AH129,_xll.xASN(AL129,Strike1,AE129,AP129,0,N129,0,P129,Q129,IF(OptControl=4,0,1),2),0)</f>
        <v>0</v>
      </c>
      <c r="AU129" s="196">
        <f ca="1">IF(AH129,_xll.xASN(AL129,Strike1,AE129,AP129,0,N129,0,P129,Q129,IF(OptControl=4,0,1),3)/100,0)</f>
        <v>0</v>
      </c>
      <c r="AV129" s="196">
        <f ca="1">IF(AH129,_xll.xASN(AL129,Strike1,AE129,AP129,0,N129,0,P129-DaysForThetaCalculation/365.25,Q129-DaysForThetaCalculation/365.25,IF(OptControl=4,0,1),0)-_xll.xASN(AL129,Strike1,AE129,AP129,0,N129,0,P129,Q129,IF(OptControl=4,0,1),0),0)</f>
        <v>0</v>
      </c>
      <c r="AW129" s="196">
        <f ca="1">IF(AH129,_xll.xASN(AL129,Strike2,AE129,AQ129,0,N129,0,P129,Q129,IF(OptControl=3,1,0),0),0)</f>
        <v>0</v>
      </c>
      <c r="AX129" s="196">
        <f ca="1">IF(AH129,_xll.xASN(AL129,Strike2,AE129,AQ129,0,N129,0,P129,Q129,IF(OptControl=3,1,0),1),0)</f>
        <v>0</v>
      </c>
      <c r="AY129" s="196">
        <f ca="1">IF(AH129,_xll.xASN(AL129,Strike2,AE129,AQ129,0,N129,0,P129,Q129,IF(OptControl=3,1,0),2),0)</f>
        <v>0</v>
      </c>
      <c r="AZ129" s="196">
        <f ca="1">IF(AH129,_xll.xASN(AL129,Strike2,AE129,AQ129,0,N129,0,P129,Q129,IF(OptControl=3,1,0),3)/100,0)</f>
        <v>0</v>
      </c>
      <c r="BA129" s="196">
        <f ca="1">IF(AH129,_xll.xASN(AL129,Strike2,AE129,AQ129,0,N129,0,P129-DaysForThetaCalculation/365.25,Q129-DaysForThetaCalculation/365.25,IF(OptControl=3,1,0),0)-_xll.xASN(AL129,Strike2,AE129,AQ129,0,N129,0,P129,Q129,IF(OptControl=3,1,0),0),0)</f>
        <v>0</v>
      </c>
      <c r="BB129" s="126" t="str">
        <f t="shared" ca="1" si="166"/>
        <v/>
      </c>
      <c r="BC129" s="191" t="str">
        <f t="shared" ca="1" si="167"/>
        <v/>
      </c>
      <c r="BD129" s="191" t="str">
        <f t="shared" ca="1" si="168"/>
        <v/>
      </c>
      <c r="BE129" s="190" t="str">
        <f t="shared" ca="1" si="169"/>
        <v/>
      </c>
      <c r="BF129" s="194" t="str">
        <f t="shared" ca="1" si="170"/>
        <v/>
      </c>
      <c r="BG129" s="194" t="str">
        <f t="shared" ca="1" si="171"/>
        <v/>
      </c>
      <c r="BH129" s="195">
        <f ca="1">IF(AH129,_xll.xEURO(BB129,Strike1,AE129,AE129,BF129,O129,IF(OptControl=4,0,1),0),0)</f>
        <v>0</v>
      </c>
      <c r="BI129" s="196">
        <f ca="1">IF(AH129,_xll.xEURO(BB129,Strike1,AE129,AE129,BF129,O129,IF(OptControl=4,0,1),1),0)</f>
        <v>0</v>
      </c>
      <c r="BJ129" s="196">
        <f ca="1">IF(AH129,_xll.xEURO(BB129,Strike1,AE129,AE129,BF129,O129,IF(OptControl=4,0,1),2),0)</f>
        <v>0</v>
      </c>
      <c r="BK129" s="196">
        <f ca="1">IF(AH129,_xll.xEURO(BB129,Strike1,AE129,AE129,BF129,O129,IF(OptControl=4,0,1),3)/100,0)</f>
        <v>0</v>
      </c>
      <c r="BL129" s="196">
        <f ca="1">IF(AH129,_xll.xEURO(BB129,Strike1,AE129,AE129,BF129,O129-DaysForThetaCalculation,IF(OptControl=4,0,1),0)-_xll.xEURO(BB129,Strike1,AE129,AE129,BF129,O129,IF(OptControl=4,0,1),0),0)</f>
        <v>0</v>
      </c>
      <c r="BM129" s="196">
        <f ca="1">IF(AH129,_xll.xEURO(BB129,Strike2,AE129,AE129,BG129,O129,IF(OptControl=3,1,0),0),0)</f>
        <v>0</v>
      </c>
      <c r="BN129" s="196">
        <f ca="1">IF(AH129,_xll.xEURO(BB129,Strike2,AE129,AE129,BG129,O129,IF(OptControl=3,1,0),1),0)</f>
        <v>0</v>
      </c>
      <c r="BO129" s="196">
        <f ca="1">IF(AH129,_xll.xEURO(BB129,Strike2,AE129,AE129,BG129,O129,IF(OptControl=3,1,0),2),0)</f>
        <v>0</v>
      </c>
      <c r="BP129" s="196">
        <f ca="1">IF(AH129,_xll.xEURO(BB129,Strike2,AE129,AE129,BG129,O129,IF(OptControl=3,1,0),3)/100,0)</f>
        <v>0</v>
      </c>
      <c r="BQ129" s="197">
        <f ca="1">IF(AH129,_xll.xEURO(BB129,Strike2,AE129,AE129,BG129,O129-DaysForThetaCalculation,IF(OptControl=3,1,0),0)-_xll.xEURO(BB129,Strike2,AE129,AE129,BG129,O129,IF(OptControl=3,1,0),0),0)</f>
        <v>0</v>
      </c>
      <c r="BR129" s="301"/>
      <c r="BS129" s="114"/>
      <c r="BT129" s="345">
        <f t="shared" si="137"/>
        <v>0</v>
      </c>
      <c r="BU129" s="345">
        <f t="shared" ca="1" si="185"/>
        <v>-21.166666666666664</v>
      </c>
      <c r="BV129" s="73"/>
      <c r="BW129" s="345">
        <f t="shared" ca="1" si="182"/>
        <v>8.0333636363636494</v>
      </c>
      <c r="BX129" s="345">
        <f t="shared" ca="1" si="186"/>
        <v>70.694877344877355</v>
      </c>
      <c r="BY129" s="373">
        <f t="shared" ca="1" si="138"/>
        <v>69.523881673881689</v>
      </c>
      <c r="BZ129" s="114"/>
      <c r="CA129" s="345">
        <f t="shared" si="139"/>
        <v>0</v>
      </c>
      <c r="CB129" s="345">
        <f t="shared" ca="1" si="187"/>
        <v>-21.166666666666664</v>
      </c>
      <c r="CC129" s="345">
        <f t="shared" ca="1" si="183"/>
        <v>5.6183636363636467</v>
      </c>
      <c r="CD129" s="345">
        <f t="shared" ca="1" si="140"/>
        <v>63.773881673881696</v>
      </c>
      <c r="CE129" s="347">
        <f t="shared" ca="1" si="172"/>
        <v>-5.7499999999999929</v>
      </c>
      <c r="CF129" s="114"/>
      <c r="CG129" s="345">
        <f t="shared" si="141"/>
        <v>0</v>
      </c>
      <c r="CH129" s="345">
        <f t="shared" ca="1" si="142"/>
        <v>-21.166666666666664</v>
      </c>
      <c r="CI129" s="73"/>
      <c r="CJ129" s="345">
        <f t="shared" ca="1" si="190"/>
        <v>3.5860434782608741</v>
      </c>
      <c r="CK129" s="345">
        <f t="shared" ca="1" si="184"/>
        <v>58.012337662337664</v>
      </c>
      <c r="CL129" s="345">
        <f t="shared" ca="1" si="143"/>
        <v>58.935024154589371</v>
      </c>
      <c r="CM129" s="114"/>
      <c r="CN129" s="345">
        <f t="shared" si="144"/>
        <v>0</v>
      </c>
      <c r="CO129" s="345">
        <f t="shared" ca="1" si="145"/>
        <v>-21.166666666666664</v>
      </c>
      <c r="CP129" s="345">
        <f t="shared" ca="1" si="192"/>
        <v>2.6620434782608711</v>
      </c>
      <c r="CQ129" s="345">
        <f t="shared" ca="1" si="146"/>
        <v>56.735024154589368</v>
      </c>
      <c r="CR129" s="347">
        <f t="shared" ca="1" si="173"/>
        <v>-2.2000000000000028</v>
      </c>
      <c r="CS129" s="114"/>
      <c r="CT129" s="345">
        <f t="shared" si="147"/>
        <v>0</v>
      </c>
      <c r="CU129" s="345">
        <f t="shared" si="174"/>
        <v>0</v>
      </c>
      <c r="CV129" s="345">
        <f t="shared" ca="1" si="191"/>
        <v>1.9499999999999937</v>
      </c>
      <c r="CW129" s="347">
        <f t="shared" ca="1" si="175"/>
        <v>60.885024154589367</v>
      </c>
      <c r="CX129" s="483"/>
      <c r="CY129" s="190">
        <f t="shared" si="148"/>
        <v>-0.16809999999999903</v>
      </c>
      <c r="CZ129" s="190">
        <f t="shared" ca="1" si="180"/>
        <v>-0.03</v>
      </c>
      <c r="DA129" s="354">
        <f t="shared" ca="1" si="149"/>
        <v>0.13809999999999903</v>
      </c>
      <c r="DB129" s="483"/>
      <c r="DC129" s="190">
        <f t="shared" si="150"/>
        <v>-0.16809999999999903</v>
      </c>
      <c r="DD129" s="190">
        <f t="shared" ca="1" si="181"/>
        <v>0.03</v>
      </c>
      <c r="DE129" s="354">
        <f t="shared" ca="1" si="151"/>
        <v>0.19809999999999903</v>
      </c>
      <c r="DG129" s="341"/>
      <c r="DH129" s="114"/>
      <c r="DI129" s="126">
        <f t="shared" ca="1" si="176"/>
        <v>-21.166666666666664</v>
      </c>
      <c r="DJ129" s="126">
        <f t="shared" ca="1" si="124"/>
        <v>-2</v>
      </c>
      <c r="DK129" s="356">
        <f t="shared" ca="1" si="125"/>
        <v>19.166666666666664</v>
      </c>
      <c r="DL129" s="114"/>
      <c r="DM129" s="126">
        <f t="shared" ca="1" si="177"/>
        <v>-21.166666666666664</v>
      </c>
      <c r="DN129" s="126">
        <f t="shared" ca="1" si="152"/>
        <v>-3</v>
      </c>
      <c r="DO129" s="356">
        <f t="shared" ca="1" si="126"/>
        <v>18.166666666666664</v>
      </c>
      <c r="DP129" s="114"/>
      <c r="DQ129" s="126">
        <f t="shared" ca="1" si="178"/>
        <v>-21.166666666666664</v>
      </c>
      <c r="DR129" s="126">
        <f t="shared" ca="1" si="153"/>
        <v>-6</v>
      </c>
      <c r="DS129" s="356">
        <f t="shared" ca="1" si="127"/>
        <v>15.166666666666664</v>
      </c>
      <c r="DT129" s="114"/>
      <c r="DU129" s="126">
        <f t="shared" ca="1" si="179"/>
        <v>-21.166666666666664</v>
      </c>
      <c r="DV129" s="126">
        <f t="shared" ca="1" si="154"/>
        <v>-5</v>
      </c>
      <c r="DW129" s="356">
        <f t="shared" ca="1" si="128"/>
        <v>16.166666666666664</v>
      </c>
    </row>
    <row r="130" spans="2:127" x14ac:dyDescent="0.25">
      <c r="B130" s="396">
        <v>39508</v>
      </c>
      <c r="C130" s="400">
        <v>39498</v>
      </c>
      <c r="I130" s="136">
        <f t="shared" ca="1" si="205"/>
        <v>40756</v>
      </c>
      <c r="J130" s="131">
        <f t="shared" ca="1" si="130"/>
        <v>40744</v>
      </c>
      <c r="K130" s="106">
        <f t="shared" ca="1" si="206"/>
        <v>0.65217391304347827</v>
      </c>
      <c r="L130" s="133">
        <f t="shared" ca="1" si="193"/>
        <v>111</v>
      </c>
      <c r="M130" s="134">
        <f t="shared" ca="1" si="194"/>
        <v>8</v>
      </c>
      <c r="N130" s="103">
        <f t="shared" ca="1" si="197"/>
        <v>23</v>
      </c>
      <c r="O130" s="104">
        <f t="shared" ca="1" si="132"/>
        <v>3796</v>
      </c>
      <c r="P130" s="105">
        <f t="shared" ca="1" si="195"/>
        <v>10.40930869267625</v>
      </c>
      <c r="Q130" s="105">
        <f t="shared" ca="1" si="196"/>
        <v>10.491444216290212</v>
      </c>
      <c r="R130" s="114">
        <v>21.15</v>
      </c>
      <c r="S130" s="198">
        <v>0</v>
      </c>
      <c r="T130" s="189">
        <f t="shared" si="133"/>
        <v>21.15</v>
      </c>
      <c r="U130" s="199">
        <f t="shared" ca="1" si="198"/>
        <v>21.217391304347824</v>
      </c>
      <c r="V130" s="379">
        <f t="shared" ca="1" si="199"/>
        <v>21.217391304347824</v>
      </c>
      <c r="W130" s="483">
        <v>0.16769999999999904</v>
      </c>
      <c r="X130" s="166" t="str">
        <f t="shared" ca="1" si="200"/>
        <v/>
      </c>
      <c r="Y130" s="91">
        <f t="shared" ca="1" si="208"/>
        <v>1.0300216569004456E-3</v>
      </c>
      <c r="Z130" s="91">
        <f t="shared" ca="1" si="209"/>
        <v>3.245638271169313E-4</v>
      </c>
      <c r="AA130" s="91">
        <f t="shared" ca="1" si="210"/>
        <v>1.1061308076011244E-4</v>
      </c>
      <c r="AB130" s="91">
        <f t="shared" ca="1" si="211"/>
        <v>2.4918914833639441E-4</v>
      </c>
      <c r="AC130" s="91">
        <f t="shared" ca="1" si="212"/>
        <v>7.311773897290759E-4</v>
      </c>
      <c r="AD130" s="91">
        <f t="shared" ca="1" si="213"/>
        <v>2.3204327886652168E-3</v>
      </c>
      <c r="AE130" s="124">
        <v>7.376063021813703E-2</v>
      </c>
      <c r="AF130" s="191">
        <f t="shared" ca="1" si="161"/>
        <v>0.46770059246052814</v>
      </c>
      <c r="AG130" s="189">
        <f t="shared" ca="1" si="207"/>
        <v>1</v>
      </c>
      <c r="AH130" s="192">
        <f t="shared" ca="1" si="201"/>
        <v>0</v>
      </c>
      <c r="AI130" s="192">
        <f t="shared" ca="1" si="214"/>
        <v>0</v>
      </c>
      <c r="AJ130" s="192">
        <f t="shared" ca="1" si="203"/>
        <v>0</v>
      </c>
      <c r="AK130" s="192">
        <f t="shared" ca="1" si="215"/>
        <v>0</v>
      </c>
      <c r="AL130" s="191" t="str">
        <f t="shared" ca="1" si="162"/>
        <v/>
      </c>
      <c r="AM130" s="191" t="str">
        <f t="shared" ca="1" si="163"/>
        <v/>
      </c>
      <c r="AN130" s="191" t="str">
        <f t="shared" ca="1" si="164"/>
        <v/>
      </c>
      <c r="AO130" s="193" t="str">
        <f t="shared" ca="1" si="165"/>
        <v/>
      </c>
      <c r="AP130" s="194" t="str">
        <f t="shared" ca="1" si="135"/>
        <v/>
      </c>
      <c r="AQ130" s="194" t="str">
        <f t="shared" ca="1" si="136"/>
        <v/>
      </c>
      <c r="AR130" s="195">
        <f ca="1">IF(AH130,_xll.xASN(AL130,Strike1,AE130,AP130,0,N130,0,P130,Q130,IF(OptControl=4,0,1),0),0)</f>
        <v>0</v>
      </c>
      <c r="AS130" s="196">
        <f ca="1">IF(AH130,_xll.xASN(AL130,Strike1,AE130,AP130,0,N130,0,P130,Q130,IF(OptControl=4,0,1),1),0)</f>
        <v>0</v>
      </c>
      <c r="AT130" s="196">
        <f ca="1">IF(AH130,_xll.xASN(AL130,Strike1,AE130,AP130,0,N130,0,P130,Q130,IF(OptControl=4,0,1),2),0)</f>
        <v>0</v>
      </c>
      <c r="AU130" s="196">
        <f ca="1">IF(AH130,_xll.xASN(AL130,Strike1,AE130,AP130,0,N130,0,P130,Q130,IF(OptControl=4,0,1),3)/100,0)</f>
        <v>0</v>
      </c>
      <c r="AV130" s="196">
        <f ca="1">IF(AH130,_xll.xASN(AL130,Strike1,AE130,AP130,0,N130,0,P130-DaysForThetaCalculation/365.25,Q130-DaysForThetaCalculation/365.25,IF(OptControl=4,0,1),0)-_xll.xASN(AL130,Strike1,AE130,AP130,0,N130,0,P130,Q130,IF(OptControl=4,0,1),0),0)</f>
        <v>0</v>
      </c>
      <c r="AW130" s="196">
        <f ca="1">IF(AH130,_xll.xASN(AL130,Strike2,AE130,AQ130,0,N130,0,P130,Q130,IF(OptControl=3,1,0),0),0)</f>
        <v>0</v>
      </c>
      <c r="AX130" s="196">
        <f ca="1">IF(AH130,_xll.xASN(AL130,Strike2,AE130,AQ130,0,N130,0,P130,Q130,IF(OptControl=3,1,0),1),0)</f>
        <v>0</v>
      </c>
      <c r="AY130" s="196">
        <f ca="1">IF(AH130,_xll.xASN(AL130,Strike2,AE130,AQ130,0,N130,0,P130,Q130,IF(OptControl=3,1,0),2),0)</f>
        <v>0</v>
      </c>
      <c r="AZ130" s="196">
        <f ca="1">IF(AH130,_xll.xASN(AL130,Strike2,AE130,AQ130,0,N130,0,P130,Q130,IF(OptControl=3,1,0),3)/100,0)</f>
        <v>0</v>
      </c>
      <c r="BA130" s="196">
        <f ca="1">IF(AH130,_xll.xASN(AL130,Strike2,AE130,AQ130,0,N130,0,P130-DaysForThetaCalculation/365.25,Q130-DaysForThetaCalculation/365.25,IF(OptControl=3,1,0),0)-_xll.xASN(AL130,Strike2,AE130,AQ130,0,N130,0,P130,Q130,IF(OptControl=3,1,0),0),0)</f>
        <v>0</v>
      </c>
      <c r="BB130" s="126" t="str">
        <f t="shared" ca="1" si="166"/>
        <v/>
      </c>
      <c r="BC130" s="191" t="str">
        <f t="shared" ca="1" si="167"/>
        <v/>
      </c>
      <c r="BD130" s="191" t="str">
        <f t="shared" ca="1" si="168"/>
        <v/>
      </c>
      <c r="BE130" s="190" t="str">
        <f t="shared" ca="1" si="169"/>
        <v/>
      </c>
      <c r="BF130" s="194" t="str">
        <f t="shared" ca="1" si="170"/>
        <v/>
      </c>
      <c r="BG130" s="194" t="str">
        <f t="shared" ca="1" si="171"/>
        <v/>
      </c>
      <c r="BH130" s="195">
        <f ca="1">IF(AH130,_xll.xEURO(BB130,Strike1,AE130,AE130,BF130,O130,IF(OptControl=4,0,1),0),0)</f>
        <v>0</v>
      </c>
      <c r="BI130" s="196">
        <f ca="1">IF(AH130,_xll.xEURO(BB130,Strike1,AE130,AE130,BF130,O130,IF(OptControl=4,0,1),1),0)</f>
        <v>0</v>
      </c>
      <c r="BJ130" s="196">
        <f ca="1">IF(AH130,_xll.xEURO(BB130,Strike1,AE130,AE130,BF130,O130,IF(OptControl=4,0,1),2),0)</f>
        <v>0</v>
      </c>
      <c r="BK130" s="196">
        <f ca="1">IF(AH130,_xll.xEURO(BB130,Strike1,AE130,AE130,BF130,O130,IF(OptControl=4,0,1),3)/100,0)</f>
        <v>0</v>
      </c>
      <c r="BL130" s="196">
        <f ca="1">IF(AH130,_xll.xEURO(BB130,Strike1,AE130,AE130,BF130,O130-DaysForThetaCalculation,IF(OptControl=4,0,1),0)-_xll.xEURO(BB130,Strike1,AE130,AE130,BF130,O130,IF(OptControl=4,0,1),0),0)</f>
        <v>0</v>
      </c>
      <c r="BM130" s="196">
        <f ca="1">IF(AH130,_xll.xEURO(BB130,Strike2,AE130,AE130,BG130,O130,IF(OptControl=3,1,0),0),0)</f>
        <v>0</v>
      </c>
      <c r="BN130" s="196">
        <f ca="1">IF(AH130,_xll.xEURO(BB130,Strike2,AE130,AE130,BG130,O130,IF(OptControl=3,1,0),1),0)</f>
        <v>0</v>
      </c>
      <c r="BO130" s="196">
        <f ca="1">IF(AH130,_xll.xEURO(BB130,Strike2,AE130,AE130,BG130,O130,IF(OptControl=3,1,0),2),0)</f>
        <v>0</v>
      </c>
      <c r="BP130" s="196">
        <f ca="1">IF(AH130,_xll.xEURO(BB130,Strike2,AE130,AE130,BG130,O130,IF(OptControl=3,1,0),3)/100,0)</f>
        <v>0</v>
      </c>
      <c r="BQ130" s="197">
        <f ca="1">IF(AH130,_xll.xEURO(BB130,Strike2,AE130,AE130,BG130,O130-DaysForThetaCalculation,IF(OptControl=3,1,0),0)-_xll.xEURO(BB130,Strike2,AE130,AE130,BG130,O130,IF(OptControl=3,1,0),0),0)</f>
        <v>0</v>
      </c>
      <c r="BR130" s="301"/>
      <c r="BS130" s="114"/>
      <c r="BT130" s="345">
        <f t="shared" si="137"/>
        <v>0</v>
      </c>
      <c r="BU130" s="345">
        <f t="shared" ca="1" si="185"/>
        <v>-21.217391304347824</v>
      </c>
      <c r="BV130" s="73"/>
      <c r="BW130" s="345">
        <f t="shared" ca="1" si="182"/>
        <v>7.5318695652173915</v>
      </c>
      <c r="BX130" s="345">
        <f t="shared" ca="1" si="186"/>
        <v>69.523881673881689</v>
      </c>
      <c r="BY130" s="373">
        <f t="shared" ca="1" si="138"/>
        <v>68.450621118012421</v>
      </c>
      <c r="BZ130" s="114"/>
      <c r="CA130" s="345">
        <f t="shared" si="139"/>
        <v>0</v>
      </c>
      <c r="CB130" s="345">
        <f t="shared" ca="1" si="187"/>
        <v>-21.217391304347824</v>
      </c>
      <c r="CC130" s="345">
        <f t="shared" ca="1" si="183"/>
        <v>5.1168695652173914</v>
      </c>
      <c r="CD130" s="345">
        <f t="shared" ca="1" si="140"/>
        <v>62.700621118012428</v>
      </c>
      <c r="CE130" s="347">
        <f t="shared" ca="1" si="172"/>
        <v>-5.7499999999999929</v>
      </c>
      <c r="CF130" s="114"/>
      <c r="CG130" s="345">
        <f t="shared" si="141"/>
        <v>0</v>
      </c>
      <c r="CH130" s="345">
        <f t="shared" ca="1" si="142"/>
        <v>-21.217391304347824</v>
      </c>
      <c r="CI130" s="73"/>
      <c r="CJ130" s="345">
        <f t="shared" ca="1" si="190"/>
        <v>3.9934545454545449</v>
      </c>
      <c r="CK130" s="345">
        <f t="shared" ca="1" si="184"/>
        <v>58.935024154589371</v>
      </c>
      <c r="CL130" s="345">
        <f t="shared" ca="1" si="143"/>
        <v>60.025823451910398</v>
      </c>
      <c r="CM130" s="114"/>
      <c r="CN130" s="345">
        <f t="shared" si="144"/>
        <v>0</v>
      </c>
      <c r="CO130" s="345">
        <f t="shared" ca="1" si="145"/>
        <v>-21.217391304347824</v>
      </c>
      <c r="CP130" s="345">
        <f t="shared" ca="1" si="192"/>
        <v>3.0694545454545454</v>
      </c>
      <c r="CQ130" s="345">
        <f t="shared" ca="1" si="146"/>
        <v>57.825823451910395</v>
      </c>
      <c r="CR130" s="347">
        <f t="shared" ca="1" si="173"/>
        <v>-2.2000000000000028</v>
      </c>
      <c r="CS130" s="114"/>
      <c r="CT130" s="345">
        <f t="shared" si="147"/>
        <v>0</v>
      </c>
      <c r="CU130" s="345">
        <f t="shared" si="174"/>
        <v>0</v>
      </c>
      <c r="CV130" s="345">
        <f t="shared" ca="1" si="191"/>
        <v>1.9499999999999937</v>
      </c>
      <c r="CW130" s="347">
        <f t="shared" ca="1" si="175"/>
        <v>61.975823451910394</v>
      </c>
      <c r="CX130" s="483"/>
      <c r="CY130" s="190">
        <f t="shared" si="148"/>
        <v>-0.16769999999999904</v>
      </c>
      <c r="CZ130" s="190">
        <f t="shared" ca="1" si="180"/>
        <v>-0.03</v>
      </c>
      <c r="DA130" s="354">
        <f t="shared" ca="1" si="149"/>
        <v>0.13769999999999905</v>
      </c>
      <c r="DB130" s="483"/>
      <c r="DC130" s="190">
        <f t="shared" si="150"/>
        <v>-0.16769999999999904</v>
      </c>
      <c r="DD130" s="190">
        <f t="shared" ca="1" si="181"/>
        <v>0.03</v>
      </c>
      <c r="DE130" s="354">
        <f t="shared" ca="1" si="151"/>
        <v>0.19769999999999904</v>
      </c>
      <c r="DG130" s="341"/>
      <c r="DH130" s="114"/>
      <c r="DI130" s="126">
        <f t="shared" ca="1" si="176"/>
        <v>-21.217391304347824</v>
      </c>
      <c r="DJ130" s="126">
        <f t="shared" ca="1" si="124"/>
        <v>-2</v>
      </c>
      <c r="DK130" s="356">
        <f t="shared" ca="1" si="125"/>
        <v>19.217391304347824</v>
      </c>
      <c r="DL130" s="114"/>
      <c r="DM130" s="126">
        <f t="shared" ca="1" si="177"/>
        <v>-21.217391304347824</v>
      </c>
      <c r="DN130" s="126">
        <f t="shared" ca="1" si="152"/>
        <v>-3</v>
      </c>
      <c r="DO130" s="356">
        <f t="shared" ca="1" si="126"/>
        <v>18.217391304347824</v>
      </c>
      <c r="DP130" s="114"/>
      <c r="DQ130" s="126">
        <f t="shared" ca="1" si="178"/>
        <v>-21.217391304347824</v>
      </c>
      <c r="DR130" s="126">
        <f t="shared" ca="1" si="153"/>
        <v>-6</v>
      </c>
      <c r="DS130" s="356">
        <f t="shared" ca="1" si="127"/>
        <v>15.217391304347824</v>
      </c>
      <c r="DT130" s="114"/>
      <c r="DU130" s="126">
        <f t="shared" ca="1" si="179"/>
        <v>-21.217391304347824</v>
      </c>
      <c r="DV130" s="126">
        <f t="shared" ca="1" si="154"/>
        <v>-5</v>
      </c>
      <c r="DW130" s="356">
        <f t="shared" ca="1" si="128"/>
        <v>16.217391304347824</v>
      </c>
    </row>
    <row r="131" spans="2:127" x14ac:dyDescent="0.25">
      <c r="B131" s="396">
        <v>39539</v>
      </c>
      <c r="C131" s="400">
        <v>39527</v>
      </c>
      <c r="I131" s="136">
        <f t="shared" ca="1" si="205"/>
        <v>40787</v>
      </c>
      <c r="J131" s="131">
        <f t="shared" ca="1" si="130"/>
        <v>40776</v>
      </c>
      <c r="K131" s="106">
        <f t="shared" ca="1" si="206"/>
        <v>0.63636363636363635</v>
      </c>
      <c r="L131" s="133">
        <f t="shared" ca="1" si="193"/>
        <v>111</v>
      </c>
      <c r="M131" s="134">
        <f t="shared" ca="1" si="194"/>
        <v>9</v>
      </c>
      <c r="N131" s="103">
        <f t="shared" ca="1" si="197"/>
        <v>22</v>
      </c>
      <c r="O131" s="104">
        <f t="shared" ca="1" si="132"/>
        <v>3827</v>
      </c>
      <c r="P131" s="105">
        <f t="shared" ca="1" si="195"/>
        <v>10.494182067077345</v>
      </c>
      <c r="Q131" s="105">
        <f t="shared" ca="1" si="196"/>
        <v>10.573579739904176</v>
      </c>
      <c r="R131" s="114">
        <v>21.2</v>
      </c>
      <c r="S131" s="198">
        <v>0</v>
      </c>
      <c r="T131" s="189">
        <f t="shared" si="133"/>
        <v>21.2</v>
      </c>
      <c r="U131" s="199">
        <f t="shared" ca="1" si="198"/>
        <v>21.268181818181819</v>
      </c>
      <c r="V131" s="379">
        <f t="shared" ca="1" si="199"/>
        <v>21.268181818181819</v>
      </c>
      <c r="W131" s="483">
        <v>0.16729999999999901</v>
      </c>
      <c r="X131" s="166" t="str">
        <f t="shared" ca="1" si="200"/>
        <v/>
      </c>
      <c r="Y131" s="91">
        <f t="shared" ca="1" si="208"/>
        <v>1.0079704598142402E-3</v>
      </c>
      <c r="Z131" s="91">
        <f t="shared" ca="1" si="209"/>
        <v>3.1591487981782871E-4</v>
      </c>
      <c r="AA131" s="91">
        <f t="shared" ca="1" si="210"/>
        <v>1.0737675830651927E-4</v>
      </c>
      <c r="AB131" s="91">
        <f t="shared" ca="1" si="211"/>
        <v>2.4189836111293959E-4</v>
      </c>
      <c r="AC131" s="91">
        <f t="shared" ca="1" si="212"/>
        <v>7.1169304125365642E-4</v>
      </c>
      <c r="AD131" s="91">
        <f t="shared" ca="1" si="213"/>
        <v>2.2707558518694116E-3</v>
      </c>
      <c r="AE131" s="124">
        <v>7.3756668659379021E-2</v>
      </c>
      <c r="AF131" s="191">
        <f t="shared" ca="1" si="161"/>
        <v>0.46494513333090265</v>
      </c>
      <c r="AG131" s="189">
        <f t="shared" ca="1" si="207"/>
        <v>1</v>
      </c>
      <c r="AH131" s="192">
        <f t="shared" ca="1" si="201"/>
        <v>0</v>
      </c>
      <c r="AI131" s="192">
        <f t="shared" ca="1" si="214"/>
        <v>0</v>
      </c>
      <c r="AJ131" s="192">
        <f t="shared" ca="1" si="203"/>
        <v>0</v>
      </c>
      <c r="AK131" s="192">
        <f t="shared" ca="1" si="215"/>
        <v>0</v>
      </c>
      <c r="AL131" s="191" t="str">
        <f t="shared" ca="1" si="162"/>
        <v/>
      </c>
      <c r="AM131" s="191" t="str">
        <f t="shared" ca="1" si="163"/>
        <v/>
      </c>
      <c r="AN131" s="191" t="str">
        <f t="shared" ca="1" si="164"/>
        <v/>
      </c>
      <c r="AO131" s="193" t="str">
        <f t="shared" ca="1" si="165"/>
        <v/>
      </c>
      <c r="AP131" s="194" t="str">
        <f t="shared" ca="1" si="135"/>
        <v/>
      </c>
      <c r="AQ131" s="194" t="str">
        <f t="shared" ca="1" si="136"/>
        <v/>
      </c>
      <c r="AR131" s="195">
        <f ca="1">IF(AH131,_xll.xASN(AL131,Strike1,AE131,AP131,0,N131,0,P131,Q131,IF(OptControl=4,0,1),0),0)</f>
        <v>0</v>
      </c>
      <c r="AS131" s="196">
        <f ca="1">IF(AH131,_xll.xASN(AL131,Strike1,AE131,AP131,0,N131,0,P131,Q131,IF(OptControl=4,0,1),1),0)</f>
        <v>0</v>
      </c>
      <c r="AT131" s="196">
        <f ca="1">IF(AH131,_xll.xASN(AL131,Strike1,AE131,AP131,0,N131,0,P131,Q131,IF(OptControl=4,0,1),2),0)</f>
        <v>0</v>
      </c>
      <c r="AU131" s="196">
        <f ca="1">IF(AH131,_xll.xASN(AL131,Strike1,AE131,AP131,0,N131,0,P131,Q131,IF(OptControl=4,0,1),3)/100,0)</f>
        <v>0</v>
      </c>
      <c r="AV131" s="196">
        <f ca="1">IF(AH131,_xll.xASN(AL131,Strike1,AE131,AP131,0,N131,0,P131-DaysForThetaCalculation/365.25,Q131-DaysForThetaCalculation/365.25,IF(OptControl=4,0,1),0)-_xll.xASN(AL131,Strike1,AE131,AP131,0,N131,0,P131,Q131,IF(OptControl=4,0,1),0),0)</f>
        <v>0</v>
      </c>
      <c r="AW131" s="196">
        <f ca="1">IF(AH131,_xll.xASN(AL131,Strike2,AE131,AQ131,0,N131,0,P131,Q131,IF(OptControl=3,1,0),0),0)</f>
        <v>0</v>
      </c>
      <c r="AX131" s="196">
        <f ca="1">IF(AH131,_xll.xASN(AL131,Strike2,AE131,AQ131,0,N131,0,P131,Q131,IF(OptControl=3,1,0),1),0)</f>
        <v>0</v>
      </c>
      <c r="AY131" s="196">
        <f ca="1">IF(AH131,_xll.xASN(AL131,Strike2,AE131,AQ131,0,N131,0,P131,Q131,IF(OptControl=3,1,0),2),0)</f>
        <v>0</v>
      </c>
      <c r="AZ131" s="196">
        <f ca="1">IF(AH131,_xll.xASN(AL131,Strike2,AE131,AQ131,0,N131,0,P131,Q131,IF(OptControl=3,1,0),3)/100,0)</f>
        <v>0</v>
      </c>
      <c r="BA131" s="196">
        <f ca="1">IF(AH131,_xll.xASN(AL131,Strike2,AE131,AQ131,0,N131,0,P131-DaysForThetaCalculation/365.25,Q131-DaysForThetaCalculation/365.25,IF(OptControl=3,1,0),0)-_xll.xASN(AL131,Strike2,AE131,AQ131,0,N131,0,P131,Q131,IF(OptControl=3,1,0),0),0)</f>
        <v>0</v>
      </c>
      <c r="BB131" s="126" t="str">
        <f t="shared" ca="1" si="166"/>
        <v/>
      </c>
      <c r="BC131" s="191" t="str">
        <f t="shared" ca="1" si="167"/>
        <v/>
      </c>
      <c r="BD131" s="191" t="str">
        <f t="shared" ca="1" si="168"/>
        <v/>
      </c>
      <c r="BE131" s="190" t="str">
        <f t="shared" ca="1" si="169"/>
        <v/>
      </c>
      <c r="BF131" s="194" t="str">
        <f t="shared" ca="1" si="170"/>
        <v/>
      </c>
      <c r="BG131" s="194" t="str">
        <f t="shared" ca="1" si="171"/>
        <v/>
      </c>
      <c r="BH131" s="195">
        <f ca="1">IF(AH131,_xll.xEURO(BB131,Strike1,AE131,AE131,BF131,O131,IF(OptControl=4,0,1),0),0)</f>
        <v>0</v>
      </c>
      <c r="BI131" s="196">
        <f ca="1">IF(AH131,_xll.xEURO(BB131,Strike1,AE131,AE131,BF131,O131,IF(OptControl=4,0,1),1),0)</f>
        <v>0</v>
      </c>
      <c r="BJ131" s="196">
        <f ca="1">IF(AH131,_xll.xEURO(BB131,Strike1,AE131,AE131,BF131,O131,IF(OptControl=4,0,1),2),0)</f>
        <v>0</v>
      </c>
      <c r="BK131" s="196">
        <f ca="1">IF(AH131,_xll.xEURO(BB131,Strike1,AE131,AE131,BF131,O131,IF(OptControl=4,0,1),3)/100,0)</f>
        <v>0</v>
      </c>
      <c r="BL131" s="196">
        <f ca="1">IF(AH131,_xll.xEURO(BB131,Strike1,AE131,AE131,BF131,O131-DaysForThetaCalculation,IF(OptControl=4,0,1),0)-_xll.xEURO(BB131,Strike1,AE131,AE131,BF131,O131,IF(OptControl=4,0,1),0),0)</f>
        <v>0</v>
      </c>
      <c r="BM131" s="196">
        <f ca="1">IF(AH131,_xll.xEURO(BB131,Strike2,AE131,AE131,BG131,O131,IF(OptControl=3,1,0),0),0)</f>
        <v>0</v>
      </c>
      <c r="BN131" s="196">
        <f ca="1">IF(AH131,_xll.xEURO(BB131,Strike2,AE131,AE131,BG131,O131,IF(OptControl=3,1,0),1),0)</f>
        <v>0</v>
      </c>
      <c r="BO131" s="196">
        <f ca="1">IF(AH131,_xll.xEURO(BB131,Strike2,AE131,AE131,BG131,O131,IF(OptControl=3,1,0),2),0)</f>
        <v>0</v>
      </c>
      <c r="BP131" s="196">
        <f ca="1">IF(AH131,_xll.xEURO(BB131,Strike2,AE131,AE131,BG131,O131,IF(OptControl=3,1,0),3)/100,0)</f>
        <v>0</v>
      </c>
      <c r="BQ131" s="197">
        <f ca="1">IF(AH131,_xll.xEURO(BB131,Strike2,AE131,AE131,BG131,O131-DaysForThetaCalculation,IF(OptControl=3,1,0),0)-_xll.xEURO(BB131,Strike2,AE131,AE131,BG131,O131,IF(OptControl=3,1,0),0),0)</f>
        <v>0</v>
      </c>
      <c r="BR131" s="301"/>
      <c r="BS131" s="114"/>
      <c r="BT131" s="345">
        <f t="shared" si="137"/>
        <v>0</v>
      </c>
      <c r="BU131" s="345">
        <f t="shared" ca="1" si="185"/>
        <v>-21.268181818181819</v>
      </c>
      <c r="BV131" s="73"/>
      <c r="BW131" s="345">
        <f t="shared" ca="1" si="182"/>
        <v>6.4490000000000052</v>
      </c>
      <c r="BX131" s="345">
        <f t="shared" ca="1" si="186"/>
        <v>68.450621118012421</v>
      </c>
      <c r="BY131" s="373">
        <f t="shared" ca="1" si="138"/>
        <v>65.99329004329006</v>
      </c>
      <c r="BZ131" s="114"/>
      <c r="CA131" s="345">
        <f t="shared" si="139"/>
        <v>0</v>
      </c>
      <c r="CB131" s="345">
        <f t="shared" ca="1" si="187"/>
        <v>-21.268181818181819</v>
      </c>
      <c r="CC131" s="345">
        <f t="shared" ca="1" si="183"/>
        <v>4.0340000000000016</v>
      </c>
      <c r="CD131" s="345">
        <f t="shared" ca="1" si="140"/>
        <v>60.243290043290052</v>
      </c>
      <c r="CE131" s="347">
        <f t="shared" ca="1" si="172"/>
        <v>-5.7500000000000071</v>
      </c>
      <c r="CF131" s="114"/>
      <c r="CG131" s="345">
        <f t="shared" si="141"/>
        <v>0</v>
      </c>
      <c r="CH131" s="345">
        <f t="shared" ca="1" si="142"/>
        <v>-21.268181818181819</v>
      </c>
      <c r="CI131" s="73"/>
      <c r="CJ131" s="345">
        <f t="shared" ca="1" si="190"/>
        <v>4.3410000000000011</v>
      </c>
      <c r="CK131" s="345">
        <f t="shared" ca="1" si="184"/>
        <v>60.025823451910398</v>
      </c>
      <c r="CL131" s="345">
        <f t="shared" ca="1" si="143"/>
        <v>60.974242424242426</v>
      </c>
      <c r="CM131" s="114"/>
      <c r="CN131" s="345">
        <f t="shared" si="144"/>
        <v>0</v>
      </c>
      <c r="CO131" s="345">
        <f t="shared" ca="1" si="145"/>
        <v>-21.268181818181819</v>
      </c>
      <c r="CP131" s="345">
        <f t="shared" ca="1" si="192"/>
        <v>3.530285714285712</v>
      </c>
      <c r="CQ131" s="345">
        <f t="shared" ca="1" si="146"/>
        <v>59.04397031539888</v>
      </c>
      <c r="CR131" s="347">
        <f t="shared" ca="1" si="173"/>
        <v>-1.9302721088435462</v>
      </c>
      <c r="CS131" s="114"/>
      <c r="CT131" s="345">
        <f t="shared" si="147"/>
        <v>0</v>
      </c>
      <c r="CU131" s="345">
        <f t="shared" si="174"/>
        <v>0</v>
      </c>
      <c r="CV131" s="345">
        <f t="shared" ca="1" si="191"/>
        <v>1.9500000000000079</v>
      </c>
      <c r="CW131" s="347">
        <f t="shared" ca="1" si="175"/>
        <v>62.924242424242436</v>
      </c>
      <c r="CX131" s="483"/>
      <c r="CY131" s="190">
        <f t="shared" si="148"/>
        <v>-0.16729999999999901</v>
      </c>
      <c r="CZ131" s="190">
        <f t="shared" ca="1" si="180"/>
        <v>-0.03</v>
      </c>
      <c r="DA131" s="354">
        <f t="shared" ca="1" si="149"/>
        <v>0.13729999999999901</v>
      </c>
      <c r="DB131" s="483"/>
      <c r="DC131" s="190">
        <f t="shared" si="150"/>
        <v>-0.16729999999999901</v>
      </c>
      <c r="DD131" s="190">
        <f t="shared" ca="1" si="181"/>
        <v>0.03</v>
      </c>
      <c r="DE131" s="354">
        <f t="shared" ca="1" si="151"/>
        <v>0.197299999999999</v>
      </c>
      <c r="DG131" s="341"/>
      <c r="DH131" s="114"/>
      <c r="DI131" s="126">
        <f t="shared" ca="1" si="176"/>
        <v>-21.268181818181819</v>
      </c>
      <c r="DJ131" s="126">
        <f t="shared" ca="1" si="124"/>
        <v>-2</v>
      </c>
      <c r="DK131" s="356">
        <f t="shared" ca="1" si="125"/>
        <v>19.268181818181819</v>
      </c>
      <c r="DL131" s="114"/>
      <c r="DM131" s="126">
        <f t="shared" ca="1" si="177"/>
        <v>-21.268181818181819</v>
      </c>
      <c r="DN131" s="126">
        <f t="shared" ca="1" si="152"/>
        <v>-3</v>
      </c>
      <c r="DO131" s="356">
        <f t="shared" ca="1" si="126"/>
        <v>18.268181818181819</v>
      </c>
      <c r="DP131" s="114"/>
      <c r="DQ131" s="126">
        <f t="shared" ca="1" si="178"/>
        <v>-21.268181818181819</v>
      </c>
      <c r="DR131" s="126">
        <f t="shared" ca="1" si="153"/>
        <v>-6</v>
      </c>
      <c r="DS131" s="356">
        <f t="shared" ca="1" si="127"/>
        <v>15.268181818181819</v>
      </c>
      <c r="DT131" s="114"/>
      <c r="DU131" s="126">
        <f t="shared" ca="1" si="179"/>
        <v>-21.268181818181819</v>
      </c>
      <c r="DV131" s="126">
        <f t="shared" ca="1" si="154"/>
        <v>-5</v>
      </c>
      <c r="DW131" s="356">
        <f t="shared" ca="1" si="128"/>
        <v>16.268181818181819</v>
      </c>
    </row>
    <row r="132" spans="2:127" x14ac:dyDescent="0.25">
      <c r="B132" s="396">
        <v>39569</v>
      </c>
      <c r="C132" s="400">
        <v>39558</v>
      </c>
      <c r="I132" s="136">
        <f t="shared" ca="1" si="205"/>
        <v>40817</v>
      </c>
      <c r="J132" s="131">
        <f t="shared" ca="1" si="130"/>
        <v>40806</v>
      </c>
      <c r="K132" s="106">
        <f t="shared" ca="1" si="206"/>
        <v>0.7142857142857143</v>
      </c>
      <c r="L132" s="133">
        <f t="shared" ca="1" si="193"/>
        <v>111</v>
      </c>
      <c r="M132" s="134">
        <f t="shared" ca="1" si="194"/>
        <v>10</v>
      </c>
      <c r="N132" s="103">
        <f t="shared" ca="1" si="197"/>
        <v>21</v>
      </c>
      <c r="O132" s="104">
        <f t="shared" ca="1" si="132"/>
        <v>3859</v>
      </c>
      <c r="P132" s="105">
        <f t="shared" ca="1" si="195"/>
        <v>10.576317590691307</v>
      </c>
      <c r="Q132" s="105">
        <f t="shared" ca="1" si="196"/>
        <v>10.658453114305271</v>
      </c>
      <c r="R132" s="114">
        <v>21.25</v>
      </c>
      <c r="S132" s="198">
        <v>0</v>
      </c>
      <c r="T132" s="189">
        <f t="shared" si="133"/>
        <v>21.25</v>
      </c>
      <c r="U132" s="199">
        <f t="shared" ca="1" si="198"/>
        <v>21.314285714285717</v>
      </c>
      <c r="V132" s="379">
        <f t="shared" ca="1" si="199"/>
        <v>21.314285714285717</v>
      </c>
      <c r="W132" s="483">
        <v>0.16689999999999902</v>
      </c>
      <c r="X132" s="166" t="str">
        <f t="shared" ca="1" si="200"/>
        <v/>
      </c>
      <c r="Y132" s="91">
        <f t="shared" ca="1" si="208"/>
        <v>9.8639134531938342E-4</v>
      </c>
      <c r="Z132" s="91">
        <f t="shared" ca="1" si="209"/>
        <v>3.0749640887848298E-4</v>
      </c>
      <c r="AA132" s="91">
        <f t="shared" ca="1" si="210"/>
        <v>1.0423512431971191E-4</v>
      </c>
      <c r="AB132" s="91">
        <f t="shared" ca="1" si="211"/>
        <v>2.3482088806745988E-4</v>
      </c>
      <c r="AC132" s="91">
        <f t="shared" ca="1" si="212"/>
        <v>6.9272790992149717E-4</v>
      </c>
      <c r="AD132" s="91">
        <f t="shared" ca="1" si="213"/>
        <v>2.2221424227353965E-3</v>
      </c>
      <c r="AE132" s="124">
        <v>7.375283489284401E-2</v>
      </c>
      <c r="AF132" s="191">
        <f t="shared" ca="1" si="161"/>
        <v>0.46211394935667055</v>
      </c>
      <c r="AG132" s="189">
        <f t="shared" ca="1" si="207"/>
        <v>1</v>
      </c>
      <c r="AH132" s="192">
        <f t="shared" ca="1" si="201"/>
        <v>0</v>
      </c>
      <c r="AI132" s="192">
        <f t="shared" ca="1" si="214"/>
        <v>0</v>
      </c>
      <c r="AJ132" s="192">
        <f t="shared" ca="1" si="203"/>
        <v>0</v>
      </c>
      <c r="AK132" s="192">
        <f t="shared" ca="1" si="215"/>
        <v>0</v>
      </c>
      <c r="AL132" s="191" t="str">
        <f t="shared" ca="1" si="162"/>
        <v/>
      </c>
      <c r="AM132" s="191" t="str">
        <f t="shared" ca="1" si="163"/>
        <v/>
      </c>
      <c r="AN132" s="191" t="str">
        <f t="shared" ca="1" si="164"/>
        <v/>
      </c>
      <c r="AO132" s="193" t="str">
        <f t="shared" ca="1" si="165"/>
        <v/>
      </c>
      <c r="AP132" s="194" t="str">
        <f t="shared" ca="1" si="135"/>
        <v/>
      </c>
      <c r="AQ132" s="194" t="str">
        <f t="shared" ca="1" si="136"/>
        <v/>
      </c>
      <c r="AR132" s="195">
        <f ca="1">IF(AH132,_xll.xASN(AL132,Strike1,AE132,AP132,0,N132,0,P132,Q132,IF(OptControl=4,0,1),0),0)</f>
        <v>0</v>
      </c>
      <c r="AS132" s="196">
        <f ca="1">IF(AH132,_xll.xASN(AL132,Strike1,AE132,AP132,0,N132,0,P132,Q132,IF(OptControl=4,0,1),1),0)</f>
        <v>0</v>
      </c>
      <c r="AT132" s="196">
        <f ca="1">IF(AH132,_xll.xASN(AL132,Strike1,AE132,AP132,0,N132,0,P132,Q132,IF(OptControl=4,0,1),2),0)</f>
        <v>0</v>
      </c>
      <c r="AU132" s="196">
        <f ca="1">IF(AH132,_xll.xASN(AL132,Strike1,AE132,AP132,0,N132,0,P132,Q132,IF(OptControl=4,0,1),3)/100,0)</f>
        <v>0</v>
      </c>
      <c r="AV132" s="196">
        <f ca="1">IF(AH132,_xll.xASN(AL132,Strike1,AE132,AP132,0,N132,0,P132-DaysForThetaCalculation/365.25,Q132-DaysForThetaCalculation/365.25,IF(OptControl=4,0,1),0)-_xll.xASN(AL132,Strike1,AE132,AP132,0,N132,0,P132,Q132,IF(OptControl=4,0,1),0),0)</f>
        <v>0</v>
      </c>
      <c r="AW132" s="196">
        <f ca="1">IF(AH132,_xll.xASN(AL132,Strike2,AE132,AQ132,0,N132,0,P132,Q132,IF(OptControl=3,1,0),0),0)</f>
        <v>0</v>
      </c>
      <c r="AX132" s="196">
        <f ca="1">IF(AH132,_xll.xASN(AL132,Strike2,AE132,AQ132,0,N132,0,P132,Q132,IF(OptControl=3,1,0),1),0)</f>
        <v>0</v>
      </c>
      <c r="AY132" s="196">
        <f ca="1">IF(AH132,_xll.xASN(AL132,Strike2,AE132,AQ132,0,N132,0,P132,Q132,IF(OptControl=3,1,0),2),0)</f>
        <v>0</v>
      </c>
      <c r="AZ132" s="196">
        <f ca="1">IF(AH132,_xll.xASN(AL132,Strike2,AE132,AQ132,0,N132,0,P132,Q132,IF(OptControl=3,1,0),3)/100,0)</f>
        <v>0</v>
      </c>
      <c r="BA132" s="196">
        <f ca="1">IF(AH132,_xll.xASN(AL132,Strike2,AE132,AQ132,0,N132,0,P132-DaysForThetaCalculation/365.25,Q132-DaysForThetaCalculation/365.25,IF(OptControl=3,1,0),0)-_xll.xASN(AL132,Strike2,AE132,AQ132,0,N132,0,P132,Q132,IF(OptControl=3,1,0),0),0)</f>
        <v>0</v>
      </c>
      <c r="BB132" s="126" t="str">
        <f t="shared" ca="1" si="166"/>
        <v/>
      </c>
      <c r="BC132" s="191" t="str">
        <f t="shared" ca="1" si="167"/>
        <v/>
      </c>
      <c r="BD132" s="191" t="str">
        <f t="shared" ca="1" si="168"/>
        <v/>
      </c>
      <c r="BE132" s="190" t="str">
        <f t="shared" ca="1" si="169"/>
        <v/>
      </c>
      <c r="BF132" s="194" t="str">
        <f t="shared" ca="1" si="170"/>
        <v/>
      </c>
      <c r="BG132" s="194" t="str">
        <f t="shared" ca="1" si="171"/>
        <v/>
      </c>
      <c r="BH132" s="195">
        <f ca="1">IF(AH132,_xll.xEURO(BB132,Strike1,AE132,AE132,BF132,O132,IF(OptControl=4,0,1),0),0)</f>
        <v>0</v>
      </c>
      <c r="BI132" s="196">
        <f ca="1">IF(AH132,_xll.xEURO(BB132,Strike1,AE132,AE132,BF132,O132,IF(OptControl=4,0,1),1),0)</f>
        <v>0</v>
      </c>
      <c r="BJ132" s="196">
        <f ca="1">IF(AH132,_xll.xEURO(BB132,Strike1,AE132,AE132,BF132,O132,IF(OptControl=4,0,1),2),0)</f>
        <v>0</v>
      </c>
      <c r="BK132" s="196">
        <f ca="1">IF(AH132,_xll.xEURO(BB132,Strike1,AE132,AE132,BF132,O132,IF(OptControl=4,0,1),3)/100,0)</f>
        <v>0</v>
      </c>
      <c r="BL132" s="196">
        <f ca="1">IF(AH132,_xll.xEURO(BB132,Strike1,AE132,AE132,BF132,O132-DaysForThetaCalculation,IF(OptControl=4,0,1),0)-_xll.xEURO(BB132,Strike1,AE132,AE132,BF132,O132,IF(OptControl=4,0,1),0),0)</f>
        <v>0</v>
      </c>
      <c r="BM132" s="196">
        <f ca="1">IF(AH132,_xll.xEURO(BB132,Strike2,AE132,AE132,BG132,O132,IF(OptControl=3,1,0),0),0)</f>
        <v>0</v>
      </c>
      <c r="BN132" s="196">
        <f ca="1">IF(AH132,_xll.xEURO(BB132,Strike2,AE132,AE132,BG132,O132,IF(OptControl=3,1,0),1),0)</f>
        <v>0</v>
      </c>
      <c r="BO132" s="196">
        <f ca="1">IF(AH132,_xll.xEURO(BB132,Strike2,AE132,AE132,BG132,O132,IF(OptControl=3,1,0),2),0)</f>
        <v>0</v>
      </c>
      <c r="BP132" s="196">
        <f ca="1">IF(AH132,_xll.xEURO(BB132,Strike2,AE132,AE132,BG132,O132,IF(OptControl=3,1,0),3)/100,0)</f>
        <v>0</v>
      </c>
      <c r="BQ132" s="197">
        <f ca="1">IF(AH132,_xll.xEURO(BB132,Strike2,AE132,AE132,BG132,O132-DaysForThetaCalculation,IF(OptControl=3,1,0),0)-_xll.xEURO(BB132,Strike2,AE132,AE132,BG132,O132,IF(OptControl=3,1,0),0),0)</f>
        <v>0</v>
      </c>
      <c r="BR132" s="301"/>
      <c r="BS132" s="114"/>
      <c r="BT132" s="345">
        <f t="shared" si="137"/>
        <v>0</v>
      </c>
      <c r="BU132" s="345">
        <f t="shared" ca="1" si="185"/>
        <v>-21.314285714285717</v>
      </c>
      <c r="BV132" s="73"/>
      <c r="BW132" s="345">
        <f t="shared" ca="1" si="182"/>
        <v>6.0417826086956588</v>
      </c>
      <c r="BX132" s="345">
        <f t="shared" ca="1" si="186"/>
        <v>65.99329004329006</v>
      </c>
      <c r="BY132" s="373">
        <f t="shared" ca="1" si="138"/>
        <v>65.133496007098515</v>
      </c>
      <c r="BZ132" s="114"/>
      <c r="CA132" s="345">
        <f t="shared" si="139"/>
        <v>0</v>
      </c>
      <c r="CB132" s="345">
        <f t="shared" ca="1" si="187"/>
        <v>-21.314285714285717</v>
      </c>
      <c r="CC132" s="345">
        <f t="shared" ca="1" si="183"/>
        <v>3.7317826086956556</v>
      </c>
      <c r="CD132" s="345">
        <f t="shared" ca="1" si="140"/>
        <v>59.633496007098508</v>
      </c>
      <c r="CE132" s="347">
        <f t="shared" ca="1" si="172"/>
        <v>-5.5000000000000071</v>
      </c>
      <c r="CF132" s="114"/>
      <c r="CG132" s="345">
        <f t="shared" si="141"/>
        <v>0</v>
      </c>
      <c r="CH132" s="345">
        <f t="shared" ca="1" si="142"/>
        <v>-21.314285714285717</v>
      </c>
      <c r="CI132" s="73"/>
      <c r="CJ132" s="345">
        <f t="shared" ca="1" si="190"/>
        <v>4.899782608695654</v>
      </c>
      <c r="CK132" s="345">
        <f t="shared" ca="1" si="184"/>
        <v>60.974242424242426</v>
      </c>
      <c r="CL132" s="345">
        <f t="shared" ca="1" si="143"/>
        <v>62.414448388050879</v>
      </c>
      <c r="CM132" s="114"/>
      <c r="CN132" s="345">
        <f t="shared" si="144"/>
        <v>0</v>
      </c>
      <c r="CO132" s="345">
        <f t="shared" ca="1" si="145"/>
        <v>-21.314285714285717</v>
      </c>
      <c r="CP132" s="345">
        <f t="shared" ca="1" si="192"/>
        <v>3.7027826086956521</v>
      </c>
      <c r="CQ132" s="345">
        <f t="shared" ca="1" si="146"/>
        <v>59.564448388050877</v>
      </c>
      <c r="CR132" s="347">
        <f t="shared" ca="1" si="173"/>
        <v>-2.8500000000000014</v>
      </c>
      <c r="CS132" s="114"/>
      <c r="CT132" s="345">
        <f t="shared" si="147"/>
        <v>0</v>
      </c>
      <c r="CU132" s="345">
        <f t="shared" si="174"/>
        <v>0</v>
      </c>
      <c r="CV132" s="345">
        <f t="shared" ca="1" si="191"/>
        <v>2.1000000000000081</v>
      </c>
      <c r="CW132" s="347">
        <f t="shared" ca="1" si="175"/>
        <v>64.51444838805088</v>
      </c>
      <c r="CX132" s="483"/>
      <c r="CY132" s="190">
        <f t="shared" si="148"/>
        <v>-0.16689999999999902</v>
      </c>
      <c r="CZ132" s="190">
        <f t="shared" ca="1" si="180"/>
        <v>-0.03</v>
      </c>
      <c r="DA132" s="354">
        <f t="shared" ca="1" si="149"/>
        <v>0.13689999999999902</v>
      </c>
      <c r="DB132" s="483"/>
      <c r="DC132" s="190">
        <f t="shared" si="150"/>
        <v>-0.16689999999999902</v>
      </c>
      <c r="DD132" s="190">
        <f t="shared" ca="1" si="181"/>
        <v>0.03</v>
      </c>
      <c r="DE132" s="354">
        <f t="shared" ca="1" si="151"/>
        <v>0.19689999999999902</v>
      </c>
      <c r="DG132" s="341"/>
      <c r="DH132" s="114"/>
      <c r="DI132" s="126">
        <f t="shared" ca="1" si="176"/>
        <v>-21.314285714285717</v>
      </c>
      <c r="DJ132" s="126">
        <f t="shared" ca="1" si="124"/>
        <v>-2</v>
      </c>
      <c r="DK132" s="356">
        <f t="shared" ca="1" si="125"/>
        <v>19.314285714285717</v>
      </c>
      <c r="DL132" s="114"/>
      <c r="DM132" s="126">
        <f t="shared" ca="1" si="177"/>
        <v>-21.314285714285717</v>
      </c>
      <c r="DN132" s="126">
        <f t="shared" ca="1" si="152"/>
        <v>-3</v>
      </c>
      <c r="DO132" s="356">
        <f t="shared" ca="1" si="126"/>
        <v>18.314285714285717</v>
      </c>
      <c r="DP132" s="114"/>
      <c r="DQ132" s="126">
        <f t="shared" ca="1" si="178"/>
        <v>-21.314285714285717</v>
      </c>
      <c r="DR132" s="126">
        <f t="shared" ca="1" si="153"/>
        <v>-6</v>
      </c>
      <c r="DS132" s="356">
        <f t="shared" ca="1" si="127"/>
        <v>15.314285714285717</v>
      </c>
      <c r="DT132" s="114"/>
      <c r="DU132" s="126">
        <f t="shared" ca="1" si="179"/>
        <v>-21.314285714285717</v>
      </c>
      <c r="DV132" s="126">
        <f t="shared" ca="1" si="154"/>
        <v>-5</v>
      </c>
      <c r="DW132" s="356">
        <f t="shared" ca="1" si="128"/>
        <v>16.314285714285717</v>
      </c>
    </row>
    <row r="133" spans="2:127" x14ac:dyDescent="0.25">
      <c r="B133" s="396">
        <v>39600</v>
      </c>
      <c r="C133" s="400">
        <v>39590</v>
      </c>
      <c r="I133" s="136">
        <f t="shared" ca="1" si="205"/>
        <v>40848</v>
      </c>
      <c r="J133" s="131">
        <f t="shared" ca="1" si="130"/>
        <v>40838</v>
      </c>
      <c r="K133" s="106">
        <f t="shared" ca="1" si="206"/>
        <v>0.63636363636363635</v>
      </c>
      <c r="L133" s="133">
        <f t="shared" ca="1" si="193"/>
        <v>111</v>
      </c>
      <c r="M133" s="134">
        <f t="shared" ca="1" si="194"/>
        <v>11</v>
      </c>
      <c r="N133" s="103">
        <f t="shared" ref="N133:N164" ca="1" si="216">NETWORKDAYS(I133,I134-1)</f>
        <v>22</v>
      </c>
      <c r="O133" s="104">
        <f t="shared" ca="1" si="132"/>
        <v>3888</v>
      </c>
      <c r="P133" s="105">
        <f t="shared" ca="1" si="195"/>
        <v>10.661190965092402</v>
      </c>
      <c r="Q133" s="105">
        <f t="shared" ca="1" si="196"/>
        <v>10.740588637919233</v>
      </c>
      <c r="R133" s="114">
        <v>21.3</v>
      </c>
      <c r="S133" s="198">
        <v>0</v>
      </c>
      <c r="T133" s="189">
        <f t="shared" si="133"/>
        <v>21.3</v>
      </c>
      <c r="U133" s="199">
        <f t="shared" ref="U133:U164" ca="1" si="217">R134*K133+R135*(1-K133)</f>
        <v>21.368181818181817</v>
      </c>
      <c r="V133" s="379">
        <f t="shared" ref="V133:V164" ca="1" si="218">T134*K133+T135*(1-K133)</f>
        <v>21.368181818181817</v>
      </c>
      <c r="W133" s="483">
        <v>0.16649999999999904</v>
      </c>
      <c r="X133" s="166" t="str">
        <f t="shared" ref="X133:X164" ca="1" si="219">IF($I133-DateToday+1&gt;=$A$10,"",IF($I133-DateToday+1&lt;$A$5,1,MATCH($I133-DateToday+1,$A$5:$A$10)))</f>
        <v/>
      </c>
      <c r="Y133" s="91">
        <f t="shared" ca="1" si="208"/>
        <v>9.6527420684559774E-4</v>
      </c>
      <c r="Z133" s="91">
        <f t="shared" ca="1" si="209"/>
        <v>2.9930227258585432E-4</v>
      </c>
      <c r="AA133" s="91">
        <f t="shared" ca="1" si="210"/>
        <v>1.0118540840030316E-4</v>
      </c>
      <c r="AB133" s="91">
        <f t="shared" ca="1" si="211"/>
        <v>2.2795048804421576E-4</v>
      </c>
      <c r="AC133" s="91">
        <f t="shared" ca="1" si="212"/>
        <v>6.7426815968146228E-4</v>
      </c>
      <c r="AD133" s="91">
        <f t="shared" ca="1" si="213"/>
        <v>2.1745697331816507E-3</v>
      </c>
      <c r="AE133" s="124">
        <v>7.3748873334097007E-2</v>
      </c>
      <c r="AF133" s="191">
        <f t="shared" ca="1" si="161"/>
        <v>0.45939198082365501</v>
      </c>
      <c r="AG133" s="189">
        <f t="shared" ca="1" si="207"/>
        <v>1</v>
      </c>
      <c r="AH133" s="192">
        <f t="shared" ref="AH133:AH164" ca="1" si="220">IF(OR(DateStart&gt;=I134,DateEnd&lt;I133),0,Volume*AG133)</f>
        <v>0</v>
      </c>
      <c r="AI133" s="192">
        <f t="shared" ref="AI133:AI148" ca="1" si="221">AH133*AF133</f>
        <v>0</v>
      </c>
      <c r="AJ133" s="192">
        <f t="shared" ref="AJ133:AJ164" ca="1" si="222">IF(OR(DateStart2&gt;=I134,DateEnd2&lt;I133),0,VolumeSwaption*AG133)</f>
        <v>0</v>
      </c>
      <c r="AK133" s="192">
        <f t="shared" ref="AK133:AK148" ca="1" si="223">AJ133*AF133</f>
        <v>0</v>
      </c>
      <c r="AL133" s="191" t="str">
        <f t="shared" ca="1" si="162"/>
        <v/>
      </c>
      <c r="AM133" s="191" t="str">
        <f t="shared" ca="1" si="163"/>
        <v/>
      </c>
      <c r="AN133" s="191" t="str">
        <f t="shared" ca="1" si="164"/>
        <v/>
      </c>
      <c r="AO133" s="193" t="str">
        <f t="shared" ca="1" si="165"/>
        <v/>
      </c>
      <c r="AP133" s="194" t="str">
        <f t="shared" ca="1" si="135"/>
        <v/>
      </c>
      <c r="AQ133" s="194" t="str">
        <f t="shared" ca="1" si="136"/>
        <v/>
      </c>
      <c r="AR133" s="195">
        <f ca="1">IF(AH133,_xll.xASN(AL133,Strike1,AE133,AP133,0,N133,0,P133,Q133,IF(OptControl=4,0,1),0),0)</f>
        <v>0</v>
      </c>
      <c r="AS133" s="196">
        <f ca="1">IF(AH133,_xll.xASN(AL133,Strike1,AE133,AP133,0,N133,0,P133,Q133,IF(OptControl=4,0,1),1),0)</f>
        <v>0</v>
      </c>
      <c r="AT133" s="196">
        <f ca="1">IF(AH133,_xll.xASN(AL133,Strike1,AE133,AP133,0,N133,0,P133,Q133,IF(OptControl=4,0,1),2),0)</f>
        <v>0</v>
      </c>
      <c r="AU133" s="196">
        <f ca="1">IF(AH133,_xll.xASN(AL133,Strike1,AE133,AP133,0,N133,0,P133,Q133,IF(OptControl=4,0,1),3)/100,0)</f>
        <v>0</v>
      </c>
      <c r="AV133" s="196">
        <f ca="1">IF(AH133,_xll.xASN(AL133,Strike1,AE133,AP133,0,N133,0,P133-DaysForThetaCalculation/365.25,Q133-DaysForThetaCalculation/365.25,IF(OptControl=4,0,1),0)-_xll.xASN(AL133,Strike1,AE133,AP133,0,N133,0,P133,Q133,IF(OptControl=4,0,1),0),0)</f>
        <v>0</v>
      </c>
      <c r="AW133" s="196">
        <f ca="1">IF(AH133,_xll.xASN(AL133,Strike2,AE133,AQ133,0,N133,0,P133,Q133,IF(OptControl=3,1,0),0),0)</f>
        <v>0</v>
      </c>
      <c r="AX133" s="196">
        <f ca="1">IF(AH133,_xll.xASN(AL133,Strike2,AE133,AQ133,0,N133,0,P133,Q133,IF(OptControl=3,1,0),1),0)</f>
        <v>0</v>
      </c>
      <c r="AY133" s="196">
        <f ca="1">IF(AH133,_xll.xASN(AL133,Strike2,AE133,AQ133,0,N133,0,P133,Q133,IF(OptControl=3,1,0),2),0)</f>
        <v>0</v>
      </c>
      <c r="AZ133" s="196">
        <f ca="1">IF(AH133,_xll.xASN(AL133,Strike2,AE133,AQ133,0,N133,0,P133,Q133,IF(OptControl=3,1,0),3)/100,0)</f>
        <v>0</v>
      </c>
      <c r="BA133" s="196">
        <f ca="1">IF(AH133,_xll.xASN(AL133,Strike2,AE133,AQ133,0,N133,0,P133-DaysForThetaCalculation/365.25,Q133-DaysForThetaCalculation/365.25,IF(OptControl=3,1,0),0)-_xll.xASN(AL133,Strike2,AE133,AQ133,0,N133,0,P133,Q133,IF(OptControl=3,1,0),0),0)</f>
        <v>0</v>
      </c>
      <c r="BB133" s="126" t="str">
        <f t="shared" ca="1" si="166"/>
        <v/>
      </c>
      <c r="BC133" s="191" t="str">
        <f t="shared" ca="1" si="167"/>
        <v/>
      </c>
      <c r="BD133" s="191" t="str">
        <f t="shared" ca="1" si="168"/>
        <v/>
      </c>
      <c r="BE133" s="190" t="str">
        <f t="shared" ca="1" si="169"/>
        <v/>
      </c>
      <c r="BF133" s="194" t="str">
        <f t="shared" ca="1" si="170"/>
        <v/>
      </c>
      <c r="BG133" s="194" t="str">
        <f t="shared" ca="1" si="171"/>
        <v/>
      </c>
      <c r="BH133" s="195">
        <f ca="1">IF(AH133,_xll.xEURO(BB133,Strike1,AE133,AE133,BF133,O133,IF(OptControl=4,0,1),0),0)</f>
        <v>0</v>
      </c>
      <c r="BI133" s="196">
        <f ca="1">IF(AH133,_xll.xEURO(BB133,Strike1,AE133,AE133,BF133,O133,IF(OptControl=4,0,1),1),0)</f>
        <v>0</v>
      </c>
      <c r="BJ133" s="196">
        <f ca="1">IF(AH133,_xll.xEURO(BB133,Strike1,AE133,AE133,BF133,O133,IF(OptControl=4,0,1),2),0)</f>
        <v>0</v>
      </c>
      <c r="BK133" s="196">
        <f ca="1">IF(AH133,_xll.xEURO(BB133,Strike1,AE133,AE133,BF133,O133,IF(OptControl=4,0,1),3)/100,0)</f>
        <v>0</v>
      </c>
      <c r="BL133" s="196">
        <f ca="1">IF(AH133,_xll.xEURO(BB133,Strike1,AE133,AE133,BF133,O133-DaysForThetaCalculation,IF(OptControl=4,0,1),0)-_xll.xEURO(BB133,Strike1,AE133,AE133,BF133,O133,IF(OptControl=4,0,1),0),0)</f>
        <v>0</v>
      </c>
      <c r="BM133" s="196">
        <f ca="1">IF(AH133,_xll.xEURO(BB133,Strike2,AE133,AE133,BG133,O133,IF(OptControl=3,1,0),0),0)</f>
        <v>0</v>
      </c>
      <c r="BN133" s="196">
        <f ca="1">IF(AH133,_xll.xEURO(BB133,Strike2,AE133,AE133,BG133,O133,IF(OptControl=3,1,0),1),0)</f>
        <v>0</v>
      </c>
      <c r="BO133" s="196">
        <f ca="1">IF(AH133,_xll.xEURO(BB133,Strike2,AE133,AE133,BG133,O133,IF(OptControl=3,1,0),2),0)</f>
        <v>0</v>
      </c>
      <c r="BP133" s="196">
        <f ca="1">IF(AH133,_xll.xEURO(BB133,Strike2,AE133,AE133,BG133,O133,IF(OptControl=3,1,0),3)/100,0)</f>
        <v>0</v>
      </c>
      <c r="BQ133" s="197">
        <f ca="1">IF(AH133,_xll.xEURO(BB133,Strike2,AE133,AE133,BG133,O133-DaysForThetaCalculation,IF(OptControl=3,1,0),0)-_xll.xEURO(BB133,Strike2,AE133,AE133,BG133,O133,IF(OptControl=3,1,0),0),0)</f>
        <v>0</v>
      </c>
      <c r="BR133" s="301"/>
      <c r="BS133" s="114"/>
      <c r="BT133" s="345">
        <f t="shared" si="137"/>
        <v>0</v>
      </c>
      <c r="BU133" s="345">
        <f t="shared" ca="1" si="185"/>
        <v>-21.368181818181817</v>
      </c>
      <c r="BV133" s="73"/>
      <c r="BW133" s="345">
        <f t="shared" ca="1" si="182"/>
        <v>5.8944545454545541</v>
      </c>
      <c r="BX133" s="345">
        <f t="shared" ca="1" si="186"/>
        <v>65.133496007098515</v>
      </c>
      <c r="BY133" s="373">
        <f t="shared" ca="1" si="138"/>
        <v>64.911038961038983</v>
      </c>
      <c r="BZ133" s="114"/>
      <c r="CA133" s="345">
        <f t="shared" si="139"/>
        <v>0</v>
      </c>
      <c r="CB133" s="345">
        <f t="shared" ca="1" si="187"/>
        <v>-21.368181818181817</v>
      </c>
      <c r="CC133" s="345">
        <f t="shared" ca="1" si="183"/>
        <v>3.5844545454545473</v>
      </c>
      <c r="CD133" s="345">
        <f t="shared" ca="1" si="140"/>
        <v>59.411038961038969</v>
      </c>
      <c r="CE133" s="347">
        <f t="shared" ca="1" si="172"/>
        <v>-5.5000000000000142</v>
      </c>
      <c r="CF133" s="114"/>
      <c r="CG133" s="345">
        <f t="shared" si="141"/>
        <v>0</v>
      </c>
      <c r="CH133" s="345">
        <f t="shared" ca="1" si="142"/>
        <v>-21.368181818181817</v>
      </c>
      <c r="CI133" s="73"/>
      <c r="CJ133" s="345">
        <f t="shared" ca="1" si="190"/>
        <v>5.4664545454545497</v>
      </c>
      <c r="CK133" s="345">
        <f t="shared" ca="1" si="184"/>
        <v>62.414448388050879</v>
      </c>
      <c r="CL133" s="345">
        <f t="shared" ca="1" si="143"/>
        <v>63.891991341991357</v>
      </c>
      <c r="CM133" s="114"/>
      <c r="CN133" s="345">
        <f t="shared" si="144"/>
        <v>0</v>
      </c>
      <c r="CO133" s="345">
        <f t="shared" ca="1" si="145"/>
        <v>-21.368181818181817</v>
      </c>
      <c r="CP133" s="345">
        <f t="shared" ca="1" si="192"/>
        <v>4.2694545454545505</v>
      </c>
      <c r="CQ133" s="345">
        <f t="shared" ca="1" si="146"/>
        <v>61.041991341991348</v>
      </c>
      <c r="CR133" s="347">
        <f t="shared" ca="1" si="173"/>
        <v>-2.8500000000000085</v>
      </c>
      <c r="CS133" s="114"/>
      <c r="CT133" s="345">
        <f t="shared" si="147"/>
        <v>0</v>
      </c>
      <c r="CU133" s="345">
        <f t="shared" si="174"/>
        <v>0</v>
      </c>
      <c r="CV133" s="345">
        <f t="shared" ca="1" si="191"/>
        <v>2.1000000000000081</v>
      </c>
      <c r="CW133" s="347">
        <f t="shared" ca="1" si="175"/>
        <v>65.991991341991366</v>
      </c>
      <c r="CX133" s="483"/>
      <c r="CY133" s="190">
        <f t="shared" si="148"/>
        <v>-0.16649999999999904</v>
      </c>
      <c r="CZ133" s="190">
        <f t="shared" ca="1" si="180"/>
        <v>-0.03</v>
      </c>
      <c r="DA133" s="354">
        <f t="shared" ca="1" si="149"/>
        <v>0.13649999999999904</v>
      </c>
      <c r="DB133" s="483"/>
      <c r="DC133" s="190">
        <f t="shared" si="150"/>
        <v>-0.16649999999999904</v>
      </c>
      <c r="DD133" s="190">
        <f t="shared" ca="1" si="181"/>
        <v>0.03</v>
      </c>
      <c r="DE133" s="354">
        <f t="shared" ca="1" si="151"/>
        <v>0.19649999999999904</v>
      </c>
      <c r="DG133" s="341"/>
      <c r="DH133" s="114"/>
      <c r="DI133" s="126">
        <f t="shared" ca="1" si="176"/>
        <v>-21.368181818181817</v>
      </c>
      <c r="DJ133" s="126">
        <f t="shared" ref="DJ133:DJ186" ca="1" si="224">VLOOKUP(1900+$L133,ResidSpreadTable,2)</f>
        <v>-2</v>
      </c>
      <c r="DK133" s="356">
        <f t="shared" ref="DK133:DK186" ca="1" si="225">$V133+DJ133</f>
        <v>19.368181818181817</v>
      </c>
      <c r="DL133" s="114"/>
      <c r="DM133" s="126">
        <f t="shared" ca="1" si="177"/>
        <v>-21.368181818181817</v>
      </c>
      <c r="DN133" s="126">
        <f t="shared" ca="1" si="152"/>
        <v>-3</v>
      </c>
      <c r="DO133" s="356">
        <f t="shared" ref="DO133:DO186" ca="1" si="226">$V133+DN133</f>
        <v>18.368181818181817</v>
      </c>
      <c r="DP133" s="114"/>
      <c r="DQ133" s="126">
        <f t="shared" ca="1" si="178"/>
        <v>-21.368181818181817</v>
      </c>
      <c r="DR133" s="126">
        <f t="shared" ca="1" si="153"/>
        <v>-6</v>
      </c>
      <c r="DS133" s="356">
        <f t="shared" ref="DS133:DS186" ca="1" si="227">$V133+DR133</f>
        <v>15.368181818181817</v>
      </c>
      <c r="DT133" s="114"/>
      <c r="DU133" s="126">
        <f t="shared" ca="1" si="179"/>
        <v>-21.368181818181817</v>
      </c>
      <c r="DV133" s="126">
        <f t="shared" ca="1" si="154"/>
        <v>-5</v>
      </c>
      <c r="DW133" s="356">
        <f t="shared" ref="DW133:DW186" ca="1" si="228">$V133+DV133</f>
        <v>16.368181818181817</v>
      </c>
    </row>
    <row r="134" spans="2:127" x14ac:dyDescent="0.25">
      <c r="B134" s="396">
        <v>39630</v>
      </c>
      <c r="C134" s="400">
        <v>39619</v>
      </c>
      <c r="I134" s="136">
        <f t="shared" ref="I134:I165" ca="1" si="229">EOMONTH(I133,0)+1</f>
        <v>40878</v>
      </c>
      <c r="J134" s="131">
        <f t="shared" ref="J134:J186" ca="1" si="230">VLOOKUP(I134,$B$12:$C$332,2)</f>
        <v>40866</v>
      </c>
      <c r="K134" s="106">
        <f t="shared" ref="K134:K165" ca="1" si="231">NETWORKDAYS(I134,J135)/N134</f>
        <v>0.59090909090909094</v>
      </c>
      <c r="L134" s="133">
        <f t="shared" ca="1" si="193"/>
        <v>111</v>
      </c>
      <c r="M134" s="134">
        <f t="shared" ca="1" si="194"/>
        <v>12</v>
      </c>
      <c r="N134" s="103">
        <f t="shared" ca="1" si="216"/>
        <v>22</v>
      </c>
      <c r="O134" s="104">
        <f t="shared" ref="O134:O184" ca="1" si="232">I134-DateToday-IF(EuroExpDateToggle=1,3+IF(WEEKDAY(I134-1)=7,1,IF(WEEKDAY(I134-1)&lt;5,2,0)),1+IF(WEEKDAY(I134-1)=7,1,IF(WEEKDAY(I134-1)&lt;3,2,0)))</f>
        <v>3918</v>
      </c>
      <c r="P134" s="105">
        <f t="shared" ca="1" si="195"/>
        <v>10.743326488706366</v>
      </c>
      <c r="Q134" s="105">
        <f t="shared" ca="1" si="196"/>
        <v>10.825462012320328</v>
      </c>
      <c r="R134" s="114">
        <v>21.35</v>
      </c>
      <c r="S134" s="198">
        <v>0</v>
      </c>
      <c r="T134" s="189">
        <f t="shared" ref="T134:T186" si="233">R134+S134/100</f>
        <v>21.35</v>
      </c>
      <c r="U134" s="199">
        <f t="shared" ca="1" si="217"/>
        <v>21.420454545454543</v>
      </c>
      <c r="V134" s="379">
        <f t="shared" ca="1" si="218"/>
        <v>21.420454545454543</v>
      </c>
      <c r="W134" s="483">
        <v>0.16609999999999903</v>
      </c>
      <c r="X134" s="166" t="str">
        <f t="shared" ca="1" si="219"/>
        <v/>
      </c>
      <c r="Y134" s="91">
        <f t="shared" ca="1" si="208"/>
        <v>9.4460915418890395E-4</v>
      </c>
      <c r="Z134" s="91">
        <f t="shared" ca="1" si="209"/>
        <v>2.9132649289071268E-4</v>
      </c>
      <c r="AA134" s="91">
        <f t="shared" ca="1" si="210"/>
        <v>9.8224921205374732E-5</v>
      </c>
      <c r="AB134" s="91">
        <f t="shared" ca="1" si="211"/>
        <v>2.2128110249148086E-4</v>
      </c>
      <c r="AC134" s="91">
        <f t="shared" ca="1" si="212"/>
        <v>6.5630032318424614E-4</v>
      </c>
      <c r="AD134" s="91">
        <f t="shared" ca="1" si="213"/>
        <v>2.1280155025566495E-3</v>
      </c>
      <c r="AE134" s="124">
        <v>7.3745039567572016E-2</v>
      </c>
      <c r="AF134" s="191">
        <f t="shared" ca="1" si="161"/>
        <v>0.45659518494731272</v>
      </c>
      <c r="AG134" s="189">
        <f t="shared" ref="AG134:AG165" ca="1" si="234">AG133*(1+IF(AND(M134=1,L134&gt;YearStart),Escalation,0))</f>
        <v>1</v>
      </c>
      <c r="AH134" s="192">
        <f t="shared" ca="1" si="220"/>
        <v>0</v>
      </c>
      <c r="AI134" s="192">
        <f t="shared" ca="1" si="221"/>
        <v>0</v>
      </c>
      <c r="AJ134" s="192">
        <f t="shared" ca="1" si="222"/>
        <v>0</v>
      </c>
      <c r="AK134" s="192">
        <f t="shared" ca="1" si="223"/>
        <v>0</v>
      </c>
      <c r="AL134" s="191" t="str">
        <f t="shared" ca="1" si="162"/>
        <v/>
      </c>
      <c r="AM134" s="191" t="str">
        <f t="shared" ca="1" si="163"/>
        <v/>
      </c>
      <c r="AN134" s="191" t="str">
        <f t="shared" ca="1" si="164"/>
        <v/>
      </c>
      <c r="AO134" s="193" t="str">
        <f t="shared" ca="1" si="165"/>
        <v/>
      </c>
      <c r="AP134" s="194" t="str">
        <f t="shared" ref="AP134:AP184" ca="1" si="235">IF($AH134,$AO134+IF(SkewFlag=1,IF(AM134&gt;0,$AA134*MIN(AM134/10%,1)+($Z134-$AA134)*MAX(0,MIN(AM134/10%-1,1))+($Y134-$Z134)*MAX(0,AM134/10%-2),$AB134*MIN(-AM134/10%,1)+($AC134-$AB134)*MAX(0,MIN(-AM134/10%-1,1))+($AD134-$AC134)*MAX(0,-AM134/10%-2)),0),"")</f>
        <v/>
      </c>
      <c r="AQ134" s="194" t="str">
        <f t="shared" ref="AQ134:AQ184" ca="1" si="236">IF($AH134,$AO134+IF(SkewFlag=1,IF(AN134&gt;0,$AA134*MIN(AN134/10%,1)+($Z134-$AA134)*MAX(0,MIN(AN134/10%-1,1))+($Y134-$Z134)*MAX(0,AN134/10%-2),$AB134*MIN(-AN134/10%,1)+($AC134-$AB134)*MAX(0,MIN(-AN134/10%-1,1))+($AD134-$AC134)*MAX(0,-AN134/10%-2)),0),"")</f>
        <v/>
      </c>
      <c r="AR134" s="195">
        <f ca="1">IF(AH134,_xll.xASN(AL134,Strike1,AE134,AP134,0,N134,0,P134,Q134,IF(OptControl=4,0,1),0),0)</f>
        <v>0</v>
      </c>
      <c r="AS134" s="196">
        <f ca="1">IF(AH134,_xll.xASN(AL134,Strike1,AE134,AP134,0,N134,0,P134,Q134,IF(OptControl=4,0,1),1),0)</f>
        <v>0</v>
      </c>
      <c r="AT134" s="196">
        <f ca="1">IF(AH134,_xll.xASN(AL134,Strike1,AE134,AP134,0,N134,0,P134,Q134,IF(OptControl=4,0,1),2),0)</f>
        <v>0</v>
      </c>
      <c r="AU134" s="196">
        <f ca="1">IF(AH134,_xll.xASN(AL134,Strike1,AE134,AP134,0,N134,0,P134,Q134,IF(OptControl=4,0,1),3)/100,0)</f>
        <v>0</v>
      </c>
      <c r="AV134" s="196">
        <f ca="1">IF(AH134,_xll.xASN(AL134,Strike1,AE134,AP134,0,N134,0,P134-DaysForThetaCalculation/365.25,Q134-DaysForThetaCalculation/365.25,IF(OptControl=4,0,1),0)-_xll.xASN(AL134,Strike1,AE134,AP134,0,N134,0,P134,Q134,IF(OptControl=4,0,1),0),0)</f>
        <v>0</v>
      </c>
      <c r="AW134" s="196">
        <f ca="1">IF(AH134,_xll.xASN(AL134,Strike2,AE134,AQ134,0,N134,0,P134,Q134,IF(OptControl=3,1,0),0),0)</f>
        <v>0</v>
      </c>
      <c r="AX134" s="196">
        <f ca="1">IF(AH134,_xll.xASN(AL134,Strike2,AE134,AQ134,0,N134,0,P134,Q134,IF(OptControl=3,1,0),1),0)</f>
        <v>0</v>
      </c>
      <c r="AY134" s="196">
        <f ca="1">IF(AH134,_xll.xASN(AL134,Strike2,AE134,AQ134,0,N134,0,P134,Q134,IF(OptControl=3,1,0),2),0)</f>
        <v>0</v>
      </c>
      <c r="AZ134" s="196">
        <f ca="1">IF(AH134,_xll.xASN(AL134,Strike2,AE134,AQ134,0,N134,0,P134,Q134,IF(OptControl=3,1,0),3)/100,0)</f>
        <v>0</v>
      </c>
      <c r="BA134" s="196">
        <f ca="1">IF(AH134,_xll.xASN(AL134,Strike2,AE134,AQ134,0,N134,0,P134-DaysForThetaCalculation/365.25,Q134-DaysForThetaCalculation/365.25,IF(OptControl=3,1,0),0)-_xll.xASN(AL134,Strike2,AE134,AQ134,0,N134,0,P134,Q134,IF(OptControl=3,1,0),0),0)</f>
        <v>0</v>
      </c>
      <c r="BB134" s="126" t="str">
        <f t="shared" ca="1" si="166"/>
        <v/>
      </c>
      <c r="BC134" s="191" t="str">
        <f t="shared" ca="1" si="167"/>
        <v/>
      </c>
      <c r="BD134" s="191" t="str">
        <f t="shared" ca="1" si="168"/>
        <v/>
      </c>
      <c r="BE134" s="190" t="str">
        <f t="shared" ca="1" si="169"/>
        <v/>
      </c>
      <c r="BF134" s="194" t="str">
        <f t="shared" ca="1" si="170"/>
        <v/>
      </c>
      <c r="BG134" s="194" t="str">
        <f t="shared" ca="1" si="171"/>
        <v/>
      </c>
      <c r="BH134" s="195">
        <f ca="1">IF(AH134,_xll.xEURO(BB134,Strike1,AE134,AE134,BF134,O134,IF(OptControl=4,0,1),0),0)</f>
        <v>0</v>
      </c>
      <c r="BI134" s="196">
        <f ca="1">IF(AH134,_xll.xEURO(BB134,Strike1,AE134,AE134,BF134,O134,IF(OptControl=4,0,1),1),0)</f>
        <v>0</v>
      </c>
      <c r="BJ134" s="196">
        <f ca="1">IF(AH134,_xll.xEURO(BB134,Strike1,AE134,AE134,BF134,O134,IF(OptControl=4,0,1),2),0)</f>
        <v>0</v>
      </c>
      <c r="BK134" s="196">
        <f ca="1">IF(AH134,_xll.xEURO(BB134,Strike1,AE134,AE134,BF134,O134,IF(OptControl=4,0,1),3)/100,0)</f>
        <v>0</v>
      </c>
      <c r="BL134" s="196">
        <f ca="1">IF(AH134,_xll.xEURO(BB134,Strike1,AE134,AE134,BF134,O134-DaysForThetaCalculation,IF(OptControl=4,0,1),0)-_xll.xEURO(BB134,Strike1,AE134,AE134,BF134,O134,IF(OptControl=4,0,1),0),0)</f>
        <v>0</v>
      </c>
      <c r="BM134" s="196">
        <f ca="1">IF(AH134,_xll.xEURO(BB134,Strike2,AE134,AE134,BG134,O134,IF(OptControl=3,1,0),0),0)</f>
        <v>0</v>
      </c>
      <c r="BN134" s="196">
        <f ca="1">IF(AH134,_xll.xEURO(BB134,Strike2,AE134,AE134,BG134,O134,IF(OptControl=3,1,0),1),0)</f>
        <v>0</v>
      </c>
      <c r="BO134" s="196">
        <f ca="1">IF(AH134,_xll.xEURO(BB134,Strike2,AE134,AE134,BG134,O134,IF(OptControl=3,1,0),2),0)</f>
        <v>0</v>
      </c>
      <c r="BP134" s="196">
        <f ca="1">IF(AH134,_xll.xEURO(BB134,Strike2,AE134,AE134,BG134,O134,IF(OptControl=3,1,0),3)/100,0)</f>
        <v>0</v>
      </c>
      <c r="BQ134" s="197">
        <f ca="1">IF(AH134,_xll.xEURO(BB134,Strike2,AE134,AE134,BG134,O134-DaysForThetaCalculation,IF(OptControl=3,1,0),0)-_xll.xEURO(BB134,Strike2,AE134,AE134,BG134,O134,IF(OptControl=3,1,0),0),0)</f>
        <v>0</v>
      </c>
      <c r="BR134" s="301"/>
      <c r="BS134" s="114"/>
      <c r="BT134" s="345">
        <f t="shared" ref="BT134:BT186" si="237">BS134*100/42</f>
        <v>0</v>
      </c>
      <c r="BU134" s="345">
        <f t="shared" ca="1" si="185"/>
        <v>-21.420454545454543</v>
      </c>
      <c r="BV134" s="73"/>
      <c r="BW134" s="345">
        <f t="shared" ca="1" si="182"/>
        <v>6.0671428571428621</v>
      </c>
      <c r="BX134" s="345">
        <f t="shared" ca="1" si="186"/>
        <v>64.911038961038983</v>
      </c>
      <c r="BY134" s="373">
        <f t="shared" ref="BY134:BY186" ca="1" si="238">BX135</f>
        <v>65.446660482374782</v>
      </c>
      <c r="BZ134" s="114"/>
      <c r="CA134" s="345">
        <f t="shared" ref="CA134:CA186" si="239">BZ134*100/42</f>
        <v>0</v>
      </c>
      <c r="CB134" s="345">
        <f t="shared" ca="1" si="187"/>
        <v>-21.420454545454543</v>
      </c>
      <c r="CC134" s="345">
        <f t="shared" ca="1" si="183"/>
        <v>3.7571428571428589</v>
      </c>
      <c r="CD134" s="345">
        <f t="shared" ref="CD134:CD186" ca="1" si="240">($V134+CC134)*100/42</f>
        <v>59.946660482374767</v>
      </c>
      <c r="CE134" s="347">
        <f t="shared" ca="1" si="172"/>
        <v>-5.5000000000000142</v>
      </c>
      <c r="CF134" s="114"/>
      <c r="CG134" s="345">
        <f t="shared" ref="CG134:CG186" si="241">CF134*100/42</f>
        <v>0</v>
      </c>
      <c r="CH134" s="345">
        <f t="shared" ref="CH134:CH186" ca="1" si="242">CF135-$U134</f>
        <v>-21.420454545454543</v>
      </c>
      <c r="CI134" s="73"/>
      <c r="CJ134" s="345">
        <f t="shared" ca="1" si="190"/>
        <v>5.8281428571428613</v>
      </c>
      <c r="CK134" s="345">
        <f t="shared" ca="1" si="184"/>
        <v>63.891991341991357</v>
      </c>
      <c r="CL134" s="345">
        <f t="shared" ref="CL134:CL186" ca="1" si="243">CK135</f>
        <v>64.877612863327158</v>
      </c>
      <c r="CM134" s="114"/>
      <c r="CN134" s="345">
        <f t="shared" ref="CN134:CN186" si="244">CM134*100/42</f>
        <v>0</v>
      </c>
      <c r="CO134" s="345">
        <f t="shared" ref="CO134:CO186" ca="1" si="245">CM134-$U134</f>
        <v>-21.420454545454543</v>
      </c>
      <c r="CP134" s="345">
        <f t="shared" ca="1" si="192"/>
        <v>4.631142857142863</v>
      </c>
      <c r="CQ134" s="345">
        <f t="shared" ref="CQ134:CQ186" ca="1" si="246">($V134+CP134)*100/42</f>
        <v>62.02761286332715</v>
      </c>
      <c r="CR134" s="347">
        <f t="shared" ca="1" si="173"/>
        <v>-2.8500000000000085</v>
      </c>
      <c r="CS134" s="114"/>
      <c r="CT134" s="345">
        <f t="shared" ref="CT134:CT186" si="247">CS134*100/42</f>
        <v>0</v>
      </c>
      <c r="CU134" s="345">
        <f t="shared" si="174"/>
        <v>0</v>
      </c>
      <c r="CV134" s="345">
        <f t="shared" ca="1" si="191"/>
        <v>2.1000000000000081</v>
      </c>
      <c r="CW134" s="347">
        <f t="shared" ca="1" si="175"/>
        <v>66.977612863327167</v>
      </c>
      <c r="CX134" s="483"/>
      <c r="CY134" s="190">
        <f t="shared" ref="CY134:CY186" si="248">CX134-$W134</f>
        <v>-0.16609999999999903</v>
      </c>
      <c r="CZ134" s="190">
        <f t="shared" ca="1" si="180"/>
        <v>-0.03</v>
      </c>
      <c r="DA134" s="354">
        <f t="shared" ref="DA134:DA186" ca="1" si="249">$W134+CZ134</f>
        <v>0.13609999999999903</v>
      </c>
      <c r="DB134" s="483"/>
      <c r="DC134" s="190">
        <f t="shared" ref="DC134:DC186" si="250">DB134-$W134</f>
        <v>-0.16609999999999903</v>
      </c>
      <c r="DD134" s="190">
        <f t="shared" ca="1" si="181"/>
        <v>0.03</v>
      </c>
      <c r="DE134" s="354">
        <f t="shared" ref="DE134:DE186" ca="1" si="251">$W134+DD134</f>
        <v>0.19609999999999903</v>
      </c>
      <c r="DG134" s="341"/>
      <c r="DH134" s="114"/>
      <c r="DI134" s="126">
        <f t="shared" ca="1" si="176"/>
        <v>-21.420454545454543</v>
      </c>
      <c r="DJ134" s="126">
        <f t="shared" ca="1" si="224"/>
        <v>-2</v>
      </c>
      <c r="DK134" s="356">
        <f t="shared" ca="1" si="225"/>
        <v>19.420454545454543</v>
      </c>
      <c r="DL134" s="114"/>
      <c r="DM134" s="126">
        <f t="shared" ca="1" si="177"/>
        <v>-21.420454545454543</v>
      </c>
      <c r="DN134" s="126">
        <f t="shared" ref="DN134:DN186" ca="1" si="252">VLOOKUP(1900+$L134,ResidSpreadTable,3)</f>
        <v>-3</v>
      </c>
      <c r="DO134" s="356">
        <f t="shared" ca="1" si="226"/>
        <v>18.420454545454543</v>
      </c>
      <c r="DP134" s="114"/>
      <c r="DQ134" s="126">
        <f t="shared" ca="1" si="178"/>
        <v>-21.420454545454543</v>
      </c>
      <c r="DR134" s="126">
        <f t="shared" ref="DR134:DR186" ca="1" si="253">VLOOKUP(1900+$L134,ResidSpreadTable,4)</f>
        <v>-6</v>
      </c>
      <c r="DS134" s="356">
        <f t="shared" ca="1" si="227"/>
        <v>15.420454545454543</v>
      </c>
      <c r="DT134" s="114"/>
      <c r="DU134" s="126">
        <f t="shared" ca="1" si="179"/>
        <v>-21.420454545454543</v>
      </c>
      <c r="DV134" s="126">
        <f t="shared" ref="DV134:DV186" ca="1" si="254">VLOOKUP(1900+$L134,ResidSpreadTable,5)</f>
        <v>-5</v>
      </c>
      <c r="DW134" s="356">
        <f t="shared" ca="1" si="228"/>
        <v>16.420454545454543</v>
      </c>
    </row>
    <row r="135" spans="2:127" x14ac:dyDescent="0.25">
      <c r="B135" s="396">
        <v>39661</v>
      </c>
      <c r="C135" s="400">
        <v>39649</v>
      </c>
      <c r="I135" s="136">
        <f t="shared" ca="1" si="229"/>
        <v>40909</v>
      </c>
      <c r="J135" s="131">
        <f t="shared" ca="1" si="230"/>
        <v>40896</v>
      </c>
      <c r="K135" s="106">
        <f t="shared" ca="1" si="231"/>
        <v>0.68181818181818177</v>
      </c>
      <c r="L135" s="133">
        <f t="shared" ca="1" si="193"/>
        <v>112</v>
      </c>
      <c r="M135" s="134">
        <f t="shared" ca="1" si="194"/>
        <v>1</v>
      </c>
      <c r="N135" s="103">
        <f t="shared" ca="1" si="216"/>
        <v>22</v>
      </c>
      <c r="O135" s="104">
        <f t="shared" ca="1" si="232"/>
        <v>3950</v>
      </c>
      <c r="P135" s="105">
        <f t="shared" ca="1" si="195"/>
        <v>10.828199863107461</v>
      </c>
      <c r="Q135" s="105">
        <f t="shared" ca="1" si="196"/>
        <v>10.910335386721425</v>
      </c>
      <c r="R135" s="114">
        <v>21.4</v>
      </c>
      <c r="S135" s="198">
        <v>0</v>
      </c>
      <c r="T135" s="189">
        <f t="shared" si="233"/>
        <v>21.4</v>
      </c>
      <c r="U135" s="199">
        <f t="shared" ca="1" si="217"/>
        <v>21.46590909090909</v>
      </c>
      <c r="V135" s="379">
        <f t="shared" ca="1" si="218"/>
        <v>21.46590909090909</v>
      </c>
      <c r="W135" s="483">
        <v>0.16569999999999901</v>
      </c>
      <c r="X135" s="166" t="str">
        <f t="shared" ca="1" si="219"/>
        <v/>
      </c>
      <c r="Y135" s="91">
        <f t="shared" ref="Y135:Y166" ca="1" si="255">IF($X135="",Y134^2/Y133,INDEX(B$5:B$10,$X135)^((INDEX($A$5:$A$10,$X135+1)-($I135-DateToday+1))/(INDEX($A$5:$A$10,$X135+1)-INDEX($A$5:$A$10,$X135)))/INDEX(B$5:B$10,$X135+1)^((INDEX($A$5:$A$10,$X135)-($I135-DateToday+1))/(INDEX($A$5:$A$10,$X135+1)-INDEX($A$5:$A$10,$X135))))</f>
        <v>9.2438650887954768E-4</v>
      </c>
      <c r="Z135" s="91">
        <f t="shared" ref="Z135:Z166" ca="1" si="256">IF($X135="",Z134^2/Z133,INDEX(C$5:C$10,$X135)^((INDEX($A$5:$A$10,$X135+1)-($I135-DateToday+1))/(INDEX($A$5:$A$10,$X135+1)-INDEX($A$5:$A$10,$X135)))/INDEX(C$5:C$10,$X135+1)^((INDEX($A$5:$A$10,$X135)-($I135-DateToday+1))/(INDEX($A$5:$A$10,$X135+1)-INDEX($A$5:$A$10,$X135))))</f>
        <v>2.8356325104633923E-4</v>
      </c>
      <c r="AA135" s="91">
        <f t="shared" ref="AA135:AA166" ca="1" si="257">IF($X135="",AA134^2/AA133,INDEX(D$5:D$10,$X135)^((INDEX($A$5:$A$10,$X135+1)-($I135-DateToday+1))/(INDEX($A$5:$A$10,$X135+1)-INDEX($A$5:$A$10,$X135)))/INDEX(D$5:D$10,$X135+1)^((INDEX($A$5:$A$10,$X135)-($I135-DateToday+1))/(INDEX($A$5:$A$10,$X135+1)-INDEX($A$5:$A$10,$X135))))</f>
        <v>9.5351052076923451E-5</v>
      </c>
      <c r="AB135" s="91">
        <f t="shared" ref="AB135:AB166" ca="1" si="258">IF($X135="",AB134^2/AB133,INDEX(E$5:E$10,$X135)^((INDEX($A$5:$A$10,$X135+1)-($I135-DateToday+1))/(INDEX($A$5:$A$10,$X135+1)-INDEX($A$5:$A$10,$X135)))/INDEX(E$5:E$10,$X135+1)^((INDEX($A$5:$A$10,$X135)-($I135-DateToday+1))/(INDEX($A$5:$A$10,$X135+1)-INDEX($A$5:$A$10,$X135))))</f>
        <v>2.1480685011890569E-4</v>
      </c>
      <c r="AC135" s="91">
        <f t="shared" ref="AC135:AC166" ca="1" si="259">IF($X135="",AC134^2/AC133,INDEX(F$5:F$10,$X135)^((INDEX($A$5:$A$10,$X135+1)-($I135-DateToday+1))/(INDEX($A$5:$A$10,$X135+1)-INDEX($A$5:$A$10,$X135)))/INDEX(F$5:F$10,$X135+1)^((INDEX($A$5:$A$10,$X135)-($I135-DateToday+1))/(INDEX($A$5:$A$10,$X135+1)-INDEX($A$5:$A$10,$X135))))</f>
        <v>6.3881129195724059E-4</v>
      </c>
      <c r="AD135" s="91">
        <f t="shared" ref="AD135:AD166" ca="1" si="260">IF($X135="",AD134^2/AD133,INDEX(G$5:G$10,$X135)^((INDEX($A$5:$A$10,$X135+1)-($I135-DateToday+1))/(INDEX($A$5:$A$10,$X135+1)-INDEX($A$5:$A$10,$X135)))/INDEX(G$5:G$10,$X135+1)^((INDEX($A$5:$A$10,$X135)-($I135-DateToday+1))/(INDEX($A$5:$A$10,$X135+1)-INDEX($A$5:$A$10,$X135))))</f>
        <v>2.0824579272037307E-3</v>
      </c>
      <c r="AE135" s="124">
        <v>7.3741078008835018E-2</v>
      </c>
      <c r="AF135" s="191">
        <f t="shared" ref="AF135:AF184" ca="1" si="261">(1+AE135/2)^(-2*(I136-DateToday)/365.25)</f>
        <v>0.4538163111672554</v>
      </c>
      <c r="AG135" s="189">
        <f t="shared" ca="1" si="234"/>
        <v>1</v>
      </c>
      <c r="AH135" s="192">
        <f t="shared" ca="1" si="220"/>
        <v>0</v>
      </c>
      <c r="AI135" s="192">
        <f t="shared" ca="1" si="221"/>
        <v>0</v>
      </c>
      <c r="AJ135" s="192">
        <f t="shared" ca="1" si="222"/>
        <v>0</v>
      </c>
      <c r="AK135" s="192">
        <f t="shared" ca="1" si="223"/>
        <v>0</v>
      </c>
      <c r="AL135" s="191" t="str">
        <f t="shared" ref="AL135:AL184" ca="1" si="262">IF(AH135,OFFSET(BY135,0,HorizontalPriceOffset)+PriceSpreadAsian,"")</f>
        <v/>
      </c>
      <c r="AM135" s="191" t="str">
        <f t="shared" ref="AM135:AM184" ca="1" si="263">IF(AH135,Strike1/AL135-1,"")</f>
        <v/>
      </c>
      <c r="AN135" s="191" t="str">
        <f t="shared" ref="AN135:AN184" ca="1" si="264">IF(AH135,Strike2/AL135-1,"")</f>
        <v/>
      </c>
      <c r="AO135" s="193" t="str">
        <f t="shared" ref="AO135:AO184" ca="1" si="265">IF(AH135,IF(VolOverrideAsian,VolOverrideAsian,IF(ProductGroup=1,IF(Product&lt;3,DA136,DE136),W136)+VolSpreadAsian),"")</f>
        <v/>
      </c>
      <c r="AP135" s="194" t="str">
        <f t="shared" ca="1" si="235"/>
        <v/>
      </c>
      <c r="AQ135" s="194" t="str">
        <f t="shared" ca="1" si="236"/>
        <v/>
      </c>
      <c r="AR135" s="195">
        <f ca="1">IF(AH135,_xll.xASN(AL135,Strike1,AE135,AP135,0,N135,0,P135,Q135,IF(OptControl=4,0,1),0),0)</f>
        <v>0</v>
      </c>
      <c r="AS135" s="196">
        <f ca="1">IF(AH135,_xll.xASN(AL135,Strike1,AE135,AP135,0,N135,0,P135,Q135,IF(OptControl=4,0,1),1),0)</f>
        <v>0</v>
      </c>
      <c r="AT135" s="196">
        <f ca="1">IF(AH135,_xll.xASN(AL135,Strike1,AE135,AP135,0,N135,0,P135,Q135,IF(OptControl=4,0,1),2),0)</f>
        <v>0</v>
      </c>
      <c r="AU135" s="196">
        <f ca="1">IF(AH135,_xll.xASN(AL135,Strike1,AE135,AP135,0,N135,0,P135,Q135,IF(OptControl=4,0,1),3)/100,0)</f>
        <v>0</v>
      </c>
      <c r="AV135" s="196">
        <f ca="1">IF(AH135,_xll.xASN(AL135,Strike1,AE135,AP135,0,N135,0,P135-DaysForThetaCalculation/365.25,Q135-DaysForThetaCalculation/365.25,IF(OptControl=4,0,1),0)-_xll.xASN(AL135,Strike1,AE135,AP135,0,N135,0,P135,Q135,IF(OptControl=4,0,1),0),0)</f>
        <v>0</v>
      </c>
      <c r="AW135" s="196">
        <f ca="1">IF(AH135,_xll.xASN(AL135,Strike2,AE135,AQ135,0,N135,0,P135,Q135,IF(OptControl=3,1,0),0),0)</f>
        <v>0</v>
      </c>
      <c r="AX135" s="196">
        <f ca="1">IF(AH135,_xll.xASN(AL135,Strike2,AE135,AQ135,0,N135,0,P135,Q135,IF(OptControl=3,1,0),1),0)</f>
        <v>0</v>
      </c>
      <c r="AY135" s="196">
        <f ca="1">IF(AH135,_xll.xASN(AL135,Strike2,AE135,AQ135,0,N135,0,P135,Q135,IF(OptControl=3,1,0),2),0)</f>
        <v>0</v>
      </c>
      <c r="AZ135" s="196">
        <f ca="1">IF(AH135,_xll.xASN(AL135,Strike2,AE135,AQ135,0,N135,0,P135,Q135,IF(OptControl=3,1,0),3)/100,0)</f>
        <v>0</v>
      </c>
      <c r="BA135" s="196">
        <f ca="1">IF(AH135,_xll.xASN(AL135,Strike2,AE135,AQ135,0,N135,0,P135-DaysForThetaCalculation/365.25,Q135-DaysForThetaCalculation/365.25,IF(OptControl=3,1,0),0)-_xll.xASN(AL135,Strike2,AE135,AQ135,0,N135,0,P135,Q135,IF(OptControl=3,1,0),0),0)</f>
        <v>0</v>
      </c>
      <c r="BB135" s="126" t="str">
        <f t="shared" ref="BB135:BB184" ca="1" si="266">IF(AH135,IF(ProductGroup=1,IF(Product=1,BX135+PriceSpreadEuro,IF(Product=3,CK135+PriceSpreadEuro,"N/A")),"N/A"),"")</f>
        <v/>
      </c>
      <c r="BC135" s="191" t="str">
        <f t="shared" ref="BC135:BC183" ca="1" si="267">IF(AH135,Strike1/BB135-1,"")</f>
        <v/>
      </c>
      <c r="BD135" s="191" t="str">
        <f t="shared" ref="BD135:BD183" ca="1" si="268">IF(AH135,Strike2/BB135-1,"")</f>
        <v/>
      </c>
      <c r="BE135" s="190" t="str">
        <f t="shared" ref="BE135:BE184" ca="1" si="269">IF(AH135,IF(VolOverrideEuro,VolOverrideEuro,IF(ProductGroup=1,IF(Product&lt;3,DA135,DE135)+VolSpreadEuro,"N/A")),"")</f>
        <v/>
      </c>
      <c r="BF135" s="194" t="str">
        <f t="shared" ref="BF135:BF184" ca="1" si="270">IF($AH135,$BE135+IF(SkewFlag=1,IF(BC135&gt;0,$AA135*MIN(BC135/10%,1)+($Z135-$AA135)*MAX(0,MIN(BC135/10%-1,1))+($Y135-$Z135)*MAX(0,BC135/10%-2),$AB135*MIN(-BC135/10%,1)+($AC135-$AB135)*MAX(0,MIN(-BC135/10%-1,1))+($AD135-$AC135)*MAX(0,-BC135/10%-2)),0),"")</f>
        <v/>
      </c>
      <c r="BG135" s="194" t="str">
        <f t="shared" ref="BG135:BG184" ca="1" si="271">IF($AH135,$BE135+IF(SkewFlag=1,IF(BD135&gt;0,$AA135*MIN(BD135/10%,1)+($Z135-$AA135)*MAX(0,MIN(BD135/10%-1,1))+($Y135-$Z135)*MAX(0,BD135/10%-2),$AB135*MIN(-BD135/10%,1)+($AC135-$AB135)*MAX(0,MIN(-BD135/10%-1,1))+($AD135-$AC135)*MAX(0,-BD135/10%-2)),0),"")</f>
        <v/>
      </c>
      <c r="BH135" s="195">
        <f ca="1">IF(AH135,_xll.xEURO(BB135,Strike1,AE135,AE135,BF135,O135,IF(OptControl=4,0,1),0),0)</f>
        <v>0</v>
      </c>
      <c r="BI135" s="196">
        <f ca="1">IF(AH135,_xll.xEURO(BB135,Strike1,AE135,AE135,BF135,O135,IF(OptControl=4,0,1),1),0)</f>
        <v>0</v>
      </c>
      <c r="BJ135" s="196">
        <f ca="1">IF(AH135,_xll.xEURO(BB135,Strike1,AE135,AE135,BF135,O135,IF(OptControl=4,0,1),2),0)</f>
        <v>0</v>
      </c>
      <c r="BK135" s="196">
        <f ca="1">IF(AH135,_xll.xEURO(BB135,Strike1,AE135,AE135,BF135,O135,IF(OptControl=4,0,1),3)/100,0)</f>
        <v>0</v>
      </c>
      <c r="BL135" s="196">
        <f ca="1">IF(AH135,_xll.xEURO(BB135,Strike1,AE135,AE135,BF135,O135-DaysForThetaCalculation,IF(OptControl=4,0,1),0)-_xll.xEURO(BB135,Strike1,AE135,AE135,BF135,O135,IF(OptControl=4,0,1),0),0)</f>
        <v>0</v>
      </c>
      <c r="BM135" s="196">
        <f ca="1">IF(AH135,_xll.xEURO(BB135,Strike2,AE135,AE135,BG135,O135,IF(OptControl=3,1,0),0),0)</f>
        <v>0</v>
      </c>
      <c r="BN135" s="196">
        <f ca="1">IF(AH135,_xll.xEURO(BB135,Strike2,AE135,AE135,BG135,O135,IF(OptControl=3,1,0),1),0)</f>
        <v>0</v>
      </c>
      <c r="BO135" s="196">
        <f ca="1">IF(AH135,_xll.xEURO(BB135,Strike2,AE135,AE135,BG135,O135,IF(OptControl=3,1,0),2),0)</f>
        <v>0</v>
      </c>
      <c r="BP135" s="196">
        <f ca="1">IF(AH135,_xll.xEURO(BB135,Strike2,AE135,AE135,BG135,O135,IF(OptControl=3,1,0),3)/100,0)</f>
        <v>0</v>
      </c>
      <c r="BQ135" s="197">
        <f ca="1">IF(AH135,_xll.xEURO(BB135,Strike2,AE135,AE135,BG135,O135-DaysForThetaCalculation,IF(OptControl=3,1,0),0)-_xll.xEURO(BB135,Strike2,AE135,AE135,BG135,O135,IF(OptControl=3,1,0),0),0)</f>
        <v>0</v>
      </c>
      <c r="BR135" s="301"/>
      <c r="BS135" s="114"/>
      <c r="BT135" s="345">
        <f t="shared" si="237"/>
        <v>0</v>
      </c>
      <c r="BU135" s="345">
        <f t="shared" ca="1" si="185"/>
        <v>-21.46590909090909</v>
      </c>
      <c r="BV135" s="73"/>
      <c r="BW135" s="345">
        <f t="shared" ca="1" si="182"/>
        <v>6.3094782608695681</v>
      </c>
      <c r="BX135" s="345">
        <f t="shared" ca="1" si="186"/>
        <v>65.446660482374782</v>
      </c>
      <c r="BY135" s="373">
        <f t="shared" ca="1" si="238"/>
        <v>66.131874647092047</v>
      </c>
      <c r="BZ135" s="114"/>
      <c r="CA135" s="345">
        <f t="shared" si="239"/>
        <v>0</v>
      </c>
      <c r="CB135" s="345">
        <f t="shared" ca="1" si="187"/>
        <v>-21.46590909090909</v>
      </c>
      <c r="CC135" s="345">
        <f t="shared" ca="1" si="183"/>
        <v>4.7974782608695694</v>
      </c>
      <c r="CD135" s="345">
        <f t="shared" ca="1" si="240"/>
        <v>62.531874647092046</v>
      </c>
      <c r="CE135" s="347">
        <f t="shared" ref="CE135:CE186" ca="1" si="272">CD135-BY135</f>
        <v>-3.6000000000000014</v>
      </c>
      <c r="CF135" s="114"/>
      <c r="CG135" s="345">
        <f t="shared" si="241"/>
        <v>0</v>
      </c>
      <c r="CH135" s="345">
        <f t="shared" ca="1" si="242"/>
        <v>-21.46590909090909</v>
      </c>
      <c r="CI135" s="73"/>
      <c r="CJ135" s="345">
        <f t="shared" ca="1" si="190"/>
        <v>5.6294782608695684</v>
      </c>
      <c r="CK135" s="345">
        <f t="shared" ca="1" si="184"/>
        <v>64.877612863327158</v>
      </c>
      <c r="CL135" s="345">
        <f t="shared" ca="1" si="243"/>
        <v>64.512827028044427</v>
      </c>
      <c r="CM135" s="114"/>
      <c r="CN135" s="345">
        <f t="shared" si="244"/>
        <v>0</v>
      </c>
      <c r="CO135" s="345">
        <f t="shared" ca="1" si="245"/>
        <v>-21.46590909090909</v>
      </c>
      <c r="CP135" s="345">
        <f t="shared" ca="1" si="192"/>
        <v>4.5164782608695697</v>
      </c>
      <c r="CQ135" s="345">
        <f t="shared" ca="1" si="246"/>
        <v>61.862827028044421</v>
      </c>
      <c r="CR135" s="347">
        <f t="shared" ref="CR135:CR186" ca="1" si="273">CQ135-CL135</f>
        <v>-2.6500000000000057</v>
      </c>
      <c r="CS135" s="114"/>
      <c r="CT135" s="345">
        <f t="shared" si="247"/>
        <v>0</v>
      </c>
      <c r="CU135" s="345">
        <f t="shared" ref="CU135:CU186" si="274">CT135-CG136</f>
        <v>0</v>
      </c>
      <c r="CV135" s="345">
        <f t="shared" ca="1" si="191"/>
        <v>2.1000000000000081</v>
      </c>
      <c r="CW135" s="347">
        <f t="shared" ref="CW135:CW186" ca="1" si="275">CL135+CV135</f>
        <v>66.612827028044435</v>
      </c>
      <c r="CX135" s="483"/>
      <c r="CY135" s="190">
        <f t="shared" si="248"/>
        <v>-0.16569999999999901</v>
      </c>
      <c r="CZ135" s="190">
        <f t="shared" ca="1" si="180"/>
        <v>-0.03</v>
      </c>
      <c r="DA135" s="354">
        <f t="shared" ca="1" si="249"/>
        <v>0.13569999999999902</v>
      </c>
      <c r="DB135" s="483"/>
      <c r="DC135" s="190">
        <f t="shared" si="250"/>
        <v>-0.16569999999999901</v>
      </c>
      <c r="DD135" s="190">
        <f t="shared" ca="1" si="181"/>
        <v>0.03</v>
      </c>
      <c r="DE135" s="354">
        <f t="shared" ca="1" si="251"/>
        <v>0.19569999999999901</v>
      </c>
      <c r="DG135" s="341"/>
      <c r="DH135" s="114"/>
      <c r="DI135" s="126">
        <f t="shared" ref="DI135:DI186" ca="1" si="276">DH135-$U135</f>
        <v>-21.46590909090909</v>
      </c>
      <c r="DJ135" s="126">
        <f t="shared" ca="1" si="224"/>
        <v>-2</v>
      </c>
      <c r="DK135" s="356">
        <f t="shared" ca="1" si="225"/>
        <v>19.46590909090909</v>
      </c>
      <c r="DL135" s="114"/>
      <c r="DM135" s="126">
        <f t="shared" ref="DM135:DM186" ca="1" si="277">DL135-$U135</f>
        <v>-21.46590909090909</v>
      </c>
      <c r="DN135" s="126">
        <f t="shared" ca="1" si="252"/>
        <v>-3</v>
      </c>
      <c r="DO135" s="356">
        <f t="shared" ca="1" si="226"/>
        <v>18.46590909090909</v>
      </c>
      <c r="DP135" s="114"/>
      <c r="DQ135" s="126">
        <f t="shared" ref="DQ135:DQ186" ca="1" si="278">DP135-$U135</f>
        <v>-21.46590909090909</v>
      </c>
      <c r="DR135" s="126">
        <f t="shared" ca="1" si="253"/>
        <v>-6</v>
      </c>
      <c r="DS135" s="356">
        <f t="shared" ca="1" si="227"/>
        <v>15.46590909090909</v>
      </c>
      <c r="DT135" s="114"/>
      <c r="DU135" s="126">
        <f t="shared" ref="DU135:DU186" ca="1" si="279">DT135-$U135</f>
        <v>-21.46590909090909</v>
      </c>
      <c r="DV135" s="126">
        <f t="shared" ca="1" si="254"/>
        <v>-5</v>
      </c>
      <c r="DW135" s="356">
        <f t="shared" ca="1" si="228"/>
        <v>16.46590909090909</v>
      </c>
    </row>
    <row r="136" spans="2:127" x14ac:dyDescent="0.25">
      <c r="B136" s="396">
        <v>39692</v>
      </c>
      <c r="C136" s="400">
        <v>39681</v>
      </c>
      <c r="I136" s="136">
        <f t="shared" ca="1" si="229"/>
        <v>40940</v>
      </c>
      <c r="J136" s="131">
        <f t="shared" ca="1" si="230"/>
        <v>40930</v>
      </c>
      <c r="K136" s="106">
        <f t="shared" ca="1" si="231"/>
        <v>0.66666666666666663</v>
      </c>
      <c r="L136" s="133">
        <f t="shared" ca="1" si="193"/>
        <v>112</v>
      </c>
      <c r="M136" s="134">
        <f t="shared" ca="1" si="194"/>
        <v>2</v>
      </c>
      <c r="N136" s="103">
        <f t="shared" ca="1" si="216"/>
        <v>21</v>
      </c>
      <c r="O136" s="104">
        <f t="shared" ca="1" si="232"/>
        <v>3980</v>
      </c>
      <c r="P136" s="105">
        <f t="shared" ca="1" si="195"/>
        <v>10.913073237508556</v>
      </c>
      <c r="Q136" s="105">
        <f t="shared" ca="1" si="196"/>
        <v>10.989733059548255</v>
      </c>
      <c r="R136" s="114">
        <v>21.45</v>
      </c>
      <c r="S136" s="198">
        <v>0</v>
      </c>
      <c r="T136" s="189">
        <f t="shared" si="233"/>
        <v>21.45</v>
      </c>
      <c r="U136" s="199">
        <f t="shared" ca="1" si="217"/>
        <v>21.516666666666666</v>
      </c>
      <c r="V136" s="379">
        <f t="shared" ca="1" si="218"/>
        <v>21.516666666666666</v>
      </c>
      <c r="W136" s="483">
        <v>0.16529999999999903</v>
      </c>
      <c r="X136" s="166" t="str">
        <f t="shared" ca="1" si="219"/>
        <v/>
      </c>
      <c r="Y136" s="91">
        <f t="shared" ca="1" si="255"/>
        <v>9.0459679964909187E-4</v>
      </c>
      <c r="Z136" s="91">
        <f t="shared" ca="1" si="256"/>
        <v>2.7600688336344768E-4</v>
      </c>
      <c r="AA136" s="91">
        <f t="shared" ca="1" si="257"/>
        <v>9.2561266739694524E-5</v>
      </c>
      <c r="AB136" s="91">
        <f t="shared" ca="1" si="258"/>
        <v>2.0852202171119623E-4</v>
      </c>
      <c r="AC136" s="91">
        <f t="shared" ca="1" si="259"/>
        <v>6.2178830684122145E-4</v>
      </c>
      <c r="AD136" s="91">
        <f t="shared" ca="1" si="260"/>
        <v>2.0378756702493592E-3</v>
      </c>
      <c r="AE136" s="124">
        <v>7.3737116450102017E-2</v>
      </c>
      <c r="AF136" s="191">
        <f t="shared" ca="1" si="261"/>
        <v>0.45123351985092519</v>
      </c>
      <c r="AG136" s="189">
        <f t="shared" ca="1" si="234"/>
        <v>1</v>
      </c>
      <c r="AH136" s="192">
        <f t="shared" ca="1" si="220"/>
        <v>0</v>
      </c>
      <c r="AI136" s="192">
        <f t="shared" ca="1" si="221"/>
        <v>0</v>
      </c>
      <c r="AJ136" s="192">
        <f t="shared" ca="1" si="222"/>
        <v>0</v>
      </c>
      <c r="AK136" s="192">
        <f t="shared" ca="1" si="223"/>
        <v>0</v>
      </c>
      <c r="AL136" s="191" t="str">
        <f t="shared" ca="1" si="262"/>
        <v/>
      </c>
      <c r="AM136" s="191" t="str">
        <f t="shared" ca="1" si="263"/>
        <v/>
      </c>
      <c r="AN136" s="191" t="str">
        <f t="shared" ca="1" si="264"/>
        <v/>
      </c>
      <c r="AO136" s="193" t="str">
        <f t="shared" ca="1" si="265"/>
        <v/>
      </c>
      <c r="AP136" s="194" t="str">
        <f t="shared" ca="1" si="235"/>
        <v/>
      </c>
      <c r="AQ136" s="194" t="str">
        <f t="shared" ca="1" si="236"/>
        <v/>
      </c>
      <c r="AR136" s="195">
        <f ca="1">IF(AH136,_xll.xASN(AL136,Strike1,AE136,AP136,0,N136,0,P136,Q136,IF(OptControl=4,0,1),0),0)</f>
        <v>0</v>
      </c>
      <c r="AS136" s="196">
        <f ca="1">IF(AH136,_xll.xASN(AL136,Strike1,AE136,AP136,0,N136,0,P136,Q136,IF(OptControl=4,0,1),1),0)</f>
        <v>0</v>
      </c>
      <c r="AT136" s="196">
        <f ca="1">IF(AH136,_xll.xASN(AL136,Strike1,AE136,AP136,0,N136,0,P136,Q136,IF(OptControl=4,0,1),2),0)</f>
        <v>0</v>
      </c>
      <c r="AU136" s="196">
        <f ca="1">IF(AH136,_xll.xASN(AL136,Strike1,AE136,AP136,0,N136,0,P136,Q136,IF(OptControl=4,0,1),3)/100,0)</f>
        <v>0</v>
      </c>
      <c r="AV136" s="196">
        <f ca="1">IF(AH136,_xll.xASN(AL136,Strike1,AE136,AP136,0,N136,0,P136-DaysForThetaCalculation/365.25,Q136-DaysForThetaCalculation/365.25,IF(OptControl=4,0,1),0)-_xll.xASN(AL136,Strike1,AE136,AP136,0,N136,0,P136,Q136,IF(OptControl=4,0,1),0),0)</f>
        <v>0</v>
      </c>
      <c r="AW136" s="196">
        <f ca="1">IF(AH136,_xll.xASN(AL136,Strike2,AE136,AQ136,0,N136,0,P136,Q136,IF(OptControl=3,1,0),0),0)</f>
        <v>0</v>
      </c>
      <c r="AX136" s="196">
        <f ca="1">IF(AH136,_xll.xASN(AL136,Strike2,AE136,AQ136,0,N136,0,P136,Q136,IF(OptControl=3,1,0),1),0)</f>
        <v>0</v>
      </c>
      <c r="AY136" s="196">
        <f ca="1">IF(AH136,_xll.xASN(AL136,Strike2,AE136,AQ136,0,N136,0,P136,Q136,IF(OptControl=3,1,0),2),0)</f>
        <v>0</v>
      </c>
      <c r="AZ136" s="196">
        <f ca="1">IF(AH136,_xll.xASN(AL136,Strike2,AE136,AQ136,0,N136,0,P136,Q136,IF(OptControl=3,1,0),3)/100,0)</f>
        <v>0</v>
      </c>
      <c r="BA136" s="196">
        <f ca="1">IF(AH136,_xll.xASN(AL136,Strike2,AE136,AQ136,0,N136,0,P136-DaysForThetaCalculation/365.25,Q136-DaysForThetaCalculation/365.25,IF(OptControl=3,1,0),0)-_xll.xASN(AL136,Strike2,AE136,AQ136,0,N136,0,P136,Q136,IF(OptControl=3,1,0),0),0)</f>
        <v>0</v>
      </c>
      <c r="BB136" s="126" t="str">
        <f t="shared" ca="1" si="266"/>
        <v/>
      </c>
      <c r="BC136" s="191" t="str">
        <f t="shared" ca="1" si="267"/>
        <v/>
      </c>
      <c r="BD136" s="191" t="str">
        <f t="shared" ca="1" si="268"/>
        <v/>
      </c>
      <c r="BE136" s="190" t="str">
        <f t="shared" ca="1" si="269"/>
        <v/>
      </c>
      <c r="BF136" s="194" t="str">
        <f t="shared" ca="1" si="270"/>
        <v/>
      </c>
      <c r="BG136" s="194" t="str">
        <f t="shared" ca="1" si="271"/>
        <v/>
      </c>
      <c r="BH136" s="195">
        <f ca="1">IF(AH136,_xll.xEURO(BB136,Strike1,AE136,AE136,BF136,O136,IF(OptControl=4,0,1),0),0)</f>
        <v>0</v>
      </c>
      <c r="BI136" s="196">
        <f ca="1">IF(AH136,_xll.xEURO(BB136,Strike1,AE136,AE136,BF136,O136,IF(OptControl=4,0,1),1),0)</f>
        <v>0</v>
      </c>
      <c r="BJ136" s="196">
        <f ca="1">IF(AH136,_xll.xEURO(BB136,Strike1,AE136,AE136,BF136,O136,IF(OptControl=4,0,1),2),0)</f>
        <v>0</v>
      </c>
      <c r="BK136" s="196">
        <f ca="1">IF(AH136,_xll.xEURO(BB136,Strike1,AE136,AE136,BF136,O136,IF(OptControl=4,0,1),3)/100,0)</f>
        <v>0</v>
      </c>
      <c r="BL136" s="196">
        <f ca="1">IF(AH136,_xll.xEURO(BB136,Strike1,AE136,AE136,BF136,O136-DaysForThetaCalculation,IF(OptControl=4,0,1),0)-_xll.xEURO(BB136,Strike1,AE136,AE136,BF136,O136,IF(OptControl=4,0,1),0),0)</f>
        <v>0</v>
      </c>
      <c r="BM136" s="196">
        <f ca="1">IF(AH136,_xll.xEURO(BB136,Strike2,AE136,AE136,BG136,O136,IF(OptControl=3,1,0),0),0)</f>
        <v>0</v>
      </c>
      <c r="BN136" s="196">
        <f ca="1">IF(AH136,_xll.xEURO(BB136,Strike2,AE136,AE136,BG136,O136,IF(OptControl=3,1,0),1),0)</f>
        <v>0</v>
      </c>
      <c r="BO136" s="196">
        <f ca="1">IF(AH136,_xll.xEURO(BB136,Strike2,AE136,AE136,BG136,O136,IF(OptControl=3,1,0),2),0)</f>
        <v>0</v>
      </c>
      <c r="BP136" s="196">
        <f ca="1">IF(AH136,_xll.xEURO(BB136,Strike2,AE136,AE136,BG136,O136,IF(OptControl=3,1,0),3)/100,0)</f>
        <v>0</v>
      </c>
      <c r="BQ136" s="197">
        <f ca="1">IF(AH136,_xll.xEURO(BB136,Strike2,AE136,AE136,BG136,O136-DaysForThetaCalculation,IF(OptControl=3,1,0),0)-_xll.xEURO(BB136,Strike2,AE136,AE136,BG136,O136,IF(OptControl=3,1,0),0),0)</f>
        <v>0</v>
      </c>
      <c r="BR136" s="301"/>
      <c r="BS136" s="114"/>
      <c r="BT136" s="345">
        <f t="shared" si="237"/>
        <v>0</v>
      </c>
      <c r="BU136" s="345">
        <f t="shared" ca="1" si="185"/>
        <v>-21.516666666666666</v>
      </c>
      <c r="BV136" s="73"/>
      <c r="BW136" s="345">
        <f t="shared" ca="1" si="182"/>
        <v>6.6900000000000013</v>
      </c>
      <c r="BX136" s="345">
        <f t="shared" ca="1" si="186"/>
        <v>66.131874647092047</v>
      </c>
      <c r="BY136" s="373">
        <f t="shared" ca="1" si="238"/>
        <v>67.158730158730151</v>
      </c>
      <c r="BZ136" s="114"/>
      <c r="CA136" s="345">
        <f t="shared" si="239"/>
        <v>0</v>
      </c>
      <c r="CB136" s="345">
        <f t="shared" ca="1" si="187"/>
        <v>-21.516666666666666</v>
      </c>
      <c r="CC136" s="345">
        <f t="shared" ca="1" si="183"/>
        <v>5.1320000000000006</v>
      </c>
      <c r="CD136" s="345">
        <f t="shared" ca="1" si="240"/>
        <v>63.449206349206349</v>
      </c>
      <c r="CE136" s="347">
        <f t="shared" ca="1" si="272"/>
        <v>-3.7095238095238017</v>
      </c>
      <c r="CF136" s="114"/>
      <c r="CG136" s="345">
        <f t="shared" si="241"/>
        <v>0</v>
      </c>
      <c r="CH136" s="345">
        <f t="shared" ca="1" si="242"/>
        <v>-21.516666666666666</v>
      </c>
      <c r="CI136" s="73"/>
      <c r="CJ136" s="345">
        <f t="shared" ca="1" si="190"/>
        <v>4.9179999999999975</v>
      </c>
      <c r="CK136" s="345">
        <f t="shared" ca="1" si="184"/>
        <v>64.512827028044427</v>
      </c>
      <c r="CL136" s="345">
        <f t="shared" ca="1" si="243"/>
        <v>62.939682539682543</v>
      </c>
      <c r="CM136" s="114"/>
      <c r="CN136" s="345">
        <f t="shared" si="244"/>
        <v>0</v>
      </c>
      <c r="CO136" s="345">
        <f t="shared" ca="1" si="245"/>
        <v>-21.516666666666666</v>
      </c>
      <c r="CP136" s="345">
        <f t="shared" ca="1" si="192"/>
        <v>3.8049999999999988</v>
      </c>
      <c r="CQ136" s="345">
        <f t="shared" ca="1" si="246"/>
        <v>60.289682539682538</v>
      </c>
      <c r="CR136" s="347">
        <f t="shared" ca="1" si="273"/>
        <v>-2.6500000000000057</v>
      </c>
      <c r="CS136" s="114"/>
      <c r="CT136" s="345">
        <f t="shared" si="247"/>
        <v>0</v>
      </c>
      <c r="CU136" s="345">
        <f t="shared" si="274"/>
        <v>0</v>
      </c>
      <c r="CV136" s="345">
        <f t="shared" ca="1" si="191"/>
        <v>2.1000000000000081</v>
      </c>
      <c r="CW136" s="347">
        <f t="shared" ca="1" si="275"/>
        <v>65.039682539682545</v>
      </c>
      <c r="CX136" s="483"/>
      <c r="CY136" s="190">
        <f t="shared" si="248"/>
        <v>-0.16529999999999903</v>
      </c>
      <c r="CZ136" s="190">
        <f t="shared" ca="1" si="180"/>
        <v>-0.03</v>
      </c>
      <c r="DA136" s="354">
        <f t="shared" ca="1" si="249"/>
        <v>0.13529999999999903</v>
      </c>
      <c r="DB136" s="483"/>
      <c r="DC136" s="190">
        <f t="shared" si="250"/>
        <v>-0.16529999999999903</v>
      </c>
      <c r="DD136" s="190">
        <f t="shared" ca="1" si="181"/>
        <v>0.03</v>
      </c>
      <c r="DE136" s="354">
        <f t="shared" ca="1" si="251"/>
        <v>0.19529999999999903</v>
      </c>
      <c r="DG136" s="341"/>
      <c r="DH136" s="114"/>
      <c r="DI136" s="126">
        <f t="shared" ca="1" si="276"/>
        <v>-21.516666666666666</v>
      </c>
      <c r="DJ136" s="126">
        <f t="shared" ca="1" si="224"/>
        <v>-2</v>
      </c>
      <c r="DK136" s="356">
        <f t="shared" ca="1" si="225"/>
        <v>19.516666666666666</v>
      </c>
      <c r="DL136" s="114"/>
      <c r="DM136" s="126">
        <f t="shared" ca="1" si="277"/>
        <v>-21.516666666666666</v>
      </c>
      <c r="DN136" s="126">
        <f t="shared" ca="1" si="252"/>
        <v>-3</v>
      </c>
      <c r="DO136" s="356">
        <f t="shared" ca="1" si="226"/>
        <v>18.516666666666666</v>
      </c>
      <c r="DP136" s="114"/>
      <c r="DQ136" s="126">
        <f t="shared" ca="1" si="278"/>
        <v>-21.516666666666666</v>
      </c>
      <c r="DR136" s="126">
        <f t="shared" ca="1" si="253"/>
        <v>-6</v>
      </c>
      <c r="DS136" s="356">
        <f t="shared" ca="1" si="227"/>
        <v>15.516666666666666</v>
      </c>
      <c r="DT136" s="114"/>
      <c r="DU136" s="126">
        <f t="shared" ca="1" si="279"/>
        <v>-21.516666666666666</v>
      </c>
      <c r="DV136" s="126">
        <f t="shared" ca="1" si="254"/>
        <v>-5</v>
      </c>
      <c r="DW136" s="356">
        <f t="shared" ca="1" si="228"/>
        <v>16.516666666666666</v>
      </c>
    </row>
    <row r="137" spans="2:127" x14ac:dyDescent="0.25">
      <c r="B137" s="396">
        <v>39722</v>
      </c>
      <c r="C137" s="400">
        <v>39711</v>
      </c>
      <c r="I137" s="136">
        <f t="shared" ca="1" si="229"/>
        <v>40969</v>
      </c>
      <c r="J137" s="131">
        <f t="shared" ca="1" si="230"/>
        <v>40959</v>
      </c>
      <c r="K137" s="106">
        <f t="shared" ca="1" si="231"/>
        <v>0.63636363636363635</v>
      </c>
      <c r="L137" s="133">
        <f t="shared" ca="1" si="193"/>
        <v>112</v>
      </c>
      <c r="M137" s="134">
        <f t="shared" ca="1" si="194"/>
        <v>3</v>
      </c>
      <c r="N137" s="103">
        <f t="shared" ca="1" si="216"/>
        <v>22</v>
      </c>
      <c r="O137" s="104">
        <f t="shared" ca="1" si="232"/>
        <v>4009</v>
      </c>
      <c r="P137" s="105">
        <f t="shared" ca="1" si="195"/>
        <v>10.992470910335387</v>
      </c>
      <c r="Q137" s="105">
        <f t="shared" ca="1" si="196"/>
        <v>11.07460643394935</v>
      </c>
      <c r="R137" s="114">
        <v>21.5</v>
      </c>
      <c r="S137" s="198">
        <v>0</v>
      </c>
      <c r="T137" s="189">
        <f t="shared" si="233"/>
        <v>21.5</v>
      </c>
      <c r="U137" s="199">
        <f t="shared" ca="1" si="217"/>
        <v>21.56818181818182</v>
      </c>
      <c r="V137" s="379">
        <f t="shared" ca="1" si="218"/>
        <v>21.56818181818182</v>
      </c>
      <c r="W137" s="483">
        <v>0.16489999999999902</v>
      </c>
      <c r="X137" s="166" t="str">
        <f t="shared" ca="1" si="219"/>
        <v/>
      </c>
      <c r="Y137" s="91">
        <f t="shared" ca="1" si="255"/>
        <v>8.8523075799455155E-4</v>
      </c>
      <c r="Z137" s="91">
        <f t="shared" ca="1" si="256"/>
        <v>2.6865187707822793E-4</v>
      </c>
      <c r="AA137" s="91">
        <f t="shared" ca="1" si="257"/>
        <v>8.9853105066371681E-5</v>
      </c>
      <c r="AB137" s="91">
        <f t="shared" ca="1" si="258"/>
        <v>2.0242107509353436E-4</v>
      </c>
      <c r="AC137" s="91">
        <f t="shared" ca="1" si="259"/>
        <v>6.0521894868187734E-4</v>
      </c>
      <c r="AD137" s="91">
        <f t="shared" ca="1" si="260"/>
        <v>1.9942478516100101E-3</v>
      </c>
      <c r="AE137" s="124">
        <v>7.3733538268026005E-2</v>
      </c>
      <c r="AF137" s="191">
        <f t="shared" ca="1" si="261"/>
        <v>0.44848601354605594</v>
      </c>
      <c r="AG137" s="189">
        <f t="shared" ca="1" si="234"/>
        <v>1</v>
      </c>
      <c r="AH137" s="192">
        <f t="shared" ca="1" si="220"/>
        <v>0</v>
      </c>
      <c r="AI137" s="192">
        <f t="shared" ca="1" si="221"/>
        <v>0</v>
      </c>
      <c r="AJ137" s="192">
        <f t="shared" ca="1" si="222"/>
        <v>0</v>
      </c>
      <c r="AK137" s="192">
        <f t="shared" ca="1" si="223"/>
        <v>0</v>
      </c>
      <c r="AL137" s="191" t="str">
        <f t="shared" ca="1" si="262"/>
        <v/>
      </c>
      <c r="AM137" s="191" t="str">
        <f t="shared" ca="1" si="263"/>
        <v/>
      </c>
      <c r="AN137" s="191" t="str">
        <f t="shared" ca="1" si="264"/>
        <v/>
      </c>
      <c r="AO137" s="193" t="str">
        <f t="shared" ca="1" si="265"/>
        <v/>
      </c>
      <c r="AP137" s="194" t="str">
        <f t="shared" ca="1" si="235"/>
        <v/>
      </c>
      <c r="AQ137" s="194" t="str">
        <f t="shared" ca="1" si="236"/>
        <v/>
      </c>
      <c r="AR137" s="195">
        <f ca="1">IF(AH137,_xll.xASN(AL137,Strike1,AE137,AP137,0,N137,0,P137,Q137,IF(OptControl=4,0,1),0),0)</f>
        <v>0</v>
      </c>
      <c r="AS137" s="196">
        <f ca="1">IF(AH137,_xll.xASN(AL137,Strike1,AE137,AP137,0,N137,0,P137,Q137,IF(OptControl=4,0,1),1),0)</f>
        <v>0</v>
      </c>
      <c r="AT137" s="196">
        <f ca="1">IF(AH137,_xll.xASN(AL137,Strike1,AE137,AP137,0,N137,0,P137,Q137,IF(OptControl=4,0,1),2),0)</f>
        <v>0</v>
      </c>
      <c r="AU137" s="196">
        <f ca="1">IF(AH137,_xll.xASN(AL137,Strike1,AE137,AP137,0,N137,0,P137,Q137,IF(OptControl=4,0,1),3)/100,0)</f>
        <v>0</v>
      </c>
      <c r="AV137" s="196">
        <f ca="1">IF(AH137,_xll.xASN(AL137,Strike1,AE137,AP137,0,N137,0,P137-DaysForThetaCalculation/365.25,Q137-DaysForThetaCalculation/365.25,IF(OptControl=4,0,1),0)-_xll.xASN(AL137,Strike1,AE137,AP137,0,N137,0,P137,Q137,IF(OptControl=4,0,1),0),0)</f>
        <v>0</v>
      </c>
      <c r="AW137" s="196">
        <f ca="1">IF(AH137,_xll.xASN(AL137,Strike2,AE137,AQ137,0,N137,0,P137,Q137,IF(OptControl=3,1,0),0),0)</f>
        <v>0</v>
      </c>
      <c r="AX137" s="196">
        <f ca="1">IF(AH137,_xll.xASN(AL137,Strike2,AE137,AQ137,0,N137,0,P137,Q137,IF(OptControl=3,1,0),1),0)</f>
        <v>0</v>
      </c>
      <c r="AY137" s="196">
        <f ca="1">IF(AH137,_xll.xASN(AL137,Strike2,AE137,AQ137,0,N137,0,P137,Q137,IF(OptControl=3,1,0),2),0)</f>
        <v>0</v>
      </c>
      <c r="AZ137" s="196">
        <f ca="1">IF(AH137,_xll.xASN(AL137,Strike2,AE137,AQ137,0,N137,0,P137,Q137,IF(OptControl=3,1,0),3)/100,0)</f>
        <v>0</v>
      </c>
      <c r="BA137" s="196">
        <f ca="1">IF(AH137,_xll.xASN(AL137,Strike2,AE137,AQ137,0,N137,0,P137-DaysForThetaCalculation/365.25,Q137-DaysForThetaCalculation/365.25,IF(OptControl=3,1,0),0)-_xll.xASN(AL137,Strike2,AE137,AQ137,0,N137,0,P137,Q137,IF(OptControl=3,1,0),0),0)</f>
        <v>0</v>
      </c>
      <c r="BB137" s="126" t="str">
        <f t="shared" ca="1" si="266"/>
        <v/>
      </c>
      <c r="BC137" s="191" t="str">
        <f t="shared" ca="1" si="267"/>
        <v/>
      </c>
      <c r="BD137" s="191" t="str">
        <f t="shared" ca="1" si="268"/>
        <v/>
      </c>
      <c r="BE137" s="190" t="str">
        <f t="shared" ca="1" si="269"/>
        <v/>
      </c>
      <c r="BF137" s="194" t="str">
        <f t="shared" ca="1" si="270"/>
        <v/>
      </c>
      <c r="BG137" s="194" t="str">
        <f t="shared" ca="1" si="271"/>
        <v/>
      </c>
      <c r="BH137" s="195">
        <f ca="1">IF(AH137,_xll.xEURO(BB137,Strike1,AE137,AE137,BF137,O137,IF(OptControl=4,0,1),0),0)</f>
        <v>0</v>
      </c>
      <c r="BI137" s="196">
        <f ca="1">IF(AH137,_xll.xEURO(BB137,Strike1,AE137,AE137,BF137,O137,IF(OptControl=4,0,1),1),0)</f>
        <v>0</v>
      </c>
      <c r="BJ137" s="196">
        <f ca="1">IF(AH137,_xll.xEURO(BB137,Strike1,AE137,AE137,BF137,O137,IF(OptControl=4,0,1),2),0)</f>
        <v>0</v>
      </c>
      <c r="BK137" s="196">
        <f ca="1">IF(AH137,_xll.xEURO(BB137,Strike1,AE137,AE137,BF137,O137,IF(OptControl=4,0,1),3)/100,0)</f>
        <v>0</v>
      </c>
      <c r="BL137" s="196">
        <f ca="1">IF(AH137,_xll.xEURO(BB137,Strike1,AE137,AE137,BF137,O137-DaysForThetaCalculation,IF(OptControl=4,0,1),0)-_xll.xEURO(BB137,Strike1,AE137,AE137,BF137,O137,IF(OptControl=4,0,1),0),0)</f>
        <v>0</v>
      </c>
      <c r="BM137" s="196">
        <f ca="1">IF(AH137,_xll.xEURO(BB137,Strike2,AE137,AE137,BG137,O137,IF(OptControl=3,1,0),0),0)</f>
        <v>0</v>
      </c>
      <c r="BN137" s="196">
        <f ca="1">IF(AH137,_xll.xEURO(BB137,Strike2,AE137,AE137,BG137,O137,IF(OptControl=3,1,0),1),0)</f>
        <v>0</v>
      </c>
      <c r="BO137" s="196">
        <f ca="1">IF(AH137,_xll.xEURO(BB137,Strike2,AE137,AE137,BG137,O137,IF(OptControl=3,1,0),2),0)</f>
        <v>0</v>
      </c>
      <c r="BP137" s="196">
        <f ca="1">IF(AH137,_xll.xEURO(BB137,Strike2,AE137,AE137,BG137,O137,IF(OptControl=3,1,0),3)/100,0)</f>
        <v>0</v>
      </c>
      <c r="BQ137" s="197">
        <f ca="1">IF(AH137,_xll.xEURO(BB137,Strike2,AE137,AE137,BG137,O137-DaysForThetaCalculation,IF(OptControl=3,1,0),0)-_xll.xEURO(BB137,Strike2,AE137,AE137,BG137,O137,IF(OptControl=3,1,0),0),0)</f>
        <v>0</v>
      </c>
      <c r="BR137" s="301"/>
      <c r="BS137" s="114"/>
      <c r="BT137" s="345">
        <f t="shared" si="237"/>
        <v>0</v>
      </c>
      <c r="BU137" s="345">
        <f t="shared" ca="1" si="185"/>
        <v>-21.56818181818182</v>
      </c>
      <c r="BV137" s="73"/>
      <c r="BW137" s="345">
        <f t="shared" ca="1" si="182"/>
        <v>10.756000000000006</v>
      </c>
      <c r="BX137" s="345">
        <f t="shared" ca="1" si="186"/>
        <v>67.158730158730151</v>
      </c>
      <c r="BY137" s="373">
        <f t="shared" ca="1" si="238"/>
        <v>76.962337662337688</v>
      </c>
      <c r="BZ137" s="114"/>
      <c r="CA137" s="345">
        <f t="shared" si="239"/>
        <v>0</v>
      </c>
      <c r="CB137" s="345">
        <f t="shared" ca="1" si="187"/>
        <v>-21.56818181818182</v>
      </c>
      <c r="CC137" s="345">
        <f t="shared" ca="1" si="183"/>
        <v>7.2980000000000054</v>
      </c>
      <c r="CD137" s="345">
        <f t="shared" ca="1" si="240"/>
        <v>68.729004329004354</v>
      </c>
      <c r="CE137" s="347">
        <f t="shared" ca="1" si="272"/>
        <v>-8.2333333333333343</v>
      </c>
      <c r="CF137" s="114"/>
      <c r="CG137" s="345">
        <f t="shared" si="241"/>
        <v>0</v>
      </c>
      <c r="CH137" s="345">
        <f t="shared" ca="1" si="242"/>
        <v>-21.56818181818182</v>
      </c>
      <c r="CI137" s="73"/>
      <c r="CJ137" s="345">
        <f t="shared" ca="1" si="190"/>
        <v>4.2789999999999999</v>
      </c>
      <c r="CK137" s="345">
        <f t="shared" ca="1" si="184"/>
        <v>62.939682539682543</v>
      </c>
      <c r="CL137" s="345">
        <f t="shared" ca="1" si="243"/>
        <v>61.540909090909096</v>
      </c>
      <c r="CM137" s="114"/>
      <c r="CN137" s="345">
        <f t="shared" si="244"/>
        <v>0</v>
      </c>
      <c r="CO137" s="345">
        <f t="shared" ca="1" si="245"/>
        <v>-21.56818181818182</v>
      </c>
      <c r="CP137" s="345">
        <f t="shared" ca="1" si="192"/>
        <v>3.1659999999999995</v>
      </c>
      <c r="CQ137" s="345">
        <f t="shared" ca="1" si="246"/>
        <v>58.890909090909091</v>
      </c>
      <c r="CR137" s="347">
        <f t="shared" ca="1" si="273"/>
        <v>-2.6500000000000057</v>
      </c>
      <c r="CS137" s="114"/>
      <c r="CT137" s="345">
        <f t="shared" si="247"/>
        <v>0</v>
      </c>
      <c r="CU137" s="345">
        <f t="shared" si="274"/>
        <v>0</v>
      </c>
      <c r="CV137" s="345">
        <f t="shared" ca="1" si="191"/>
        <v>2.0999999999999939</v>
      </c>
      <c r="CW137" s="347">
        <f t="shared" ca="1" si="275"/>
        <v>63.640909090909091</v>
      </c>
      <c r="CX137" s="483"/>
      <c r="CY137" s="190">
        <f t="shared" si="248"/>
        <v>-0.16489999999999902</v>
      </c>
      <c r="CZ137" s="190">
        <f t="shared" ca="1" si="180"/>
        <v>-0.03</v>
      </c>
      <c r="DA137" s="354">
        <f t="shared" ca="1" si="249"/>
        <v>0.13489999999999902</v>
      </c>
      <c r="DB137" s="483"/>
      <c r="DC137" s="190">
        <f t="shared" si="250"/>
        <v>-0.16489999999999902</v>
      </c>
      <c r="DD137" s="190">
        <f t="shared" ca="1" si="181"/>
        <v>0.03</v>
      </c>
      <c r="DE137" s="354">
        <f t="shared" ca="1" si="251"/>
        <v>0.19489999999999902</v>
      </c>
      <c r="DG137" s="341"/>
      <c r="DH137" s="114"/>
      <c r="DI137" s="126">
        <f t="shared" ca="1" si="276"/>
        <v>-21.56818181818182</v>
      </c>
      <c r="DJ137" s="126">
        <f t="shared" ca="1" si="224"/>
        <v>-2</v>
      </c>
      <c r="DK137" s="356">
        <f t="shared" ca="1" si="225"/>
        <v>19.56818181818182</v>
      </c>
      <c r="DL137" s="114"/>
      <c r="DM137" s="126">
        <f t="shared" ca="1" si="277"/>
        <v>-21.56818181818182</v>
      </c>
      <c r="DN137" s="126">
        <f t="shared" ca="1" si="252"/>
        <v>-3</v>
      </c>
      <c r="DO137" s="356">
        <f t="shared" ca="1" si="226"/>
        <v>18.56818181818182</v>
      </c>
      <c r="DP137" s="114"/>
      <c r="DQ137" s="126">
        <f t="shared" ca="1" si="278"/>
        <v>-21.56818181818182</v>
      </c>
      <c r="DR137" s="126">
        <f t="shared" ca="1" si="253"/>
        <v>-6</v>
      </c>
      <c r="DS137" s="356">
        <f t="shared" ca="1" si="227"/>
        <v>15.56818181818182</v>
      </c>
      <c r="DT137" s="114"/>
      <c r="DU137" s="126">
        <f t="shared" ca="1" si="279"/>
        <v>-21.56818181818182</v>
      </c>
      <c r="DV137" s="126">
        <f t="shared" ca="1" si="254"/>
        <v>-5</v>
      </c>
      <c r="DW137" s="356">
        <f t="shared" ca="1" si="228"/>
        <v>16.56818181818182</v>
      </c>
    </row>
    <row r="138" spans="2:127" x14ac:dyDescent="0.25">
      <c r="B138" s="396">
        <v>39753</v>
      </c>
      <c r="C138" s="400">
        <v>39743</v>
      </c>
      <c r="I138" s="136">
        <f t="shared" ca="1" si="229"/>
        <v>41000</v>
      </c>
      <c r="J138" s="131">
        <f t="shared" ca="1" si="230"/>
        <v>40988</v>
      </c>
      <c r="K138" s="106">
        <f t="shared" ca="1" si="231"/>
        <v>0.7142857142857143</v>
      </c>
      <c r="L138" s="133">
        <f t="shared" ca="1" si="193"/>
        <v>112</v>
      </c>
      <c r="M138" s="134">
        <f t="shared" ca="1" si="194"/>
        <v>4</v>
      </c>
      <c r="N138" s="103">
        <f t="shared" ca="1" si="216"/>
        <v>21</v>
      </c>
      <c r="O138" s="104">
        <f t="shared" ca="1" si="232"/>
        <v>4041</v>
      </c>
      <c r="P138" s="105">
        <f t="shared" ca="1" si="195"/>
        <v>11.077344284736482</v>
      </c>
      <c r="Q138" s="105">
        <f t="shared" ca="1" si="196"/>
        <v>11.156741957563312</v>
      </c>
      <c r="R138" s="114">
        <v>21.55</v>
      </c>
      <c r="S138" s="198">
        <v>0</v>
      </c>
      <c r="T138" s="189">
        <f t="shared" si="233"/>
        <v>21.55</v>
      </c>
      <c r="U138" s="199">
        <f t="shared" ca="1" si="217"/>
        <v>21.614285714285714</v>
      </c>
      <c r="V138" s="379">
        <f t="shared" ca="1" si="218"/>
        <v>21.614285714285714</v>
      </c>
      <c r="W138" s="483">
        <v>0.16449999999999904</v>
      </c>
      <c r="X138" s="166" t="str">
        <f t="shared" ca="1" si="219"/>
        <v/>
      </c>
      <c r="Y138" s="91">
        <f t="shared" ca="1" si="255"/>
        <v>8.6627931383749393E-4</v>
      </c>
      <c r="Z138" s="91">
        <f t="shared" ca="1" si="256"/>
        <v>2.6149286633049768E-4</v>
      </c>
      <c r="AA138" s="91">
        <f t="shared" ca="1" si="257"/>
        <v>8.7224178908153446E-5</v>
      </c>
      <c r="AB138" s="91">
        <f t="shared" ca="1" si="258"/>
        <v>1.9649863024430016E-4</v>
      </c>
      <c r="AC138" s="91">
        <f t="shared" ca="1" si="259"/>
        <v>5.890911292693896E-4</v>
      </c>
      <c r="AD138" s="91">
        <f t="shared" ca="1" si="260"/>
        <v>1.9515540382129904E-3</v>
      </c>
      <c r="AE138" s="124">
        <v>7.3729576709304009E-2</v>
      </c>
      <c r="AF138" s="191">
        <f t="shared" ca="1" si="261"/>
        <v>0.4458457075882295</v>
      </c>
      <c r="AG138" s="189">
        <f t="shared" ca="1" si="234"/>
        <v>1</v>
      </c>
      <c r="AH138" s="192">
        <f t="shared" ca="1" si="220"/>
        <v>0</v>
      </c>
      <c r="AI138" s="192">
        <f t="shared" ca="1" si="221"/>
        <v>0</v>
      </c>
      <c r="AJ138" s="192">
        <f t="shared" ca="1" si="222"/>
        <v>0</v>
      </c>
      <c r="AK138" s="192">
        <f t="shared" ca="1" si="223"/>
        <v>0</v>
      </c>
      <c r="AL138" s="191" t="str">
        <f t="shared" ca="1" si="262"/>
        <v/>
      </c>
      <c r="AM138" s="191" t="str">
        <f t="shared" ca="1" si="263"/>
        <v/>
      </c>
      <c r="AN138" s="191" t="str">
        <f t="shared" ca="1" si="264"/>
        <v/>
      </c>
      <c r="AO138" s="193" t="str">
        <f t="shared" ca="1" si="265"/>
        <v/>
      </c>
      <c r="AP138" s="194" t="str">
        <f t="shared" ca="1" si="235"/>
        <v/>
      </c>
      <c r="AQ138" s="194" t="str">
        <f t="shared" ca="1" si="236"/>
        <v/>
      </c>
      <c r="AR138" s="195">
        <f ca="1">IF(AH138,_xll.xASN(AL138,Strike1,AE138,AP138,0,N138,0,P138,Q138,IF(OptControl=4,0,1),0),0)</f>
        <v>0</v>
      </c>
      <c r="AS138" s="196">
        <f ca="1">IF(AH138,_xll.xASN(AL138,Strike1,AE138,AP138,0,N138,0,P138,Q138,IF(OptControl=4,0,1),1),0)</f>
        <v>0</v>
      </c>
      <c r="AT138" s="196">
        <f ca="1">IF(AH138,_xll.xASN(AL138,Strike1,AE138,AP138,0,N138,0,P138,Q138,IF(OptControl=4,0,1),2),0)</f>
        <v>0</v>
      </c>
      <c r="AU138" s="196">
        <f ca="1">IF(AH138,_xll.xASN(AL138,Strike1,AE138,AP138,0,N138,0,P138,Q138,IF(OptControl=4,0,1),3)/100,0)</f>
        <v>0</v>
      </c>
      <c r="AV138" s="196">
        <f ca="1">IF(AH138,_xll.xASN(AL138,Strike1,AE138,AP138,0,N138,0,P138-DaysForThetaCalculation/365.25,Q138-DaysForThetaCalculation/365.25,IF(OptControl=4,0,1),0)-_xll.xASN(AL138,Strike1,AE138,AP138,0,N138,0,P138,Q138,IF(OptControl=4,0,1),0),0)</f>
        <v>0</v>
      </c>
      <c r="AW138" s="196">
        <f ca="1">IF(AH138,_xll.xASN(AL138,Strike2,AE138,AQ138,0,N138,0,P138,Q138,IF(OptControl=3,1,0),0),0)</f>
        <v>0</v>
      </c>
      <c r="AX138" s="196">
        <f ca="1">IF(AH138,_xll.xASN(AL138,Strike2,AE138,AQ138,0,N138,0,P138,Q138,IF(OptControl=3,1,0),1),0)</f>
        <v>0</v>
      </c>
      <c r="AY138" s="196">
        <f ca="1">IF(AH138,_xll.xASN(AL138,Strike2,AE138,AQ138,0,N138,0,P138,Q138,IF(OptControl=3,1,0),2),0)</f>
        <v>0</v>
      </c>
      <c r="AZ138" s="196">
        <f ca="1">IF(AH138,_xll.xASN(AL138,Strike2,AE138,AQ138,0,N138,0,P138,Q138,IF(OptControl=3,1,0),3)/100,0)</f>
        <v>0</v>
      </c>
      <c r="BA138" s="196">
        <f ca="1">IF(AH138,_xll.xASN(AL138,Strike2,AE138,AQ138,0,N138,0,P138-DaysForThetaCalculation/365.25,Q138-DaysForThetaCalculation/365.25,IF(OptControl=3,1,0),0)-_xll.xASN(AL138,Strike2,AE138,AQ138,0,N138,0,P138,Q138,IF(OptControl=3,1,0),0),0)</f>
        <v>0</v>
      </c>
      <c r="BB138" s="126" t="str">
        <f t="shared" ca="1" si="266"/>
        <v/>
      </c>
      <c r="BC138" s="191" t="str">
        <f t="shared" ca="1" si="267"/>
        <v/>
      </c>
      <c r="BD138" s="191" t="str">
        <f t="shared" ca="1" si="268"/>
        <v/>
      </c>
      <c r="BE138" s="190" t="str">
        <f t="shared" ca="1" si="269"/>
        <v/>
      </c>
      <c r="BF138" s="194" t="str">
        <f t="shared" ca="1" si="270"/>
        <v/>
      </c>
      <c r="BG138" s="194" t="str">
        <f t="shared" ca="1" si="271"/>
        <v/>
      </c>
      <c r="BH138" s="195">
        <f ca="1">IF(AH138,_xll.xEURO(BB138,Strike1,AE138,AE138,BF138,O138,IF(OptControl=4,0,1),0),0)</f>
        <v>0</v>
      </c>
      <c r="BI138" s="196">
        <f ca="1">IF(AH138,_xll.xEURO(BB138,Strike1,AE138,AE138,BF138,O138,IF(OptControl=4,0,1),1),0)</f>
        <v>0</v>
      </c>
      <c r="BJ138" s="196">
        <f ca="1">IF(AH138,_xll.xEURO(BB138,Strike1,AE138,AE138,BF138,O138,IF(OptControl=4,0,1),2),0)</f>
        <v>0</v>
      </c>
      <c r="BK138" s="196">
        <f ca="1">IF(AH138,_xll.xEURO(BB138,Strike1,AE138,AE138,BF138,O138,IF(OptControl=4,0,1),3)/100,0)</f>
        <v>0</v>
      </c>
      <c r="BL138" s="196">
        <f ca="1">IF(AH138,_xll.xEURO(BB138,Strike1,AE138,AE138,BF138,O138-DaysForThetaCalculation,IF(OptControl=4,0,1),0)-_xll.xEURO(BB138,Strike1,AE138,AE138,BF138,O138,IF(OptControl=4,0,1),0),0)</f>
        <v>0</v>
      </c>
      <c r="BM138" s="196">
        <f ca="1">IF(AH138,_xll.xEURO(BB138,Strike2,AE138,AE138,BG138,O138,IF(OptControl=3,1,0),0),0)</f>
        <v>0</v>
      </c>
      <c r="BN138" s="196">
        <f ca="1">IF(AH138,_xll.xEURO(BB138,Strike2,AE138,AE138,BG138,O138,IF(OptControl=3,1,0),1),0)</f>
        <v>0</v>
      </c>
      <c r="BO138" s="196">
        <f ca="1">IF(AH138,_xll.xEURO(BB138,Strike2,AE138,AE138,BG138,O138,IF(OptControl=3,1,0),2),0)</f>
        <v>0</v>
      </c>
      <c r="BP138" s="196">
        <f ca="1">IF(AH138,_xll.xEURO(BB138,Strike2,AE138,AE138,BG138,O138,IF(OptControl=3,1,0),3)/100,0)</f>
        <v>0</v>
      </c>
      <c r="BQ138" s="197">
        <f ca="1">IF(AH138,_xll.xEURO(BB138,Strike2,AE138,AE138,BG138,O138-DaysForThetaCalculation,IF(OptControl=3,1,0),0)-_xll.xEURO(BB138,Strike2,AE138,AE138,BG138,O138,IF(OptControl=3,1,0),0),0)</f>
        <v>0</v>
      </c>
      <c r="BR138" s="301"/>
      <c r="BS138" s="114"/>
      <c r="BT138" s="345">
        <f t="shared" si="237"/>
        <v>0</v>
      </c>
      <c r="BU138" s="345">
        <f t="shared" ca="1" si="185"/>
        <v>-21.614285714285714</v>
      </c>
      <c r="BV138" s="73"/>
      <c r="BW138" s="345">
        <f t="shared" ca="1" si="182"/>
        <v>9.6957142857142902</v>
      </c>
      <c r="BX138" s="345">
        <f t="shared" ca="1" si="186"/>
        <v>76.962337662337688</v>
      </c>
      <c r="BY138" s="373">
        <f t="shared" ca="1" si="238"/>
        <v>74.547619047619051</v>
      </c>
      <c r="BZ138" s="114"/>
      <c r="CA138" s="345">
        <f t="shared" si="239"/>
        <v>0</v>
      </c>
      <c r="CB138" s="345">
        <f t="shared" ca="1" si="187"/>
        <v>-21.614285714285714</v>
      </c>
      <c r="CC138" s="345">
        <f t="shared" ca="1" si="183"/>
        <v>7.0707142857142902</v>
      </c>
      <c r="CD138" s="345">
        <f t="shared" ca="1" si="240"/>
        <v>68.297619047619051</v>
      </c>
      <c r="CE138" s="347">
        <f t="shared" ca="1" si="272"/>
        <v>-6.25</v>
      </c>
      <c r="CF138" s="114"/>
      <c r="CG138" s="345">
        <f t="shared" si="241"/>
        <v>0</v>
      </c>
      <c r="CH138" s="345">
        <f t="shared" ca="1" si="242"/>
        <v>-21.614285714285714</v>
      </c>
      <c r="CI138" s="73"/>
      <c r="CJ138" s="345">
        <f t="shared" ca="1" si="190"/>
        <v>3.7270909090909106</v>
      </c>
      <c r="CK138" s="345">
        <f t="shared" ca="1" si="184"/>
        <v>61.540909090909096</v>
      </c>
      <c r="CL138" s="345">
        <f t="shared" ca="1" si="243"/>
        <v>60.33661100803959</v>
      </c>
      <c r="CM138" s="114"/>
      <c r="CN138" s="345">
        <f t="shared" si="244"/>
        <v>0</v>
      </c>
      <c r="CO138" s="345">
        <f t="shared" ca="1" si="245"/>
        <v>-21.614285714285714</v>
      </c>
      <c r="CP138" s="345">
        <f t="shared" ca="1" si="192"/>
        <v>2.8030909090909075</v>
      </c>
      <c r="CQ138" s="345">
        <f t="shared" ca="1" si="246"/>
        <v>58.136611008039573</v>
      </c>
      <c r="CR138" s="347">
        <f t="shared" ca="1" si="273"/>
        <v>-2.2000000000000171</v>
      </c>
      <c r="CS138" s="114"/>
      <c r="CT138" s="345">
        <f t="shared" si="247"/>
        <v>0</v>
      </c>
      <c r="CU138" s="345">
        <f t="shared" si="274"/>
        <v>0</v>
      </c>
      <c r="CV138" s="345">
        <f t="shared" ca="1" si="191"/>
        <v>2.0999999999999939</v>
      </c>
      <c r="CW138" s="347">
        <f t="shared" ca="1" si="275"/>
        <v>62.436611008039584</v>
      </c>
      <c r="CX138" s="483"/>
      <c r="CY138" s="190">
        <f t="shared" si="248"/>
        <v>-0.16449999999999904</v>
      </c>
      <c r="CZ138" s="190">
        <f t="shared" ca="1" si="180"/>
        <v>-0.03</v>
      </c>
      <c r="DA138" s="354">
        <f t="shared" ca="1" si="249"/>
        <v>0.13449999999999904</v>
      </c>
      <c r="DB138" s="483"/>
      <c r="DC138" s="190">
        <f t="shared" si="250"/>
        <v>-0.16449999999999904</v>
      </c>
      <c r="DD138" s="190">
        <f t="shared" ca="1" si="181"/>
        <v>0.03</v>
      </c>
      <c r="DE138" s="354">
        <f t="shared" ca="1" si="251"/>
        <v>0.19449999999999903</v>
      </c>
      <c r="DG138" s="341"/>
      <c r="DH138" s="114"/>
      <c r="DI138" s="126">
        <f t="shared" ca="1" si="276"/>
        <v>-21.614285714285714</v>
      </c>
      <c r="DJ138" s="126">
        <f t="shared" ca="1" si="224"/>
        <v>-2</v>
      </c>
      <c r="DK138" s="356">
        <f t="shared" ca="1" si="225"/>
        <v>19.614285714285714</v>
      </c>
      <c r="DL138" s="114"/>
      <c r="DM138" s="126">
        <f t="shared" ca="1" si="277"/>
        <v>-21.614285714285714</v>
      </c>
      <c r="DN138" s="126">
        <f t="shared" ca="1" si="252"/>
        <v>-3</v>
      </c>
      <c r="DO138" s="356">
        <f t="shared" ca="1" si="226"/>
        <v>18.614285714285714</v>
      </c>
      <c r="DP138" s="114"/>
      <c r="DQ138" s="126">
        <f t="shared" ca="1" si="278"/>
        <v>-21.614285714285714</v>
      </c>
      <c r="DR138" s="126">
        <f t="shared" ca="1" si="253"/>
        <v>-6</v>
      </c>
      <c r="DS138" s="356">
        <f t="shared" ca="1" si="227"/>
        <v>15.614285714285714</v>
      </c>
      <c r="DT138" s="114"/>
      <c r="DU138" s="126">
        <f t="shared" ca="1" si="279"/>
        <v>-21.614285714285714</v>
      </c>
      <c r="DV138" s="126">
        <f t="shared" ca="1" si="254"/>
        <v>-5</v>
      </c>
      <c r="DW138" s="356">
        <f t="shared" ca="1" si="228"/>
        <v>16.614285714285714</v>
      </c>
    </row>
    <row r="139" spans="2:127" x14ac:dyDescent="0.25">
      <c r="B139" s="396">
        <v>39783</v>
      </c>
      <c r="C139" s="400">
        <v>39771</v>
      </c>
      <c r="I139" s="136">
        <f t="shared" ca="1" si="229"/>
        <v>41030</v>
      </c>
      <c r="J139" s="131">
        <f t="shared" ca="1" si="230"/>
        <v>41019</v>
      </c>
      <c r="K139" s="106">
        <f t="shared" ca="1" si="231"/>
        <v>0.69565217391304346</v>
      </c>
      <c r="L139" s="133">
        <f t="shared" ca="1" si="193"/>
        <v>112</v>
      </c>
      <c r="M139" s="134">
        <f t="shared" ca="1" si="194"/>
        <v>5</v>
      </c>
      <c r="N139" s="103">
        <f t="shared" ca="1" si="216"/>
        <v>23</v>
      </c>
      <c r="O139" s="104">
        <f t="shared" ca="1" si="232"/>
        <v>4070</v>
      </c>
      <c r="P139" s="105">
        <f t="shared" ca="1" si="195"/>
        <v>11.159479808350445</v>
      </c>
      <c r="Q139" s="105">
        <f t="shared" ca="1" si="196"/>
        <v>11.241615331964407</v>
      </c>
      <c r="R139" s="114">
        <v>21.6</v>
      </c>
      <c r="S139" s="198">
        <v>0</v>
      </c>
      <c r="T139" s="189">
        <f t="shared" si="233"/>
        <v>21.6</v>
      </c>
      <c r="U139" s="199">
        <f t="shared" ca="1" si="217"/>
        <v>21.665217391304346</v>
      </c>
      <c r="V139" s="379">
        <f t="shared" ca="1" si="218"/>
        <v>21.665217391304346</v>
      </c>
      <c r="W139" s="483">
        <v>0.16409999999999905</v>
      </c>
      <c r="X139" s="166" t="str">
        <f t="shared" ca="1" si="219"/>
        <v/>
      </c>
      <c r="Y139" s="91">
        <f t="shared" ca="1" si="255"/>
        <v>8.4773359127607057E-4</v>
      </c>
      <c r="Z139" s="91">
        <f t="shared" ca="1" si="256"/>
        <v>2.54524628249028E-4</v>
      </c>
      <c r="AA139" s="91">
        <f t="shared" ca="1" si="257"/>
        <v>8.4672169988802567E-5</v>
      </c>
      <c r="AB139" s="91">
        <f t="shared" ca="1" si="258"/>
        <v>1.9074946455078636E-4</v>
      </c>
      <c r="AC139" s="91">
        <f t="shared" ca="1" si="259"/>
        <v>5.7339308251945368E-4</v>
      </c>
      <c r="AD139" s="91">
        <f t="shared" ca="1" si="260"/>
        <v>1.9097742344266156E-3</v>
      </c>
      <c r="AE139" s="124">
        <v>7.3725742942803998E-2</v>
      </c>
      <c r="AF139" s="191">
        <f t="shared" ca="1" si="261"/>
        <v>0.4431327638984735</v>
      </c>
      <c r="AG139" s="189">
        <f t="shared" ca="1" si="234"/>
        <v>1</v>
      </c>
      <c r="AH139" s="192">
        <f t="shared" ca="1" si="220"/>
        <v>0</v>
      </c>
      <c r="AI139" s="192">
        <f t="shared" ca="1" si="221"/>
        <v>0</v>
      </c>
      <c r="AJ139" s="192">
        <f t="shared" ca="1" si="222"/>
        <v>0</v>
      </c>
      <c r="AK139" s="192">
        <f t="shared" ca="1" si="223"/>
        <v>0</v>
      </c>
      <c r="AL139" s="191" t="str">
        <f t="shared" ca="1" si="262"/>
        <v/>
      </c>
      <c r="AM139" s="191" t="str">
        <f t="shared" ca="1" si="263"/>
        <v/>
      </c>
      <c r="AN139" s="191" t="str">
        <f t="shared" ca="1" si="264"/>
        <v/>
      </c>
      <c r="AO139" s="193" t="str">
        <f t="shared" ca="1" si="265"/>
        <v/>
      </c>
      <c r="AP139" s="194" t="str">
        <f t="shared" ca="1" si="235"/>
        <v/>
      </c>
      <c r="AQ139" s="194" t="str">
        <f t="shared" ca="1" si="236"/>
        <v/>
      </c>
      <c r="AR139" s="195">
        <f ca="1">IF(AH139,_xll.xASN(AL139,Strike1,AE139,AP139,0,N139,0,P139,Q139,IF(OptControl=4,0,1),0),0)</f>
        <v>0</v>
      </c>
      <c r="AS139" s="196">
        <f ca="1">IF(AH139,_xll.xASN(AL139,Strike1,AE139,AP139,0,N139,0,P139,Q139,IF(OptControl=4,0,1),1),0)</f>
        <v>0</v>
      </c>
      <c r="AT139" s="196">
        <f ca="1">IF(AH139,_xll.xASN(AL139,Strike1,AE139,AP139,0,N139,0,P139,Q139,IF(OptControl=4,0,1),2),0)</f>
        <v>0</v>
      </c>
      <c r="AU139" s="196">
        <f ca="1">IF(AH139,_xll.xASN(AL139,Strike1,AE139,AP139,0,N139,0,P139,Q139,IF(OptControl=4,0,1),3)/100,0)</f>
        <v>0</v>
      </c>
      <c r="AV139" s="196">
        <f ca="1">IF(AH139,_xll.xASN(AL139,Strike1,AE139,AP139,0,N139,0,P139-DaysForThetaCalculation/365.25,Q139-DaysForThetaCalculation/365.25,IF(OptControl=4,0,1),0)-_xll.xASN(AL139,Strike1,AE139,AP139,0,N139,0,P139,Q139,IF(OptControl=4,0,1),0),0)</f>
        <v>0</v>
      </c>
      <c r="AW139" s="196">
        <f ca="1">IF(AH139,_xll.xASN(AL139,Strike2,AE139,AQ139,0,N139,0,P139,Q139,IF(OptControl=3,1,0),0),0)</f>
        <v>0</v>
      </c>
      <c r="AX139" s="196">
        <f ca="1">IF(AH139,_xll.xASN(AL139,Strike2,AE139,AQ139,0,N139,0,P139,Q139,IF(OptControl=3,1,0),1),0)</f>
        <v>0</v>
      </c>
      <c r="AY139" s="196">
        <f ca="1">IF(AH139,_xll.xASN(AL139,Strike2,AE139,AQ139,0,N139,0,P139,Q139,IF(OptControl=3,1,0),2),0)</f>
        <v>0</v>
      </c>
      <c r="AZ139" s="196">
        <f ca="1">IF(AH139,_xll.xASN(AL139,Strike2,AE139,AQ139,0,N139,0,P139,Q139,IF(OptControl=3,1,0),3)/100,0)</f>
        <v>0</v>
      </c>
      <c r="BA139" s="196">
        <f ca="1">IF(AH139,_xll.xASN(AL139,Strike2,AE139,AQ139,0,N139,0,P139-DaysForThetaCalculation/365.25,Q139-DaysForThetaCalculation/365.25,IF(OptControl=3,1,0),0)-_xll.xASN(AL139,Strike2,AE139,AQ139,0,N139,0,P139,Q139,IF(OptControl=3,1,0),0),0)</f>
        <v>0</v>
      </c>
      <c r="BB139" s="126" t="str">
        <f t="shared" ca="1" si="266"/>
        <v/>
      </c>
      <c r="BC139" s="191" t="str">
        <f t="shared" ca="1" si="267"/>
        <v/>
      </c>
      <c r="BD139" s="191" t="str">
        <f t="shared" ca="1" si="268"/>
        <v/>
      </c>
      <c r="BE139" s="190" t="str">
        <f t="shared" ca="1" si="269"/>
        <v/>
      </c>
      <c r="BF139" s="194" t="str">
        <f t="shared" ca="1" si="270"/>
        <v/>
      </c>
      <c r="BG139" s="194" t="str">
        <f t="shared" ca="1" si="271"/>
        <v/>
      </c>
      <c r="BH139" s="195">
        <f ca="1">IF(AH139,_xll.xEURO(BB139,Strike1,AE139,AE139,BF139,O139,IF(OptControl=4,0,1),0),0)</f>
        <v>0</v>
      </c>
      <c r="BI139" s="196">
        <f ca="1">IF(AH139,_xll.xEURO(BB139,Strike1,AE139,AE139,BF139,O139,IF(OptControl=4,0,1),1),0)</f>
        <v>0</v>
      </c>
      <c r="BJ139" s="196">
        <f ca="1">IF(AH139,_xll.xEURO(BB139,Strike1,AE139,AE139,BF139,O139,IF(OptControl=4,0,1),2),0)</f>
        <v>0</v>
      </c>
      <c r="BK139" s="196">
        <f ca="1">IF(AH139,_xll.xEURO(BB139,Strike1,AE139,AE139,BF139,O139,IF(OptControl=4,0,1),3)/100,0)</f>
        <v>0</v>
      </c>
      <c r="BL139" s="196">
        <f ca="1">IF(AH139,_xll.xEURO(BB139,Strike1,AE139,AE139,BF139,O139-DaysForThetaCalculation,IF(OptControl=4,0,1),0)-_xll.xEURO(BB139,Strike1,AE139,AE139,BF139,O139,IF(OptControl=4,0,1),0),0)</f>
        <v>0</v>
      </c>
      <c r="BM139" s="196">
        <f ca="1">IF(AH139,_xll.xEURO(BB139,Strike2,AE139,AE139,BG139,O139,IF(OptControl=3,1,0),0),0)</f>
        <v>0</v>
      </c>
      <c r="BN139" s="196">
        <f ca="1">IF(AH139,_xll.xEURO(BB139,Strike2,AE139,AE139,BG139,O139,IF(OptControl=3,1,0),1),0)</f>
        <v>0</v>
      </c>
      <c r="BO139" s="196">
        <f ca="1">IF(AH139,_xll.xEURO(BB139,Strike2,AE139,AE139,BG139,O139,IF(OptControl=3,1,0),2),0)</f>
        <v>0</v>
      </c>
      <c r="BP139" s="196">
        <f ca="1">IF(AH139,_xll.xEURO(BB139,Strike2,AE139,AE139,BG139,O139,IF(OptControl=3,1,0),3)/100,0)</f>
        <v>0</v>
      </c>
      <c r="BQ139" s="197">
        <f ca="1">IF(AH139,_xll.xEURO(BB139,Strike2,AE139,AE139,BG139,O139-DaysForThetaCalculation,IF(OptControl=3,1,0),0)-_xll.xEURO(BB139,Strike2,AE139,AE139,BG139,O139,IF(OptControl=3,1,0),0),0)</f>
        <v>0</v>
      </c>
      <c r="BR139" s="301"/>
      <c r="BS139" s="114"/>
      <c r="BT139" s="345">
        <f t="shared" si="237"/>
        <v>0</v>
      </c>
      <c r="BU139" s="345">
        <f t="shared" ca="1" si="185"/>
        <v>-21.665217391304346</v>
      </c>
      <c r="BV139" s="73"/>
      <c r="BW139" s="345">
        <f t="shared" ca="1" si="182"/>
        <v>9.2039130434782646</v>
      </c>
      <c r="BX139" s="345">
        <f t="shared" ca="1" si="186"/>
        <v>74.547619047619051</v>
      </c>
      <c r="BY139" s="373">
        <f t="shared" ca="1" si="238"/>
        <v>73.497929606625263</v>
      </c>
      <c r="BZ139" s="114"/>
      <c r="CA139" s="345">
        <f t="shared" si="239"/>
        <v>0</v>
      </c>
      <c r="CB139" s="345">
        <f t="shared" ca="1" si="187"/>
        <v>-21.665217391304346</v>
      </c>
      <c r="CC139" s="345">
        <f t="shared" ca="1" si="183"/>
        <v>6.5789130434782646</v>
      </c>
      <c r="CD139" s="345">
        <f t="shared" ca="1" si="240"/>
        <v>67.247929606625263</v>
      </c>
      <c r="CE139" s="347">
        <f t="shared" ca="1" si="272"/>
        <v>-6.25</v>
      </c>
      <c r="CF139" s="114"/>
      <c r="CG139" s="345">
        <f t="shared" si="241"/>
        <v>0</v>
      </c>
      <c r="CH139" s="345">
        <f t="shared" ca="1" si="242"/>
        <v>-21.665217391304346</v>
      </c>
      <c r="CI139" s="73"/>
      <c r="CJ139" s="345">
        <f t="shared" ca="1" si="190"/>
        <v>3.3220869565217361</v>
      </c>
      <c r="CK139" s="345">
        <f t="shared" ca="1" si="184"/>
        <v>60.33661100803959</v>
      </c>
      <c r="CL139" s="345">
        <f t="shared" ca="1" si="243"/>
        <v>59.493581780538292</v>
      </c>
      <c r="CM139" s="114"/>
      <c r="CN139" s="345">
        <f t="shared" si="244"/>
        <v>0</v>
      </c>
      <c r="CO139" s="345">
        <f t="shared" ca="1" si="245"/>
        <v>-21.665217391304346</v>
      </c>
      <c r="CP139" s="345">
        <f t="shared" ca="1" si="192"/>
        <v>2.3980869565217402</v>
      </c>
      <c r="CQ139" s="345">
        <f t="shared" ca="1" si="246"/>
        <v>57.293581780538304</v>
      </c>
      <c r="CR139" s="347">
        <f t="shared" ca="1" si="273"/>
        <v>-2.1999999999999886</v>
      </c>
      <c r="CS139" s="114"/>
      <c r="CT139" s="345">
        <f t="shared" si="247"/>
        <v>0</v>
      </c>
      <c r="CU139" s="345">
        <f t="shared" si="274"/>
        <v>0</v>
      </c>
      <c r="CV139" s="345">
        <f t="shared" ca="1" si="191"/>
        <v>2.1000000000000081</v>
      </c>
      <c r="CW139" s="347">
        <f t="shared" ca="1" si="275"/>
        <v>61.593581780538301</v>
      </c>
      <c r="CX139" s="483"/>
      <c r="CY139" s="190">
        <f t="shared" si="248"/>
        <v>-0.16409999999999905</v>
      </c>
      <c r="CZ139" s="190">
        <f t="shared" ca="1" si="180"/>
        <v>-0.03</v>
      </c>
      <c r="DA139" s="354">
        <f t="shared" ca="1" si="249"/>
        <v>0.13409999999999905</v>
      </c>
      <c r="DB139" s="483"/>
      <c r="DC139" s="190">
        <f t="shared" si="250"/>
        <v>-0.16409999999999905</v>
      </c>
      <c r="DD139" s="190">
        <f t="shared" ca="1" si="181"/>
        <v>0.03</v>
      </c>
      <c r="DE139" s="354">
        <f t="shared" ca="1" si="251"/>
        <v>0.19409999999999905</v>
      </c>
      <c r="DG139" s="341"/>
      <c r="DH139" s="114"/>
      <c r="DI139" s="126">
        <f t="shared" ca="1" si="276"/>
        <v>-21.665217391304346</v>
      </c>
      <c r="DJ139" s="126">
        <f t="shared" ca="1" si="224"/>
        <v>-2</v>
      </c>
      <c r="DK139" s="356">
        <f t="shared" ca="1" si="225"/>
        <v>19.665217391304346</v>
      </c>
      <c r="DL139" s="114"/>
      <c r="DM139" s="126">
        <f t="shared" ca="1" si="277"/>
        <v>-21.665217391304346</v>
      </c>
      <c r="DN139" s="126">
        <f t="shared" ca="1" si="252"/>
        <v>-3</v>
      </c>
      <c r="DO139" s="356">
        <f t="shared" ca="1" si="226"/>
        <v>18.665217391304346</v>
      </c>
      <c r="DP139" s="114"/>
      <c r="DQ139" s="126">
        <f t="shared" ca="1" si="278"/>
        <v>-21.665217391304346</v>
      </c>
      <c r="DR139" s="126">
        <f t="shared" ca="1" si="253"/>
        <v>-6</v>
      </c>
      <c r="DS139" s="356">
        <f t="shared" ca="1" si="227"/>
        <v>15.665217391304346</v>
      </c>
      <c r="DT139" s="114"/>
      <c r="DU139" s="126">
        <f t="shared" ca="1" si="279"/>
        <v>-21.665217391304346</v>
      </c>
      <c r="DV139" s="126">
        <f t="shared" ca="1" si="254"/>
        <v>-5</v>
      </c>
      <c r="DW139" s="356">
        <f t="shared" ca="1" si="228"/>
        <v>16.665217391304346</v>
      </c>
    </row>
    <row r="140" spans="2:127" x14ac:dyDescent="0.25">
      <c r="B140" s="396">
        <v>39814</v>
      </c>
      <c r="C140" s="400">
        <v>39801</v>
      </c>
      <c r="I140" s="136">
        <f t="shared" ca="1" si="229"/>
        <v>41061</v>
      </c>
      <c r="J140" s="131">
        <f t="shared" ca="1" si="230"/>
        <v>41051</v>
      </c>
      <c r="K140" s="106">
        <f t="shared" ca="1" si="231"/>
        <v>0.66666666666666663</v>
      </c>
      <c r="L140" s="133">
        <f t="shared" ca="1" si="193"/>
        <v>112</v>
      </c>
      <c r="M140" s="134">
        <f t="shared" ca="1" si="194"/>
        <v>6</v>
      </c>
      <c r="N140" s="103">
        <f t="shared" ca="1" si="216"/>
        <v>21</v>
      </c>
      <c r="O140" s="104">
        <f t="shared" ca="1" si="232"/>
        <v>4103</v>
      </c>
      <c r="P140" s="105">
        <f t="shared" ca="1" si="195"/>
        <v>11.24435318275154</v>
      </c>
      <c r="Q140" s="105">
        <f t="shared" ca="1" si="196"/>
        <v>11.323750855578371</v>
      </c>
      <c r="R140" s="114">
        <v>21.65</v>
      </c>
      <c r="S140" s="198">
        <v>0</v>
      </c>
      <c r="T140" s="189">
        <f t="shared" si="233"/>
        <v>21.65</v>
      </c>
      <c r="U140" s="199">
        <f t="shared" ca="1" si="217"/>
        <v>21.716666666666665</v>
      </c>
      <c r="V140" s="379">
        <f t="shared" ca="1" si="218"/>
        <v>21.716666666666665</v>
      </c>
      <c r="W140" s="483">
        <v>0.16369999999999901</v>
      </c>
      <c r="X140" s="166" t="str">
        <f t="shared" ca="1" si="219"/>
        <v/>
      </c>
      <c r="Y140" s="91">
        <f t="shared" ca="1" si="255"/>
        <v>8.2958490442799199E-4</v>
      </c>
      <c r="Z140" s="91">
        <f t="shared" ca="1" si="256"/>
        <v>2.4774207914118667E-4</v>
      </c>
      <c r="AA140" s="91">
        <f t="shared" ca="1" si="257"/>
        <v>8.219482786031141E-5</v>
      </c>
      <c r="AB140" s="91">
        <f t="shared" ca="1" si="258"/>
        <v>1.8516850820372133E-4</v>
      </c>
      <c r="AC140" s="91">
        <f t="shared" ca="1" si="259"/>
        <v>5.5811335588930777E-4</v>
      </c>
      <c r="AD140" s="91">
        <f t="shared" ca="1" si="260"/>
        <v>1.8688888726952639E-3</v>
      </c>
      <c r="AE140" s="124">
        <v>7.3721781384091023E-2</v>
      </c>
      <c r="AF140" s="191">
        <f t="shared" ca="1" si="261"/>
        <v>0.44052452653659452</v>
      </c>
      <c r="AG140" s="189">
        <f t="shared" ca="1" si="234"/>
        <v>1</v>
      </c>
      <c r="AH140" s="192">
        <f t="shared" ca="1" si="220"/>
        <v>0</v>
      </c>
      <c r="AI140" s="192">
        <f t="shared" ca="1" si="221"/>
        <v>0</v>
      </c>
      <c r="AJ140" s="192">
        <f t="shared" ca="1" si="222"/>
        <v>0</v>
      </c>
      <c r="AK140" s="192">
        <f t="shared" ca="1" si="223"/>
        <v>0</v>
      </c>
      <c r="AL140" s="191" t="str">
        <f t="shared" ca="1" si="262"/>
        <v/>
      </c>
      <c r="AM140" s="191" t="str">
        <f t="shared" ca="1" si="263"/>
        <v/>
      </c>
      <c r="AN140" s="191" t="str">
        <f t="shared" ca="1" si="264"/>
        <v/>
      </c>
      <c r="AO140" s="193" t="str">
        <f t="shared" ca="1" si="265"/>
        <v/>
      </c>
      <c r="AP140" s="194" t="str">
        <f t="shared" ca="1" si="235"/>
        <v/>
      </c>
      <c r="AQ140" s="194" t="str">
        <f t="shared" ca="1" si="236"/>
        <v/>
      </c>
      <c r="AR140" s="195">
        <f ca="1">IF(AH140,_xll.xASN(AL140,Strike1,AE140,AP140,0,N140,0,P140,Q140,IF(OptControl=4,0,1),0),0)</f>
        <v>0</v>
      </c>
      <c r="AS140" s="196">
        <f ca="1">IF(AH140,_xll.xASN(AL140,Strike1,AE140,AP140,0,N140,0,P140,Q140,IF(OptControl=4,0,1),1),0)</f>
        <v>0</v>
      </c>
      <c r="AT140" s="196">
        <f ca="1">IF(AH140,_xll.xASN(AL140,Strike1,AE140,AP140,0,N140,0,P140,Q140,IF(OptControl=4,0,1),2),0)</f>
        <v>0</v>
      </c>
      <c r="AU140" s="196">
        <f ca="1">IF(AH140,_xll.xASN(AL140,Strike1,AE140,AP140,0,N140,0,P140,Q140,IF(OptControl=4,0,1),3)/100,0)</f>
        <v>0</v>
      </c>
      <c r="AV140" s="196">
        <f ca="1">IF(AH140,_xll.xASN(AL140,Strike1,AE140,AP140,0,N140,0,P140-DaysForThetaCalculation/365.25,Q140-DaysForThetaCalculation/365.25,IF(OptControl=4,0,1),0)-_xll.xASN(AL140,Strike1,AE140,AP140,0,N140,0,P140,Q140,IF(OptControl=4,0,1),0),0)</f>
        <v>0</v>
      </c>
      <c r="AW140" s="196">
        <f ca="1">IF(AH140,_xll.xASN(AL140,Strike2,AE140,AQ140,0,N140,0,P140,Q140,IF(OptControl=3,1,0),0),0)</f>
        <v>0</v>
      </c>
      <c r="AX140" s="196">
        <f ca="1">IF(AH140,_xll.xASN(AL140,Strike2,AE140,AQ140,0,N140,0,P140,Q140,IF(OptControl=3,1,0),1),0)</f>
        <v>0</v>
      </c>
      <c r="AY140" s="196">
        <f ca="1">IF(AH140,_xll.xASN(AL140,Strike2,AE140,AQ140,0,N140,0,P140,Q140,IF(OptControl=3,1,0),2),0)</f>
        <v>0</v>
      </c>
      <c r="AZ140" s="196">
        <f ca="1">IF(AH140,_xll.xASN(AL140,Strike2,AE140,AQ140,0,N140,0,P140,Q140,IF(OptControl=3,1,0),3)/100,0)</f>
        <v>0</v>
      </c>
      <c r="BA140" s="196">
        <f ca="1">IF(AH140,_xll.xASN(AL140,Strike2,AE140,AQ140,0,N140,0,P140-DaysForThetaCalculation/365.25,Q140-DaysForThetaCalculation/365.25,IF(OptControl=3,1,0),0)-_xll.xASN(AL140,Strike2,AE140,AQ140,0,N140,0,P140,Q140,IF(OptControl=3,1,0),0),0)</f>
        <v>0</v>
      </c>
      <c r="BB140" s="126" t="str">
        <f t="shared" ca="1" si="266"/>
        <v/>
      </c>
      <c r="BC140" s="191" t="str">
        <f t="shared" ca="1" si="267"/>
        <v/>
      </c>
      <c r="BD140" s="191" t="str">
        <f t="shared" ca="1" si="268"/>
        <v/>
      </c>
      <c r="BE140" s="190" t="str">
        <f t="shared" ca="1" si="269"/>
        <v/>
      </c>
      <c r="BF140" s="194" t="str">
        <f t="shared" ca="1" si="270"/>
        <v/>
      </c>
      <c r="BG140" s="194" t="str">
        <f t="shared" ca="1" si="271"/>
        <v/>
      </c>
      <c r="BH140" s="195">
        <f ca="1">IF(AH140,_xll.xEURO(BB140,Strike1,AE140,AE140,BF140,O140,IF(OptControl=4,0,1),0),0)</f>
        <v>0</v>
      </c>
      <c r="BI140" s="196">
        <f ca="1">IF(AH140,_xll.xEURO(BB140,Strike1,AE140,AE140,BF140,O140,IF(OptControl=4,0,1),1),0)</f>
        <v>0</v>
      </c>
      <c r="BJ140" s="196">
        <f ca="1">IF(AH140,_xll.xEURO(BB140,Strike1,AE140,AE140,BF140,O140,IF(OptControl=4,0,1),2),0)</f>
        <v>0</v>
      </c>
      <c r="BK140" s="196">
        <f ca="1">IF(AH140,_xll.xEURO(BB140,Strike1,AE140,AE140,BF140,O140,IF(OptControl=4,0,1),3)/100,0)</f>
        <v>0</v>
      </c>
      <c r="BL140" s="196">
        <f ca="1">IF(AH140,_xll.xEURO(BB140,Strike1,AE140,AE140,BF140,O140-DaysForThetaCalculation,IF(OptControl=4,0,1),0)-_xll.xEURO(BB140,Strike1,AE140,AE140,BF140,O140,IF(OptControl=4,0,1),0),0)</f>
        <v>0</v>
      </c>
      <c r="BM140" s="196">
        <f ca="1">IF(AH140,_xll.xEURO(BB140,Strike2,AE140,AE140,BG140,O140,IF(OptControl=3,1,0),0),0)</f>
        <v>0</v>
      </c>
      <c r="BN140" s="196">
        <f ca="1">IF(AH140,_xll.xEURO(BB140,Strike2,AE140,AE140,BG140,O140,IF(OptControl=3,1,0),1),0)</f>
        <v>0</v>
      </c>
      <c r="BO140" s="196">
        <f ca="1">IF(AH140,_xll.xEURO(BB140,Strike2,AE140,AE140,BG140,O140,IF(OptControl=3,1,0),2),0)</f>
        <v>0</v>
      </c>
      <c r="BP140" s="196">
        <f ca="1">IF(AH140,_xll.xEURO(BB140,Strike2,AE140,AE140,BG140,O140,IF(OptControl=3,1,0),3)/100,0)</f>
        <v>0</v>
      </c>
      <c r="BQ140" s="197">
        <f ca="1">IF(AH140,_xll.xEURO(BB140,Strike2,AE140,AE140,BG140,O140-DaysForThetaCalculation,IF(OptControl=3,1,0),0)-_xll.xEURO(BB140,Strike2,AE140,AE140,BG140,O140,IF(OptControl=3,1,0),0),0)</f>
        <v>0</v>
      </c>
      <c r="BR140" s="301"/>
      <c r="BS140" s="114"/>
      <c r="BT140" s="345">
        <f t="shared" si="237"/>
        <v>0</v>
      </c>
      <c r="BU140" s="345">
        <f t="shared" ca="1" si="185"/>
        <v>-21.716666666666665</v>
      </c>
      <c r="BV140" s="73"/>
      <c r="BW140" s="345">
        <f t="shared" ca="1" si="182"/>
        <v>8.7236666666666718</v>
      </c>
      <c r="BX140" s="345">
        <f t="shared" ca="1" si="186"/>
        <v>73.497929606625263</v>
      </c>
      <c r="BY140" s="373">
        <f t="shared" ca="1" si="238"/>
        <v>72.476984126984121</v>
      </c>
      <c r="BZ140" s="114"/>
      <c r="CA140" s="345">
        <f t="shared" si="239"/>
        <v>0</v>
      </c>
      <c r="CB140" s="345">
        <f t="shared" ca="1" si="187"/>
        <v>-21.716666666666665</v>
      </c>
      <c r="CC140" s="345">
        <f t="shared" ca="1" si="183"/>
        <v>6.0986666666666753</v>
      </c>
      <c r="CD140" s="345">
        <f t="shared" ca="1" si="240"/>
        <v>66.226984126984149</v>
      </c>
      <c r="CE140" s="347">
        <f t="shared" ca="1" si="272"/>
        <v>-6.2499999999999716</v>
      </c>
      <c r="CF140" s="114"/>
      <c r="CG140" s="345">
        <f t="shared" si="241"/>
        <v>0</v>
      </c>
      <c r="CH140" s="345">
        <f t="shared" ca="1" si="242"/>
        <v>-21.716666666666665</v>
      </c>
      <c r="CI140" s="73"/>
      <c r="CJ140" s="345">
        <f t="shared" ca="1" si="190"/>
        <v>3.3970000000000011</v>
      </c>
      <c r="CK140" s="345">
        <f t="shared" ca="1" si="184"/>
        <v>59.493581780538292</v>
      </c>
      <c r="CL140" s="345">
        <f t="shared" ca="1" si="243"/>
        <v>59.794444444444444</v>
      </c>
      <c r="CM140" s="114"/>
      <c r="CN140" s="345">
        <f t="shared" si="244"/>
        <v>0</v>
      </c>
      <c r="CO140" s="345">
        <f t="shared" ca="1" si="245"/>
        <v>-21.716666666666665</v>
      </c>
      <c r="CP140" s="345">
        <f t="shared" ca="1" si="192"/>
        <v>2.4729999999999981</v>
      </c>
      <c r="CQ140" s="345">
        <f t="shared" ca="1" si="246"/>
        <v>57.594444444444434</v>
      </c>
      <c r="CR140" s="347">
        <f t="shared" ca="1" si="273"/>
        <v>-2.2000000000000099</v>
      </c>
      <c r="CS140" s="114"/>
      <c r="CT140" s="345">
        <f t="shared" si="247"/>
        <v>0</v>
      </c>
      <c r="CU140" s="345">
        <f t="shared" si="274"/>
        <v>0</v>
      </c>
      <c r="CV140" s="345">
        <f t="shared" ca="1" si="191"/>
        <v>2.0999999999999939</v>
      </c>
      <c r="CW140" s="347">
        <f t="shared" ca="1" si="275"/>
        <v>61.894444444444439</v>
      </c>
      <c r="CX140" s="483"/>
      <c r="CY140" s="190">
        <f t="shared" si="248"/>
        <v>-0.16369999999999901</v>
      </c>
      <c r="CZ140" s="190">
        <f t="shared" ref="CZ140:CZ186" ca="1" si="280">VLOOKUP(1900+$L140,ProductSpreadTable,7)</f>
        <v>-0.03</v>
      </c>
      <c r="DA140" s="354">
        <f t="shared" ca="1" si="249"/>
        <v>0.13369999999999901</v>
      </c>
      <c r="DB140" s="483"/>
      <c r="DC140" s="190">
        <f t="shared" si="250"/>
        <v>-0.16369999999999901</v>
      </c>
      <c r="DD140" s="190">
        <f t="shared" ref="DD140:DD186" ca="1" si="281">VLOOKUP(1900+$L140,ProductSpreadTable,8)</f>
        <v>0.03</v>
      </c>
      <c r="DE140" s="354">
        <f t="shared" ca="1" si="251"/>
        <v>0.19369999999999901</v>
      </c>
      <c r="DG140" s="341"/>
      <c r="DH140" s="114"/>
      <c r="DI140" s="126">
        <f t="shared" ca="1" si="276"/>
        <v>-21.716666666666665</v>
      </c>
      <c r="DJ140" s="126">
        <f t="shared" ca="1" si="224"/>
        <v>-2</v>
      </c>
      <c r="DK140" s="356">
        <f t="shared" ca="1" si="225"/>
        <v>19.716666666666665</v>
      </c>
      <c r="DL140" s="114"/>
      <c r="DM140" s="126">
        <f t="shared" ca="1" si="277"/>
        <v>-21.716666666666665</v>
      </c>
      <c r="DN140" s="126">
        <f t="shared" ca="1" si="252"/>
        <v>-3</v>
      </c>
      <c r="DO140" s="356">
        <f t="shared" ca="1" si="226"/>
        <v>18.716666666666665</v>
      </c>
      <c r="DP140" s="114"/>
      <c r="DQ140" s="126">
        <f t="shared" ca="1" si="278"/>
        <v>-21.716666666666665</v>
      </c>
      <c r="DR140" s="126">
        <f t="shared" ca="1" si="253"/>
        <v>-6</v>
      </c>
      <c r="DS140" s="356">
        <f t="shared" ca="1" si="227"/>
        <v>15.716666666666665</v>
      </c>
      <c r="DT140" s="114"/>
      <c r="DU140" s="126">
        <f t="shared" ca="1" si="279"/>
        <v>-21.716666666666665</v>
      </c>
      <c r="DV140" s="126">
        <f t="shared" ca="1" si="254"/>
        <v>-5</v>
      </c>
      <c r="DW140" s="356">
        <f t="shared" ca="1" si="228"/>
        <v>16.716666666666665</v>
      </c>
    </row>
    <row r="141" spans="2:127" x14ac:dyDescent="0.25">
      <c r="B141" s="396">
        <v>39845</v>
      </c>
      <c r="C141" s="400">
        <v>39835</v>
      </c>
      <c r="I141" s="136">
        <f t="shared" ca="1" si="229"/>
        <v>41091</v>
      </c>
      <c r="J141" s="131">
        <f t="shared" ca="1" si="230"/>
        <v>41080</v>
      </c>
      <c r="K141" s="106">
        <f t="shared" ca="1" si="231"/>
        <v>0.68181818181818177</v>
      </c>
      <c r="L141" s="133">
        <f t="shared" ca="1" si="193"/>
        <v>112</v>
      </c>
      <c r="M141" s="134">
        <f t="shared" ca="1" si="194"/>
        <v>7</v>
      </c>
      <c r="N141" s="103">
        <f t="shared" ca="1" si="216"/>
        <v>22</v>
      </c>
      <c r="O141" s="104">
        <f t="shared" ca="1" si="232"/>
        <v>4132</v>
      </c>
      <c r="P141" s="105">
        <f t="shared" ca="1" si="195"/>
        <v>11.326488706365502</v>
      </c>
      <c r="Q141" s="105">
        <f t="shared" ca="1" si="196"/>
        <v>11.408624229979466</v>
      </c>
      <c r="R141" s="114">
        <v>21.7</v>
      </c>
      <c r="S141" s="198">
        <v>0</v>
      </c>
      <c r="T141" s="189">
        <f t="shared" si="233"/>
        <v>21.7</v>
      </c>
      <c r="U141" s="199">
        <f t="shared" ca="1" si="217"/>
        <v>21.765909090909091</v>
      </c>
      <c r="V141" s="379">
        <f t="shared" ca="1" si="218"/>
        <v>21.765909090909091</v>
      </c>
      <c r="W141" s="483">
        <v>0.16329999999999903</v>
      </c>
      <c r="X141" s="166" t="str">
        <f t="shared" ca="1" si="219"/>
        <v/>
      </c>
      <c r="Y141" s="91">
        <f t="shared" ca="1" si="255"/>
        <v>8.1182475336249798E-4</v>
      </c>
      <c r="Z141" s="91">
        <f t="shared" ca="1" si="256"/>
        <v>2.4114027078411967E-4</v>
      </c>
      <c r="AA141" s="91">
        <f t="shared" ca="1" si="257"/>
        <v>7.9789967918380596E-5</v>
      </c>
      <c r="AB141" s="91">
        <f t="shared" ca="1" si="258"/>
        <v>1.7975083972653945E-4</v>
      </c>
      <c r="AC141" s="91">
        <f t="shared" ca="1" si="259"/>
        <v>5.432408020225062E-4</v>
      </c>
      <c r="AD141" s="91">
        <f t="shared" ca="1" si="260"/>
        <v>1.8288788043749186E-3</v>
      </c>
      <c r="AE141" s="124">
        <v>7.3717947617601032E-2</v>
      </c>
      <c r="AF141" s="191">
        <f t="shared" ca="1" si="261"/>
        <v>0.43784451173393624</v>
      </c>
      <c r="AG141" s="189">
        <f t="shared" ca="1" si="234"/>
        <v>1</v>
      </c>
      <c r="AH141" s="192">
        <f t="shared" ca="1" si="220"/>
        <v>0</v>
      </c>
      <c r="AI141" s="192">
        <f t="shared" ca="1" si="221"/>
        <v>0</v>
      </c>
      <c r="AJ141" s="192">
        <f t="shared" ca="1" si="222"/>
        <v>0</v>
      </c>
      <c r="AK141" s="192">
        <f t="shared" ca="1" si="223"/>
        <v>0</v>
      </c>
      <c r="AL141" s="191" t="str">
        <f t="shared" ca="1" si="262"/>
        <v/>
      </c>
      <c r="AM141" s="191" t="str">
        <f t="shared" ca="1" si="263"/>
        <v/>
      </c>
      <c r="AN141" s="191" t="str">
        <f t="shared" ca="1" si="264"/>
        <v/>
      </c>
      <c r="AO141" s="193" t="str">
        <f t="shared" ca="1" si="265"/>
        <v/>
      </c>
      <c r="AP141" s="194" t="str">
        <f t="shared" ca="1" si="235"/>
        <v/>
      </c>
      <c r="AQ141" s="194" t="str">
        <f t="shared" ca="1" si="236"/>
        <v/>
      </c>
      <c r="AR141" s="195">
        <f ca="1">IF(AH141,_xll.xASN(AL141,Strike1,AE141,AP141,0,N141,0,P141,Q141,IF(OptControl=4,0,1),0),0)</f>
        <v>0</v>
      </c>
      <c r="AS141" s="196">
        <f ca="1">IF(AH141,_xll.xASN(AL141,Strike1,AE141,AP141,0,N141,0,P141,Q141,IF(OptControl=4,0,1),1),0)</f>
        <v>0</v>
      </c>
      <c r="AT141" s="196">
        <f ca="1">IF(AH141,_xll.xASN(AL141,Strike1,AE141,AP141,0,N141,0,P141,Q141,IF(OptControl=4,0,1),2),0)</f>
        <v>0</v>
      </c>
      <c r="AU141" s="196">
        <f ca="1">IF(AH141,_xll.xASN(AL141,Strike1,AE141,AP141,0,N141,0,P141,Q141,IF(OptControl=4,0,1),3)/100,0)</f>
        <v>0</v>
      </c>
      <c r="AV141" s="196">
        <f ca="1">IF(AH141,_xll.xASN(AL141,Strike1,AE141,AP141,0,N141,0,P141-DaysForThetaCalculation/365.25,Q141-DaysForThetaCalculation/365.25,IF(OptControl=4,0,1),0)-_xll.xASN(AL141,Strike1,AE141,AP141,0,N141,0,P141,Q141,IF(OptControl=4,0,1),0),0)</f>
        <v>0</v>
      </c>
      <c r="AW141" s="196">
        <f ca="1">IF(AH141,_xll.xASN(AL141,Strike2,AE141,AQ141,0,N141,0,P141,Q141,IF(OptControl=3,1,0),0),0)</f>
        <v>0</v>
      </c>
      <c r="AX141" s="196">
        <f ca="1">IF(AH141,_xll.xASN(AL141,Strike2,AE141,AQ141,0,N141,0,P141,Q141,IF(OptControl=3,1,0),1),0)</f>
        <v>0</v>
      </c>
      <c r="AY141" s="196">
        <f ca="1">IF(AH141,_xll.xASN(AL141,Strike2,AE141,AQ141,0,N141,0,P141,Q141,IF(OptControl=3,1,0),2),0)</f>
        <v>0</v>
      </c>
      <c r="AZ141" s="196">
        <f ca="1">IF(AH141,_xll.xASN(AL141,Strike2,AE141,AQ141,0,N141,0,P141,Q141,IF(OptControl=3,1,0),3)/100,0)</f>
        <v>0</v>
      </c>
      <c r="BA141" s="196">
        <f ca="1">IF(AH141,_xll.xASN(AL141,Strike2,AE141,AQ141,0,N141,0,P141-DaysForThetaCalculation/365.25,Q141-DaysForThetaCalculation/365.25,IF(OptControl=3,1,0),0)-_xll.xASN(AL141,Strike2,AE141,AQ141,0,N141,0,P141,Q141,IF(OptControl=3,1,0),0),0)</f>
        <v>0</v>
      </c>
      <c r="BB141" s="126" t="str">
        <f t="shared" ca="1" si="266"/>
        <v/>
      </c>
      <c r="BC141" s="191" t="str">
        <f t="shared" ca="1" si="267"/>
        <v/>
      </c>
      <c r="BD141" s="191" t="str">
        <f t="shared" ca="1" si="268"/>
        <v/>
      </c>
      <c r="BE141" s="190" t="str">
        <f t="shared" ca="1" si="269"/>
        <v/>
      </c>
      <c r="BF141" s="194" t="str">
        <f t="shared" ca="1" si="270"/>
        <v/>
      </c>
      <c r="BG141" s="194" t="str">
        <f t="shared" ca="1" si="271"/>
        <v/>
      </c>
      <c r="BH141" s="195">
        <f ca="1">IF(AH141,_xll.xEURO(BB141,Strike1,AE141,AE141,BF141,O141,IF(OptControl=4,0,1),0),0)</f>
        <v>0</v>
      </c>
      <c r="BI141" s="196">
        <f ca="1">IF(AH141,_xll.xEURO(BB141,Strike1,AE141,AE141,BF141,O141,IF(OptControl=4,0,1),1),0)</f>
        <v>0</v>
      </c>
      <c r="BJ141" s="196">
        <f ca="1">IF(AH141,_xll.xEURO(BB141,Strike1,AE141,AE141,BF141,O141,IF(OptControl=4,0,1),2),0)</f>
        <v>0</v>
      </c>
      <c r="BK141" s="196">
        <f ca="1">IF(AH141,_xll.xEURO(BB141,Strike1,AE141,AE141,BF141,O141,IF(OptControl=4,0,1),3)/100,0)</f>
        <v>0</v>
      </c>
      <c r="BL141" s="196">
        <f ca="1">IF(AH141,_xll.xEURO(BB141,Strike1,AE141,AE141,BF141,O141-DaysForThetaCalculation,IF(OptControl=4,0,1),0)-_xll.xEURO(BB141,Strike1,AE141,AE141,BF141,O141,IF(OptControl=4,0,1),0),0)</f>
        <v>0</v>
      </c>
      <c r="BM141" s="196">
        <f ca="1">IF(AH141,_xll.xEURO(BB141,Strike2,AE141,AE141,BG141,O141,IF(OptControl=3,1,0),0),0)</f>
        <v>0</v>
      </c>
      <c r="BN141" s="196">
        <f ca="1">IF(AH141,_xll.xEURO(BB141,Strike2,AE141,AE141,BG141,O141,IF(OptControl=3,1,0),1),0)</f>
        <v>0</v>
      </c>
      <c r="BO141" s="196">
        <f ca="1">IF(AH141,_xll.xEURO(BB141,Strike2,AE141,AE141,BG141,O141,IF(OptControl=3,1,0),2),0)</f>
        <v>0</v>
      </c>
      <c r="BP141" s="196">
        <f ca="1">IF(AH141,_xll.xEURO(BB141,Strike2,AE141,AE141,BG141,O141,IF(OptControl=3,1,0),3)/100,0)</f>
        <v>0</v>
      </c>
      <c r="BQ141" s="197">
        <f ca="1">IF(AH141,_xll.xEURO(BB141,Strike2,AE141,AE141,BG141,O141-DaysForThetaCalculation,IF(OptControl=3,1,0),0)-_xll.xEURO(BB141,Strike2,AE141,AE141,BG141,O141,IF(OptControl=3,1,0),0),0)</f>
        <v>0</v>
      </c>
      <c r="BR141" s="301"/>
      <c r="BS141" s="114"/>
      <c r="BT141" s="345">
        <f t="shared" si="237"/>
        <v>0</v>
      </c>
      <c r="BU141" s="345">
        <f t="shared" ca="1" si="185"/>
        <v>-21.765909090909091</v>
      </c>
      <c r="BV141" s="73"/>
      <c r="BW141" s="345">
        <f t="shared" ca="1" si="182"/>
        <v>8.1833636363636497</v>
      </c>
      <c r="BX141" s="345">
        <f t="shared" ca="1" si="186"/>
        <v>72.476984126984121</v>
      </c>
      <c r="BY141" s="373">
        <f t="shared" ca="1" si="238"/>
        <v>71.307792207792247</v>
      </c>
      <c r="BZ141" s="114"/>
      <c r="CA141" s="345">
        <f t="shared" si="239"/>
        <v>0</v>
      </c>
      <c r="CB141" s="345">
        <f t="shared" ca="1" si="187"/>
        <v>-21.765909090909091</v>
      </c>
      <c r="CC141" s="345">
        <f t="shared" ca="1" si="183"/>
        <v>5.768363636363647</v>
      </c>
      <c r="CD141" s="345">
        <f t="shared" ca="1" si="240"/>
        <v>65.557792207792232</v>
      </c>
      <c r="CE141" s="347">
        <f t="shared" ca="1" si="272"/>
        <v>-5.7500000000000142</v>
      </c>
      <c r="CF141" s="114"/>
      <c r="CG141" s="345">
        <f t="shared" si="241"/>
        <v>0</v>
      </c>
      <c r="CH141" s="345">
        <f t="shared" ca="1" si="242"/>
        <v>-21.765909090909091</v>
      </c>
      <c r="CI141" s="73"/>
      <c r="CJ141" s="345">
        <f t="shared" ca="1" si="190"/>
        <v>3.736043478260874</v>
      </c>
      <c r="CK141" s="345">
        <f t="shared" ca="1" si="184"/>
        <v>59.794444444444444</v>
      </c>
      <c r="CL141" s="345">
        <f t="shared" ca="1" si="243"/>
        <v>60.718934688499921</v>
      </c>
      <c r="CM141" s="114"/>
      <c r="CN141" s="345">
        <f t="shared" si="244"/>
        <v>0</v>
      </c>
      <c r="CO141" s="345">
        <f t="shared" ca="1" si="245"/>
        <v>-21.765909090909091</v>
      </c>
      <c r="CP141" s="345">
        <f t="shared" ca="1" si="192"/>
        <v>2.812043478260871</v>
      </c>
      <c r="CQ141" s="345">
        <f t="shared" ca="1" si="246"/>
        <v>58.518934688499904</v>
      </c>
      <c r="CR141" s="347">
        <f t="shared" ca="1" si="273"/>
        <v>-2.2000000000000171</v>
      </c>
      <c r="CS141" s="114"/>
      <c r="CT141" s="345">
        <f t="shared" si="247"/>
        <v>0</v>
      </c>
      <c r="CU141" s="345">
        <f t="shared" si="274"/>
        <v>0</v>
      </c>
      <c r="CV141" s="345">
        <f t="shared" ca="1" si="191"/>
        <v>2.0999999999999939</v>
      </c>
      <c r="CW141" s="347">
        <f t="shared" ca="1" si="275"/>
        <v>62.818934688499915</v>
      </c>
      <c r="CX141" s="483"/>
      <c r="CY141" s="190">
        <f t="shared" si="248"/>
        <v>-0.16329999999999903</v>
      </c>
      <c r="CZ141" s="190">
        <f t="shared" ca="1" si="280"/>
        <v>-0.03</v>
      </c>
      <c r="DA141" s="354">
        <f t="shared" ca="1" si="249"/>
        <v>0.13329999999999903</v>
      </c>
      <c r="DB141" s="483"/>
      <c r="DC141" s="190">
        <f t="shared" si="250"/>
        <v>-0.16329999999999903</v>
      </c>
      <c r="DD141" s="190">
        <f t="shared" ca="1" si="281"/>
        <v>0.03</v>
      </c>
      <c r="DE141" s="354">
        <f t="shared" ca="1" si="251"/>
        <v>0.19329999999999903</v>
      </c>
      <c r="DG141" s="341"/>
      <c r="DH141" s="114"/>
      <c r="DI141" s="126">
        <f t="shared" ca="1" si="276"/>
        <v>-21.765909090909091</v>
      </c>
      <c r="DJ141" s="126">
        <f t="shared" ca="1" si="224"/>
        <v>-2</v>
      </c>
      <c r="DK141" s="356">
        <f t="shared" ca="1" si="225"/>
        <v>19.765909090909091</v>
      </c>
      <c r="DL141" s="114"/>
      <c r="DM141" s="126">
        <f t="shared" ca="1" si="277"/>
        <v>-21.765909090909091</v>
      </c>
      <c r="DN141" s="126">
        <f t="shared" ca="1" si="252"/>
        <v>-3</v>
      </c>
      <c r="DO141" s="356">
        <f t="shared" ca="1" si="226"/>
        <v>18.765909090909091</v>
      </c>
      <c r="DP141" s="114"/>
      <c r="DQ141" s="126">
        <f t="shared" ca="1" si="278"/>
        <v>-21.765909090909091</v>
      </c>
      <c r="DR141" s="126">
        <f t="shared" ca="1" si="253"/>
        <v>-6</v>
      </c>
      <c r="DS141" s="356">
        <f t="shared" ca="1" si="227"/>
        <v>15.765909090909091</v>
      </c>
      <c r="DT141" s="114"/>
      <c r="DU141" s="126">
        <f t="shared" ca="1" si="279"/>
        <v>-21.765909090909091</v>
      </c>
      <c r="DV141" s="126">
        <f t="shared" ca="1" si="254"/>
        <v>-5</v>
      </c>
      <c r="DW141" s="356">
        <f t="shared" ca="1" si="228"/>
        <v>16.765909090909091</v>
      </c>
    </row>
    <row r="142" spans="2:127" x14ac:dyDescent="0.25">
      <c r="B142" s="396">
        <v>39873</v>
      </c>
      <c r="C142" s="400">
        <v>39864</v>
      </c>
      <c r="I142" s="136">
        <f t="shared" ca="1" si="229"/>
        <v>41122</v>
      </c>
      <c r="J142" s="131">
        <f t="shared" ca="1" si="230"/>
        <v>41110</v>
      </c>
      <c r="K142" s="106">
        <f t="shared" ca="1" si="231"/>
        <v>0.65217391304347827</v>
      </c>
      <c r="L142" s="133">
        <f t="shared" ca="1" si="193"/>
        <v>112</v>
      </c>
      <c r="M142" s="134">
        <f t="shared" ca="1" si="194"/>
        <v>8</v>
      </c>
      <c r="N142" s="103">
        <f t="shared" ca="1" si="216"/>
        <v>23</v>
      </c>
      <c r="O142" s="104">
        <f t="shared" ca="1" si="232"/>
        <v>4162</v>
      </c>
      <c r="P142" s="105">
        <f t="shared" ca="1" si="195"/>
        <v>11.411362080766597</v>
      </c>
      <c r="Q142" s="105">
        <f t="shared" ca="1" si="196"/>
        <v>11.493497604380561</v>
      </c>
      <c r="R142" s="114">
        <v>21.75</v>
      </c>
      <c r="S142" s="198">
        <v>0</v>
      </c>
      <c r="T142" s="189">
        <f t="shared" si="233"/>
        <v>21.75</v>
      </c>
      <c r="U142" s="199">
        <f t="shared" ca="1" si="217"/>
        <v>21.817391304347826</v>
      </c>
      <c r="V142" s="379">
        <f t="shared" ca="1" si="218"/>
        <v>21.817391304347826</v>
      </c>
      <c r="W142" s="483">
        <v>0.16289999999999905</v>
      </c>
      <c r="X142" s="166" t="str">
        <f t="shared" ca="1" si="219"/>
        <v/>
      </c>
      <c r="Y142" s="91">
        <f t="shared" ca="1" si="255"/>
        <v>7.9444482011941796E-4</v>
      </c>
      <c r="Z142" s="91">
        <f t="shared" ca="1" si="256"/>
        <v>2.3471438681476478E-4</v>
      </c>
      <c r="AA142" s="91">
        <f t="shared" ca="1" si="257"/>
        <v>7.7455469475960816E-5</v>
      </c>
      <c r="AB142" s="91">
        <f t="shared" ca="1" si="258"/>
        <v>1.7449168163545604E-4</v>
      </c>
      <c r="AC142" s="91">
        <f t="shared" ca="1" si="259"/>
        <v>5.2876457061634251E-4</v>
      </c>
      <c r="AD142" s="91">
        <f t="shared" ca="1" si="260"/>
        <v>1.7897252907649076E-3</v>
      </c>
      <c r="AE142" s="124">
        <v>7.3713986058899006E-2</v>
      </c>
      <c r="AF142" s="191">
        <f t="shared" ca="1" si="261"/>
        <v>0.4351816909447605</v>
      </c>
      <c r="AG142" s="189">
        <f t="shared" ca="1" si="234"/>
        <v>1</v>
      </c>
      <c r="AH142" s="192">
        <f t="shared" ca="1" si="220"/>
        <v>0</v>
      </c>
      <c r="AI142" s="192">
        <f t="shared" ca="1" si="221"/>
        <v>0</v>
      </c>
      <c r="AJ142" s="192">
        <f t="shared" ca="1" si="222"/>
        <v>0</v>
      </c>
      <c r="AK142" s="192">
        <f t="shared" ca="1" si="223"/>
        <v>0</v>
      </c>
      <c r="AL142" s="191" t="str">
        <f t="shared" ca="1" si="262"/>
        <v/>
      </c>
      <c r="AM142" s="191" t="str">
        <f t="shared" ca="1" si="263"/>
        <v/>
      </c>
      <c r="AN142" s="191" t="str">
        <f t="shared" ca="1" si="264"/>
        <v/>
      </c>
      <c r="AO142" s="193" t="str">
        <f t="shared" ca="1" si="265"/>
        <v/>
      </c>
      <c r="AP142" s="194" t="str">
        <f t="shared" ca="1" si="235"/>
        <v/>
      </c>
      <c r="AQ142" s="194" t="str">
        <f t="shared" ca="1" si="236"/>
        <v/>
      </c>
      <c r="AR142" s="195">
        <f ca="1">IF(AH142,_xll.xASN(AL142,Strike1,AE142,AP142,0,N142,0,P142,Q142,IF(OptControl=4,0,1),0),0)</f>
        <v>0</v>
      </c>
      <c r="AS142" s="196">
        <f ca="1">IF(AH142,_xll.xASN(AL142,Strike1,AE142,AP142,0,N142,0,P142,Q142,IF(OptControl=4,0,1),1),0)</f>
        <v>0</v>
      </c>
      <c r="AT142" s="196">
        <f ca="1">IF(AH142,_xll.xASN(AL142,Strike1,AE142,AP142,0,N142,0,P142,Q142,IF(OptControl=4,0,1),2),0)</f>
        <v>0</v>
      </c>
      <c r="AU142" s="196">
        <f ca="1">IF(AH142,_xll.xASN(AL142,Strike1,AE142,AP142,0,N142,0,P142,Q142,IF(OptControl=4,0,1),3)/100,0)</f>
        <v>0</v>
      </c>
      <c r="AV142" s="196">
        <f ca="1">IF(AH142,_xll.xASN(AL142,Strike1,AE142,AP142,0,N142,0,P142-DaysForThetaCalculation/365.25,Q142-DaysForThetaCalculation/365.25,IF(OptControl=4,0,1),0)-_xll.xASN(AL142,Strike1,AE142,AP142,0,N142,0,P142,Q142,IF(OptControl=4,0,1),0),0)</f>
        <v>0</v>
      </c>
      <c r="AW142" s="196">
        <f ca="1">IF(AH142,_xll.xASN(AL142,Strike2,AE142,AQ142,0,N142,0,P142,Q142,IF(OptControl=3,1,0),0),0)</f>
        <v>0</v>
      </c>
      <c r="AX142" s="196">
        <f ca="1">IF(AH142,_xll.xASN(AL142,Strike2,AE142,AQ142,0,N142,0,P142,Q142,IF(OptControl=3,1,0),1),0)</f>
        <v>0</v>
      </c>
      <c r="AY142" s="196">
        <f ca="1">IF(AH142,_xll.xASN(AL142,Strike2,AE142,AQ142,0,N142,0,P142,Q142,IF(OptControl=3,1,0),2),0)</f>
        <v>0</v>
      </c>
      <c r="AZ142" s="196">
        <f ca="1">IF(AH142,_xll.xASN(AL142,Strike2,AE142,AQ142,0,N142,0,P142,Q142,IF(OptControl=3,1,0),3)/100,0)</f>
        <v>0</v>
      </c>
      <c r="BA142" s="196">
        <f ca="1">IF(AH142,_xll.xASN(AL142,Strike2,AE142,AQ142,0,N142,0,P142-DaysForThetaCalculation/365.25,Q142-DaysForThetaCalculation/365.25,IF(OptControl=3,1,0),0)-_xll.xASN(AL142,Strike2,AE142,AQ142,0,N142,0,P142,Q142,IF(OptControl=3,1,0),0),0)</f>
        <v>0</v>
      </c>
      <c r="BB142" s="126" t="str">
        <f t="shared" ca="1" si="266"/>
        <v/>
      </c>
      <c r="BC142" s="191" t="str">
        <f t="shared" ca="1" si="267"/>
        <v/>
      </c>
      <c r="BD142" s="191" t="str">
        <f t="shared" ca="1" si="268"/>
        <v/>
      </c>
      <c r="BE142" s="190" t="str">
        <f t="shared" ca="1" si="269"/>
        <v/>
      </c>
      <c r="BF142" s="194" t="str">
        <f t="shared" ca="1" si="270"/>
        <v/>
      </c>
      <c r="BG142" s="194" t="str">
        <f t="shared" ca="1" si="271"/>
        <v/>
      </c>
      <c r="BH142" s="195">
        <f ca="1">IF(AH142,_xll.xEURO(BB142,Strike1,AE142,AE142,BF142,O142,IF(OptControl=4,0,1),0),0)</f>
        <v>0</v>
      </c>
      <c r="BI142" s="196">
        <f ca="1">IF(AH142,_xll.xEURO(BB142,Strike1,AE142,AE142,BF142,O142,IF(OptControl=4,0,1),1),0)</f>
        <v>0</v>
      </c>
      <c r="BJ142" s="196">
        <f ca="1">IF(AH142,_xll.xEURO(BB142,Strike1,AE142,AE142,BF142,O142,IF(OptControl=4,0,1),2),0)</f>
        <v>0</v>
      </c>
      <c r="BK142" s="196">
        <f ca="1">IF(AH142,_xll.xEURO(BB142,Strike1,AE142,AE142,BF142,O142,IF(OptControl=4,0,1),3)/100,0)</f>
        <v>0</v>
      </c>
      <c r="BL142" s="196">
        <f ca="1">IF(AH142,_xll.xEURO(BB142,Strike1,AE142,AE142,BF142,O142-DaysForThetaCalculation,IF(OptControl=4,0,1),0)-_xll.xEURO(BB142,Strike1,AE142,AE142,BF142,O142,IF(OptControl=4,0,1),0),0)</f>
        <v>0</v>
      </c>
      <c r="BM142" s="196">
        <f ca="1">IF(AH142,_xll.xEURO(BB142,Strike2,AE142,AE142,BG142,O142,IF(OptControl=3,1,0),0),0)</f>
        <v>0</v>
      </c>
      <c r="BN142" s="196">
        <f ca="1">IF(AH142,_xll.xEURO(BB142,Strike2,AE142,AE142,BG142,O142,IF(OptControl=3,1,0),1),0)</f>
        <v>0</v>
      </c>
      <c r="BO142" s="196">
        <f ca="1">IF(AH142,_xll.xEURO(BB142,Strike2,AE142,AE142,BG142,O142,IF(OptControl=3,1,0),2),0)</f>
        <v>0</v>
      </c>
      <c r="BP142" s="196">
        <f ca="1">IF(AH142,_xll.xEURO(BB142,Strike2,AE142,AE142,BG142,O142,IF(OptControl=3,1,0),3)/100,0)</f>
        <v>0</v>
      </c>
      <c r="BQ142" s="197">
        <f ca="1">IF(AH142,_xll.xEURO(BB142,Strike2,AE142,AE142,BG142,O142-DaysForThetaCalculation,IF(OptControl=3,1,0),0)-_xll.xEURO(BB142,Strike2,AE142,AE142,BG142,O142,IF(OptControl=3,1,0),0),0)</f>
        <v>0</v>
      </c>
      <c r="BR142" s="301"/>
      <c r="BS142" s="114"/>
      <c r="BT142" s="345">
        <f t="shared" si="237"/>
        <v>0</v>
      </c>
      <c r="BU142" s="345">
        <f t="shared" ca="1" si="185"/>
        <v>-21.817391304347826</v>
      </c>
      <c r="BV142" s="73"/>
      <c r="BW142" s="345">
        <f t="shared" ca="1" si="182"/>
        <v>7.6818695652173918</v>
      </c>
      <c r="BX142" s="345">
        <f t="shared" ca="1" si="186"/>
        <v>71.307792207792247</v>
      </c>
      <c r="BY142" s="373">
        <f t="shared" ca="1" si="238"/>
        <v>70.236335403726713</v>
      </c>
      <c r="BZ142" s="114"/>
      <c r="CA142" s="345">
        <f t="shared" si="239"/>
        <v>0</v>
      </c>
      <c r="CB142" s="345">
        <f t="shared" ca="1" si="187"/>
        <v>-21.817391304347826</v>
      </c>
      <c r="CC142" s="345">
        <f t="shared" ca="1" si="183"/>
        <v>5.2668695652173918</v>
      </c>
      <c r="CD142" s="345">
        <f t="shared" ca="1" si="240"/>
        <v>64.486335403726713</v>
      </c>
      <c r="CE142" s="347">
        <f t="shared" ca="1" si="272"/>
        <v>-5.75</v>
      </c>
      <c r="CF142" s="114"/>
      <c r="CG142" s="345">
        <f t="shared" si="241"/>
        <v>0</v>
      </c>
      <c r="CH142" s="345">
        <f t="shared" ca="1" si="242"/>
        <v>-21.817391304347826</v>
      </c>
      <c r="CI142" s="73"/>
      <c r="CJ142" s="345">
        <f t="shared" ca="1" si="190"/>
        <v>4.1434545454545448</v>
      </c>
      <c r="CK142" s="345">
        <f t="shared" ca="1" si="184"/>
        <v>60.718934688499921</v>
      </c>
      <c r="CL142" s="345">
        <f t="shared" ca="1" si="243"/>
        <v>61.811537737624697</v>
      </c>
      <c r="CM142" s="114"/>
      <c r="CN142" s="345">
        <f t="shared" si="244"/>
        <v>0</v>
      </c>
      <c r="CO142" s="345">
        <f t="shared" ca="1" si="245"/>
        <v>-21.817391304347826</v>
      </c>
      <c r="CP142" s="345">
        <f t="shared" ca="1" si="192"/>
        <v>3.2194545454545453</v>
      </c>
      <c r="CQ142" s="345">
        <f t="shared" ca="1" si="246"/>
        <v>59.611537737624694</v>
      </c>
      <c r="CR142" s="347">
        <f t="shared" ca="1" si="273"/>
        <v>-2.2000000000000028</v>
      </c>
      <c r="CS142" s="114"/>
      <c r="CT142" s="345">
        <f t="shared" si="247"/>
        <v>0</v>
      </c>
      <c r="CU142" s="345">
        <f t="shared" si="274"/>
        <v>0</v>
      </c>
      <c r="CV142" s="345">
        <f t="shared" ca="1" si="191"/>
        <v>2.0999999999999939</v>
      </c>
      <c r="CW142" s="347">
        <f t="shared" ca="1" si="275"/>
        <v>63.911537737624691</v>
      </c>
      <c r="CX142" s="483"/>
      <c r="CY142" s="190">
        <f t="shared" si="248"/>
        <v>-0.16289999999999905</v>
      </c>
      <c r="CZ142" s="190">
        <f t="shared" ca="1" si="280"/>
        <v>-0.03</v>
      </c>
      <c r="DA142" s="354">
        <f t="shared" ca="1" si="249"/>
        <v>0.13289999999999905</v>
      </c>
      <c r="DB142" s="483"/>
      <c r="DC142" s="190">
        <f t="shared" si="250"/>
        <v>-0.16289999999999905</v>
      </c>
      <c r="DD142" s="190">
        <f t="shared" ca="1" si="281"/>
        <v>0.03</v>
      </c>
      <c r="DE142" s="354">
        <f t="shared" ca="1" si="251"/>
        <v>0.19289999999999904</v>
      </c>
      <c r="DG142" s="341"/>
      <c r="DH142" s="114"/>
      <c r="DI142" s="126">
        <f t="shared" ca="1" si="276"/>
        <v>-21.817391304347826</v>
      </c>
      <c r="DJ142" s="126">
        <f t="shared" ca="1" si="224"/>
        <v>-2</v>
      </c>
      <c r="DK142" s="356">
        <f t="shared" ca="1" si="225"/>
        <v>19.817391304347826</v>
      </c>
      <c r="DL142" s="114"/>
      <c r="DM142" s="126">
        <f t="shared" ca="1" si="277"/>
        <v>-21.817391304347826</v>
      </c>
      <c r="DN142" s="126">
        <f t="shared" ca="1" si="252"/>
        <v>-3</v>
      </c>
      <c r="DO142" s="356">
        <f t="shared" ca="1" si="226"/>
        <v>18.817391304347826</v>
      </c>
      <c r="DP142" s="114"/>
      <c r="DQ142" s="126">
        <f t="shared" ca="1" si="278"/>
        <v>-21.817391304347826</v>
      </c>
      <c r="DR142" s="126">
        <f t="shared" ca="1" si="253"/>
        <v>-6</v>
      </c>
      <c r="DS142" s="356">
        <f t="shared" ca="1" si="227"/>
        <v>15.817391304347826</v>
      </c>
      <c r="DT142" s="114"/>
      <c r="DU142" s="126">
        <f t="shared" ca="1" si="279"/>
        <v>-21.817391304347826</v>
      </c>
      <c r="DV142" s="126">
        <f t="shared" ca="1" si="254"/>
        <v>-5</v>
      </c>
      <c r="DW142" s="356">
        <f t="shared" ca="1" si="228"/>
        <v>16.817391304347826</v>
      </c>
    </row>
    <row r="143" spans="2:127" x14ac:dyDescent="0.25">
      <c r="B143" s="396">
        <v>39904</v>
      </c>
      <c r="C143" s="400">
        <v>39892</v>
      </c>
      <c r="I143" s="136">
        <f t="shared" ca="1" si="229"/>
        <v>41153</v>
      </c>
      <c r="J143" s="131">
        <f t="shared" ca="1" si="230"/>
        <v>41142</v>
      </c>
      <c r="K143" s="106">
        <f t="shared" ca="1" si="231"/>
        <v>0.7</v>
      </c>
      <c r="L143" s="133">
        <f t="shared" ca="1" si="193"/>
        <v>112</v>
      </c>
      <c r="M143" s="134">
        <f t="shared" ca="1" si="194"/>
        <v>9</v>
      </c>
      <c r="N143" s="103">
        <f t="shared" ca="1" si="216"/>
        <v>20</v>
      </c>
      <c r="O143" s="104">
        <f t="shared" ca="1" si="232"/>
        <v>4195</v>
      </c>
      <c r="P143" s="105">
        <f t="shared" ca="1" si="195"/>
        <v>11.496235455167694</v>
      </c>
      <c r="Q143" s="105">
        <f t="shared" ca="1" si="196"/>
        <v>11.575633127994525</v>
      </c>
      <c r="R143" s="114">
        <v>21.8</v>
      </c>
      <c r="S143" s="198">
        <v>0</v>
      </c>
      <c r="T143" s="189">
        <f t="shared" si="233"/>
        <v>21.8</v>
      </c>
      <c r="U143" s="199">
        <f t="shared" ca="1" si="217"/>
        <v>21.865000000000002</v>
      </c>
      <c r="V143" s="379">
        <f t="shared" ca="1" si="218"/>
        <v>21.865000000000002</v>
      </c>
      <c r="W143" s="483">
        <v>0.16249999999999903</v>
      </c>
      <c r="X143" s="166" t="str">
        <f t="shared" ca="1" si="219"/>
        <v/>
      </c>
      <c r="Y143" s="91">
        <f t="shared" ca="1" si="255"/>
        <v>7.774369648134577E-4</v>
      </c>
      <c r="Z143" s="91">
        <f t="shared" ca="1" si="256"/>
        <v>2.2845973921606396E-4</v>
      </c>
      <c r="AA143" s="91">
        <f t="shared" ca="1" si="257"/>
        <v>7.5189273893159117E-5</v>
      </c>
      <c r="AB143" s="91">
        <f t="shared" ca="1" si="258"/>
        <v>1.6938639622652023E-4</v>
      </c>
      <c r="AC143" s="91">
        <f t="shared" ca="1" si="259"/>
        <v>5.1467410050598831E-4</v>
      </c>
      <c r="AD143" s="91">
        <f t="shared" ca="1" si="260"/>
        <v>1.7514099943316402E-3</v>
      </c>
      <c r="AE143" s="124">
        <v>7.3710024500202032E-2</v>
      </c>
      <c r="AF143" s="191">
        <f t="shared" ca="1" si="261"/>
        <v>0.43262107220557605</v>
      </c>
      <c r="AG143" s="189">
        <f t="shared" ca="1" si="234"/>
        <v>1</v>
      </c>
      <c r="AH143" s="192">
        <f t="shared" ca="1" si="220"/>
        <v>0</v>
      </c>
      <c r="AI143" s="192">
        <f t="shared" ca="1" si="221"/>
        <v>0</v>
      </c>
      <c r="AJ143" s="192">
        <f t="shared" ca="1" si="222"/>
        <v>0</v>
      </c>
      <c r="AK143" s="192">
        <f t="shared" ca="1" si="223"/>
        <v>0</v>
      </c>
      <c r="AL143" s="191" t="str">
        <f t="shared" ca="1" si="262"/>
        <v/>
      </c>
      <c r="AM143" s="191" t="str">
        <f t="shared" ca="1" si="263"/>
        <v/>
      </c>
      <c r="AN143" s="191" t="str">
        <f t="shared" ca="1" si="264"/>
        <v/>
      </c>
      <c r="AO143" s="193" t="str">
        <f t="shared" ca="1" si="265"/>
        <v/>
      </c>
      <c r="AP143" s="194" t="str">
        <f t="shared" ca="1" si="235"/>
        <v/>
      </c>
      <c r="AQ143" s="194" t="str">
        <f t="shared" ca="1" si="236"/>
        <v/>
      </c>
      <c r="AR143" s="195">
        <f ca="1">IF(AH143,_xll.xASN(AL143,Strike1,AE143,AP143,0,N143,0,P143,Q143,IF(OptControl=4,0,1),0),0)</f>
        <v>0</v>
      </c>
      <c r="AS143" s="196">
        <f ca="1">IF(AH143,_xll.xASN(AL143,Strike1,AE143,AP143,0,N143,0,P143,Q143,IF(OptControl=4,0,1),1),0)</f>
        <v>0</v>
      </c>
      <c r="AT143" s="196">
        <f ca="1">IF(AH143,_xll.xASN(AL143,Strike1,AE143,AP143,0,N143,0,P143,Q143,IF(OptControl=4,0,1),2),0)</f>
        <v>0</v>
      </c>
      <c r="AU143" s="196">
        <f ca="1">IF(AH143,_xll.xASN(AL143,Strike1,AE143,AP143,0,N143,0,P143,Q143,IF(OptControl=4,0,1),3)/100,0)</f>
        <v>0</v>
      </c>
      <c r="AV143" s="196">
        <f ca="1">IF(AH143,_xll.xASN(AL143,Strike1,AE143,AP143,0,N143,0,P143-DaysForThetaCalculation/365.25,Q143-DaysForThetaCalculation/365.25,IF(OptControl=4,0,1),0)-_xll.xASN(AL143,Strike1,AE143,AP143,0,N143,0,P143,Q143,IF(OptControl=4,0,1),0),0)</f>
        <v>0</v>
      </c>
      <c r="AW143" s="196">
        <f ca="1">IF(AH143,_xll.xASN(AL143,Strike2,AE143,AQ143,0,N143,0,P143,Q143,IF(OptControl=3,1,0),0),0)</f>
        <v>0</v>
      </c>
      <c r="AX143" s="196">
        <f ca="1">IF(AH143,_xll.xASN(AL143,Strike2,AE143,AQ143,0,N143,0,P143,Q143,IF(OptControl=3,1,0),1),0)</f>
        <v>0</v>
      </c>
      <c r="AY143" s="196">
        <f ca="1">IF(AH143,_xll.xASN(AL143,Strike2,AE143,AQ143,0,N143,0,P143,Q143,IF(OptControl=3,1,0),2),0)</f>
        <v>0</v>
      </c>
      <c r="AZ143" s="196">
        <f ca="1">IF(AH143,_xll.xASN(AL143,Strike2,AE143,AQ143,0,N143,0,P143,Q143,IF(OptControl=3,1,0),3)/100,0)</f>
        <v>0</v>
      </c>
      <c r="BA143" s="196">
        <f ca="1">IF(AH143,_xll.xASN(AL143,Strike2,AE143,AQ143,0,N143,0,P143-DaysForThetaCalculation/365.25,Q143-DaysForThetaCalculation/365.25,IF(OptControl=3,1,0),0)-_xll.xASN(AL143,Strike2,AE143,AQ143,0,N143,0,P143,Q143,IF(OptControl=3,1,0),0),0)</f>
        <v>0</v>
      </c>
      <c r="BB143" s="126" t="str">
        <f t="shared" ca="1" si="266"/>
        <v/>
      </c>
      <c r="BC143" s="191" t="str">
        <f t="shared" ca="1" si="267"/>
        <v/>
      </c>
      <c r="BD143" s="191" t="str">
        <f t="shared" ca="1" si="268"/>
        <v/>
      </c>
      <c r="BE143" s="190" t="str">
        <f t="shared" ca="1" si="269"/>
        <v/>
      </c>
      <c r="BF143" s="194" t="str">
        <f t="shared" ca="1" si="270"/>
        <v/>
      </c>
      <c r="BG143" s="194" t="str">
        <f t="shared" ca="1" si="271"/>
        <v/>
      </c>
      <c r="BH143" s="195">
        <f ca="1">IF(AH143,_xll.xEURO(BB143,Strike1,AE143,AE143,BF143,O143,IF(OptControl=4,0,1),0),0)</f>
        <v>0</v>
      </c>
      <c r="BI143" s="196">
        <f ca="1">IF(AH143,_xll.xEURO(BB143,Strike1,AE143,AE143,BF143,O143,IF(OptControl=4,0,1),1),0)</f>
        <v>0</v>
      </c>
      <c r="BJ143" s="196">
        <f ca="1">IF(AH143,_xll.xEURO(BB143,Strike1,AE143,AE143,BF143,O143,IF(OptControl=4,0,1),2),0)</f>
        <v>0</v>
      </c>
      <c r="BK143" s="196">
        <f ca="1">IF(AH143,_xll.xEURO(BB143,Strike1,AE143,AE143,BF143,O143,IF(OptControl=4,0,1),3)/100,0)</f>
        <v>0</v>
      </c>
      <c r="BL143" s="196">
        <f ca="1">IF(AH143,_xll.xEURO(BB143,Strike1,AE143,AE143,BF143,O143-DaysForThetaCalculation,IF(OptControl=4,0,1),0)-_xll.xEURO(BB143,Strike1,AE143,AE143,BF143,O143,IF(OptControl=4,0,1),0),0)</f>
        <v>0</v>
      </c>
      <c r="BM143" s="196">
        <f ca="1">IF(AH143,_xll.xEURO(BB143,Strike2,AE143,AE143,BG143,O143,IF(OptControl=3,1,0),0),0)</f>
        <v>0</v>
      </c>
      <c r="BN143" s="196">
        <f ca="1">IF(AH143,_xll.xEURO(BB143,Strike2,AE143,AE143,BG143,O143,IF(OptControl=3,1,0),1),0)</f>
        <v>0</v>
      </c>
      <c r="BO143" s="196">
        <f ca="1">IF(AH143,_xll.xEURO(BB143,Strike2,AE143,AE143,BG143,O143,IF(OptControl=3,1,0),2),0)</f>
        <v>0</v>
      </c>
      <c r="BP143" s="196">
        <f ca="1">IF(AH143,_xll.xEURO(BB143,Strike2,AE143,AE143,BG143,O143,IF(OptControl=3,1,0),3)/100,0)</f>
        <v>0</v>
      </c>
      <c r="BQ143" s="197">
        <f ca="1">IF(AH143,_xll.xEURO(BB143,Strike2,AE143,AE143,BG143,O143-DaysForThetaCalculation,IF(OptControl=3,1,0),0)-_xll.xEURO(BB143,Strike2,AE143,AE143,BG143,O143,IF(OptControl=3,1,0),0),0)</f>
        <v>0</v>
      </c>
      <c r="BR143" s="301"/>
      <c r="BS143" s="114"/>
      <c r="BT143" s="345">
        <f t="shared" si="237"/>
        <v>0</v>
      </c>
      <c r="BU143" s="345">
        <f t="shared" ca="1" si="185"/>
        <v>-21.865000000000002</v>
      </c>
      <c r="BV143" s="73"/>
      <c r="BW143" s="345">
        <f t="shared" ca="1" si="182"/>
        <v>6.5990000000000055</v>
      </c>
      <c r="BX143" s="345">
        <f t="shared" ca="1" si="186"/>
        <v>70.236335403726713</v>
      </c>
      <c r="BY143" s="373">
        <f t="shared" ca="1" si="238"/>
        <v>67.771428571428586</v>
      </c>
      <c r="BZ143" s="114"/>
      <c r="CA143" s="345">
        <f t="shared" si="239"/>
        <v>0</v>
      </c>
      <c r="CB143" s="345">
        <f t="shared" ca="1" si="187"/>
        <v>-21.865000000000002</v>
      </c>
      <c r="CC143" s="345">
        <f t="shared" ca="1" si="183"/>
        <v>4.1840000000000019</v>
      </c>
      <c r="CD143" s="345">
        <f t="shared" ca="1" si="240"/>
        <v>62.021428571428572</v>
      </c>
      <c r="CE143" s="347">
        <f t="shared" ca="1" si="272"/>
        <v>-5.7500000000000142</v>
      </c>
      <c r="CF143" s="114"/>
      <c r="CG143" s="345">
        <f t="shared" si="241"/>
        <v>0</v>
      </c>
      <c r="CH143" s="345">
        <f t="shared" ca="1" si="242"/>
        <v>-21.865000000000002</v>
      </c>
      <c r="CI143" s="73"/>
      <c r="CJ143" s="345">
        <f t="shared" ca="1" si="190"/>
        <v>4.4910000000000014</v>
      </c>
      <c r="CK143" s="345">
        <f t="shared" ca="1" si="184"/>
        <v>61.811537737624697</v>
      </c>
      <c r="CL143" s="345">
        <f t="shared" ca="1" si="243"/>
        <v>62.75238095238096</v>
      </c>
      <c r="CM143" s="114"/>
      <c r="CN143" s="345">
        <f t="shared" si="244"/>
        <v>0</v>
      </c>
      <c r="CO143" s="345">
        <f t="shared" ca="1" si="245"/>
        <v>-21.865000000000002</v>
      </c>
      <c r="CP143" s="345">
        <f t="shared" ca="1" si="192"/>
        <v>3.6802857142857119</v>
      </c>
      <c r="CQ143" s="345">
        <f t="shared" ca="1" si="246"/>
        <v>60.822108843537414</v>
      </c>
      <c r="CR143" s="347">
        <f t="shared" ca="1" si="273"/>
        <v>-1.9302721088435462</v>
      </c>
      <c r="CS143" s="114"/>
      <c r="CT143" s="345">
        <f t="shared" si="247"/>
        <v>0</v>
      </c>
      <c r="CU143" s="345">
        <f t="shared" si="274"/>
        <v>0</v>
      </c>
      <c r="CV143" s="345">
        <f t="shared" ca="1" si="191"/>
        <v>2.1000000000000081</v>
      </c>
      <c r="CW143" s="347">
        <f t="shared" ca="1" si="275"/>
        <v>64.852380952380969</v>
      </c>
      <c r="CX143" s="483"/>
      <c r="CY143" s="190">
        <f t="shared" si="248"/>
        <v>-0.16249999999999903</v>
      </c>
      <c r="CZ143" s="190">
        <f t="shared" ca="1" si="280"/>
        <v>-0.03</v>
      </c>
      <c r="DA143" s="354">
        <f t="shared" ca="1" si="249"/>
        <v>0.13249999999999904</v>
      </c>
      <c r="DB143" s="483"/>
      <c r="DC143" s="190">
        <f t="shared" si="250"/>
        <v>-0.16249999999999903</v>
      </c>
      <c r="DD143" s="190">
        <f t="shared" ca="1" si="281"/>
        <v>0.03</v>
      </c>
      <c r="DE143" s="354">
        <f t="shared" ca="1" si="251"/>
        <v>0.19249999999999903</v>
      </c>
      <c r="DG143" s="341"/>
      <c r="DH143" s="114"/>
      <c r="DI143" s="126">
        <f t="shared" ca="1" si="276"/>
        <v>-21.865000000000002</v>
      </c>
      <c r="DJ143" s="126">
        <f t="shared" ca="1" si="224"/>
        <v>-2</v>
      </c>
      <c r="DK143" s="356">
        <f t="shared" ca="1" si="225"/>
        <v>19.865000000000002</v>
      </c>
      <c r="DL143" s="114"/>
      <c r="DM143" s="126">
        <f t="shared" ca="1" si="277"/>
        <v>-21.865000000000002</v>
      </c>
      <c r="DN143" s="126">
        <f t="shared" ca="1" si="252"/>
        <v>-3</v>
      </c>
      <c r="DO143" s="356">
        <f t="shared" ca="1" si="226"/>
        <v>18.865000000000002</v>
      </c>
      <c r="DP143" s="114"/>
      <c r="DQ143" s="126">
        <f t="shared" ca="1" si="278"/>
        <v>-21.865000000000002</v>
      </c>
      <c r="DR143" s="126">
        <f t="shared" ca="1" si="253"/>
        <v>-6</v>
      </c>
      <c r="DS143" s="356">
        <f t="shared" ca="1" si="227"/>
        <v>15.865000000000002</v>
      </c>
      <c r="DT143" s="114"/>
      <c r="DU143" s="126">
        <f t="shared" ca="1" si="279"/>
        <v>-21.865000000000002</v>
      </c>
      <c r="DV143" s="126">
        <f t="shared" ca="1" si="254"/>
        <v>-5</v>
      </c>
      <c r="DW143" s="356">
        <f t="shared" ca="1" si="228"/>
        <v>16.865000000000002</v>
      </c>
    </row>
    <row r="144" spans="2:127" x14ac:dyDescent="0.25">
      <c r="B144" s="396">
        <v>39934</v>
      </c>
      <c r="C144" s="400">
        <v>39923</v>
      </c>
      <c r="I144" s="136">
        <f t="shared" ca="1" si="229"/>
        <v>41183</v>
      </c>
      <c r="J144" s="131">
        <f t="shared" ca="1" si="230"/>
        <v>41172</v>
      </c>
      <c r="K144" s="106">
        <f t="shared" ca="1" si="231"/>
        <v>0.69565217391304346</v>
      </c>
      <c r="L144" s="133">
        <f t="shared" ca="1" si="193"/>
        <v>112</v>
      </c>
      <c r="M144" s="134">
        <f t="shared" ca="1" si="194"/>
        <v>10</v>
      </c>
      <c r="N144" s="103">
        <f t="shared" ca="1" si="216"/>
        <v>23</v>
      </c>
      <c r="O144" s="104">
        <f t="shared" ca="1" si="232"/>
        <v>4223</v>
      </c>
      <c r="P144" s="105">
        <f t="shared" ca="1" si="195"/>
        <v>11.578370978781656</v>
      </c>
      <c r="Q144" s="105">
        <f t="shared" ca="1" si="196"/>
        <v>11.66050650239562</v>
      </c>
      <c r="R144" s="114">
        <v>21.85</v>
      </c>
      <c r="S144" s="198">
        <v>0</v>
      </c>
      <c r="T144" s="189">
        <f t="shared" si="233"/>
        <v>21.85</v>
      </c>
      <c r="U144" s="199">
        <f t="shared" ca="1" si="217"/>
        <v>21.915217391304346</v>
      </c>
      <c r="V144" s="379">
        <f t="shared" ca="1" si="218"/>
        <v>21.915217391304346</v>
      </c>
      <c r="W144" s="483">
        <v>0.16209999999999902</v>
      </c>
      <c r="X144" s="166" t="str">
        <f t="shared" ca="1" si="219"/>
        <v/>
      </c>
      <c r="Y144" s="91">
        <f t="shared" ca="1" si="255"/>
        <v>7.6079322182188698E-4</v>
      </c>
      <c r="Z144" s="91">
        <f t="shared" ca="1" si="256"/>
        <v>2.2237176489681067E-4</v>
      </c>
      <c r="AA144" s="91">
        <f t="shared" ca="1" si="257"/>
        <v>7.2989382761860403E-5</v>
      </c>
      <c r="AB144" s="91">
        <f t="shared" ca="1" si="258"/>
        <v>1.6443048148593036E-4</v>
      </c>
      <c r="AC144" s="91">
        <f t="shared" ca="1" si="259"/>
        <v>5.0095911195957349E-4</v>
      </c>
      <c r="AD144" s="91">
        <f t="shared" ca="1" si="260"/>
        <v>1.7139149701202296E-3</v>
      </c>
      <c r="AE144" s="124">
        <v>7.3706190733727014E-2</v>
      </c>
      <c r="AF144" s="191">
        <f t="shared" ca="1" si="261"/>
        <v>0.4299899539497064</v>
      </c>
      <c r="AG144" s="189">
        <f t="shared" ca="1" si="234"/>
        <v>1</v>
      </c>
      <c r="AH144" s="192">
        <f t="shared" ca="1" si="220"/>
        <v>0</v>
      </c>
      <c r="AI144" s="192">
        <f t="shared" ca="1" si="221"/>
        <v>0</v>
      </c>
      <c r="AJ144" s="192">
        <f t="shared" ca="1" si="222"/>
        <v>0</v>
      </c>
      <c r="AK144" s="192">
        <f t="shared" ca="1" si="223"/>
        <v>0</v>
      </c>
      <c r="AL144" s="191" t="str">
        <f t="shared" ca="1" si="262"/>
        <v/>
      </c>
      <c r="AM144" s="191" t="str">
        <f t="shared" ca="1" si="263"/>
        <v/>
      </c>
      <c r="AN144" s="191" t="str">
        <f t="shared" ca="1" si="264"/>
        <v/>
      </c>
      <c r="AO144" s="193" t="str">
        <f t="shared" ca="1" si="265"/>
        <v/>
      </c>
      <c r="AP144" s="194" t="str">
        <f t="shared" ca="1" si="235"/>
        <v/>
      </c>
      <c r="AQ144" s="194" t="str">
        <f t="shared" ca="1" si="236"/>
        <v/>
      </c>
      <c r="AR144" s="195">
        <f ca="1">IF(AH144,_xll.xASN(AL144,Strike1,AE144,AP144,0,N144,0,P144,Q144,IF(OptControl=4,0,1),0),0)</f>
        <v>0</v>
      </c>
      <c r="AS144" s="196">
        <f ca="1">IF(AH144,_xll.xASN(AL144,Strike1,AE144,AP144,0,N144,0,P144,Q144,IF(OptControl=4,0,1),1),0)</f>
        <v>0</v>
      </c>
      <c r="AT144" s="196">
        <f ca="1">IF(AH144,_xll.xASN(AL144,Strike1,AE144,AP144,0,N144,0,P144,Q144,IF(OptControl=4,0,1),2),0)</f>
        <v>0</v>
      </c>
      <c r="AU144" s="196">
        <f ca="1">IF(AH144,_xll.xASN(AL144,Strike1,AE144,AP144,0,N144,0,P144,Q144,IF(OptControl=4,0,1),3)/100,0)</f>
        <v>0</v>
      </c>
      <c r="AV144" s="196">
        <f ca="1">IF(AH144,_xll.xASN(AL144,Strike1,AE144,AP144,0,N144,0,P144-DaysForThetaCalculation/365.25,Q144-DaysForThetaCalculation/365.25,IF(OptControl=4,0,1),0)-_xll.xASN(AL144,Strike1,AE144,AP144,0,N144,0,P144,Q144,IF(OptControl=4,0,1),0),0)</f>
        <v>0</v>
      </c>
      <c r="AW144" s="196">
        <f ca="1">IF(AH144,_xll.xASN(AL144,Strike2,AE144,AQ144,0,N144,0,P144,Q144,IF(OptControl=3,1,0),0),0)</f>
        <v>0</v>
      </c>
      <c r="AX144" s="196">
        <f ca="1">IF(AH144,_xll.xASN(AL144,Strike2,AE144,AQ144,0,N144,0,P144,Q144,IF(OptControl=3,1,0),1),0)</f>
        <v>0</v>
      </c>
      <c r="AY144" s="196">
        <f ca="1">IF(AH144,_xll.xASN(AL144,Strike2,AE144,AQ144,0,N144,0,P144,Q144,IF(OptControl=3,1,0),2),0)</f>
        <v>0</v>
      </c>
      <c r="AZ144" s="196">
        <f ca="1">IF(AH144,_xll.xASN(AL144,Strike2,AE144,AQ144,0,N144,0,P144,Q144,IF(OptControl=3,1,0),3)/100,0)</f>
        <v>0</v>
      </c>
      <c r="BA144" s="196">
        <f ca="1">IF(AH144,_xll.xASN(AL144,Strike2,AE144,AQ144,0,N144,0,P144-DaysForThetaCalculation/365.25,Q144-DaysForThetaCalculation/365.25,IF(OptControl=3,1,0),0)-_xll.xASN(AL144,Strike2,AE144,AQ144,0,N144,0,P144,Q144,IF(OptControl=3,1,0),0),0)</f>
        <v>0</v>
      </c>
      <c r="BB144" s="126" t="str">
        <f t="shared" ca="1" si="266"/>
        <v/>
      </c>
      <c r="BC144" s="191" t="str">
        <f t="shared" ca="1" si="267"/>
        <v/>
      </c>
      <c r="BD144" s="191" t="str">
        <f t="shared" ca="1" si="268"/>
        <v/>
      </c>
      <c r="BE144" s="190" t="str">
        <f t="shared" ca="1" si="269"/>
        <v/>
      </c>
      <c r="BF144" s="194" t="str">
        <f t="shared" ca="1" si="270"/>
        <v/>
      </c>
      <c r="BG144" s="194" t="str">
        <f t="shared" ca="1" si="271"/>
        <v/>
      </c>
      <c r="BH144" s="195">
        <f ca="1">IF(AH144,_xll.xEURO(BB144,Strike1,AE144,AE144,BF144,O144,IF(OptControl=4,0,1),0),0)</f>
        <v>0</v>
      </c>
      <c r="BI144" s="196">
        <f ca="1">IF(AH144,_xll.xEURO(BB144,Strike1,AE144,AE144,BF144,O144,IF(OptControl=4,0,1),1),0)</f>
        <v>0</v>
      </c>
      <c r="BJ144" s="196">
        <f ca="1">IF(AH144,_xll.xEURO(BB144,Strike1,AE144,AE144,BF144,O144,IF(OptControl=4,0,1),2),0)</f>
        <v>0</v>
      </c>
      <c r="BK144" s="196">
        <f ca="1">IF(AH144,_xll.xEURO(BB144,Strike1,AE144,AE144,BF144,O144,IF(OptControl=4,0,1),3)/100,0)</f>
        <v>0</v>
      </c>
      <c r="BL144" s="196">
        <f ca="1">IF(AH144,_xll.xEURO(BB144,Strike1,AE144,AE144,BF144,O144-DaysForThetaCalculation,IF(OptControl=4,0,1),0)-_xll.xEURO(BB144,Strike1,AE144,AE144,BF144,O144,IF(OptControl=4,0,1),0),0)</f>
        <v>0</v>
      </c>
      <c r="BM144" s="196">
        <f ca="1">IF(AH144,_xll.xEURO(BB144,Strike2,AE144,AE144,BG144,O144,IF(OptControl=3,1,0),0),0)</f>
        <v>0</v>
      </c>
      <c r="BN144" s="196">
        <f ca="1">IF(AH144,_xll.xEURO(BB144,Strike2,AE144,AE144,BG144,O144,IF(OptControl=3,1,0),1),0)</f>
        <v>0</v>
      </c>
      <c r="BO144" s="196">
        <f ca="1">IF(AH144,_xll.xEURO(BB144,Strike2,AE144,AE144,BG144,O144,IF(OptControl=3,1,0),2),0)</f>
        <v>0</v>
      </c>
      <c r="BP144" s="196">
        <f ca="1">IF(AH144,_xll.xEURO(BB144,Strike2,AE144,AE144,BG144,O144,IF(OptControl=3,1,0),3)/100,0)</f>
        <v>0</v>
      </c>
      <c r="BQ144" s="197">
        <f ca="1">IF(AH144,_xll.xEURO(BB144,Strike2,AE144,AE144,BG144,O144-DaysForThetaCalculation,IF(OptControl=3,1,0),0)-_xll.xEURO(BB144,Strike2,AE144,AE144,BG144,O144,IF(OptControl=3,1,0),0),0)</f>
        <v>0</v>
      </c>
      <c r="BR144" s="301"/>
      <c r="BS144" s="114"/>
      <c r="BT144" s="345">
        <f t="shared" si="237"/>
        <v>0</v>
      </c>
      <c r="BU144" s="345">
        <f t="shared" ca="1" si="185"/>
        <v>-21.915217391304346</v>
      </c>
      <c r="BV144" s="73"/>
      <c r="BW144" s="345">
        <f t="shared" ca="1" si="182"/>
        <v>6.1917826086956591</v>
      </c>
      <c r="BX144" s="345">
        <f t="shared" ca="1" si="186"/>
        <v>67.771428571428586</v>
      </c>
      <c r="BY144" s="373">
        <f t="shared" ca="1" si="238"/>
        <v>66.921428571428592</v>
      </c>
      <c r="BZ144" s="114"/>
      <c r="CA144" s="345">
        <f t="shared" si="239"/>
        <v>0</v>
      </c>
      <c r="CB144" s="345">
        <f t="shared" ca="1" si="187"/>
        <v>-21.915217391304346</v>
      </c>
      <c r="CC144" s="345">
        <f t="shared" ca="1" si="183"/>
        <v>3.8817826086956555</v>
      </c>
      <c r="CD144" s="345">
        <f t="shared" ca="1" si="240"/>
        <v>61.421428571428578</v>
      </c>
      <c r="CE144" s="347">
        <f t="shared" ca="1" si="272"/>
        <v>-5.5000000000000142</v>
      </c>
      <c r="CF144" s="114"/>
      <c r="CG144" s="345">
        <f t="shared" si="241"/>
        <v>0</v>
      </c>
      <c r="CH144" s="345">
        <f t="shared" ca="1" si="242"/>
        <v>-21.915217391304346</v>
      </c>
      <c r="CI144" s="73"/>
      <c r="CJ144" s="345">
        <f t="shared" ca="1" si="190"/>
        <v>5.0497826086956543</v>
      </c>
      <c r="CK144" s="345">
        <f t="shared" ca="1" si="184"/>
        <v>62.75238095238096</v>
      </c>
      <c r="CL144" s="345">
        <f t="shared" ca="1" si="243"/>
        <v>64.202380952380949</v>
      </c>
      <c r="CM144" s="114"/>
      <c r="CN144" s="345">
        <f t="shared" si="244"/>
        <v>0</v>
      </c>
      <c r="CO144" s="345">
        <f t="shared" ca="1" si="245"/>
        <v>-21.915217391304346</v>
      </c>
      <c r="CP144" s="345">
        <f t="shared" ca="1" si="192"/>
        <v>3.852782608695652</v>
      </c>
      <c r="CQ144" s="345">
        <f t="shared" ca="1" si="246"/>
        <v>61.352380952380948</v>
      </c>
      <c r="CR144" s="347">
        <f t="shared" ca="1" si="273"/>
        <v>-2.8500000000000014</v>
      </c>
      <c r="CS144" s="114"/>
      <c r="CT144" s="345">
        <f t="shared" si="247"/>
        <v>0</v>
      </c>
      <c r="CU144" s="345">
        <f t="shared" si="274"/>
        <v>0</v>
      </c>
      <c r="CV144" s="345">
        <f t="shared" ca="1" si="191"/>
        <v>2.250000000000008</v>
      </c>
      <c r="CW144" s="347">
        <f t="shared" ca="1" si="275"/>
        <v>66.452380952380963</v>
      </c>
      <c r="CX144" s="483"/>
      <c r="CY144" s="190">
        <f t="shared" si="248"/>
        <v>-0.16209999999999902</v>
      </c>
      <c r="CZ144" s="190">
        <f t="shared" ca="1" si="280"/>
        <v>-0.03</v>
      </c>
      <c r="DA144" s="354">
        <f t="shared" ca="1" si="249"/>
        <v>0.13209999999999902</v>
      </c>
      <c r="DB144" s="483"/>
      <c r="DC144" s="190">
        <f t="shared" si="250"/>
        <v>-0.16209999999999902</v>
      </c>
      <c r="DD144" s="190">
        <f t="shared" ca="1" si="281"/>
        <v>0.03</v>
      </c>
      <c r="DE144" s="354">
        <f t="shared" ca="1" si="251"/>
        <v>0.19209999999999902</v>
      </c>
      <c r="DG144" s="341"/>
      <c r="DH144" s="114"/>
      <c r="DI144" s="126">
        <f t="shared" ca="1" si="276"/>
        <v>-21.915217391304346</v>
      </c>
      <c r="DJ144" s="126">
        <f t="shared" ca="1" si="224"/>
        <v>-2</v>
      </c>
      <c r="DK144" s="356">
        <f t="shared" ca="1" si="225"/>
        <v>19.915217391304346</v>
      </c>
      <c r="DL144" s="114"/>
      <c r="DM144" s="126">
        <f t="shared" ca="1" si="277"/>
        <v>-21.915217391304346</v>
      </c>
      <c r="DN144" s="126">
        <f t="shared" ca="1" si="252"/>
        <v>-3</v>
      </c>
      <c r="DO144" s="356">
        <f t="shared" ca="1" si="226"/>
        <v>18.915217391304346</v>
      </c>
      <c r="DP144" s="114"/>
      <c r="DQ144" s="126">
        <f t="shared" ca="1" si="278"/>
        <v>-21.915217391304346</v>
      </c>
      <c r="DR144" s="126">
        <f t="shared" ca="1" si="253"/>
        <v>-6</v>
      </c>
      <c r="DS144" s="356">
        <f t="shared" ca="1" si="227"/>
        <v>15.915217391304346</v>
      </c>
      <c r="DT144" s="114"/>
      <c r="DU144" s="126">
        <f t="shared" ca="1" si="279"/>
        <v>-21.915217391304346</v>
      </c>
      <c r="DV144" s="126">
        <f t="shared" ca="1" si="254"/>
        <v>-5</v>
      </c>
      <c r="DW144" s="356">
        <f t="shared" ca="1" si="228"/>
        <v>16.915217391304346</v>
      </c>
    </row>
    <row r="145" spans="2:127" x14ac:dyDescent="0.25">
      <c r="B145" s="396">
        <v>39965</v>
      </c>
      <c r="C145" s="400">
        <v>39955</v>
      </c>
      <c r="I145" s="136">
        <f t="shared" ca="1" si="229"/>
        <v>41214</v>
      </c>
      <c r="J145" s="131">
        <f t="shared" ca="1" si="230"/>
        <v>41204</v>
      </c>
      <c r="K145" s="106">
        <f t="shared" ca="1" si="231"/>
        <v>0.59090909090909094</v>
      </c>
      <c r="L145" s="133">
        <f t="shared" ca="1" si="193"/>
        <v>112</v>
      </c>
      <c r="M145" s="134">
        <f t="shared" ca="1" si="194"/>
        <v>11</v>
      </c>
      <c r="N145" s="103">
        <f t="shared" ca="1" si="216"/>
        <v>22</v>
      </c>
      <c r="O145" s="104">
        <f t="shared" ca="1" si="232"/>
        <v>4254</v>
      </c>
      <c r="P145" s="105">
        <f t="shared" ca="1" si="195"/>
        <v>11.663244353182751</v>
      </c>
      <c r="Q145" s="105">
        <f t="shared" ca="1" si="196"/>
        <v>11.742642026009582</v>
      </c>
      <c r="R145" s="114">
        <v>21.9</v>
      </c>
      <c r="S145" s="198">
        <v>0</v>
      </c>
      <c r="T145" s="189">
        <f t="shared" si="233"/>
        <v>21.9</v>
      </c>
      <c r="U145" s="199">
        <f t="shared" ca="1" si="217"/>
        <v>21.970454545454544</v>
      </c>
      <c r="V145" s="379">
        <f t="shared" ca="1" si="218"/>
        <v>21.970454545454544</v>
      </c>
      <c r="W145" s="483">
        <v>0.16169999999999904</v>
      </c>
      <c r="X145" s="166" t="str">
        <f t="shared" ca="1" si="219"/>
        <v/>
      </c>
      <c r="Y145" s="91">
        <f t="shared" ca="1" si="255"/>
        <v>7.4450579605384319E-4</v>
      </c>
      <c r="Z145" s="91">
        <f t="shared" ca="1" si="256"/>
        <v>2.1644602236263718E-4</v>
      </c>
      <c r="AA145" s="91">
        <f t="shared" ca="1" si="257"/>
        <v>7.0853856143463409E-5</v>
      </c>
      <c r="AB145" s="91">
        <f t="shared" ca="1" si="258"/>
        <v>1.5961956712000548E-4</v>
      </c>
      <c r="AC145" s="91">
        <f t="shared" ca="1" si="259"/>
        <v>4.8760959917858643E-4</v>
      </c>
      <c r="AD145" s="91">
        <f t="shared" ca="1" si="260"/>
        <v>1.6772226573499804E-3</v>
      </c>
      <c r="AE145" s="124">
        <v>7.3702229175040004E-2</v>
      </c>
      <c r="AF145" s="191">
        <f t="shared" ca="1" si="261"/>
        <v>0.42746042030267373</v>
      </c>
      <c r="AG145" s="189">
        <f t="shared" ca="1" si="234"/>
        <v>1</v>
      </c>
      <c r="AH145" s="192">
        <f t="shared" ca="1" si="220"/>
        <v>0</v>
      </c>
      <c r="AI145" s="192">
        <f t="shared" ca="1" si="221"/>
        <v>0</v>
      </c>
      <c r="AJ145" s="192">
        <f t="shared" ca="1" si="222"/>
        <v>0</v>
      </c>
      <c r="AK145" s="192">
        <f t="shared" ca="1" si="223"/>
        <v>0</v>
      </c>
      <c r="AL145" s="191" t="str">
        <f t="shared" ca="1" si="262"/>
        <v/>
      </c>
      <c r="AM145" s="191" t="str">
        <f t="shared" ca="1" si="263"/>
        <v/>
      </c>
      <c r="AN145" s="191" t="str">
        <f t="shared" ca="1" si="264"/>
        <v/>
      </c>
      <c r="AO145" s="193" t="str">
        <f t="shared" ca="1" si="265"/>
        <v/>
      </c>
      <c r="AP145" s="194" t="str">
        <f t="shared" ca="1" si="235"/>
        <v/>
      </c>
      <c r="AQ145" s="194" t="str">
        <f t="shared" ca="1" si="236"/>
        <v/>
      </c>
      <c r="AR145" s="195">
        <f ca="1">IF(AH145,_xll.xASN(AL145,Strike1,AE145,AP145,0,N145,0,P145,Q145,IF(OptControl=4,0,1),0),0)</f>
        <v>0</v>
      </c>
      <c r="AS145" s="196">
        <f ca="1">IF(AH145,_xll.xASN(AL145,Strike1,AE145,AP145,0,N145,0,P145,Q145,IF(OptControl=4,0,1),1),0)</f>
        <v>0</v>
      </c>
      <c r="AT145" s="196">
        <f ca="1">IF(AH145,_xll.xASN(AL145,Strike1,AE145,AP145,0,N145,0,P145,Q145,IF(OptControl=4,0,1),2),0)</f>
        <v>0</v>
      </c>
      <c r="AU145" s="196">
        <f ca="1">IF(AH145,_xll.xASN(AL145,Strike1,AE145,AP145,0,N145,0,P145,Q145,IF(OptControl=4,0,1),3)/100,0)</f>
        <v>0</v>
      </c>
      <c r="AV145" s="196">
        <f ca="1">IF(AH145,_xll.xASN(AL145,Strike1,AE145,AP145,0,N145,0,P145-DaysForThetaCalculation/365.25,Q145-DaysForThetaCalculation/365.25,IF(OptControl=4,0,1),0)-_xll.xASN(AL145,Strike1,AE145,AP145,0,N145,0,P145,Q145,IF(OptControl=4,0,1),0),0)</f>
        <v>0</v>
      </c>
      <c r="AW145" s="196">
        <f ca="1">IF(AH145,_xll.xASN(AL145,Strike2,AE145,AQ145,0,N145,0,P145,Q145,IF(OptControl=3,1,0),0),0)</f>
        <v>0</v>
      </c>
      <c r="AX145" s="196">
        <f ca="1">IF(AH145,_xll.xASN(AL145,Strike2,AE145,AQ145,0,N145,0,P145,Q145,IF(OptControl=3,1,0),1),0)</f>
        <v>0</v>
      </c>
      <c r="AY145" s="196">
        <f ca="1">IF(AH145,_xll.xASN(AL145,Strike2,AE145,AQ145,0,N145,0,P145,Q145,IF(OptControl=3,1,0),2),0)</f>
        <v>0</v>
      </c>
      <c r="AZ145" s="196">
        <f ca="1">IF(AH145,_xll.xASN(AL145,Strike2,AE145,AQ145,0,N145,0,P145,Q145,IF(OptControl=3,1,0),3)/100,0)</f>
        <v>0</v>
      </c>
      <c r="BA145" s="196">
        <f ca="1">IF(AH145,_xll.xASN(AL145,Strike2,AE145,AQ145,0,N145,0,P145-DaysForThetaCalculation/365.25,Q145-DaysForThetaCalculation/365.25,IF(OptControl=3,1,0),0)-_xll.xASN(AL145,Strike2,AE145,AQ145,0,N145,0,P145,Q145,IF(OptControl=3,1,0),0),0)</f>
        <v>0</v>
      </c>
      <c r="BB145" s="126" t="str">
        <f t="shared" ca="1" si="266"/>
        <v/>
      </c>
      <c r="BC145" s="191" t="str">
        <f t="shared" ca="1" si="267"/>
        <v/>
      </c>
      <c r="BD145" s="191" t="str">
        <f t="shared" ca="1" si="268"/>
        <v/>
      </c>
      <c r="BE145" s="190" t="str">
        <f t="shared" ca="1" si="269"/>
        <v/>
      </c>
      <c r="BF145" s="194" t="str">
        <f t="shared" ca="1" si="270"/>
        <v/>
      </c>
      <c r="BG145" s="194" t="str">
        <f t="shared" ca="1" si="271"/>
        <v/>
      </c>
      <c r="BH145" s="195">
        <f ca="1">IF(AH145,_xll.xEURO(BB145,Strike1,AE145,AE145,BF145,O145,IF(OptControl=4,0,1),0),0)</f>
        <v>0</v>
      </c>
      <c r="BI145" s="196">
        <f ca="1">IF(AH145,_xll.xEURO(BB145,Strike1,AE145,AE145,BF145,O145,IF(OptControl=4,0,1),1),0)</f>
        <v>0</v>
      </c>
      <c r="BJ145" s="196">
        <f ca="1">IF(AH145,_xll.xEURO(BB145,Strike1,AE145,AE145,BF145,O145,IF(OptControl=4,0,1),2),0)</f>
        <v>0</v>
      </c>
      <c r="BK145" s="196">
        <f ca="1">IF(AH145,_xll.xEURO(BB145,Strike1,AE145,AE145,BF145,O145,IF(OptControl=4,0,1),3)/100,0)</f>
        <v>0</v>
      </c>
      <c r="BL145" s="196">
        <f ca="1">IF(AH145,_xll.xEURO(BB145,Strike1,AE145,AE145,BF145,O145-DaysForThetaCalculation,IF(OptControl=4,0,1),0)-_xll.xEURO(BB145,Strike1,AE145,AE145,BF145,O145,IF(OptControl=4,0,1),0),0)</f>
        <v>0</v>
      </c>
      <c r="BM145" s="196">
        <f ca="1">IF(AH145,_xll.xEURO(BB145,Strike2,AE145,AE145,BG145,O145,IF(OptControl=3,1,0),0),0)</f>
        <v>0</v>
      </c>
      <c r="BN145" s="196">
        <f ca="1">IF(AH145,_xll.xEURO(BB145,Strike2,AE145,AE145,BG145,O145,IF(OptControl=3,1,0),1),0)</f>
        <v>0</v>
      </c>
      <c r="BO145" s="196">
        <f ca="1">IF(AH145,_xll.xEURO(BB145,Strike2,AE145,AE145,BG145,O145,IF(OptControl=3,1,0),2),0)</f>
        <v>0</v>
      </c>
      <c r="BP145" s="196">
        <f ca="1">IF(AH145,_xll.xEURO(BB145,Strike2,AE145,AE145,BG145,O145,IF(OptControl=3,1,0),3)/100,0)</f>
        <v>0</v>
      </c>
      <c r="BQ145" s="197">
        <f ca="1">IF(AH145,_xll.xEURO(BB145,Strike2,AE145,AE145,BG145,O145-DaysForThetaCalculation,IF(OptControl=3,1,0),0)-_xll.xEURO(BB145,Strike2,AE145,AE145,BG145,O145,IF(OptControl=3,1,0),0),0)</f>
        <v>0</v>
      </c>
      <c r="BR145" s="301"/>
      <c r="BS145" s="114"/>
      <c r="BT145" s="345">
        <f t="shared" si="237"/>
        <v>0</v>
      </c>
      <c r="BU145" s="345">
        <f t="shared" ca="1" si="185"/>
        <v>-21.970454545454544</v>
      </c>
      <c r="BV145" s="73"/>
      <c r="BW145" s="345">
        <f t="shared" ca="1" si="182"/>
        <v>6.0444545454545544</v>
      </c>
      <c r="BX145" s="345">
        <f t="shared" ca="1" si="186"/>
        <v>66.921428571428592</v>
      </c>
      <c r="BY145" s="373">
        <f t="shared" ca="1" si="238"/>
        <v>66.702164502164521</v>
      </c>
      <c r="BZ145" s="114"/>
      <c r="CA145" s="345">
        <f t="shared" si="239"/>
        <v>0</v>
      </c>
      <c r="CB145" s="345">
        <f t="shared" ca="1" si="187"/>
        <v>-21.970454545454544</v>
      </c>
      <c r="CC145" s="345">
        <f t="shared" ca="1" si="183"/>
        <v>3.7344545454545472</v>
      </c>
      <c r="CD145" s="345">
        <f t="shared" ca="1" si="240"/>
        <v>61.2021645021645</v>
      </c>
      <c r="CE145" s="347">
        <f t="shared" ca="1" si="272"/>
        <v>-5.5000000000000213</v>
      </c>
      <c r="CF145" s="114"/>
      <c r="CG145" s="345">
        <f t="shared" si="241"/>
        <v>0</v>
      </c>
      <c r="CH145" s="345">
        <f t="shared" ca="1" si="242"/>
        <v>-21.970454545454544</v>
      </c>
      <c r="CI145" s="73"/>
      <c r="CJ145" s="345">
        <f t="shared" ca="1" si="190"/>
        <v>5.61645454545455</v>
      </c>
      <c r="CK145" s="345">
        <f t="shared" ca="1" si="184"/>
        <v>64.202380952380949</v>
      </c>
      <c r="CL145" s="345">
        <f t="shared" ca="1" si="243"/>
        <v>65.683116883116895</v>
      </c>
      <c r="CM145" s="114"/>
      <c r="CN145" s="345">
        <f t="shared" si="244"/>
        <v>0</v>
      </c>
      <c r="CO145" s="345">
        <f t="shared" ca="1" si="245"/>
        <v>-21.970454545454544</v>
      </c>
      <c r="CP145" s="345">
        <f t="shared" ca="1" si="192"/>
        <v>4.4194545454545509</v>
      </c>
      <c r="CQ145" s="345">
        <f t="shared" ca="1" si="246"/>
        <v>62.833116883116887</v>
      </c>
      <c r="CR145" s="347">
        <f t="shared" ca="1" si="273"/>
        <v>-2.8500000000000085</v>
      </c>
      <c r="CS145" s="114"/>
      <c r="CT145" s="345">
        <f t="shared" si="247"/>
        <v>0</v>
      </c>
      <c r="CU145" s="345">
        <f t="shared" si="274"/>
        <v>0</v>
      </c>
      <c r="CV145" s="345">
        <f t="shared" ca="1" si="191"/>
        <v>2.250000000000008</v>
      </c>
      <c r="CW145" s="347">
        <f t="shared" ca="1" si="275"/>
        <v>67.933116883116909</v>
      </c>
      <c r="CX145" s="483"/>
      <c r="CY145" s="190">
        <f t="shared" si="248"/>
        <v>-0.16169999999999904</v>
      </c>
      <c r="CZ145" s="190">
        <f t="shared" ca="1" si="280"/>
        <v>-0.03</v>
      </c>
      <c r="DA145" s="354">
        <f t="shared" ca="1" si="249"/>
        <v>0.13169999999999904</v>
      </c>
      <c r="DB145" s="483"/>
      <c r="DC145" s="190">
        <f t="shared" si="250"/>
        <v>-0.16169999999999904</v>
      </c>
      <c r="DD145" s="190">
        <f t="shared" ca="1" si="281"/>
        <v>0.03</v>
      </c>
      <c r="DE145" s="354">
        <f t="shared" ca="1" si="251"/>
        <v>0.19169999999999904</v>
      </c>
      <c r="DG145" s="341"/>
      <c r="DH145" s="114"/>
      <c r="DI145" s="126">
        <f t="shared" ca="1" si="276"/>
        <v>-21.970454545454544</v>
      </c>
      <c r="DJ145" s="126">
        <f t="shared" ca="1" si="224"/>
        <v>-2</v>
      </c>
      <c r="DK145" s="356">
        <f t="shared" ca="1" si="225"/>
        <v>19.970454545454544</v>
      </c>
      <c r="DL145" s="114"/>
      <c r="DM145" s="126">
        <f t="shared" ca="1" si="277"/>
        <v>-21.970454545454544</v>
      </c>
      <c r="DN145" s="126">
        <f t="shared" ca="1" si="252"/>
        <v>-3</v>
      </c>
      <c r="DO145" s="356">
        <f t="shared" ca="1" si="226"/>
        <v>18.970454545454544</v>
      </c>
      <c r="DP145" s="114"/>
      <c r="DQ145" s="126">
        <f t="shared" ca="1" si="278"/>
        <v>-21.970454545454544</v>
      </c>
      <c r="DR145" s="126">
        <f t="shared" ca="1" si="253"/>
        <v>-6</v>
      </c>
      <c r="DS145" s="356">
        <f t="shared" ca="1" si="227"/>
        <v>15.970454545454544</v>
      </c>
      <c r="DT145" s="114"/>
      <c r="DU145" s="126">
        <f t="shared" ca="1" si="279"/>
        <v>-21.970454545454544</v>
      </c>
      <c r="DV145" s="126">
        <f t="shared" ca="1" si="254"/>
        <v>-5</v>
      </c>
      <c r="DW145" s="356">
        <f t="shared" ca="1" si="228"/>
        <v>16.970454545454544</v>
      </c>
    </row>
    <row r="146" spans="2:127" x14ac:dyDescent="0.25">
      <c r="B146" s="396">
        <v>39995</v>
      </c>
      <c r="C146" s="400">
        <v>39984</v>
      </c>
      <c r="I146" s="136">
        <f t="shared" ca="1" si="229"/>
        <v>41244</v>
      </c>
      <c r="J146" s="131">
        <f t="shared" ca="1" si="230"/>
        <v>41232</v>
      </c>
      <c r="K146" s="106">
        <f t="shared" ca="1" si="231"/>
        <v>0.61904761904761907</v>
      </c>
      <c r="L146" s="133">
        <f t="shared" ca="1" si="193"/>
        <v>112</v>
      </c>
      <c r="M146" s="134">
        <f t="shared" ca="1" si="194"/>
        <v>12</v>
      </c>
      <c r="N146" s="103">
        <f t="shared" ca="1" si="216"/>
        <v>21</v>
      </c>
      <c r="O146" s="104">
        <f t="shared" ca="1" si="232"/>
        <v>4286</v>
      </c>
      <c r="P146" s="105">
        <f t="shared" ca="1" si="195"/>
        <v>11.745379876796715</v>
      </c>
      <c r="Q146" s="105">
        <f t="shared" ca="1" si="196"/>
        <v>11.827515400410677</v>
      </c>
      <c r="R146" s="114">
        <v>21.95</v>
      </c>
      <c r="S146" s="198">
        <v>0</v>
      </c>
      <c r="T146" s="189">
        <f t="shared" si="233"/>
        <v>21.95</v>
      </c>
      <c r="U146" s="199">
        <f t="shared" ca="1" si="217"/>
        <v>22.019047619047619</v>
      </c>
      <c r="V146" s="379">
        <f t="shared" ca="1" si="218"/>
        <v>22.019047619047619</v>
      </c>
      <c r="W146" s="483">
        <v>0.16129999999999903</v>
      </c>
      <c r="X146" s="166" t="str">
        <f t="shared" ca="1" si="219"/>
        <v/>
      </c>
      <c r="Y146" s="91">
        <f t="shared" ca="1" si="255"/>
        <v>7.2856705929950309E-4</v>
      </c>
      <c r="Z146" s="91">
        <f t="shared" ca="1" si="256"/>
        <v>2.1067818847571307E-4</v>
      </c>
      <c r="AA146" s="91">
        <f t="shared" ca="1" si="257"/>
        <v>6.8780810858177032E-5</v>
      </c>
      <c r="AB146" s="91">
        <f t="shared" ca="1" si="258"/>
        <v>1.5494941070131219E-4</v>
      </c>
      <c r="AC146" s="91">
        <f t="shared" ca="1" si="259"/>
        <v>4.7461582299812279E-4</v>
      </c>
      <c r="AD146" s="91">
        <f t="shared" ca="1" si="260"/>
        <v>1.641315871189803E-3</v>
      </c>
      <c r="AE146" s="124">
        <v>7.3698395408574022E-2</v>
      </c>
      <c r="AF146" s="191">
        <f t="shared" ca="1" si="261"/>
        <v>0.42486122167183676</v>
      </c>
      <c r="AG146" s="189">
        <f t="shared" ca="1" si="234"/>
        <v>1</v>
      </c>
      <c r="AH146" s="192">
        <f t="shared" ca="1" si="220"/>
        <v>0</v>
      </c>
      <c r="AI146" s="192">
        <f t="shared" ca="1" si="221"/>
        <v>0</v>
      </c>
      <c r="AJ146" s="192">
        <f t="shared" ca="1" si="222"/>
        <v>0</v>
      </c>
      <c r="AK146" s="192">
        <f t="shared" ca="1" si="223"/>
        <v>0</v>
      </c>
      <c r="AL146" s="191" t="str">
        <f t="shared" ca="1" si="262"/>
        <v/>
      </c>
      <c r="AM146" s="191" t="str">
        <f t="shared" ca="1" si="263"/>
        <v/>
      </c>
      <c r="AN146" s="191" t="str">
        <f t="shared" ca="1" si="264"/>
        <v/>
      </c>
      <c r="AO146" s="193" t="str">
        <f t="shared" ca="1" si="265"/>
        <v/>
      </c>
      <c r="AP146" s="194" t="str">
        <f t="shared" ca="1" si="235"/>
        <v/>
      </c>
      <c r="AQ146" s="194" t="str">
        <f t="shared" ca="1" si="236"/>
        <v/>
      </c>
      <c r="AR146" s="195">
        <f ca="1">IF(AH146,_xll.xASN(AL146,Strike1,AE146,AP146,0,N146,0,P146,Q146,IF(OptControl=4,0,1),0),0)</f>
        <v>0</v>
      </c>
      <c r="AS146" s="196">
        <f ca="1">IF(AH146,_xll.xASN(AL146,Strike1,AE146,AP146,0,N146,0,P146,Q146,IF(OptControl=4,0,1),1),0)</f>
        <v>0</v>
      </c>
      <c r="AT146" s="196">
        <f ca="1">IF(AH146,_xll.xASN(AL146,Strike1,AE146,AP146,0,N146,0,P146,Q146,IF(OptControl=4,0,1),2),0)</f>
        <v>0</v>
      </c>
      <c r="AU146" s="196">
        <f ca="1">IF(AH146,_xll.xASN(AL146,Strike1,AE146,AP146,0,N146,0,P146,Q146,IF(OptControl=4,0,1),3)/100,0)</f>
        <v>0</v>
      </c>
      <c r="AV146" s="196">
        <f ca="1">IF(AH146,_xll.xASN(AL146,Strike1,AE146,AP146,0,N146,0,P146-DaysForThetaCalculation/365.25,Q146-DaysForThetaCalculation/365.25,IF(OptControl=4,0,1),0)-_xll.xASN(AL146,Strike1,AE146,AP146,0,N146,0,P146,Q146,IF(OptControl=4,0,1),0),0)</f>
        <v>0</v>
      </c>
      <c r="AW146" s="196">
        <f ca="1">IF(AH146,_xll.xASN(AL146,Strike2,AE146,AQ146,0,N146,0,P146,Q146,IF(OptControl=3,1,0),0),0)</f>
        <v>0</v>
      </c>
      <c r="AX146" s="196">
        <f ca="1">IF(AH146,_xll.xASN(AL146,Strike2,AE146,AQ146,0,N146,0,P146,Q146,IF(OptControl=3,1,0),1),0)</f>
        <v>0</v>
      </c>
      <c r="AY146" s="196">
        <f ca="1">IF(AH146,_xll.xASN(AL146,Strike2,AE146,AQ146,0,N146,0,P146,Q146,IF(OptControl=3,1,0),2),0)</f>
        <v>0</v>
      </c>
      <c r="AZ146" s="196">
        <f ca="1">IF(AH146,_xll.xASN(AL146,Strike2,AE146,AQ146,0,N146,0,P146,Q146,IF(OptControl=3,1,0),3)/100,0)</f>
        <v>0</v>
      </c>
      <c r="BA146" s="196">
        <f ca="1">IF(AH146,_xll.xASN(AL146,Strike2,AE146,AQ146,0,N146,0,P146-DaysForThetaCalculation/365.25,Q146-DaysForThetaCalculation/365.25,IF(OptControl=3,1,0),0)-_xll.xASN(AL146,Strike2,AE146,AQ146,0,N146,0,P146,Q146,IF(OptControl=3,1,0),0),0)</f>
        <v>0</v>
      </c>
      <c r="BB146" s="126" t="str">
        <f t="shared" ca="1" si="266"/>
        <v/>
      </c>
      <c r="BC146" s="191" t="str">
        <f t="shared" ca="1" si="267"/>
        <v/>
      </c>
      <c r="BD146" s="191" t="str">
        <f t="shared" ca="1" si="268"/>
        <v/>
      </c>
      <c r="BE146" s="190" t="str">
        <f t="shared" ca="1" si="269"/>
        <v/>
      </c>
      <c r="BF146" s="194" t="str">
        <f t="shared" ca="1" si="270"/>
        <v/>
      </c>
      <c r="BG146" s="194" t="str">
        <f t="shared" ca="1" si="271"/>
        <v/>
      </c>
      <c r="BH146" s="195">
        <f ca="1">IF(AH146,_xll.xEURO(BB146,Strike1,AE146,AE146,BF146,O146,IF(OptControl=4,0,1),0),0)</f>
        <v>0</v>
      </c>
      <c r="BI146" s="196">
        <f ca="1">IF(AH146,_xll.xEURO(BB146,Strike1,AE146,AE146,BF146,O146,IF(OptControl=4,0,1),1),0)</f>
        <v>0</v>
      </c>
      <c r="BJ146" s="196">
        <f ca="1">IF(AH146,_xll.xEURO(BB146,Strike1,AE146,AE146,BF146,O146,IF(OptControl=4,0,1),2),0)</f>
        <v>0</v>
      </c>
      <c r="BK146" s="196">
        <f ca="1">IF(AH146,_xll.xEURO(BB146,Strike1,AE146,AE146,BF146,O146,IF(OptControl=4,0,1),3)/100,0)</f>
        <v>0</v>
      </c>
      <c r="BL146" s="196">
        <f ca="1">IF(AH146,_xll.xEURO(BB146,Strike1,AE146,AE146,BF146,O146-DaysForThetaCalculation,IF(OptControl=4,0,1),0)-_xll.xEURO(BB146,Strike1,AE146,AE146,BF146,O146,IF(OptControl=4,0,1),0),0)</f>
        <v>0</v>
      </c>
      <c r="BM146" s="196">
        <f ca="1">IF(AH146,_xll.xEURO(BB146,Strike2,AE146,AE146,BG146,O146,IF(OptControl=3,1,0),0),0)</f>
        <v>0</v>
      </c>
      <c r="BN146" s="196">
        <f ca="1">IF(AH146,_xll.xEURO(BB146,Strike2,AE146,AE146,BG146,O146,IF(OptControl=3,1,0),1),0)</f>
        <v>0</v>
      </c>
      <c r="BO146" s="196">
        <f ca="1">IF(AH146,_xll.xEURO(BB146,Strike2,AE146,AE146,BG146,O146,IF(OptControl=3,1,0),2),0)</f>
        <v>0</v>
      </c>
      <c r="BP146" s="196">
        <f ca="1">IF(AH146,_xll.xEURO(BB146,Strike2,AE146,AE146,BG146,O146,IF(OptControl=3,1,0),3)/100,0)</f>
        <v>0</v>
      </c>
      <c r="BQ146" s="197">
        <f ca="1">IF(AH146,_xll.xEURO(BB146,Strike2,AE146,AE146,BG146,O146-DaysForThetaCalculation,IF(OptControl=3,1,0),0)-_xll.xEURO(BB146,Strike2,AE146,AE146,BG146,O146,IF(OptControl=3,1,0),0),0)</f>
        <v>0</v>
      </c>
      <c r="BR146" s="301"/>
      <c r="BS146" s="114"/>
      <c r="BT146" s="345">
        <f t="shared" si="237"/>
        <v>0</v>
      </c>
      <c r="BU146" s="345">
        <f t="shared" ca="1" si="185"/>
        <v>-22.019047619047619</v>
      </c>
      <c r="BV146" s="73"/>
      <c r="BW146" s="345">
        <f t="shared" ref="BW146:BW186" ca="1" si="282">BW134+VLOOKUP(1900+$L146,ProductSpreadTable,2)</f>
        <v>6.2171428571428624</v>
      </c>
      <c r="BX146" s="345">
        <f t="shared" ca="1" si="186"/>
        <v>66.702164502164521</v>
      </c>
      <c r="BY146" s="373">
        <f t="shared" ca="1" si="238"/>
        <v>67.229024943310677</v>
      </c>
      <c r="BZ146" s="114"/>
      <c r="CA146" s="345">
        <f t="shared" si="239"/>
        <v>0</v>
      </c>
      <c r="CB146" s="345">
        <f t="shared" ca="1" si="187"/>
        <v>-22.019047619047619</v>
      </c>
      <c r="CC146" s="345">
        <f t="shared" ref="CC146:CC186" ca="1" si="283">CC134+VLOOKUP(1900+$L146,ProductSpreadTable,3)</f>
        <v>3.9071428571428588</v>
      </c>
      <c r="CD146" s="345">
        <f t="shared" ca="1" si="240"/>
        <v>61.729024943310662</v>
      </c>
      <c r="CE146" s="347">
        <f t="shared" ca="1" si="272"/>
        <v>-5.5000000000000142</v>
      </c>
      <c r="CF146" s="114"/>
      <c r="CG146" s="345">
        <f t="shared" si="241"/>
        <v>0</v>
      </c>
      <c r="CH146" s="345">
        <f t="shared" ca="1" si="242"/>
        <v>-22.019047619047619</v>
      </c>
      <c r="CI146" s="73"/>
      <c r="CJ146" s="345">
        <f t="shared" ca="1" si="190"/>
        <v>5.9781428571428616</v>
      </c>
      <c r="CK146" s="345">
        <f t="shared" ref="CK146:CK186" ca="1" si="284">($V145+CJ145)*100/42</f>
        <v>65.683116883116895</v>
      </c>
      <c r="CL146" s="345">
        <f t="shared" ca="1" si="243"/>
        <v>66.659977324263053</v>
      </c>
      <c r="CM146" s="114"/>
      <c r="CN146" s="345">
        <f t="shared" si="244"/>
        <v>0</v>
      </c>
      <c r="CO146" s="345">
        <f t="shared" ca="1" si="245"/>
        <v>-22.019047619047619</v>
      </c>
      <c r="CP146" s="345">
        <f t="shared" ca="1" si="192"/>
        <v>4.7811428571428634</v>
      </c>
      <c r="CQ146" s="345">
        <f t="shared" ca="1" si="246"/>
        <v>63.809977324263052</v>
      </c>
      <c r="CR146" s="347">
        <f t="shared" ca="1" si="273"/>
        <v>-2.8500000000000014</v>
      </c>
      <c r="CS146" s="114"/>
      <c r="CT146" s="345">
        <f t="shared" si="247"/>
        <v>0</v>
      </c>
      <c r="CU146" s="345">
        <f t="shared" si="274"/>
        <v>0</v>
      </c>
      <c r="CV146" s="345">
        <f t="shared" ca="1" si="191"/>
        <v>2.250000000000008</v>
      </c>
      <c r="CW146" s="347">
        <f t="shared" ca="1" si="275"/>
        <v>68.909977324263068</v>
      </c>
      <c r="CX146" s="483"/>
      <c r="CY146" s="190">
        <f t="shared" si="248"/>
        <v>-0.16129999999999903</v>
      </c>
      <c r="CZ146" s="190">
        <f t="shared" ca="1" si="280"/>
        <v>-0.03</v>
      </c>
      <c r="DA146" s="354">
        <f t="shared" ca="1" si="249"/>
        <v>0.13129999999999903</v>
      </c>
      <c r="DB146" s="483"/>
      <c r="DC146" s="190">
        <f t="shared" si="250"/>
        <v>-0.16129999999999903</v>
      </c>
      <c r="DD146" s="190">
        <f t="shared" ca="1" si="281"/>
        <v>0.03</v>
      </c>
      <c r="DE146" s="354">
        <f t="shared" ca="1" si="251"/>
        <v>0.19129999999999903</v>
      </c>
      <c r="DG146" s="341"/>
      <c r="DH146" s="114"/>
      <c r="DI146" s="126">
        <f t="shared" ca="1" si="276"/>
        <v>-22.019047619047619</v>
      </c>
      <c r="DJ146" s="126">
        <f t="shared" ca="1" si="224"/>
        <v>-2</v>
      </c>
      <c r="DK146" s="356">
        <f t="shared" ca="1" si="225"/>
        <v>20.019047619047619</v>
      </c>
      <c r="DL146" s="114"/>
      <c r="DM146" s="126">
        <f t="shared" ca="1" si="277"/>
        <v>-22.019047619047619</v>
      </c>
      <c r="DN146" s="126">
        <f t="shared" ca="1" si="252"/>
        <v>-3</v>
      </c>
      <c r="DO146" s="356">
        <f t="shared" ca="1" si="226"/>
        <v>19.019047619047619</v>
      </c>
      <c r="DP146" s="114"/>
      <c r="DQ146" s="126">
        <f t="shared" ca="1" si="278"/>
        <v>-22.019047619047619</v>
      </c>
      <c r="DR146" s="126">
        <f t="shared" ca="1" si="253"/>
        <v>-6</v>
      </c>
      <c r="DS146" s="356">
        <f t="shared" ca="1" si="227"/>
        <v>16.019047619047619</v>
      </c>
      <c r="DT146" s="114"/>
      <c r="DU146" s="126">
        <f t="shared" ca="1" si="279"/>
        <v>-22.019047619047619</v>
      </c>
      <c r="DV146" s="126">
        <f t="shared" ca="1" si="254"/>
        <v>-5</v>
      </c>
      <c r="DW146" s="356">
        <f t="shared" ca="1" si="228"/>
        <v>17.019047619047619</v>
      </c>
    </row>
    <row r="147" spans="2:127" x14ac:dyDescent="0.25">
      <c r="B147" s="396">
        <v>40026</v>
      </c>
      <c r="C147" s="400">
        <v>40014</v>
      </c>
      <c r="I147" s="136">
        <f t="shared" ca="1" si="229"/>
        <v>41275</v>
      </c>
      <c r="J147" s="131">
        <f t="shared" ca="1" si="230"/>
        <v>41262</v>
      </c>
      <c r="K147" s="106">
        <f t="shared" ca="1" si="231"/>
        <v>0.69565217391304346</v>
      </c>
      <c r="L147" s="133">
        <f t="shared" ca="1" si="193"/>
        <v>113</v>
      </c>
      <c r="M147" s="134">
        <f t="shared" ca="1" si="194"/>
        <v>1</v>
      </c>
      <c r="N147" s="103">
        <f t="shared" ca="1" si="216"/>
        <v>23</v>
      </c>
      <c r="O147" s="104">
        <f t="shared" ca="1" si="232"/>
        <v>4315</v>
      </c>
      <c r="P147" s="105">
        <f t="shared" ca="1" si="195"/>
        <v>11.83025325119781</v>
      </c>
      <c r="Q147" s="105">
        <f t="shared" ca="1" si="196"/>
        <v>11.912388774811772</v>
      </c>
      <c r="R147" s="114">
        <v>22</v>
      </c>
      <c r="S147" s="198">
        <v>0</v>
      </c>
      <c r="T147" s="189">
        <f t="shared" si="233"/>
        <v>22</v>
      </c>
      <c r="U147" s="199">
        <f t="shared" ca="1" si="217"/>
        <v>22.065217391304348</v>
      </c>
      <c r="V147" s="379">
        <f t="shared" ca="1" si="218"/>
        <v>22.065217391304348</v>
      </c>
      <c r="W147" s="483">
        <v>0.16089999999999904</v>
      </c>
      <c r="X147" s="166" t="str">
        <f t="shared" ca="1" si="219"/>
        <v/>
      </c>
      <c r="Y147" s="91">
        <f t="shared" ca="1" si="255"/>
        <v>7.1296954665741403E-4</v>
      </c>
      <c r="Z147" s="91">
        <f t="shared" ca="1" si="256"/>
        <v>2.0506405530079102E-4</v>
      </c>
      <c r="AA147" s="91">
        <f t="shared" ca="1" si="257"/>
        <v>6.6768418824368546E-5</v>
      </c>
      <c r="AB147" s="91">
        <f t="shared" ca="1" si="258"/>
        <v>1.5041589392754829E-4</v>
      </c>
      <c r="AC147" s="91">
        <f t="shared" ca="1" si="259"/>
        <v>4.6196830378165743E-4</v>
      </c>
      <c r="AD147" s="91">
        <f t="shared" ca="1" si="260"/>
        <v>1.6061777947097046E-3</v>
      </c>
      <c r="AE147" s="124">
        <v>7.3694433849898003E-2</v>
      </c>
      <c r="AF147" s="191">
        <f t="shared" ca="1" si="261"/>
        <v>0.42227871269061595</v>
      </c>
      <c r="AG147" s="189">
        <f t="shared" ca="1" si="234"/>
        <v>1</v>
      </c>
      <c r="AH147" s="192">
        <f t="shared" ca="1" si="220"/>
        <v>0</v>
      </c>
      <c r="AI147" s="192">
        <f t="shared" ca="1" si="221"/>
        <v>0</v>
      </c>
      <c r="AJ147" s="192">
        <f t="shared" ca="1" si="222"/>
        <v>0</v>
      </c>
      <c r="AK147" s="192">
        <f t="shared" ca="1" si="223"/>
        <v>0</v>
      </c>
      <c r="AL147" s="191" t="str">
        <f t="shared" ca="1" si="262"/>
        <v/>
      </c>
      <c r="AM147" s="191" t="str">
        <f t="shared" ca="1" si="263"/>
        <v/>
      </c>
      <c r="AN147" s="191" t="str">
        <f t="shared" ca="1" si="264"/>
        <v/>
      </c>
      <c r="AO147" s="193" t="str">
        <f t="shared" ca="1" si="265"/>
        <v/>
      </c>
      <c r="AP147" s="194" t="str">
        <f t="shared" ca="1" si="235"/>
        <v/>
      </c>
      <c r="AQ147" s="194" t="str">
        <f t="shared" ca="1" si="236"/>
        <v/>
      </c>
      <c r="AR147" s="195">
        <f ca="1">IF(AH147,_xll.xASN(AL147,Strike1,AE147,AP147,0,N147,0,P147,Q147,IF(OptControl=4,0,1),0),0)</f>
        <v>0</v>
      </c>
      <c r="AS147" s="196">
        <f ca="1">IF(AH147,_xll.xASN(AL147,Strike1,AE147,AP147,0,N147,0,P147,Q147,IF(OptControl=4,0,1),1),0)</f>
        <v>0</v>
      </c>
      <c r="AT147" s="196">
        <f ca="1">IF(AH147,_xll.xASN(AL147,Strike1,AE147,AP147,0,N147,0,P147,Q147,IF(OptControl=4,0,1),2),0)</f>
        <v>0</v>
      </c>
      <c r="AU147" s="196">
        <f ca="1">IF(AH147,_xll.xASN(AL147,Strike1,AE147,AP147,0,N147,0,P147,Q147,IF(OptControl=4,0,1),3)/100,0)</f>
        <v>0</v>
      </c>
      <c r="AV147" s="196">
        <f ca="1">IF(AH147,_xll.xASN(AL147,Strike1,AE147,AP147,0,N147,0,P147-DaysForThetaCalculation/365.25,Q147-DaysForThetaCalculation/365.25,IF(OptControl=4,0,1),0)-_xll.xASN(AL147,Strike1,AE147,AP147,0,N147,0,P147,Q147,IF(OptControl=4,0,1),0),0)</f>
        <v>0</v>
      </c>
      <c r="AW147" s="196">
        <f ca="1">IF(AH147,_xll.xASN(AL147,Strike2,AE147,AQ147,0,N147,0,P147,Q147,IF(OptControl=3,1,0),0),0)</f>
        <v>0</v>
      </c>
      <c r="AX147" s="196">
        <f ca="1">IF(AH147,_xll.xASN(AL147,Strike2,AE147,AQ147,0,N147,0,P147,Q147,IF(OptControl=3,1,0),1),0)</f>
        <v>0</v>
      </c>
      <c r="AY147" s="196">
        <f ca="1">IF(AH147,_xll.xASN(AL147,Strike2,AE147,AQ147,0,N147,0,P147,Q147,IF(OptControl=3,1,0),2),0)</f>
        <v>0</v>
      </c>
      <c r="AZ147" s="196">
        <f ca="1">IF(AH147,_xll.xASN(AL147,Strike2,AE147,AQ147,0,N147,0,P147,Q147,IF(OptControl=3,1,0),3)/100,0)</f>
        <v>0</v>
      </c>
      <c r="BA147" s="196">
        <f ca="1">IF(AH147,_xll.xASN(AL147,Strike2,AE147,AQ147,0,N147,0,P147-DaysForThetaCalculation/365.25,Q147-DaysForThetaCalculation/365.25,IF(OptControl=3,1,0),0)-_xll.xASN(AL147,Strike2,AE147,AQ147,0,N147,0,P147,Q147,IF(OptControl=3,1,0),0),0)</f>
        <v>0</v>
      </c>
      <c r="BB147" s="126" t="str">
        <f t="shared" ca="1" si="266"/>
        <v/>
      </c>
      <c r="BC147" s="191" t="str">
        <f t="shared" ca="1" si="267"/>
        <v/>
      </c>
      <c r="BD147" s="191" t="str">
        <f t="shared" ca="1" si="268"/>
        <v/>
      </c>
      <c r="BE147" s="190" t="str">
        <f t="shared" ca="1" si="269"/>
        <v/>
      </c>
      <c r="BF147" s="194" t="str">
        <f t="shared" ca="1" si="270"/>
        <v/>
      </c>
      <c r="BG147" s="194" t="str">
        <f t="shared" ca="1" si="271"/>
        <v/>
      </c>
      <c r="BH147" s="195">
        <f ca="1">IF(AH147,_xll.xEURO(BB147,Strike1,AE147,AE147,BF147,O147,IF(OptControl=4,0,1),0),0)</f>
        <v>0</v>
      </c>
      <c r="BI147" s="196">
        <f ca="1">IF(AH147,_xll.xEURO(BB147,Strike1,AE147,AE147,BF147,O147,IF(OptControl=4,0,1),1),0)</f>
        <v>0</v>
      </c>
      <c r="BJ147" s="196">
        <f ca="1">IF(AH147,_xll.xEURO(BB147,Strike1,AE147,AE147,BF147,O147,IF(OptControl=4,0,1),2),0)</f>
        <v>0</v>
      </c>
      <c r="BK147" s="196">
        <f ca="1">IF(AH147,_xll.xEURO(BB147,Strike1,AE147,AE147,BF147,O147,IF(OptControl=4,0,1),3)/100,0)</f>
        <v>0</v>
      </c>
      <c r="BL147" s="196">
        <f ca="1">IF(AH147,_xll.xEURO(BB147,Strike1,AE147,AE147,BF147,O147-DaysForThetaCalculation,IF(OptControl=4,0,1),0)-_xll.xEURO(BB147,Strike1,AE147,AE147,BF147,O147,IF(OptControl=4,0,1),0),0)</f>
        <v>0</v>
      </c>
      <c r="BM147" s="196">
        <f ca="1">IF(AH147,_xll.xEURO(BB147,Strike2,AE147,AE147,BG147,O147,IF(OptControl=3,1,0),0),0)</f>
        <v>0</v>
      </c>
      <c r="BN147" s="196">
        <f ca="1">IF(AH147,_xll.xEURO(BB147,Strike2,AE147,AE147,BG147,O147,IF(OptControl=3,1,0),1),0)</f>
        <v>0</v>
      </c>
      <c r="BO147" s="196">
        <f ca="1">IF(AH147,_xll.xEURO(BB147,Strike2,AE147,AE147,BG147,O147,IF(OptControl=3,1,0),2),0)</f>
        <v>0</v>
      </c>
      <c r="BP147" s="196">
        <f ca="1">IF(AH147,_xll.xEURO(BB147,Strike2,AE147,AE147,BG147,O147,IF(OptControl=3,1,0),3)/100,0)</f>
        <v>0</v>
      </c>
      <c r="BQ147" s="197">
        <f ca="1">IF(AH147,_xll.xEURO(BB147,Strike2,AE147,AE147,BG147,O147-DaysForThetaCalculation,IF(OptControl=3,1,0),0)-_xll.xEURO(BB147,Strike2,AE147,AE147,BG147,O147,IF(OptControl=3,1,0),0),0)</f>
        <v>0</v>
      </c>
      <c r="BR147" s="301"/>
      <c r="BS147" s="114"/>
      <c r="BT147" s="345">
        <f t="shared" si="237"/>
        <v>0</v>
      </c>
      <c r="BU147" s="345">
        <f t="shared" ref="BU147:BU186" ca="1" si="285">BS148-$U147</f>
        <v>-22.065217391304348</v>
      </c>
      <c r="BV147" s="73"/>
      <c r="BW147" s="345">
        <f t="shared" ca="1" si="282"/>
        <v>6.4594782608695684</v>
      </c>
      <c r="BX147" s="345">
        <f t="shared" ref="BX147:BX186" ca="1" si="286">($V146+BW146)*100/42</f>
        <v>67.229024943310677</v>
      </c>
      <c r="BY147" s="373">
        <f t="shared" ca="1" si="238"/>
        <v>67.915942028985526</v>
      </c>
      <c r="BZ147" s="114"/>
      <c r="CA147" s="345">
        <f t="shared" si="239"/>
        <v>0</v>
      </c>
      <c r="CB147" s="345">
        <f t="shared" ref="CB147:CB186" ca="1" si="287">BZ147-$U147</f>
        <v>-22.065217391304348</v>
      </c>
      <c r="CC147" s="345">
        <f t="shared" ca="1" si="283"/>
        <v>4.9474782608695698</v>
      </c>
      <c r="CD147" s="345">
        <f t="shared" ca="1" si="240"/>
        <v>64.315942028985518</v>
      </c>
      <c r="CE147" s="347">
        <f t="shared" ca="1" si="272"/>
        <v>-3.6000000000000085</v>
      </c>
      <c r="CF147" s="114"/>
      <c r="CG147" s="345">
        <f t="shared" si="241"/>
        <v>0</v>
      </c>
      <c r="CH147" s="345">
        <f t="shared" ca="1" si="242"/>
        <v>-22.065217391304348</v>
      </c>
      <c r="CI147" s="73"/>
      <c r="CJ147" s="345">
        <f t="shared" ca="1" si="190"/>
        <v>5.7794782608695687</v>
      </c>
      <c r="CK147" s="345">
        <f t="shared" ca="1" si="284"/>
        <v>66.659977324263053</v>
      </c>
      <c r="CL147" s="345">
        <f t="shared" ca="1" si="243"/>
        <v>66.296894409937906</v>
      </c>
      <c r="CM147" s="114"/>
      <c r="CN147" s="345">
        <f t="shared" si="244"/>
        <v>0</v>
      </c>
      <c r="CO147" s="345">
        <f t="shared" ca="1" si="245"/>
        <v>-22.065217391304348</v>
      </c>
      <c r="CP147" s="345">
        <f t="shared" ca="1" si="192"/>
        <v>4.6664782608695701</v>
      </c>
      <c r="CQ147" s="345">
        <f t="shared" ca="1" si="246"/>
        <v>63.6468944099379</v>
      </c>
      <c r="CR147" s="347">
        <f t="shared" ca="1" si="273"/>
        <v>-2.6500000000000057</v>
      </c>
      <c r="CS147" s="114"/>
      <c r="CT147" s="345">
        <f t="shared" si="247"/>
        <v>0</v>
      </c>
      <c r="CU147" s="345">
        <f t="shared" si="274"/>
        <v>0</v>
      </c>
      <c r="CV147" s="345">
        <f t="shared" ca="1" si="191"/>
        <v>2.250000000000008</v>
      </c>
      <c r="CW147" s="347">
        <f t="shared" ca="1" si="275"/>
        <v>68.54689440993792</v>
      </c>
      <c r="CX147" s="483"/>
      <c r="CY147" s="190">
        <f t="shared" si="248"/>
        <v>-0.16089999999999904</v>
      </c>
      <c r="CZ147" s="190">
        <f t="shared" ca="1" si="280"/>
        <v>-0.03</v>
      </c>
      <c r="DA147" s="354">
        <f t="shared" ca="1" si="249"/>
        <v>0.13089999999999904</v>
      </c>
      <c r="DB147" s="483"/>
      <c r="DC147" s="190">
        <f t="shared" si="250"/>
        <v>-0.16089999999999904</v>
      </c>
      <c r="DD147" s="190">
        <f t="shared" ca="1" si="281"/>
        <v>0.03</v>
      </c>
      <c r="DE147" s="354">
        <f t="shared" ca="1" si="251"/>
        <v>0.19089999999999904</v>
      </c>
      <c r="DG147" s="341"/>
      <c r="DH147" s="114"/>
      <c r="DI147" s="126">
        <f t="shared" ca="1" si="276"/>
        <v>-22.065217391304348</v>
      </c>
      <c r="DJ147" s="126">
        <f t="shared" ca="1" si="224"/>
        <v>-2</v>
      </c>
      <c r="DK147" s="356">
        <f t="shared" ca="1" si="225"/>
        <v>20.065217391304348</v>
      </c>
      <c r="DL147" s="114"/>
      <c r="DM147" s="126">
        <f t="shared" ca="1" si="277"/>
        <v>-22.065217391304348</v>
      </c>
      <c r="DN147" s="126">
        <f t="shared" ca="1" si="252"/>
        <v>-3</v>
      </c>
      <c r="DO147" s="356">
        <f t="shared" ca="1" si="226"/>
        <v>19.065217391304348</v>
      </c>
      <c r="DP147" s="114"/>
      <c r="DQ147" s="126">
        <f t="shared" ca="1" si="278"/>
        <v>-22.065217391304348</v>
      </c>
      <c r="DR147" s="126">
        <f t="shared" ca="1" si="253"/>
        <v>-6</v>
      </c>
      <c r="DS147" s="356">
        <f t="shared" ca="1" si="227"/>
        <v>16.065217391304348</v>
      </c>
      <c r="DT147" s="114"/>
      <c r="DU147" s="126">
        <f t="shared" ca="1" si="279"/>
        <v>-22.065217391304348</v>
      </c>
      <c r="DV147" s="126">
        <f t="shared" ca="1" si="254"/>
        <v>-5</v>
      </c>
      <c r="DW147" s="356">
        <f t="shared" ca="1" si="228"/>
        <v>17.065217391304348</v>
      </c>
    </row>
    <row r="148" spans="2:127" x14ac:dyDescent="0.25">
      <c r="B148" s="396">
        <v>40057</v>
      </c>
      <c r="C148" s="400">
        <v>40046</v>
      </c>
      <c r="I148" s="136">
        <f t="shared" ca="1" si="229"/>
        <v>41306</v>
      </c>
      <c r="J148" s="131">
        <f t="shared" ca="1" si="230"/>
        <v>41296</v>
      </c>
      <c r="K148" s="106">
        <f t="shared" ca="1" si="231"/>
        <v>0.7</v>
      </c>
      <c r="L148" s="133">
        <f t="shared" ca="1" si="193"/>
        <v>113</v>
      </c>
      <c r="M148" s="134">
        <f t="shared" ca="1" si="194"/>
        <v>2</v>
      </c>
      <c r="N148" s="103">
        <f t="shared" ca="1" si="216"/>
        <v>20</v>
      </c>
      <c r="O148" s="104">
        <f t="shared" ca="1" si="232"/>
        <v>4348</v>
      </c>
      <c r="P148" s="105">
        <f t="shared" ca="1" si="195"/>
        <v>11.915126625598905</v>
      </c>
      <c r="Q148" s="105">
        <f t="shared" ca="1" si="196"/>
        <v>11.989048596851472</v>
      </c>
      <c r="R148" s="114">
        <v>22.05</v>
      </c>
      <c r="S148" s="198">
        <v>0</v>
      </c>
      <c r="T148" s="189">
        <f t="shared" si="233"/>
        <v>22.05</v>
      </c>
      <c r="U148" s="199">
        <f t="shared" ca="1" si="217"/>
        <v>22.115000000000002</v>
      </c>
      <c r="V148" s="379">
        <f t="shared" ca="1" si="218"/>
        <v>22.115000000000002</v>
      </c>
      <c r="W148" s="483">
        <v>0.160499999999999</v>
      </c>
      <c r="X148" s="166" t="str">
        <f t="shared" ca="1" si="219"/>
        <v/>
      </c>
      <c r="Y148" s="91">
        <f t="shared" ca="1" si="255"/>
        <v>6.9770595303830958E-4</v>
      </c>
      <c r="Z148" s="91">
        <f t="shared" ca="1" si="256"/>
        <v>1.9959952703529888E-4</v>
      </c>
      <c r="AA148" s="91">
        <f t="shared" ca="1" si="257"/>
        <v>6.4814905446499224E-5</v>
      </c>
      <c r="AB148" s="91">
        <f t="shared" ca="1" si="258"/>
        <v>1.4601501898988417E-4</v>
      </c>
      <c r="AC148" s="91">
        <f t="shared" ca="1" si="259"/>
        <v>4.4965781450515571E-4</v>
      </c>
      <c r="AD148" s="91">
        <f t="shared" ca="1" si="260"/>
        <v>1.5717919710045863E-3</v>
      </c>
      <c r="AE148" s="124">
        <v>7.3690472291227022E-2</v>
      </c>
      <c r="AF148" s="191">
        <f t="shared" ca="1" si="261"/>
        <v>0.41996171492914219</v>
      </c>
      <c r="AG148" s="189">
        <f t="shared" ca="1" si="234"/>
        <v>1</v>
      </c>
      <c r="AH148" s="192">
        <f t="shared" ca="1" si="220"/>
        <v>0</v>
      </c>
      <c r="AI148" s="192">
        <f t="shared" ca="1" si="221"/>
        <v>0</v>
      </c>
      <c r="AJ148" s="192">
        <f t="shared" ca="1" si="222"/>
        <v>0</v>
      </c>
      <c r="AK148" s="192">
        <f t="shared" ca="1" si="223"/>
        <v>0</v>
      </c>
      <c r="AL148" s="191" t="str">
        <f t="shared" ca="1" si="262"/>
        <v/>
      </c>
      <c r="AM148" s="191" t="str">
        <f t="shared" ca="1" si="263"/>
        <v/>
      </c>
      <c r="AN148" s="191" t="str">
        <f t="shared" ca="1" si="264"/>
        <v/>
      </c>
      <c r="AO148" s="193" t="str">
        <f t="shared" ca="1" si="265"/>
        <v/>
      </c>
      <c r="AP148" s="194" t="str">
        <f t="shared" ca="1" si="235"/>
        <v/>
      </c>
      <c r="AQ148" s="194" t="str">
        <f t="shared" ca="1" si="236"/>
        <v/>
      </c>
      <c r="AR148" s="195">
        <f ca="1">IF(AH148,_xll.xASN(AL148,Strike1,AE148,AP148,0,N148,0,P148,Q148,IF(OptControl=4,0,1),0),0)</f>
        <v>0</v>
      </c>
      <c r="AS148" s="196">
        <f ca="1">IF(AH148,_xll.xASN(AL148,Strike1,AE148,AP148,0,N148,0,P148,Q148,IF(OptControl=4,0,1),1),0)</f>
        <v>0</v>
      </c>
      <c r="AT148" s="196">
        <f ca="1">IF(AH148,_xll.xASN(AL148,Strike1,AE148,AP148,0,N148,0,P148,Q148,IF(OptControl=4,0,1),2),0)</f>
        <v>0</v>
      </c>
      <c r="AU148" s="196">
        <f ca="1">IF(AH148,_xll.xASN(AL148,Strike1,AE148,AP148,0,N148,0,P148,Q148,IF(OptControl=4,0,1),3)/100,0)</f>
        <v>0</v>
      </c>
      <c r="AV148" s="196">
        <f ca="1">IF(AH148,_xll.xASN(AL148,Strike1,AE148,AP148,0,N148,0,P148-DaysForThetaCalculation/365.25,Q148-DaysForThetaCalculation/365.25,IF(OptControl=4,0,1),0)-_xll.xASN(AL148,Strike1,AE148,AP148,0,N148,0,P148,Q148,IF(OptControl=4,0,1),0),0)</f>
        <v>0</v>
      </c>
      <c r="AW148" s="196">
        <f ca="1">IF(AH148,_xll.xASN(AL148,Strike2,AE148,AQ148,0,N148,0,P148,Q148,IF(OptControl=3,1,0),0),0)</f>
        <v>0</v>
      </c>
      <c r="AX148" s="196">
        <f ca="1">IF(AH148,_xll.xASN(AL148,Strike2,AE148,AQ148,0,N148,0,P148,Q148,IF(OptControl=3,1,0),1),0)</f>
        <v>0</v>
      </c>
      <c r="AY148" s="196">
        <f ca="1">IF(AH148,_xll.xASN(AL148,Strike2,AE148,AQ148,0,N148,0,P148,Q148,IF(OptControl=3,1,0),2),0)</f>
        <v>0</v>
      </c>
      <c r="AZ148" s="196">
        <f ca="1">IF(AH148,_xll.xASN(AL148,Strike2,AE148,AQ148,0,N148,0,P148,Q148,IF(OptControl=3,1,0),3)/100,0)</f>
        <v>0</v>
      </c>
      <c r="BA148" s="196">
        <f ca="1">IF(AH148,_xll.xASN(AL148,Strike2,AE148,AQ148,0,N148,0,P148-DaysForThetaCalculation/365.25,Q148-DaysForThetaCalculation/365.25,IF(OptControl=3,1,0),0)-_xll.xASN(AL148,Strike2,AE148,AQ148,0,N148,0,P148,Q148,IF(OptControl=3,1,0),0),0)</f>
        <v>0</v>
      </c>
      <c r="BB148" s="126" t="str">
        <f t="shared" ca="1" si="266"/>
        <v/>
      </c>
      <c r="BC148" s="191" t="str">
        <f t="shared" ca="1" si="267"/>
        <v/>
      </c>
      <c r="BD148" s="191" t="str">
        <f t="shared" ca="1" si="268"/>
        <v/>
      </c>
      <c r="BE148" s="190" t="str">
        <f t="shared" ca="1" si="269"/>
        <v/>
      </c>
      <c r="BF148" s="194" t="str">
        <f t="shared" ca="1" si="270"/>
        <v/>
      </c>
      <c r="BG148" s="194" t="str">
        <f t="shared" ca="1" si="271"/>
        <v/>
      </c>
      <c r="BH148" s="195">
        <f ca="1">IF(AH148,_xll.xEURO(BB148,Strike1,AE148,AE148,BF148,O148,IF(OptControl=4,0,1),0),0)</f>
        <v>0</v>
      </c>
      <c r="BI148" s="196">
        <f ca="1">IF(AH148,_xll.xEURO(BB148,Strike1,AE148,AE148,BF148,O148,IF(OptControl=4,0,1),1),0)</f>
        <v>0</v>
      </c>
      <c r="BJ148" s="196">
        <f ca="1">IF(AH148,_xll.xEURO(BB148,Strike1,AE148,AE148,BF148,O148,IF(OptControl=4,0,1),2),0)</f>
        <v>0</v>
      </c>
      <c r="BK148" s="196">
        <f ca="1">IF(AH148,_xll.xEURO(BB148,Strike1,AE148,AE148,BF148,O148,IF(OptControl=4,0,1),3)/100,0)</f>
        <v>0</v>
      </c>
      <c r="BL148" s="196">
        <f ca="1">IF(AH148,_xll.xEURO(BB148,Strike1,AE148,AE148,BF148,O148-DaysForThetaCalculation,IF(OptControl=4,0,1),0)-_xll.xEURO(BB148,Strike1,AE148,AE148,BF148,O148,IF(OptControl=4,0,1),0),0)</f>
        <v>0</v>
      </c>
      <c r="BM148" s="196">
        <f ca="1">IF(AH148,_xll.xEURO(BB148,Strike2,AE148,AE148,BG148,O148,IF(OptControl=3,1,0),0),0)</f>
        <v>0</v>
      </c>
      <c r="BN148" s="196">
        <f ca="1">IF(AH148,_xll.xEURO(BB148,Strike2,AE148,AE148,BG148,O148,IF(OptControl=3,1,0),1),0)</f>
        <v>0</v>
      </c>
      <c r="BO148" s="196">
        <f ca="1">IF(AH148,_xll.xEURO(BB148,Strike2,AE148,AE148,BG148,O148,IF(OptControl=3,1,0),2),0)</f>
        <v>0</v>
      </c>
      <c r="BP148" s="196">
        <f ca="1">IF(AH148,_xll.xEURO(BB148,Strike2,AE148,AE148,BG148,O148,IF(OptControl=3,1,0),3)/100,0)</f>
        <v>0</v>
      </c>
      <c r="BQ148" s="197">
        <f ca="1">IF(AH148,_xll.xEURO(BB148,Strike2,AE148,AE148,BG148,O148-DaysForThetaCalculation,IF(OptControl=3,1,0),0)-_xll.xEURO(BB148,Strike2,AE148,AE148,BG148,O148,IF(OptControl=3,1,0),0),0)</f>
        <v>0</v>
      </c>
      <c r="BR148" s="301"/>
      <c r="BS148" s="114"/>
      <c r="BT148" s="345">
        <f t="shared" si="237"/>
        <v>0</v>
      </c>
      <c r="BU148" s="345">
        <f t="shared" ca="1" si="285"/>
        <v>-22.115000000000002</v>
      </c>
      <c r="BV148" s="73"/>
      <c r="BW148" s="345">
        <f t="shared" ca="1" si="282"/>
        <v>6.8400000000000016</v>
      </c>
      <c r="BX148" s="345">
        <f t="shared" ca="1" si="286"/>
        <v>67.915942028985526</v>
      </c>
      <c r="BY148" s="373">
        <f t="shared" ca="1" si="238"/>
        <v>68.940476190476204</v>
      </c>
      <c r="BZ148" s="114"/>
      <c r="CA148" s="345">
        <f t="shared" si="239"/>
        <v>0</v>
      </c>
      <c r="CB148" s="345">
        <f t="shared" ca="1" si="287"/>
        <v>-22.115000000000002</v>
      </c>
      <c r="CC148" s="345">
        <f t="shared" ca="1" si="283"/>
        <v>5.2820000000000009</v>
      </c>
      <c r="CD148" s="345">
        <f t="shared" ca="1" si="240"/>
        <v>65.230952380952388</v>
      </c>
      <c r="CE148" s="347">
        <f t="shared" ca="1" si="272"/>
        <v>-3.7095238095238159</v>
      </c>
      <c r="CF148" s="114"/>
      <c r="CG148" s="345">
        <f t="shared" si="241"/>
        <v>0</v>
      </c>
      <c r="CH148" s="345">
        <f t="shared" ca="1" si="242"/>
        <v>-22.115000000000002</v>
      </c>
      <c r="CI148" s="73"/>
      <c r="CJ148" s="345">
        <f t="shared" ca="1" si="190"/>
        <v>5.0679999999999978</v>
      </c>
      <c r="CK148" s="345">
        <f t="shared" ca="1" si="284"/>
        <v>66.296894409937906</v>
      </c>
      <c r="CL148" s="345">
        <f t="shared" ca="1" si="243"/>
        <v>64.721428571428575</v>
      </c>
      <c r="CM148" s="114"/>
      <c r="CN148" s="345">
        <f t="shared" si="244"/>
        <v>0</v>
      </c>
      <c r="CO148" s="345">
        <f t="shared" ca="1" si="245"/>
        <v>-22.115000000000002</v>
      </c>
      <c r="CP148" s="345">
        <f t="shared" ca="1" si="192"/>
        <v>3.9549999999999987</v>
      </c>
      <c r="CQ148" s="345">
        <f t="shared" ca="1" si="246"/>
        <v>62.071428571428569</v>
      </c>
      <c r="CR148" s="347">
        <f t="shared" ca="1" si="273"/>
        <v>-2.6500000000000057</v>
      </c>
      <c r="CS148" s="114"/>
      <c r="CT148" s="345">
        <f t="shared" si="247"/>
        <v>0</v>
      </c>
      <c r="CU148" s="345">
        <f t="shared" si="274"/>
        <v>0</v>
      </c>
      <c r="CV148" s="345">
        <f t="shared" ca="1" si="191"/>
        <v>2.250000000000008</v>
      </c>
      <c r="CW148" s="347">
        <f t="shared" ca="1" si="275"/>
        <v>66.971428571428589</v>
      </c>
      <c r="CX148" s="483"/>
      <c r="CY148" s="190">
        <f t="shared" si="248"/>
        <v>-0.160499999999999</v>
      </c>
      <c r="CZ148" s="190">
        <f t="shared" ca="1" si="280"/>
        <v>-0.03</v>
      </c>
      <c r="DA148" s="354">
        <f t="shared" ca="1" si="249"/>
        <v>0.13049999999999901</v>
      </c>
      <c r="DB148" s="483"/>
      <c r="DC148" s="190">
        <f t="shared" si="250"/>
        <v>-0.160499999999999</v>
      </c>
      <c r="DD148" s="190">
        <f t="shared" ca="1" si="281"/>
        <v>0.03</v>
      </c>
      <c r="DE148" s="354">
        <f t="shared" ca="1" si="251"/>
        <v>0.190499999999999</v>
      </c>
      <c r="DG148" s="341"/>
      <c r="DH148" s="114"/>
      <c r="DI148" s="126">
        <f t="shared" ca="1" si="276"/>
        <v>-22.115000000000002</v>
      </c>
      <c r="DJ148" s="126">
        <f t="shared" ca="1" si="224"/>
        <v>-2</v>
      </c>
      <c r="DK148" s="356">
        <f t="shared" ca="1" si="225"/>
        <v>20.115000000000002</v>
      </c>
      <c r="DL148" s="114"/>
      <c r="DM148" s="126">
        <f t="shared" ca="1" si="277"/>
        <v>-22.115000000000002</v>
      </c>
      <c r="DN148" s="126">
        <f t="shared" ca="1" si="252"/>
        <v>-3</v>
      </c>
      <c r="DO148" s="356">
        <f t="shared" ca="1" si="226"/>
        <v>19.115000000000002</v>
      </c>
      <c r="DP148" s="114"/>
      <c r="DQ148" s="126">
        <f t="shared" ca="1" si="278"/>
        <v>-22.115000000000002</v>
      </c>
      <c r="DR148" s="126">
        <f t="shared" ca="1" si="253"/>
        <v>-6</v>
      </c>
      <c r="DS148" s="356">
        <f t="shared" ca="1" si="227"/>
        <v>16.115000000000002</v>
      </c>
      <c r="DT148" s="114"/>
      <c r="DU148" s="126">
        <f t="shared" ca="1" si="279"/>
        <v>-22.115000000000002</v>
      </c>
      <c r="DV148" s="126">
        <f t="shared" ca="1" si="254"/>
        <v>-5</v>
      </c>
      <c r="DW148" s="356">
        <f t="shared" ca="1" si="228"/>
        <v>17.115000000000002</v>
      </c>
    </row>
    <row r="149" spans="2:127" x14ac:dyDescent="0.25">
      <c r="B149" s="396">
        <v>40087</v>
      </c>
      <c r="C149" s="400">
        <v>40076</v>
      </c>
      <c r="I149" s="136">
        <f t="shared" ca="1" si="229"/>
        <v>41334</v>
      </c>
      <c r="J149" s="131">
        <f t="shared" ca="1" si="230"/>
        <v>41325</v>
      </c>
      <c r="K149" s="106">
        <f t="shared" ca="1" si="231"/>
        <v>0.66666666666666663</v>
      </c>
      <c r="L149" s="133">
        <f t="shared" ca="1" si="193"/>
        <v>113</v>
      </c>
      <c r="M149" s="134">
        <f t="shared" ca="1" si="194"/>
        <v>3</v>
      </c>
      <c r="N149" s="103">
        <f t="shared" ca="1" si="216"/>
        <v>21</v>
      </c>
      <c r="O149" s="104">
        <f t="shared" ca="1" si="232"/>
        <v>4376</v>
      </c>
      <c r="P149" s="105">
        <f t="shared" ca="1" si="195"/>
        <v>11.991786447638603</v>
      </c>
      <c r="Q149" s="105">
        <f t="shared" ca="1" si="196"/>
        <v>12.073921971252567</v>
      </c>
      <c r="R149" s="114">
        <v>22.1</v>
      </c>
      <c r="S149" s="198">
        <v>0</v>
      </c>
      <c r="T149" s="189">
        <f t="shared" si="233"/>
        <v>22.1</v>
      </c>
      <c r="U149" s="199">
        <f t="shared" ca="1" si="217"/>
        <v>22.166666666666664</v>
      </c>
      <c r="V149" s="379">
        <f t="shared" ca="1" si="218"/>
        <v>22.166666666666664</v>
      </c>
      <c r="W149" s="483">
        <v>0.16009999999999902</v>
      </c>
      <c r="X149" s="166" t="str">
        <f t="shared" ca="1" si="219"/>
        <v/>
      </c>
      <c r="Y149" s="91">
        <f t="shared" ca="1" si="255"/>
        <v>6.8276912974377438E-4</v>
      </c>
      <c r="Z149" s="91">
        <f t="shared" ca="1" si="256"/>
        <v>1.9428061702123829E-4</v>
      </c>
      <c r="AA149" s="91">
        <f t="shared" ca="1" si="257"/>
        <v>6.2918548050225817E-5</v>
      </c>
      <c r="AB149" s="91">
        <f t="shared" ca="1" si="258"/>
        <v>1.4174290504755934E-4</v>
      </c>
      <c r="AC149" s="91">
        <f t="shared" ca="1" si="259"/>
        <v>4.3767537402547905E-4</v>
      </c>
      <c r="AD149" s="91">
        <f t="shared" ca="1" si="260"/>
        <v>1.5381422954866574E-3</v>
      </c>
      <c r="AE149" s="124">
        <v>7.368676631700001E-2</v>
      </c>
      <c r="AF149" s="191">
        <f t="shared" ca="1" si="261"/>
        <v>0.41740827357823002</v>
      </c>
      <c r="AG149" s="189">
        <f t="shared" ca="1" si="234"/>
        <v>1</v>
      </c>
      <c r="AH149" s="192">
        <f t="shared" ca="1" si="220"/>
        <v>0</v>
      </c>
      <c r="AI149" s="192">
        <f t="shared" ref="AI149:AI164" ca="1" si="288">AH149*AF149</f>
        <v>0</v>
      </c>
      <c r="AJ149" s="192">
        <f t="shared" ca="1" si="222"/>
        <v>0</v>
      </c>
      <c r="AK149" s="192">
        <f t="shared" ref="AK149:AK164" ca="1" si="289">AJ149*AF149</f>
        <v>0</v>
      </c>
      <c r="AL149" s="191" t="str">
        <f t="shared" ca="1" si="262"/>
        <v/>
      </c>
      <c r="AM149" s="191" t="str">
        <f t="shared" ca="1" si="263"/>
        <v/>
      </c>
      <c r="AN149" s="191" t="str">
        <f t="shared" ca="1" si="264"/>
        <v/>
      </c>
      <c r="AO149" s="193" t="str">
        <f t="shared" ca="1" si="265"/>
        <v/>
      </c>
      <c r="AP149" s="194" t="str">
        <f t="shared" ca="1" si="235"/>
        <v/>
      </c>
      <c r="AQ149" s="194" t="str">
        <f t="shared" ca="1" si="236"/>
        <v/>
      </c>
      <c r="AR149" s="195">
        <f ca="1">IF(AH149,_xll.xASN(AL149,Strike1,AE149,AP149,0,N149,0,P149,Q149,IF(OptControl=4,0,1),0),0)</f>
        <v>0</v>
      </c>
      <c r="AS149" s="196">
        <f ca="1">IF(AH149,_xll.xASN(AL149,Strike1,AE149,AP149,0,N149,0,P149,Q149,IF(OptControl=4,0,1),1),0)</f>
        <v>0</v>
      </c>
      <c r="AT149" s="196">
        <f ca="1">IF(AH149,_xll.xASN(AL149,Strike1,AE149,AP149,0,N149,0,P149,Q149,IF(OptControl=4,0,1),2),0)</f>
        <v>0</v>
      </c>
      <c r="AU149" s="196">
        <f ca="1">IF(AH149,_xll.xASN(AL149,Strike1,AE149,AP149,0,N149,0,P149,Q149,IF(OptControl=4,0,1),3)/100,0)</f>
        <v>0</v>
      </c>
      <c r="AV149" s="196">
        <f ca="1">IF(AH149,_xll.xASN(AL149,Strike1,AE149,AP149,0,N149,0,P149-DaysForThetaCalculation/365.25,Q149-DaysForThetaCalculation/365.25,IF(OptControl=4,0,1),0)-_xll.xASN(AL149,Strike1,AE149,AP149,0,N149,0,P149,Q149,IF(OptControl=4,0,1),0),0)</f>
        <v>0</v>
      </c>
      <c r="AW149" s="196">
        <f ca="1">IF(AH149,_xll.xASN(AL149,Strike2,AE149,AQ149,0,N149,0,P149,Q149,IF(OptControl=3,1,0),0),0)</f>
        <v>0</v>
      </c>
      <c r="AX149" s="196">
        <f ca="1">IF(AH149,_xll.xASN(AL149,Strike2,AE149,AQ149,0,N149,0,P149,Q149,IF(OptControl=3,1,0),1),0)</f>
        <v>0</v>
      </c>
      <c r="AY149" s="196">
        <f ca="1">IF(AH149,_xll.xASN(AL149,Strike2,AE149,AQ149,0,N149,0,P149,Q149,IF(OptControl=3,1,0),2),0)</f>
        <v>0</v>
      </c>
      <c r="AZ149" s="196">
        <f ca="1">IF(AH149,_xll.xASN(AL149,Strike2,AE149,AQ149,0,N149,0,P149,Q149,IF(OptControl=3,1,0),3)/100,0)</f>
        <v>0</v>
      </c>
      <c r="BA149" s="196">
        <f ca="1">IF(AH149,_xll.xASN(AL149,Strike2,AE149,AQ149,0,N149,0,P149-DaysForThetaCalculation/365.25,Q149-DaysForThetaCalculation/365.25,IF(OptControl=3,1,0),0)-_xll.xASN(AL149,Strike2,AE149,AQ149,0,N149,0,P149,Q149,IF(OptControl=3,1,0),0),0)</f>
        <v>0</v>
      </c>
      <c r="BB149" s="126" t="str">
        <f t="shared" ca="1" si="266"/>
        <v/>
      </c>
      <c r="BC149" s="191" t="str">
        <f t="shared" ca="1" si="267"/>
        <v/>
      </c>
      <c r="BD149" s="191" t="str">
        <f t="shared" ca="1" si="268"/>
        <v/>
      </c>
      <c r="BE149" s="190" t="str">
        <f t="shared" ca="1" si="269"/>
        <v/>
      </c>
      <c r="BF149" s="194" t="str">
        <f t="shared" ca="1" si="270"/>
        <v/>
      </c>
      <c r="BG149" s="194" t="str">
        <f t="shared" ca="1" si="271"/>
        <v/>
      </c>
      <c r="BH149" s="195">
        <f ca="1">IF(AH149,_xll.xEURO(BB149,Strike1,AE149,AE149,BF149,O149,IF(OptControl=4,0,1),0),0)</f>
        <v>0</v>
      </c>
      <c r="BI149" s="196">
        <f ca="1">IF(AH149,_xll.xEURO(BB149,Strike1,AE149,AE149,BF149,O149,IF(OptControl=4,0,1),1),0)</f>
        <v>0</v>
      </c>
      <c r="BJ149" s="196">
        <f ca="1">IF(AH149,_xll.xEURO(BB149,Strike1,AE149,AE149,BF149,O149,IF(OptControl=4,0,1),2),0)</f>
        <v>0</v>
      </c>
      <c r="BK149" s="196">
        <f ca="1">IF(AH149,_xll.xEURO(BB149,Strike1,AE149,AE149,BF149,O149,IF(OptControl=4,0,1),3)/100,0)</f>
        <v>0</v>
      </c>
      <c r="BL149" s="196">
        <f ca="1">IF(AH149,_xll.xEURO(BB149,Strike1,AE149,AE149,BF149,O149-DaysForThetaCalculation,IF(OptControl=4,0,1),0)-_xll.xEURO(BB149,Strike1,AE149,AE149,BF149,O149,IF(OptControl=4,0,1),0),0)</f>
        <v>0</v>
      </c>
      <c r="BM149" s="196">
        <f ca="1">IF(AH149,_xll.xEURO(BB149,Strike2,AE149,AE149,BG149,O149,IF(OptControl=3,1,0),0),0)</f>
        <v>0</v>
      </c>
      <c r="BN149" s="196">
        <f ca="1">IF(AH149,_xll.xEURO(BB149,Strike2,AE149,AE149,BG149,O149,IF(OptControl=3,1,0),1),0)</f>
        <v>0</v>
      </c>
      <c r="BO149" s="196">
        <f ca="1">IF(AH149,_xll.xEURO(BB149,Strike2,AE149,AE149,BG149,O149,IF(OptControl=3,1,0),2),0)</f>
        <v>0</v>
      </c>
      <c r="BP149" s="196">
        <f ca="1">IF(AH149,_xll.xEURO(BB149,Strike2,AE149,AE149,BG149,O149,IF(OptControl=3,1,0),3)/100,0)</f>
        <v>0</v>
      </c>
      <c r="BQ149" s="197">
        <f ca="1">IF(AH149,_xll.xEURO(BB149,Strike2,AE149,AE149,BG149,O149-DaysForThetaCalculation,IF(OptControl=3,1,0),0)-_xll.xEURO(BB149,Strike2,AE149,AE149,BG149,O149,IF(OptControl=3,1,0),0),0)</f>
        <v>0</v>
      </c>
      <c r="BR149" s="301"/>
      <c r="BS149" s="114"/>
      <c r="BT149" s="345">
        <f t="shared" si="237"/>
        <v>0</v>
      </c>
      <c r="BU149" s="345">
        <f t="shared" ca="1" si="285"/>
        <v>-22.166666666666664</v>
      </c>
      <c r="BV149" s="73"/>
      <c r="BW149" s="345">
        <f t="shared" ca="1" si="282"/>
        <v>10.906000000000006</v>
      </c>
      <c r="BX149" s="345">
        <f t="shared" ca="1" si="286"/>
        <v>68.940476190476204</v>
      </c>
      <c r="BY149" s="373">
        <f t="shared" ca="1" si="238"/>
        <v>78.744444444444454</v>
      </c>
      <c r="BZ149" s="114"/>
      <c r="CA149" s="345">
        <f t="shared" si="239"/>
        <v>0</v>
      </c>
      <c r="CB149" s="345">
        <f t="shared" ca="1" si="287"/>
        <v>-22.166666666666664</v>
      </c>
      <c r="CC149" s="345">
        <f t="shared" ca="1" si="283"/>
        <v>7.4480000000000057</v>
      </c>
      <c r="CD149" s="345">
        <f t="shared" ca="1" si="240"/>
        <v>70.51111111111112</v>
      </c>
      <c r="CE149" s="347">
        <f t="shared" ca="1" si="272"/>
        <v>-8.2333333333333343</v>
      </c>
      <c r="CF149" s="114"/>
      <c r="CG149" s="345">
        <f t="shared" si="241"/>
        <v>0</v>
      </c>
      <c r="CH149" s="345">
        <f t="shared" ca="1" si="242"/>
        <v>-22.166666666666664</v>
      </c>
      <c r="CI149" s="73"/>
      <c r="CJ149" s="345">
        <f t="shared" ca="1" si="190"/>
        <v>4.4290000000000003</v>
      </c>
      <c r="CK149" s="345">
        <f t="shared" ca="1" si="284"/>
        <v>64.721428571428575</v>
      </c>
      <c r="CL149" s="345">
        <f t="shared" ca="1" si="243"/>
        <v>63.323015873015869</v>
      </c>
      <c r="CM149" s="114"/>
      <c r="CN149" s="345">
        <f t="shared" si="244"/>
        <v>0</v>
      </c>
      <c r="CO149" s="345">
        <f t="shared" ca="1" si="245"/>
        <v>-22.166666666666664</v>
      </c>
      <c r="CP149" s="345">
        <f t="shared" ca="1" si="192"/>
        <v>3.3159999999999994</v>
      </c>
      <c r="CQ149" s="345">
        <f t="shared" ca="1" si="246"/>
        <v>60.673015873015871</v>
      </c>
      <c r="CR149" s="347">
        <f t="shared" ca="1" si="273"/>
        <v>-2.6499999999999986</v>
      </c>
      <c r="CS149" s="114"/>
      <c r="CT149" s="345">
        <f t="shared" si="247"/>
        <v>0</v>
      </c>
      <c r="CU149" s="345">
        <f t="shared" si="274"/>
        <v>0</v>
      </c>
      <c r="CV149" s="345">
        <f t="shared" ca="1" si="191"/>
        <v>2.2499999999999938</v>
      </c>
      <c r="CW149" s="347">
        <f t="shared" ca="1" si="275"/>
        <v>65.573015873015862</v>
      </c>
      <c r="CX149" s="483"/>
      <c r="CY149" s="190">
        <f t="shared" si="248"/>
        <v>-0.16009999999999902</v>
      </c>
      <c r="CZ149" s="190">
        <f t="shared" ca="1" si="280"/>
        <v>-0.03</v>
      </c>
      <c r="DA149" s="354">
        <f t="shared" ca="1" si="249"/>
        <v>0.13009999999999902</v>
      </c>
      <c r="DB149" s="483"/>
      <c r="DC149" s="190">
        <f t="shared" si="250"/>
        <v>-0.16009999999999902</v>
      </c>
      <c r="DD149" s="190">
        <f t="shared" ca="1" si="281"/>
        <v>0.03</v>
      </c>
      <c r="DE149" s="354">
        <f t="shared" ca="1" si="251"/>
        <v>0.19009999999999902</v>
      </c>
      <c r="DG149" s="341"/>
      <c r="DH149" s="114"/>
      <c r="DI149" s="126">
        <f t="shared" ca="1" si="276"/>
        <v>-22.166666666666664</v>
      </c>
      <c r="DJ149" s="126">
        <f t="shared" ca="1" si="224"/>
        <v>-2</v>
      </c>
      <c r="DK149" s="356">
        <f t="shared" ca="1" si="225"/>
        <v>20.166666666666664</v>
      </c>
      <c r="DL149" s="114"/>
      <c r="DM149" s="126">
        <f t="shared" ca="1" si="277"/>
        <v>-22.166666666666664</v>
      </c>
      <c r="DN149" s="126">
        <f t="shared" ca="1" si="252"/>
        <v>-3</v>
      </c>
      <c r="DO149" s="356">
        <f t="shared" ca="1" si="226"/>
        <v>19.166666666666664</v>
      </c>
      <c r="DP149" s="114"/>
      <c r="DQ149" s="126">
        <f t="shared" ca="1" si="278"/>
        <v>-22.166666666666664</v>
      </c>
      <c r="DR149" s="126">
        <f t="shared" ca="1" si="253"/>
        <v>-6</v>
      </c>
      <c r="DS149" s="356">
        <f t="shared" ca="1" si="227"/>
        <v>16.166666666666664</v>
      </c>
      <c r="DT149" s="114"/>
      <c r="DU149" s="126">
        <f t="shared" ca="1" si="279"/>
        <v>-22.166666666666664</v>
      </c>
      <c r="DV149" s="126">
        <f t="shared" ca="1" si="254"/>
        <v>-5</v>
      </c>
      <c r="DW149" s="356">
        <f t="shared" ca="1" si="228"/>
        <v>17.166666666666664</v>
      </c>
    </row>
    <row r="150" spans="2:127" x14ac:dyDescent="0.25">
      <c r="B150" s="396">
        <v>40118</v>
      </c>
      <c r="C150" s="400">
        <v>40108</v>
      </c>
      <c r="I150" s="136">
        <f t="shared" ca="1" si="229"/>
        <v>41365</v>
      </c>
      <c r="J150" s="131">
        <f t="shared" ca="1" si="230"/>
        <v>41353</v>
      </c>
      <c r="K150" s="106">
        <f t="shared" ca="1" si="231"/>
        <v>0.68181818181818177</v>
      </c>
      <c r="L150" s="133">
        <f t="shared" ca="1" si="193"/>
        <v>113</v>
      </c>
      <c r="M150" s="134">
        <f t="shared" ca="1" si="194"/>
        <v>4</v>
      </c>
      <c r="N150" s="103">
        <f t="shared" ca="1" si="216"/>
        <v>22</v>
      </c>
      <c r="O150" s="104">
        <f t="shared" ca="1" si="232"/>
        <v>4405</v>
      </c>
      <c r="P150" s="105">
        <f t="shared" ca="1" si="195"/>
        <v>12.0766598220397</v>
      </c>
      <c r="Q150" s="105">
        <f t="shared" ca="1" si="196"/>
        <v>12.156057494866531</v>
      </c>
      <c r="R150" s="114">
        <v>22.15</v>
      </c>
      <c r="S150" s="198">
        <v>0</v>
      </c>
      <c r="T150" s="189">
        <f t="shared" si="233"/>
        <v>22.15</v>
      </c>
      <c r="U150" s="199">
        <f t="shared" ca="1" si="217"/>
        <v>22.21590909090909</v>
      </c>
      <c r="V150" s="379">
        <f t="shared" ca="1" si="218"/>
        <v>22.21590909090909</v>
      </c>
      <c r="W150" s="483">
        <v>0.15969999999999904</v>
      </c>
      <c r="X150" s="166" t="str">
        <f t="shared" ca="1" si="219"/>
        <v/>
      </c>
      <c r="Y150" s="91">
        <f t="shared" ca="1" si="255"/>
        <v>6.6815208111815319E-4</v>
      </c>
      <c r="Z150" s="91">
        <f t="shared" ca="1" si="256"/>
        <v>1.8910344483671009E-4</v>
      </c>
      <c r="AA150" s="91">
        <f t="shared" ca="1" si="257"/>
        <v>6.1077674363287893E-5</v>
      </c>
      <c r="AB150" s="91">
        <f t="shared" ca="1" si="258"/>
        <v>1.375957848056255E-4</v>
      </c>
      <c r="AC150" s="91">
        <f t="shared" ca="1" si="259"/>
        <v>4.2601224052817298E-4</v>
      </c>
      <c r="AD150" s="91">
        <f t="shared" ca="1" si="260"/>
        <v>1.5052130083428581E-3</v>
      </c>
      <c r="AE150" s="124">
        <v>7.3682804758330001E-2</v>
      </c>
      <c r="AF150" s="191">
        <f t="shared" ca="1" si="261"/>
        <v>0.41495404923855189</v>
      </c>
      <c r="AG150" s="189">
        <f t="shared" ca="1" si="234"/>
        <v>1</v>
      </c>
      <c r="AH150" s="192">
        <f t="shared" ca="1" si="220"/>
        <v>0</v>
      </c>
      <c r="AI150" s="192">
        <f t="shared" ca="1" si="288"/>
        <v>0</v>
      </c>
      <c r="AJ150" s="192">
        <f t="shared" ca="1" si="222"/>
        <v>0</v>
      </c>
      <c r="AK150" s="192">
        <f t="shared" ca="1" si="289"/>
        <v>0</v>
      </c>
      <c r="AL150" s="191" t="str">
        <f t="shared" ca="1" si="262"/>
        <v/>
      </c>
      <c r="AM150" s="191" t="str">
        <f t="shared" ca="1" si="263"/>
        <v/>
      </c>
      <c r="AN150" s="191" t="str">
        <f t="shared" ca="1" si="264"/>
        <v/>
      </c>
      <c r="AO150" s="193" t="str">
        <f t="shared" ca="1" si="265"/>
        <v/>
      </c>
      <c r="AP150" s="194" t="str">
        <f t="shared" ca="1" si="235"/>
        <v/>
      </c>
      <c r="AQ150" s="194" t="str">
        <f t="shared" ca="1" si="236"/>
        <v/>
      </c>
      <c r="AR150" s="195">
        <f ca="1">IF(AH150,_xll.xASN(AL150,Strike1,AE150,AP150,0,N150,0,P150,Q150,IF(OptControl=4,0,1),0),0)</f>
        <v>0</v>
      </c>
      <c r="AS150" s="196">
        <f ca="1">IF(AH150,_xll.xASN(AL150,Strike1,AE150,AP150,0,N150,0,P150,Q150,IF(OptControl=4,0,1),1),0)</f>
        <v>0</v>
      </c>
      <c r="AT150" s="196">
        <f ca="1">IF(AH150,_xll.xASN(AL150,Strike1,AE150,AP150,0,N150,0,P150,Q150,IF(OptControl=4,0,1),2),0)</f>
        <v>0</v>
      </c>
      <c r="AU150" s="196">
        <f ca="1">IF(AH150,_xll.xASN(AL150,Strike1,AE150,AP150,0,N150,0,P150,Q150,IF(OptControl=4,0,1),3)/100,0)</f>
        <v>0</v>
      </c>
      <c r="AV150" s="196">
        <f ca="1">IF(AH150,_xll.xASN(AL150,Strike1,AE150,AP150,0,N150,0,P150-DaysForThetaCalculation/365.25,Q150-DaysForThetaCalculation/365.25,IF(OptControl=4,0,1),0)-_xll.xASN(AL150,Strike1,AE150,AP150,0,N150,0,P150,Q150,IF(OptControl=4,0,1),0),0)</f>
        <v>0</v>
      </c>
      <c r="AW150" s="196">
        <f ca="1">IF(AH150,_xll.xASN(AL150,Strike2,AE150,AQ150,0,N150,0,P150,Q150,IF(OptControl=3,1,0),0),0)</f>
        <v>0</v>
      </c>
      <c r="AX150" s="196">
        <f ca="1">IF(AH150,_xll.xASN(AL150,Strike2,AE150,AQ150,0,N150,0,P150,Q150,IF(OptControl=3,1,0),1),0)</f>
        <v>0</v>
      </c>
      <c r="AY150" s="196">
        <f ca="1">IF(AH150,_xll.xASN(AL150,Strike2,AE150,AQ150,0,N150,0,P150,Q150,IF(OptControl=3,1,0),2),0)</f>
        <v>0</v>
      </c>
      <c r="AZ150" s="196">
        <f ca="1">IF(AH150,_xll.xASN(AL150,Strike2,AE150,AQ150,0,N150,0,P150,Q150,IF(OptControl=3,1,0),3)/100,0)</f>
        <v>0</v>
      </c>
      <c r="BA150" s="196">
        <f ca="1">IF(AH150,_xll.xASN(AL150,Strike2,AE150,AQ150,0,N150,0,P150-DaysForThetaCalculation/365.25,Q150-DaysForThetaCalculation/365.25,IF(OptControl=3,1,0),0)-_xll.xASN(AL150,Strike2,AE150,AQ150,0,N150,0,P150,Q150,IF(OptControl=3,1,0),0),0)</f>
        <v>0</v>
      </c>
      <c r="BB150" s="126" t="str">
        <f t="shared" ca="1" si="266"/>
        <v/>
      </c>
      <c r="BC150" s="191" t="str">
        <f t="shared" ca="1" si="267"/>
        <v/>
      </c>
      <c r="BD150" s="191" t="str">
        <f t="shared" ca="1" si="268"/>
        <v/>
      </c>
      <c r="BE150" s="190" t="str">
        <f t="shared" ca="1" si="269"/>
        <v/>
      </c>
      <c r="BF150" s="194" t="str">
        <f t="shared" ca="1" si="270"/>
        <v/>
      </c>
      <c r="BG150" s="194" t="str">
        <f t="shared" ca="1" si="271"/>
        <v/>
      </c>
      <c r="BH150" s="195">
        <f ca="1">IF(AH150,_xll.xEURO(BB150,Strike1,AE150,AE150,BF150,O150,IF(OptControl=4,0,1),0),0)</f>
        <v>0</v>
      </c>
      <c r="BI150" s="196">
        <f ca="1">IF(AH150,_xll.xEURO(BB150,Strike1,AE150,AE150,BF150,O150,IF(OptControl=4,0,1),1),0)</f>
        <v>0</v>
      </c>
      <c r="BJ150" s="196">
        <f ca="1">IF(AH150,_xll.xEURO(BB150,Strike1,AE150,AE150,BF150,O150,IF(OptControl=4,0,1),2),0)</f>
        <v>0</v>
      </c>
      <c r="BK150" s="196">
        <f ca="1">IF(AH150,_xll.xEURO(BB150,Strike1,AE150,AE150,BF150,O150,IF(OptControl=4,0,1),3)/100,0)</f>
        <v>0</v>
      </c>
      <c r="BL150" s="196">
        <f ca="1">IF(AH150,_xll.xEURO(BB150,Strike1,AE150,AE150,BF150,O150-DaysForThetaCalculation,IF(OptControl=4,0,1),0)-_xll.xEURO(BB150,Strike1,AE150,AE150,BF150,O150,IF(OptControl=4,0,1),0),0)</f>
        <v>0</v>
      </c>
      <c r="BM150" s="196">
        <f ca="1">IF(AH150,_xll.xEURO(BB150,Strike2,AE150,AE150,BG150,O150,IF(OptControl=3,1,0),0),0)</f>
        <v>0</v>
      </c>
      <c r="BN150" s="196">
        <f ca="1">IF(AH150,_xll.xEURO(BB150,Strike2,AE150,AE150,BG150,O150,IF(OptControl=3,1,0),1),0)</f>
        <v>0</v>
      </c>
      <c r="BO150" s="196">
        <f ca="1">IF(AH150,_xll.xEURO(BB150,Strike2,AE150,AE150,BG150,O150,IF(OptControl=3,1,0),2),0)</f>
        <v>0</v>
      </c>
      <c r="BP150" s="196">
        <f ca="1">IF(AH150,_xll.xEURO(BB150,Strike2,AE150,AE150,BG150,O150,IF(OptControl=3,1,0),3)/100,0)</f>
        <v>0</v>
      </c>
      <c r="BQ150" s="197">
        <f ca="1">IF(AH150,_xll.xEURO(BB150,Strike2,AE150,AE150,BG150,O150-DaysForThetaCalculation,IF(OptControl=3,1,0),0)-_xll.xEURO(BB150,Strike2,AE150,AE150,BG150,O150,IF(OptControl=3,1,0),0),0)</f>
        <v>0</v>
      </c>
      <c r="BR150" s="301"/>
      <c r="BS150" s="114"/>
      <c r="BT150" s="345">
        <f t="shared" si="237"/>
        <v>0</v>
      </c>
      <c r="BU150" s="345">
        <f t="shared" ca="1" si="285"/>
        <v>-22.21590909090909</v>
      </c>
      <c r="BV150" s="73"/>
      <c r="BW150" s="345">
        <f t="shared" ca="1" si="282"/>
        <v>9.8457142857142905</v>
      </c>
      <c r="BX150" s="345">
        <f t="shared" ca="1" si="286"/>
        <v>78.744444444444454</v>
      </c>
      <c r="BY150" s="373">
        <f t="shared" ca="1" si="238"/>
        <v>76.337198515769956</v>
      </c>
      <c r="BZ150" s="114"/>
      <c r="CA150" s="345">
        <f t="shared" si="239"/>
        <v>0</v>
      </c>
      <c r="CB150" s="345">
        <f t="shared" ca="1" si="287"/>
        <v>-22.21590909090909</v>
      </c>
      <c r="CC150" s="345">
        <f t="shared" ca="1" si="283"/>
        <v>7.2207142857142905</v>
      </c>
      <c r="CD150" s="345">
        <f t="shared" ca="1" si="240"/>
        <v>70.087198515769956</v>
      </c>
      <c r="CE150" s="347">
        <f t="shared" ca="1" si="272"/>
        <v>-6.25</v>
      </c>
      <c r="CF150" s="114"/>
      <c r="CG150" s="345">
        <f t="shared" si="241"/>
        <v>0</v>
      </c>
      <c r="CH150" s="345">
        <f t="shared" ca="1" si="242"/>
        <v>-22.21590909090909</v>
      </c>
      <c r="CI150" s="73"/>
      <c r="CJ150" s="345">
        <f t="shared" ca="1" si="190"/>
        <v>3.8770909090909105</v>
      </c>
      <c r="CK150" s="345">
        <f t="shared" ca="1" si="284"/>
        <v>63.323015873015869</v>
      </c>
      <c r="CL150" s="345">
        <f t="shared" ca="1" si="243"/>
        <v>62.12619047619048</v>
      </c>
      <c r="CM150" s="114"/>
      <c r="CN150" s="345">
        <f t="shared" si="244"/>
        <v>0</v>
      </c>
      <c r="CO150" s="345">
        <f t="shared" ca="1" si="245"/>
        <v>-22.21590909090909</v>
      </c>
      <c r="CP150" s="345">
        <f t="shared" ca="1" si="192"/>
        <v>2.9530909090909074</v>
      </c>
      <c r="CQ150" s="345">
        <f t="shared" ca="1" si="246"/>
        <v>59.92619047619047</v>
      </c>
      <c r="CR150" s="347">
        <f t="shared" ca="1" si="273"/>
        <v>-2.2000000000000099</v>
      </c>
      <c r="CS150" s="114"/>
      <c r="CT150" s="345">
        <f t="shared" si="247"/>
        <v>0</v>
      </c>
      <c r="CU150" s="345">
        <f t="shared" si="274"/>
        <v>0</v>
      </c>
      <c r="CV150" s="345">
        <f t="shared" ca="1" si="191"/>
        <v>2.2499999999999938</v>
      </c>
      <c r="CW150" s="347">
        <f t="shared" ca="1" si="275"/>
        <v>64.376190476190473</v>
      </c>
      <c r="CX150" s="483"/>
      <c r="CY150" s="190">
        <f t="shared" si="248"/>
        <v>-0.15969999999999904</v>
      </c>
      <c r="CZ150" s="190">
        <f t="shared" ca="1" si="280"/>
        <v>-0.03</v>
      </c>
      <c r="DA150" s="354">
        <f t="shared" ca="1" si="249"/>
        <v>0.12969999999999904</v>
      </c>
      <c r="DB150" s="483"/>
      <c r="DC150" s="190">
        <f t="shared" si="250"/>
        <v>-0.15969999999999904</v>
      </c>
      <c r="DD150" s="190">
        <f t="shared" ca="1" si="281"/>
        <v>0.03</v>
      </c>
      <c r="DE150" s="354">
        <f t="shared" ca="1" si="251"/>
        <v>0.18969999999999904</v>
      </c>
      <c r="DG150" s="341"/>
      <c r="DH150" s="114"/>
      <c r="DI150" s="126">
        <f t="shared" ca="1" si="276"/>
        <v>-22.21590909090909</v>
      </c>
      <c r="DJ150" s="126">
        <f t="shared" ca="1" si="224"/>
        <v>-2</v>
      </c>
      <c r="DK150" s="356">
        <f t="shared" ca="1" si="225"/>
        <v>20.21590909090909</v>
      </c>
      <c r="DL150" s="114"/>
      <c r="DM150" s="126">
        <f t="shared" ca="1" si="277"/>
        <v>-22.21590909090909</v>
      </c>
      <c r="DN150" s="126">
        <f t="shared" ca="1" si="252"/>
        <v>-3</v>
      </c>
      <c r="DO150" s="356">
        <f t="shared" ca="1" si="226"/>
        <v>19.21590909090909</v>
      </c>
      <c r="DP150" s="114"/>
      <c r="DQ150" s="126">
        <f t="shared" ca="1" si="278"/>
        <v>-22.21590909090909</v>
      </c>
      <c r="DR150" s="126">
        <f t="shared" ca="1" si="253"/>
        <v>-6</v>
      </c>
      <c r="DS150" s="356">
        <f t="shared" ca="1" si="227"/>
        <v>16.21590909090909</v>
      </c>
      <c r="DT150" s="114"/>
      <c r="DU150" s="126">
        <f t="shared" ca="1" si="279"/>
        <v>-22.21590909090909</v>
      </c>
      <c r="DV150" s="126">
        <f t="shared" ca="1" si="254"/>
        <v>-5</v>
      </c>
      <c r="DW150" s="356">
        <f t="shared" ca="1" si="228"/>
        <v>17.21590909090909</v>
      </c>
    </row>
    <row r="151" spans="2:127" x14ac:dyDescent="0.25">
      <c r="B151" s="396">
        <v>40148</v>
      </c>
      <c r="C151" s="400">
        <v>40136</v>
      </c>
      <c r="I151" s="136">
        <f t="shared" ca="1" si="229"/>
        <v>41395</v>
      </c>
      <c r="J151" s="131">
        <f t="shared" ca="1" si="230"/>
        <v>41384</v>
      </c>
      <c r="K151" s="106">
        <f t="shared" ca="1" si="231"/>
        <v>0.69565217391304346</v>
      </c>
      <c r="L151" s="133">
        <f t="shared" ca="1" si="193"/>
        <v>113</v>
      </c>
      <c r="M151" s="134">
        <f t="shared" ca="1" si="194"/>
        <v>5</v>
      </c>
      <c r="N151" s="103">
        <f t="shared" ca="1" si="216"/>
        <v>23</v>
      </c>
      <c r="O151" s="104">
        <f t="shared" ca="1" si="232"/>
        <v>4435</v>
      </c>
      <c r="P151" s="105">
        <f t="shared" ca="1" si="195"/>
        <v>12.158795345653662</v>
      </c>
      <c r="Q151" s="105">
        <f t="shared" ca="1" si="196"/>
        <v>12.240930869267626</v>
      </c>
      <c r="R151" s="114">
        <v>22.2</v>
      </c>
      <c r="S151" s="198">
        <v>0</v>
      </c>
      <c r="T151" s="189">
        <f t="shared" si="233"/>
        <v>22.2</v>
      </c>
      <c r="U151" s="199">
        <f t="shared" ca="1" si="217"/>
        <v>22.265217391304347</v>
      </c>
      <c r="V151" s="379">
        <f t="shared" ca="1" si="218"/>
        <v>22.265217391304347</v>
      </c>
      <c r="W151" s="483">
        <v>0.15929999999999903</v>
      </c>
      <c r="X151" s="166" t="str">
        <f t="shared" ca="1" si="219"/>
        <v/>
      </c>
      <c r="Y151" s="91">
        <f t="shared" ca="1" si="255"/>
        <v>6.5384796127213854E-4</v>
      </c>
      <c r="Z151" s="91">
        <f t="shared" ca="1" si="256"/>
        <v>1.8406423346494443E-4</v>
      </c>
      <c r="AA151" s="91">
        <f t="shared" ca="1" si="257"/>
        <v>5.9290661040841453E-5</v>
      </c>
      <c r="AB151" s="91">
        <f t="shared" ca="1" si="258"/>
        <v>1.335700011928181E-4</v>
      </c>
      <c r="AC151" s="91">
        <f t="shared" ca="1" si="259"/>
        <v>4.1465990514985828E-4</v>
      </c>
      <c r="AD151" s="91">
        <f t="shared" ca="1" si="260"/>
        <v>1.4729886871537566E-3</v>
      </c>
      <c r="AE151" s="124">
        <v>7.3678970991889012E-2</v>
      </c>
      <c r="AF151" s="191">
        <f t="shared" ca="1" si="261"/>
        <v>0.41243218274378379</v>
      </c>
      <c r="AG151" s="189">
        <f t="shared" ca="1" si="234"/>
        <v>1</v>
      </c>
      <c r="AH151" s="192">
        <f t="shared" ca="1" si="220"/>
        <v>0</v>
      </c>
      <c r="AI151" s="192">
        <f t="shared" ca="1" si="288"/>
        <v>0</v>
      </c>
      <c r="AJ151" s="192">
        <f t="shared" ca="1" si="222"/>
        <v>0</v>
      </c>
      <c r="AK151" s="192">
        <f t="shared" ca="1" si="289"/>
        <v>0</v>
      </c>
      <c r="AL151" s="191" t="str">
        <f t="shared" ca="1" si="262"/>
        <v/>
      </c>
      <c r="AM151" s="191" t="str">
        <f t="shared" ca="1" si="263"/>
        <v/>
      </c>
      <c r="AN151" s="191" t="str">
        <f t="shared" ca="1" si="264"/>
        <v/>
      </c>
      <c r="AO151" s="193" t="str">
        <f t="shared" ca="1" si="265"/>
        <v/>
      </c>
      <c r="AP151" s="194" t="str">
        <f t="shared" ca="1" si="235"/>
        <v/>
      </c>
      <c r="AQ151" s="194" t="str">
        <f t="shared" ca="1" si="236"/>
        <v/>
      </c>
      <c r="AR151" s="195">
        <f ca="1">IF(AH151,_xll.xASN(AL151,Strike1,AE151,AP151,0,N151,0,P151,Q151,IF(OptControl=4,0,1),0),0)</f>
        <v>0</v>
      </c>
      <c r="AS151" s="196">
        <f ca="1">IF(AH151,_xll.xASN(AL151,Strike1,AE151,AP151,0,N151,0,P151,Q151,IF(OptControl=4,0,1),1),0)</f>
        <v>0</v>
      </c>
      <c r="AT151" s="196">
        <f ca="1">IF(AH151,_xll.xASN(AL151,Strike1,AE151,AP151,0,N151,0,P151,Q151,IF(OptControl=4,0,1),2),0)</f>
        <v>0</v>
      </c>
      <c r="AU151" s="196">
        <f ca="1">IF(AH151,_xll.xASN(AL151,Strike1,AE151,AP151,0,N151,0,P151,Q151,IF(OptControl=4,0,1),3)/100,0)</f>
        <v>0</v>
      </c>
      <c r="AV151" s="196">
        <f ca="1">IF(AH151,_xll.xASN(AL151,Strike1,AE151,AP151,0,N151,0,P151-DaysForThetaCalculation/365.25,Q151-DaysForThetaCalculation/365.25,IF(OptControl=4,0,1),0)-_xll.xASN(AL151,Strike1,AE151,AP151,0,N151,0,P151,Q151,IF(OptControl=4,0,1),0),0)</f>
        <v>0</v>
      </c>
      <c r="AW151" s="196">
        <f ca="1">IF(AH151,_xll.xASN(AL151,Strike2,AE151,AQ151,0,N151,0,P151,Q151,IF(OptControl=3,1,0),0),0)</f>
        <v>0</v>
      </c>
      <c r="AX151" s="196">
        <f ca="1">IF(AH151,_xll.xASN(AL151,Strike2,AE151,AQ151,0,N151,0,P151,Q151,IF(OptControl=3,1,0),1),0)</f>
        <v>0</v>
      </c>
      <c r="AY151" s="196">
        <f ca="1">IF(AH151,_xll.xASN(AL151,Strike2,AE151,AQ151,0,N151,0,P151,Q151,IF(OptControl=3,1,0),2),0)</f>
        <v>0</v>
      </c>
      <c r="AZ151" s="196">
        <f ca="1">IF(AH151,_xll.xASN(AL151,Strike2,AE151,AQ151,0,N151,0,P151,Q151,IF(OptControl=3,1,0),3)/100,0)</f>
        <v>0</v>
      </c>
      <c r="BA151" s="196">
        <f ca="1">IF(AH151,_xll.xASN(AL151,Strike2,AE151,AQ151,0,N151,0,P151-DaysForThetaCalculation/365.25,Q151-DaysForThetaCalculation/365.25,IF(OptControl=3,1,0),0)-_xll.xASN(AL151,Strike2,AE151,AQ151,0,N151,0,P151,Q151,IF(OptControl=3,1,0),0),0)</f>
        <v>0</v>
      </c>
      <c r="BB151" s="126" t="str">
        <f t="shared" ca="1" si="266"/>
        <v/>
      </c>
      <c r="BC151" s="191" t="str">
        <f t="shared" ca="1" si="267"/>
        <v/>
      </c>
      <c r="BD151" s="191" t="str">
        <f t="shared" ca="1" si="268"/>
        <v/>
      </c>
      <c r="BE151" s="190" t="str">
        <f t="shared" ca="1" si="269"/>
        <v/>
      </c>
      <c r="BF151" s="194" t="str">
        <f t="shared" ca="1" si="270"/>
        <v/>
      </c>
      <c r="BG151" s="194" t="str">
        <f t="shared" ca="1" si="271"/>
        <v/>
      </c>
      <c r="BH151" s="195">
        <f ca="1">IF(AH151,_xll.xEURO(BB151,Strike1,AE151,AE151,BF151,O151,IF(OptControl=4,0,1),0),0)</f>
        <v>0</v>
      </c>
      <c r="BI151" s="196">
        <f ca="1">IF(AH151,_xll.xEURO(BB151,Strike1,AE151,AE151,BF151,O151,IF(OptControl=4,0,1),1),0)</f>
        <v>0</v>
      </c>
      <c r="BJ151" s="196">
        <f ca="1">IF(AH151,_xll.xEURO(BB151,Strike1,AE151,AE151,BF151,O151,IF(OptControl=4,0,1),2),0)</f>
        <v>0</v>
      </c>
      <c r="BK151" s="196">
        <f ca="1">IF(AH151,_xll.xEURO(BB151,Strike1,AE151,AE151,BF151,O151,IF(OptControl=4,0,1),3)/100,0)</f>
        <v>0</v>
      </c>
      <c r="BL151" s="196">
        <f ca="1">IF(AH151,_xll.xEURO(BB151,Strike1,AE151,AE151,BF151,O151-DaysForThetaCalculation,IF(OptControl=4,0,1),0)-_xll.xEURO(BB151,Strike1,AE151,AE151,BF151,O151,IF(OptControl=4,0,1),0),0)</f>
        <v>0</v>
      </c>
      <c r="BM151" s="196">
        <f ca="1">IF(AH151,_xll.xEURO(BB151,Strike2,AE151,AE151,BG151,O151,IF(OptControl=3,1,0),0),0)</f>
        <v>0</v>
      </c>
      <c r="BN151" s="196">
        <f ca="1">IF(AH151,_xll.xEURO(BB151,Strike2,AE151,AE151,BG151,O151,IF(OptControl=3,1,0),1),0)</f>
        <v>0</v>
      </c>
      <c r="BO151" s="196">
        <f ca="1">IF(AH151,_xll.xEURO(BB151,Strike2,AE151,AE151,BG151,O151,IF(OptControl=3,1,0),2),0)</f>
        <v>0</v>
      </c>
      <c r="BP151" s="196">
        <f ca="1">IF(AH151,_xll.xEURO(BB151,Strike2,AE151,AE151,BG151,O151,IF(OptControl=3,1,0),3)/100,0)</f>
        <v>0</v>
      </c>
      <c r="BQ151" s="197">
        <f ca="1">IF(AH151,_xll.xEURO(BB151,Strike2,AE151,AE151,BG151,O151-DaysForThetaCalculation,IF(OptControl=3,1,0),0)-_xll.xEURO(BB151,Strike2,AE151,AE151,BG151,O151,IF(OptControl=3,1,0),0),0)</f>
        <v>0</v>
      </c>
      <c r="BR151" s="301"/>
      <c r="BS151" s="114"/>
      <c r="BT151" s="345">
        <f t="shared" si="237"/>
        <v>0</v>
      </c>
      <c r="BU151" s="345">
        <f t="shared" ca="1" si="285"/>
        <v>-22.265217391304347</v>
      </c>
      <c r="BV151" s="73"/>
      <c r="BW151" s="345">
        <f t="shared" ca="1" si="282"/>
        <v>9.3539130434782649</v>
      </c>
      <c r="BX151" s="345">
        <f t="shared" ca="1" si="286"/>
        <v>76.337198515769956</v>
      </c>
      <c r="BY151" s="373">
        <f t="shared" ca="1" si="238"/>
        <v>75.283643892339541</v>
      </c>
      <c r="BZ151" s="114"/>
      <c r="CA151" s="345">
        <f t="shared" si="239"/>
        <v>0</v>
      </c>
      <c r="CB151" s="345">
        <f t="shared" ca="1" si="287"/>
        <v>-22.265217391304347</v>
      </c>
      <c r="CC151" s="345">
        <f t="shared" ca="1" si="283"/>
        <v>6.7289130434782649</v>
      </c>
      <c r="CD151" s="345">
        <f t="shared" ca="1" si="240"/>
        <v>69.033643892339541</v>
      </c>
      <c r="CE151" s="347">
        <f t="shared" ca="1" si="272"/>
        <v>-6.25</v>
      </c>
      <c r="CF151" s="114"/>
      <c r="CG151" s="345">
        <f t="shared" si="241"/>
        <v>0</v>
      </c>
      <c r="CH151" s="345">
        <f t="shared" ca="1" si="242"/>
        <v>-22.265217391304347</v>
      </c>
      <c r="CI151" s="73"/>
      <c r="CJ151" s="345">
        <f t="shared" ca="1" si="190"/>
        <v>3.472086956521736</v>
      </c>
      <c r="CK151" s="345">
        <f t="shared" ca="1" si="284"/>
        <v>62.12619047619048</v>
      </c>
      <c r="CL151" s="345">
        <f t="shared" ca="1" si="243"/>
        <v>61.279296066252584</v>
      </c>
      <c r="CM151" s="114"/>
      <c r="CN151" s="345">
        <f t="shared" si="244"/>
        <v>0</v>
      </c>
      <c r="CO151" s="345">
        <f t="shared" ca="1" si="245"/>
        <v>-22.265217391304347</v>
      </c>
      <c r="CP151" s="345">
        <f t="shared" ca="1" si="192"/>
        <v>2.5480869565217401</v>
      </c>
      <c r="CQ151" s="345">
        <f t="shared" ca="1" si="246"/>
        <v>59.079296066252589</v>
      </c>
      <c r="CR151" s="347">
        <f t="shared" ca="1" si="273"/>
        <v>-2.1999999999999957</v>
      </c>
      <c r="CS151" s="114"/>
      <c r="CT151" s="345">
        <f t="shared" si="247"/>
        <v>0</v>
      </c>
      <c r="CU151" s="345">
        <f t="shared" si="274"/>
        <v>0</v>
      </c>
      <c r="CV151" s="345">
        <f t="shared" ca="1" si="191"/>
        <v>2.250000000000008</v>
      </c>
      <c r="CW151" s="347">
        <f t="shared" ca="1" si="275"/>
        <v>63.529296066252591</v>
      </c>
      <c r="CX151" s="483"/>
      <c r="CY151" s="190">
        <f t="shared" si="248"/>
        <v>-0.15929999999999903</v>
      </c>
      <c r="CZ151" s="190">
        <f t="shared" ca="1" si="280"/>
        <v>-0.03</v>
      </c>
      <c r="DA151" s="354">
        <f t="shared" ca="1" si="249"/>
        <v>0.12929999999999903</v>
      </c>
      <c r="DB151" s="483"/>
      <c r="DC151" s="190">
        <f t="shared" si="250"/>
        <v>-0.15929999999999903</v>
      </c>
      <c r="DD151" s="190">
        <f t="shared" ca="1" si="281"/>
        <v>0.03</v>
      </c>
      <c r="DE151" s="354">
        <f t="shared" ca="1" si="251"/>
        <v>0.18929999999999902</v>
      </c>
      <c r="DG151" s="341"/>
      <c r="DH151" s="114"/>
      <c r="DI151" s="126">
        <f t="shared" ca="1" si="276"/>
        <v>-22.265217391304347</v>
      </c>
      <c r="DJ151" s="126">
        <f t="shared" ca="1" si="224"/>
        <v>-2</v>
      </c>
      <c r="DK151" s="356">
        <f t="shared" ca="1" si="225"/>
        <v>20.265217391304347</v>
      </c>
      <c r="DL151" s="114"/>
      <c r="DM151" s="126">
        <f t="shared" ca="1" si="277"/>
        <v>-22.265217391304347</v>
      </c>
      <c r="DN151" s="126">
        <f t="shared" ca="1" si="252"/>
        <v>-3</v>
      </c>
      <c r="DO151" s="356">
        <f t="shared" ca="1" si="226"/>
        <v>19.265217391304347</v>
      </c>
      <c r="DP151" s="114"/>
      <c r="DQ151" s="126">
        <f t="shared" ca="1" si="278"/>
        <v>-22.265217391304347</v>
      </c>
      <c r="DR151" s="126">
        <f t="shared" ca="1" si="253"/>
        <v>-6</v>
      </c>
      <c r="DS151" s="356">
        <f t="shared" ca="1" si="227"/>
        <v>16.265217391304347</v>
      </c>
      <c r="DT151" s="114"/>
      <c r="DU151" s="126">
        <f t="shared" ca="1" si="279"/>
        <v>-22.265217391304347</v>
      </c>
      <c r="DV151" s="126">
        <f t="shared" ca="1" si="254"/>
        <v>-5</v>
      </c>
      <c r="DW151" s="356">
        <f t="shared" ca="1" si="228"/>
        <v>17.265217391304347</v>
      </c>
    </row>
    <row r="152" spans="2:127" x14ac:dyDescent="0.25">
      <c r="B152" s="396">
        <v>40179</v>
      </c>
      <c r="C152" s="400">
        <v>40166</v>
      </c>
      <c r="I152" s="136">
        <f t="shared" ca="1" si="229"/>
        <v>41426</v>
      </c>
      <c r="J152" s="131">
        <f t="shared" ca="1" si="230"/>
        <v>41416</v>
      </c>
      <c r="K152" s="106">
        <f t="shared" ca="1" si="231"/>
        <v>0.7</v>
      </c>
      <c r="L152" s="133">
        <f t="shared" ca="1" si="193"/>
        <v>113</v>
      </c>
      <c r="M152" s="134">
        <f t="shared" ca="1" si="194"/>
        <v>6</v>
      </c>
      <c r="N152" s="103">
        <f t="shared" ca="1" si="216"/>
        <v>20</v>
      </c>
      <c r="O152" s="104">
        <f t="shared" ca="1" si="232"/>
        <v>4468</v>
      </c>
      <c r="P152" s="105">
        <f t="shared" ca="1" si="195"/>
        <v>12.243668720054757</v>
      </c>
      <c r="Q152" s="105">
        <f t="shared" ca="1" si="196"/>
        <v>12.323066392881588</v>
      </c>
      <c r="R152" s="114">
        <v>22.25</v>
      </c>
      <c r="S152" s="198">
        <v>0</v>
      </c>
      <c r="T152" s="189">
        <f t="shared" si="233"/>
        <v>22.25</v>
      </c>
      <c r="U152" s="199">
        <f t="shared" ca="1" si="217"/>
        <v>22.315000000000001</v>
      </c>
      <c r="V152" s="379">
        <f t="shared" ca="1" si="218"/>
        <v>22.315000000000001</v>
      </c>
      <c r="W152" s="483">
        <v>0.15889999999999904</v>
      </c>
      <c r="X152" s="166" t="str">
        <f t="shared" ca="1" si="219"/>
        <v/>
      </c>
      <c r="Y152" s="91">
        <f t="shared" ca="1" si="255"/>
        <v>6.3985007087650103E-4</v>
      </c>
      <c r="Z152" s="91">
        <f t="shared" ca="1" si="256"/>
        <v>1.7915930653877022E-4</v>
      </c>
      <c r="AA152" s="91">
        <f t="shared" ca="1" si="257"/>
        <v>5.7555932233938394E-5</v>
      </c>
      <c r="AB152" s="91">
        <f t="shared" ca="1" si="258"/>
        <v>1.2966200413662684E-4</v>
      </c>
      <c r="AC152" s="91">
        <f t="shared" ca="1" si="259"/>
        <v>4.0361008577057206E-4</v>
      </c>
      <c r="AD152" s="91">
        <f t="shared" ca="1" si="260"/>
        <v>1.4414542396704647E-3</v>
      </c>
      <c r="AE152" s="124">
        <v>7.3675009433237001E-2</v>
      </c>
      <c r="AF152" s="191">
        <f t="shared" ca="1" si="261"/>
        <v>0.41000773108292371</v>
      </c>
      <c r="AG152" s="189">
        <f t="shared" ca="1" si="234"/>
        <v>1</v>
      </c>
      <c r="AH152" s="192">
        <f t="shared" ca="1" si="220"/>
        <v>0</v>
      </c>
      <c r="AI152" s="192">
        <f t="shared" ca="1" si="288"/>
        <v>0</v>
      </c>
      <c r="AJ152" s="192">
        <f t="shared" ca="1" si="222"/>
        <v>0</v>
      </c>
      <c r="AK152" s="192">
        <f t="shared" ca="1" si="289"/>
        <v>0</v>
      </c>
      <c r="AL152" s="191" t="str">
        <f t="shared" ca="1" si="262"/>
        <v/>
      </c>
      <c r="AM152" s="191" t="str">
        <f t="shared" ca="1" si="263"/>
        <v/>
      </c>
      <c r="AN152" s="191" t="str">
        <f t="shared" ca="1" si="264"/>
        <v/>
      </c>
      <c r="AO152" s="193" t="str">
        <f t="shared" ca="1" si="265"/>
        <v/>
      </c>
      <c r="AP152" s="194" t="str">
        <f t="shared" ca="1" si="235"/>
        <v/>
      </c>
      <c r="AQ152" s="194" t="str">
        <f t="shared" ca="1" si="236"/>
        <v/>
      </c>
      <c r="AR152" s="195">
        <f ca="1">IF(AH152,_xll.xASN(AL152,Strike1,AE152,AP152,0,N152,0,P152,Q152,IF(OptControl=4,0,1),0),0)</f>
        <v>0</v>
      </c>
      <c r="AS152" s="196">
        <f ca="1">IF(AH152,_xll.xASN(AL152,Strike1,AE152,AP152,0,N152,0,P152,Q152,IF(OptControl=4,0,1),1),0)</f>
        <v>0</v>
      </c>
      <c r="AT152" s="196">
        <f ca="1">IF(AH152,_xll.xASN(AL152,Strike1,AE152,AP152,0,N152,0,P152,Q152,IF(OptControl=4,0,1),2),0)</f>
        <v>0</v>
      </c>
      <c r="AU152" s="196">
        <f ca="1">IF(AH152,_xll.xASN(AL152,Strike1,AE152,AP152,0,N152,0,P152,Q152,IF(OptControl=4,0,1),3)/100,0)</f>
        <v>0</v>
      </c>
      <c r="AV152" s="196">
        <f ca="1">IF(AH152,_xll.xASN(AL152,Strike1,AE152,AP152,0,N152,0,P152-DaysForThetaCalculation/365.25,Q152-DaysForThetaCalculation/365.25,IF(OptControl=4,0,1),0)-_xll.xASN(AL152,Strike1,AE152,AP152,0,N152,0,P152,Q152,IF(OptControl=4,0,1),0),0)</f>
        <v>0</v>
      </c>
      <c r="AW152" s="196">
        <f ca="1">IF(AH152,_xll.xASN(AL152,Strike2,AE152,AQ152,0,N152,0,P152,Q152,IF(OptControl=3,1,0),0),0)</f>
        <v>0</v>
      </c>
      <c r="AX152" s="196">
        <f ca="1">IF(AH152,_xll.xASN(AL152,Strike2,AE152,AQ152,0,N152,0,P152,Q152,IF(OptControl=3,1,0),1),0)</f>
        <v>0</v>
      </c>
      <c r="AY152" s="196">
        <f ca="1">IF(AH152,_xll.xASN(AL152,Strike2,AE152,AQ152,0,N152,0,P152,Q152,IF(OptControl=3,1,0),2),0)</f>
        <v>0</v>
      </c>
      <c r="AZ152" s="196">
        <f ca="1">IF(AH152,_xll.xASN(AL152,Strike2,AE152,AQ152,0,N152,0,P152,Q152,IF(OptControl=3,1,0),3)/100,0)</f>
        <v>0</v>
      </c>
      <c r="BA152" s="196">
        <f ca="1">IF(AH152,_xll.xASN(AL152,Strike2,AE152,AQ152,0,N152,0,P152-DaysForThetaCalculation/365.25,Q152-DaysForThetaCalculation/365.25,IF(OptControl=3,1,0),0)-_xll.xASN(AL152,Strike2,AE152,AQ152,0,N152,0,P152,Q152,IF(OptControl=3,1,0),0),0)</f>
        <v>0</v>
      </c>
      <c r="BB152" s="126" t="str">
        <f t="shared" ca="1" si="266"/>
        <v/>
      </c>
      <c r="BC152" s="191" t="str">
        <f t="shared" ca="1" si="267"/>
        <v/>
      </c>
      <c r="BD152" s="191" t="str">
        <f t="shared" ca="1" si="268"/>
        <v/>
      </c>
      <c r="BE152" s="190" t="str">
        <f t="shared" ca="1" si="269"/>
        <v/>
      </c>
      <c r="BF152" s="194" t="str">
        <f t="shared" ca="1" si="270"/>
        <v/>
      </c>
      <c r="BG152" s="194" t="str">
        <f t="shared" ca="1" si="271"/>
        <v/>
      </c>
      <c r="BH152" s="195">
        <f ca="1">IF(AH152,_xll.xEURO(BB152,Strike1,AE152,AE152,BF152,O152,IF(OptControl=4,0,1),0),0)</f>
        <v>0</v>
      </c>
      <c r="BI152" s="196">
        <f ca="1">IF(AH152,_xll.xEURO(BB152,Strike1,AE152,AE152,BF152,O152,IF(OptControl=4,0,1),1),0)</f>
        <v>0</v>
      </c>
      <c r="BJ152" s="196">
        <f ca="1">IF(AH152,_xll.xEURO(BB152,Strike1,AE152,AE152,BF152,O152,IF(OptControl=4,0,1),2),0)</f>
        <v>0</v>
      </c>
      <c r="BK152" s="196">
        <f ca="1">IF(AH152,_xll.xEURO(BB152,Strike1,AE152,AE152,BF152,O152,IF(OptControl=4,0,1),3)/100,0)</f>
        <v>0</v>
      </c>
      <c r="BL152" s="196">
        <f ca="1">IF(AH152,_xll.xEURO(BB152,Strike1,AE152,AE152,BF152,O152-DaysForThetaCalculation,IF(OptControl=4,0,1),0)-_xll.xEURO(BB152,Strike1,AE152,AE152,BF152,O152,IF(OptControl=4,0,1),0),0)</f>
        <v>0</v>
      </c>
      <c r="BM152" s="196">
        <f ca="1">IF(AH152,_xll.xEURO(BB152,Strike2,AE152,AE152,BG152,O152,IF(OptControl=3,1,0),0),0)</f>
        <v>0</v>
      </c>
      <c r="BN152" s="196">
        <f ca="1">IF(AH152,_xll.xEURO(BB152,Strike2,AE152,AE152,BG152,O152,IF(OptControl=3,1,0),1),0)</f>
        <v>0</v>
      </c>
      <c r="BO152" s="196">
        <f ca="1">IF(AH152,_xll.xEURO(BB152,Strike2,AE152,AE152,BG152,O152,IF(OptControl=3,1,0),2),0)</f>
        <v>0</v>
      </c>
      <c r="BP152" s="196">
        <f ca="1">IF(AH152,_xll.xEURO(BB152,Strike2,AE152,AE152,BG152,O152,IF(OptControl=3,1,0),3)/100,0)</f>
        <v>0</v>
      </c>
      <c r="BQ152" s="197">
        <f ca="1">IF(AH152,_xll.xEURO(BB152,Strike2,AE152,AE152,BG152,O152-DaysForThetaCalculation,IF(OptControl=3,1,0),0)-_xll.xEURO(BB152,Strike2,AE152,AE152,BG152,O152,IF(OptControl=3,1,0),0),0)</f>
        <v>0</v>
      </c>
      <c r="BR152" s="301"/>
      <c r="BS152" s="114"/>
      <c r="BT152" s="345">
        <f t="shared" si="237"/>
        <v>0</v>
      </c>
      <c r="BU152" s="345">
        <f t="shared" ca="1" si="285"/>
        <v>-22.315000000000001</v>
      </c>
      <c r="BV152" s="73"/>
      <c r="BW152" s="345">
        <f t="shared" ca="1" si="282"/>
        <v>8.8736666666666721</v>
      </c>
      <c r="BX152" s="345">
        <f t="shared" ca="1" si="286"/>
        <v>75.283643892339541</v>
      </c>
      <c r="BY152" s="373">
        <f t="shared" ca="1" si="238"/>
        <v>74.258730158730174</v>
      </c>
      <c r="BZ152" s="114"/>
      <c r="CA152" s="345">
        <f t="shared" si="239"/>
        <v>0</v>
      </c>
      <c r="CB152" s="345">
        <f t="shared" ca="1" si="287"/>
        <v>-22.315000000000001</v>
      </c>
      <c r="CC152" s="345">
        <f t="shared" ca="1" si="283"/>
        <v>6.2486666666666757</v>
      </c>
      <c r="CD152" s="345">
        <f t="shared" ca="1" si="240"/>
        <v>68.008730158730188</v>
      </c>
      <c r="CE152" s="347">
        <f t="shared" ca="1" si="272"/>
        <v>-6.2499999999999858</v>
      </c>
      <c r="CF152" s="114"/>
      <c r="CG152" s="345">
        <f t="shared" si="241"/>
        <v>0</v>
      </c>
      <c r="CH152" s="345">
        <f t="shared" ca="1" si="242"/>
        <v>-22.315000000000001</v>
      </c>
      <c r="CI152" s="73"/>
      <c r="CJ152" s="345">
        <f t="shared" ref="CJ152:CJ186" ca="1" si="290">CJ140+VLOOKUP(1900+$L152,ProductSpreadTable,4)</f>
        <v>3.547000000000001</v>
      </c>
      <c r="CK152" s="345">
        <f t="shared" ca="1" si="284"/>
        <v>61.279296066252584</v>
      </c>
      <c r="CL152" s="345">
        <f t="shared" ca="1" si="243"/>
        <v>61.576190476190483</v>
      </c>
      <c r="CM152" s="114"/>
      <c r="CN152" s="345">
        <f t="shared" si="244"/>
        <v>0</v>
      </c>
      <c r="CO152" s="345">
        <f t="shared" ca="1" si="245"/>
        <v>-22.315000000000001</v>
      </c>
      <c r="CP152" s="345">
        <f t="shared" ca="1" si="192"/>
        <v>2.622999999999998</v>
      </c>
      <c r="CQ152" s="345">
        <f t="shared" ca="1" si="246"/>
        <v>59.376190476190473</v>
      </c>
      <c r="CR152" s="347">
        <f t="shared" ca="1" si="273"/>
        <v>-2.2000000000000099</v>
      </c>
      <c r="CS152" s="114"/>
      <c r="CT152" s="345">
        <f t="shared" si="247"/>
        <v>0</v>
      </c>
      <c r="CU152" s="345">
        <f t="shared" si="274"/>
        <v>0</v>
      </c>
      <c r="CV152" s="345">
        <f t="shared" ref="CV152:CV186" ca="1" si="291">CV140+VLOOKUP(1900+$L152,ProductSpreadTable,6)</f>
        <v>2.2499999999999938</v>
      </c>
      <c r="CW152" s="347">
        <f t="shared" ca="1" si="275"/>
        <v>63.826190476190476</v>
      </c>
      <c r="CX152" s="483"/>
      <c r="CY152" s="190">
        <f t="shared" si="248"/>
        <v>-0.15889999999999904</v>
      </c>
      <c r="CZ152" s="190">
        <f t="shared" ca="1" si="280"/>
        <v>-0.03</v>
      </c>
      <c r="DA152" s="354">
        <f t="shared" ca="1" si="249"/>
        <v>0.12889999999999904</v>
      </c>
      <c r="DB152" s="483"/>
      <c r="DC152" s="190">
        <f t="shared" si="250"/>
        <v>-0.15889999999999904</v>
      </c>
      <c r="DD152" s="190">
        <f t="shared" ca="1" si="281"/>
        <v>0.03</v>
      </c>
      <c r="DE152" s="354">
        <f t="shared" ca="1" si="251"/>
        <v>0.18889999999999904</v>
      </c>
      <c r="DG152" s="341"/>
      <c r="DH152" s="114"/>
      <c r="DI152" s="126">
        <f t="shared" ca="1" si="276"/>
        <v>-22.315000000000001</v>
      </c>
      <c r="DJ152" s="126">
        <f t="shared" ca="1" si="224"/>
        <v>-2</v>
      </c>
      <c r="DK152" s="356">
        <f t="shared" ca="1" si="225"/>
        <v>20.315000000000001</v>
      </c>
      <c r="DL152" s="114"/>
      <c r="DM152" s="126">
        <f t="shared" ca="1" si="277"/>
        <v>-22.315000000000001</v>
      </c>
      <c r="DN152" s="126">
        <f t="shared" ca="1" si="252"/>
        <v>-3</v>
      </c>
      <c r="DO152" s="356">
        <f t="shared" ca="1" si="226"/>
        <v>19.315000000000001</v>
      </c>
      <c r="DP152" s="114"/>
      <c r="DQ152" s="126">
        <f t="shared" ca="1" si="278"/>
        <v>-22.315000000000001</v>
      </c>
      <c r="DR152" s="126">
        <f t="shared" ca="1" si="253"/>
        <v>-6</v>
      </c>
      <c r="DS152" s="356">
        <f t="shared" ca="1" si="227"/>
        <v>16.315000000000001</v>
      </c>
      <c r="DT152" s="114"/>
      <c r="DU152" s="126">
        <f t="shared" ca="1" si="279"/>
        <v>-22.315000000000001</v>
      </c>
      <c r="DV152" s="126">
        <f t="shared" ca="1" si="254"/>
        <v>-5</v>
      </c>
      <c r="DW152" s="356">
        <f t="shared" ca="1" si="228"/>
        <v>17.315000000000001</v>
      </c>
    </row>
    <row r="153" spans="2:127" x14ac:dyDescent="0.25">
      <c r="B153" s="396">
        <v>40210</v>
      </c>
      <c r="C153" s="400">
        <v>40200</v>
      </c>
      <c r="I153" s="136">
        <f t="shared" ca="1" si="229"/>
        <v>41456</v>
      </c>
      <c r="J153" s="131">
        <f t="shared" ca="1" si="230"/>
        <v>41445</v>
      </c>
      <c r="K153" s="106">
        <f t="shared" ca="1" si="231"/>
        <v>0.65217391304347827</v>
      </c>
      <c r="L153" s="133">
        <f t="shared" ca="1" si="193"/>
        <v>113</v>
      </c>
      <c r="M153" s="134">
        <f t="shared" ca="1" si="194"/>
        <v>7</v>
      </c>
      <c r="N153" s="103">
        <f t="shared" ca="1" si="216"/>
        <v>23</v>
      </c>
      <c r="O153" s="104">
        <f t="shared" ca="1" si="232"/>
        <v>4496</v>
      </c>
      <c r="P153" s="105">
        <f t="shared" ca="1" si="195"/>
        <v>12.325804243668721</v>
      </c>
      <c r="Q153" s="105">
        <f t="shared" ca="1" si="196"/>
        <v>12.407939767282683</v>
      </c>
      <c r="R153" s="114">
        <v>22.3</v>
      </c>
      <c r="S153" s="198">
        <v>0</v>
      </c>
      <c r="T153" s="189">
        <f t="shared" si="233"/>
        <v>22.3</v>
      </c>
      <c r="U153" s="199">
        <f t="shared" ca="1" si="217"/>
        <v>22.367391304347827</v>
      </c>
      <c r="V153" s="379">
        <f t="shared" ca="1" si="218"/>
        <v>22.367391304347827</v>
      </c>
      <c r="W153" s="483">
        <v>0.15849999999999903</v>
      </c>
      <c r="X153" s="166" t="str">
        <f t="shared" ca="1" si="219"/>
        <v/>
      </c>
      <c r="Y153" s="91">
        <f t="shared" ca="1" si="255"/>
        <v>6.2615185402446077E-4</v>
      </c>
      <c r="Z153" s="91">
        <f t="shared" ca="1" si="256"/>
        <v>1.7438508565851391E-4</v>
      </c>
      <c r="AA153" s="91">
        <f t="shared" ca="1" si="257"/>
        <v>5.5871958199889464E-5</v>
      </c>
      <c r="AB153" s="91">
        <f t="shared" ca="1" si="258"/>
        <v>1.2586834743272138E-4</v>
      </c>
      <c r="AC153" s="91">
        <f t="shared" ca="1" si="259"/>
        <v>3.9285472097152965E-4</v>
      </c>
      <c r="AD153" s="91">
        <f t="shared" ca="1" si="260"/>
        <v>1.4105948967461888E-3</v>
      </c>
      <c r="AE153" s="124">
        <v>7.3671175666806032E-2</v>
      </c>
      <c r="AF153" s="191">
        <f t="shared" ca="1" si="261"/>
        <v>0.40751643739750409</v>
      </c>
      <c r="AG153" s="189">
        <f t="shared" ca="1" si="234"/>
        <v>1</v>
      </c>
      <c r="AH153" s="192">
        <f t="shared" ca="1" si="220"/>
        <v>0</v>
      </c>
      <c r="AI153" s="192">
        <f t="shared" ca="1" si="288"/>
        <v>0</v>
      </c>
      <c r="AJ153" s="192">
        <f t="shared" ca="1" si="222"/>
        <v>0</v>
      </c>
      <c r="AK153" s="192">
        <f t="shared" ca="1" si="289"/>
        <v>0</v>
      </c>
      <c r="AL153" s="191" t="str">
        <f t="shared" ca="1" si="262"/>
        <v/>
      </c>
      <c r="AM153" s="191" t="str">
        <f t="shared" ca="1" si="263"/>
        <v/>
      </c>
      <c r="AN153" s="191" t="str">
        <f t="shared" ca="1" si="264"/>
        <v/>
      </c>
      <c r="AO153" s="193" t="str">
        <f t="shared" ca="1" si="265"/>
        <v/>
      </c>
      <c r="AP153" s="194" t="str">
        <f t="shared" ca="1" si="235"/>
        <v/>
      </c>
      <c r="AQ153" s="194" t="str">
        <f t="shared" ca="1" si="236"/>
        <v/>
      </c>
      <c r="AR153" s="195">
        <f ca="1">IF(AH153,_xll.xASN(AL153,Strike1,AE153,AP153,0,N153,0,P153,Q153,IF(OptControl=4,0,1),0),0)</f>
        <v>0</v>
      </c>
      <c r="AS153" s="196">
        <f ca="1">IF(AH153,_xll.xASN(AL153,Strike1,AE153,AP153,0,N153,0,P153,Q153,IF(OptControl=4,0,1),1),0)</f>
        <v>0</v>
      </c>
      <c r="AT153" s="196">
        <f ca="1">IF(AH153,_xll.xASN(AL153,Strike1,AE153,AP153,0,N153,0,P153,Q153,IF(OptControl=4,0,1),2),0)</f>
        <v>0</v>
      </c>
      <c r="AU153" s="196">
        <f ca="1">IF(AH153,_xll.xASN(AL153,Strike1,AE153,AP153,0,N153,0,P153,Q153,IF(OptControl=4,0,1),3)/100,0)</f>
        <v>0</v>
      </c>
      <c r="AV153" s="196">
        <f ca="1">IF(AH153,_xll.xASN(AL153,Strike1,AE153,AP153,0,N153,0,P153-DaysForThetaCalculation/365.25,Q153-DaysForThetaCalculation/365.25,IF(OptControl=4,0,1),0)-_xll.xASN(AL153,Strike1,AE153,AP153,0,N153,0,P153,Q153,IF(OptControl=4,0,1),0),0)</f>
        <v>0</v>
      </c>
      <c r="AW153" s="196">
        <f ca="1">IF(AH153,_xll.xASN(AL153,Strike2,AE153,AQ153,0,N153,0,P153,Q153,IF(OptControl=3,1,0),0),0)</f>
        <v>0</v>
      </c>
      <c r="AX153" s="196">
        <f ca="1">IF(AH153,_xll.xASN(AL153,Strike2,AE153,AQ153,0,N153,0,P153,Q153,IF(OptControl=3,1,0),1),0)</f>
        <v>0</v>
      </c>
      <c r="AY153" s="196">
        <f ca="1">IF(AH153,_xll.xASN(AL153,Strike2,AE153,AQ153,0,N153,0,P153,Q153,IF(OptControl=3,1,0),2),0)</f>
        <v>0</v>
      </c>
      <c r="AZ153" s="196">
        <f ca="1">IF(AH153,_xll.xASN(AL153,Strike2,AE153,AQ153,0,N153,0,P153,Q153,IF(OptControl=3,1,0),3)/100,0)</f>
        <v>0</v>
      </c>
      <c r="BA153" s="196">
        <f ca="1">IF(AH153,_xll.xASN(AL153,Strike2,AE153,AQ153,0,N153,0,P153-DaysForThetaCalculation/365.25,Q153-DaysForThetaCalculation/365.25,IF(OptControl=3,1,0),0)-_xll.xASN(AL153,Strike2,AE153,AQ153,0,N153,0,P153,Q153,IF(OptControl=3,1,0),0),0)</f>
        <v>0</v>
      </c>
      <c r="BB153" s="126" t="str">
        <f t="shared" ca="1" si="266"/>
        <v/>
      </c>
      <c r="BC153" s="191" t="str">
        <f t="shared" ca="1" si="267"/>
        <v/>
      </c>
      <c r="BD153" s="191" t="str">
        <f t="shared" ca="1" si="268"/>
        <v/>
      </c>
      <c r="BE153" s="190" t="str">
        <f t="shared" ca="1" si="269"/>
        <v/>
      </c>
      <c r="BF153" s="194" t="str">
        <f t="shared" ca="1" si="270"/>
        <v/>
      </c>
      <c r="BG153" s="194" t="str">
        <f t="shared" ca="1" si="271"/>
        <v/>
      </c>
      <c r="BH153" s="195">
        <f ca="1">IF(AH153,_xll.xEURO(BB153,Strike1,AE153,AE153,BF153,O153,IF(OptControl=4,0,1),0),0)</f>
        <v>0</v>
      </c>
      <c r="BI153" s="196">
        <f ca="1">IF(AH153,_xll.xEURO(BB153,Strike1,AE153,AE153,BF153,O153,IF(OptControl=4,0,1),1),0)</f>
        <v>0</v>
      </c>
      <c r="BJ153" s="196">
        <f ca="1">IF(AH153,_xll.xEURO(BB153,Strike1,AE153,AE153,BF153,O153,IF(OptControl=4,0,1),2),0)</f>
        <v>0</v>
      </c>
      <c r="BK153" s="196">
        <f ca="1">IF(AH153,_xll.xEURO(BB153,Strike1,AE153,AE153,BF153,O153,IF(OptControl=4,0,1),3)/100,0)</f>
        <v>0</v>
      </c>
      <c r="BL153" s="196">
        <f ca="1">IF(AH153,_xll.xEURO(BB153,Strike1,AE153,AE153,BF153,O153-DaysForThetaCalculation,IF(OptControl=4,0,1),0)-_xll.xEURO(BB153,Strike1,AE153,AE153,BF153,O153,IF(OptControl=4,0,1),0),0)</f>
        <v>0</v>
      </c>
      <c r="BM153" s="196">
        <f ca="1">IF(AH153,_xll.xEURO(BB153,Strike2,AE153,AE153,BG153,O153,IF(OptControl=3,1,0),0),0)</f>
        <v>0</v>
      </c>
      <c r="BN153" s="196">
        <f ca="1">IF(AH153,_xll.xEURO(BB153,Strike2,AE153,AE153,BG153,O153,IF(OptControl=3,1,0),1),0)</f>
        <v>0</v>
      </c>
      <c r="BO153" s="196">
        <f ca="1">IF(AH153,_xll.xEURO(BB153,Strike2,AE153,AE153,BG153,O153,IF(OptControl=3,1,0),2),0)</f>
        <v>0</v>
      </c>
      <c r="BP153" s="196">
        <f ca="1">IF(AH153,_xll.xEURO(BB153,Strike2,AE153,AE153,BG153,O153,IF(OptControl=3,1,0),3)/100,0)</f>
        <v>0</v>
      </c>
      <c r="BQ153" s="197">
        <f ca="1">IF(AH153,_xll.xEURO(BB153,Strike2,AE153,AE153,BG153,O153-DaysForThetaCalculation,IF(OptControl=3,1,0),0)-_xll.xEURO(BB153,Strike2,AE153,AE153,BG153,O153,IF(OptControl=3,1,0),0),0)</f>
        <v>0</v>
      </c>
      <c r="BR153" s="301"/>
      <c r="BS153" s="114"/>
      <c r="BT153" s="345">
        <f t="shared" si="237"/>
        <v>0</v>
      </c>
      <c r="BU153" s="345">
        <f t="shared" ca="1" si="285"/>
        <v>-22.367391304347827</v>
      </c>
      <c r="BV153" s="73"/>
      <c r="BW153" s="345">
        <f t="shared" ca="1" si="282"/>
        <v>8.3333636363636501</v>
      </c>
      <c r="BX153" s="345">
        <f t="shared" ca="1" si="286"/>
        <v>74.258730158730174</v>
      </c>
      <c r="BY153" s="373">
        <f t="shared" ca="1" si="238"/>
        <v>73.097035573122568</v>
      </c>
      <c r="BZ153" s="114"/>
      <c r="CA153" s="345">
        <f t="shared" si="239"/>
        <v>0</v>
      </c>
      <c r="CB153" s="345">
        <f t="shared" ca="1" si="287"/>
        <v>-22.367391304347827</v>
      </c>
      <c r="CC153" s="345">
        <f t="shared" ca="1" si="283"/>
        <v>5.9183636363636474</v>
      </c>
      <c r="CD153" s="345">
        <f t="shared" ca="1" si="240"/>
        <v>67.347035573122554</v>
      </c>
      <c r="CE153" s="347">
        <f t="shared" ca="1" si="272"/>
        <v>-5.7500000000000142</v>
      </c>
      <c r="CF153" s="114"/>
      <c r="CG153" s="345">
        <f t="shared" si="241"/>
        <v>0</v>
      </c>
      <c r="CH153" s="345">
        <f t="shared" ca="1" si="242"/>
        <v>-22.367391304347827</v>
      </c>
      <c r="CI153" s="73"/>
      <c r="CJ153" s="345">
        <f t="shared" ca="1" si="290"/>
        <v>3.8860434782608739</v>
      </c>
      <c r="CK153" s="345">
        <f t="shared" ca="1" si="284"/>
        <v>61.576190476190483</v>
      </c>
      <c r="CL153" s="345">
        <f t="shared" ca="1" si="243"/>
        <v>62.508178053830243</v>
      </c>
      <c r="CM153" s="114"/>
      <c r="CN153" s="345">
        <f t="shared" si="244"/>
        <v>0</v>
      </c>
      <c r="CO153" s="345">
        <f t="shared" ca="1" si="245"/>
        <v>-22.367391304347827</v>
      </c>
      <c r="CP153" s="345">
        <f t="shared" ref="CP153:CP186" ca="1" si="292">CP141+VLOOKUP(1900+$L153,ProductSpreadTable,5)</f>
        <v>2.9620434782608709</v>
      </c>
      <c r="CQ153" s="345">
        <f t="shared" ca="1" si="246"/>
        <v>60.308178053830225</v>
      </c>
      <c r="CR153" s="347">
        <f t="shared" ca="1" si="273"/>
        <v>-2.2000000000000171</v>
      </c>
      <c r="CS153" s="114"/>
      <c r="CT153" s="345">
        <f t="shared" si="247"/>
        <v>0</v>
      </c>
      <c r="CU153" s="345">
        <f t="shared" si="274"/>
        <v>0</v>
      </c>
      <c r="CV153" s="345">
        <f t="shared" ca="1" si="291"/>
        <v>2.2499999999999938</v>
      </c>
      <c r="CW153" s="347">
        <f t="shared" ca="1" si="275"/>
        <v>64.758178053830235</v>
      </c>
      <c r="CX153" s="483"/>
      <c r="CY153" s="190">
        <f t="shared" si="248"/>
        <v>-0.15849999999999903</v>
      </c>
      <c r="CZ153" s="190">
        <f t="shared" ca="1" si="280"/>
        <v>-0.03</v>
      </c>
      <c r="DA153" s="354">
        <f t="shared" ca="1" si="249"/>
        <v>0.12849999999999903</v>
      </c>
      <c r="DB153" s="483"/>
      <c r="DC153" s="190">
        <f t="shared" si="250"/>
        <v>-0.15849999999999903</v>
      </c>
      <c r="DD153" s="190">
        <f t="shared" ca="1" si="281"/>
        <v>0.03</v>
      </c>
      <c r="DE153" s="354">
        <f t="shared" ca="1" si="251"/>
        <v>0.18849999999999903</v>
      </c>
      <c r="DG153" s="341"/>
      <c r="DH153" s="114"/>
      <c r="DI153" s="126">
        <f t="shared" ca="1" si="276"/>
        <v>-22.367391304347827</v>
      </c>
      <c r="DJ153" s="126">
        <f t="shared" ca="1" si="224"/>
        <v>-2</v>
      </c>
      <c r="DK153" s="356">
        <f t="shared" ca="1" si="225"/>
        <v>20.367391304347827</v>
      </c>
      <c r="DL153" s="114"/>
      <c r="DM153" s="126">
        <f t="shared" ca="1" si="277"/>
        <v>-22.367391304347827</v>
      </c>
      <c r="DN153" s="126">
        <f t="shared" ca="1" si="252"/>
        <v>-3</v>
      </c>
      <c r="DO153" s="356">
        <f t="shared" ca="1" si="226"/>
        <v>19.367391304347827</v>
      </c>
      <c r="DP153" s="114"/>
      <c r="DQ153" s="126">
        <f t="shared" ca="1" si="278"/>
        <v>-22.367391304347827</v>
      </c>
      <c r="DR153" s="126">
        <f t="shared" ca="1" si="253"/>
        <v>-6</v>
      </c>
      <c r="DS153" s="356">
        <f t="shared" ca="1" si="227"/>
        <v>16.367391304347827</v>
      </c>
      <c r="DT153" s="114"/>
      <c r="DU153" s="126">
        <f t="shared" ca="1" si="279"/>
        <v>-22.367391304347827</v>
      </c>
      <c r="DV153" s="126">
        <f t="shared" ca="1" si="254"/>
        <v>-5</v>
      </c>
      <c r="DW153" s="356">
        <f t="shared" ca="1" si="228"/>
        <v>17.367391304347827</v>
      </c>
    </row>
    <row r="154" spans="2:127" x14ac:dyDescent="0.25">
      <c r="B154" s="396">
        <v>40238</v>
      </c>
      <c r="C154" s="400">
        <v>40229</v>
      </c>
      <c r="I154" s="136">
        <f t="shared" ca="1" si="229"/>
        <v>41487</v>
      </c>
      <c r="J154" s="131">
        <f t="shared" ca="1" si="230"/>
        <v>41475</v>
      </c>
      <c r="K154" s="106">
        <f t="shared" ca="1" si="231"/>
        <v>0.68181818181818177</v>
      </c>
      <c r="L154" s="133">
        <f t="shared" ca="1" si="193"/>
        <v>113</v>
      </c>
      <c r="M154" s="134">
        <f t="shared" ca="1" si="194"/>
        <v>8</v>
      </c>
      <c r="N154" s="103">
        <f t="shared" ca="1" si="216"/>
        <v>22</v>
      </c>
      <c r="O154" s="104">
        <f t="shared" ca="1" si="232"/>
        <v>4527</v>
      </c>
      <c r="P154" s="105">
        <f t="shared" ca="1" si="195"/>
        <v>12.410677618069816</v>
      </c>
      <c r="Q154" s="105">
        <f t="shared" ca="1" si="196"/>
        <v>12.492813141683778</v>
      </c>
      <c r="R154" s="114">
        <v>22.35</v>
      </c>
      <c r="S154" s="198">
        <v>0</v>
      </c>
      <c r="T154" s="189">
        <f t="shared" si="233"/>
        <v>22.35</v>
      </c>
      <c r="U154" s="199">
        <f t="shared" ca="1" si="217"/>
        <v>22.415909090909089</v>
      </c>
      <c r="V154" s="379">
        <f t="shared" ca="1" si="218"/>
        <v>22.415909090909089</v>
      </c>
      <c r="W154" s="483">
        <v>0.15809999999999902</v>
      </c>
      <c r="X154" s="166" t="str">
        <f t="shared" ca="1" si="219"/>
        <v/>
      </c>
      <c r="Y154" s="91">
        <f t="shared" ca="1" si="255"/>
        <v>6.1274689516123101E-4</v>
      </c>
      <c r="Z154" s="91">
        <f t="shared" ca="1" si="256"/>
        <v>1.6973808778137042E-4</v>
      </c>
      <c r="AA154" s="91">
        <f t="shared" ca="1" si="257"/>
        <v>5.423725395328529E-5</v>
      </c>
      <c r="AB154" s="91">
        <f t="shared" ca="1" si="258"/>
        <v>1.2218568570597147E-4</v>
      </c>
      <c r="AC154" s="91">
        <f t="shared" ca="1" si="259"/>
        <v>3.8238596415389984E-4</v>
      </c>
      <c r="AD154" s="91">
        <f t="shared" ca="1" si="260"/>
        <v>1.3803962054191054E-3</v>
      </c>
      <c r="AE154" s="124">
        <v>7.3667214108165027E-2</v>
      </c>
      <c r="AF154" s="191">
        <f t="shared" ca="1" si="261"/>
        <v>0.4050411592664826</v>
      </c>
      <c r="AG154" s="189">
        <f t="shared" ca="1" si="234"/>
        <v>1</v>
      </c>
      <c r="AH154" s="192">
        <f t="shared" ca="1" si="220"/>
        <v>0</v>
      </c>
      <c r="AI154" s="192">
        <f t="shared" ca="1" si="288"/>
        <v>0</v>
      </c>
      <c r="AJ154" s="192">
        <f t="shared" ca="1" si="222"/>
        <v>0</v>
      </c>
      <c r="AK154" s="192">
        <f t="shared" ca="1" si="289"/>
        <v>0</v>
      </c>
      <c r="AL154" s="191" t="str">
        <f t="shared" ca="1" si="262"/>
        <v/>
      </c>
      <c r="AM154" s="191" t="str">
        <f t="shared" ca="1" si="263"/>
        <v/>
      </c>
      <c r="AN154" s="191" t="str">
        <f t="shared" ca="1" si="264"/>
        <v/>
      </c>
      <c r="AO154" s="193" t="str">
        <f t="shared" ca="1" si="265"/>
        <v/>
      </c>
      <c r="AP154" s="194" t="str">
        <f t="shared" ca="1" si="235"/>
        <v/>
      </c>
      <c r="AQ154" s="194" t="str">
        <f t="shared" ca="1" si="236"/>
        <v/>
      </c>
      <c r="AR154" s="195">
        <f ca="1">IF(AH154,_xll.xASN(AL154,Strike1,AE154,AP154,0,N154,0,P154,Q154,IF(OptControl=4,0,1),0),0)</f>
        <v>0</v>
      </c>
      <c r="AS154" s="196">
        <f ca="1">IF(AH154,_xll.xASN(AL154,Strike1,AE154,AP154,0,N154,0,P154,Q154,IF(OptControl=4,0,1),1),0)</f>
        <v>0</v>
      </c>
      <c r="AT154" s="196">
        <f ca="1">IF(AH154,_xll.xASN(AL154,Strike1,AE154,AP154,0,N154,0,P154,Q154,IF(OptControl=4,0,1),2),0)</f>
        <v>0</v>
      </c>
      <c r="AU154" s="196">
        <f ca="1">IF(AH154,_xll.xASN(AL154,Strike1,AE154,AP154,0,N154,0,P154,Q154,IF(OptControl=4,0,1),3)/100,0)</f>
        <v>0</v>
      </c>
      <c r="AV154" s="196">
        <f ca="1">IF(AH154,_xll.xASN(AL154,Strike1,AE154,AP154,0,N154,0,P154-DaysForThetaCalculation/365.25,Q154-DaysForThetaCalculation/365.25,IF(OptControl=4,0,1),0)-_xll.xASN(AL154,Strike1,AE154,AP154,0,N154,0,P154,Q154,IF(OptControl=4,0,1),0),0)</f>
        <v>0</v>
      </c>
      <c r="AW154" s="196">
        <f ca="1">IF(AH154,_xll.xASN(AL154,Strike2,AE154,AQ154,0,N154,0,P154,Q154,IF(OptControl=3,1,0),0),0)</f>
        <v>0</v>
      </c>
      <c r="AX154" s="196">
        <f ca="1">IF(AH154,_xll.xASN(AL154,Strike2,AE154,AQ154,0,N154,0,P154,Q154,IF(OptControl=3,1,0),1),0)</f>
        <v>0</v>
      </c>
      <c r="AY154" s="196">
        <f ca="1">IF(AH154,_xll.xASN(AL154,Strike2,AE154,AQ154,0,N154,0,P154,Q154,IF(OptControl=3,1,0),2),0)</f>
        <v>0</v>
      </c>
      <c r="AZ154" s="196">
        <f ca="1">IF(AH154,_xll.xASN(AL154,Strike2,AE154,AQ154,0,N154,0,P154,Q154,IF(OptControl=3,1,0),3)/100,0)</f>
        <v>0</v>
      </c>
      <c r="BA154" s="196">
        <f ca="1">IF(AH154,_xll.xASN(AL154,Strike2,AE154,AQ154,0,N154,0,P154-DaysForThetaCalculation/365.25,Q154-DaysForThetaCalculation/365.25,IF(OptControl=3,1,0),0)-_xll.xASN(AL154,Strike2,AE154,AQ154,0,N154,0,P154,Q154,IF(OptControl=3,1,0),0),0)</f>
        <v>0</v>
      </c>
      <c r="BB154" s="126" t="str">
        <f t="shared" ca="1" si="266"/>
        <v/>
      </c>
      <c r="BC154" s="191" t="str">
        <f t="shared" ca="1" si="267"/>
        <v/>
      </c>
      <c r="BD154" s="191" t="str">
        <f t="shared" ca="1" si="268"/>
        <v/>
      </c>
      <c r="BE154" s="190" t="str">
        <f t="shared" ca="1" si="269"/>
        <v/>
      </c>
      <c r="BF154" s="194" t="str">
        <f t="shared" ca="1" si="270"/>
        <v/>
      </c>
      <c r="BG154" s="194" t="str">
        <f t="shared" ca="1" si="271"/>
        <v/>
      </c>
      <c r="BH154" s="195">
        <f ca="1">IF(AH154,_xll.xEURO(BB154,Strike1,AE154,AE154,BF154,O154,IF(OptControl=4,0,1),0),0)</f>
        <v>0</v>
      </c>
      <c r="BI154" s="196">
        <f ca="1">IF(AH154,_xll.xEURO(BB154,Strike1,AE154,AE154,BF154,O154,IF(OptControl=4,0,1),1),0)</f>
        <v>0</v>
      </c>
      <c r="BJ154" s="196">
        <f ca="1">IF(AH154,_xll.xEURO(BB154,Strike1,AE154,AE154,BF154,O154,IF(OptControl=4,0,1),2),0)</f>
        <v>0</v>
      </c>
      <c r="BK154" s="196">
        <f ca="1">IF(AH154,_xll.xEURO(BB154,Strike1,AE154,AE154,BF154,O154,IF(OptControl=4,0,1),3)/100,0)</f>
        <v>0</v>
      </c>
      <c r="BL154" s="196">
        <f ca="1">IF(AH154,_xll.xEURO(BB154,Strike1,AE154,AE154,BF154,O154-DaysForThetaCalculation,IF(OptControl=4,0,1),0)-_xll.xEURO(BB154,Strike1,AE154,AE154,BF154,O154,IF(OptControl=4,0,1),0),0)</f>
        <v>0</v>
      </c>
      <c r="BM154" s="196">
        <f ca="1">IF(AH154,_xll.xEURO(BB154,Strike2,AE154,AE154,BG154,O154,IF(OptControl=3,1,0),0),0)</f>
        <v>0</v>
      </c>
      <c r="BN154" s="196">
        <f ca="1">IF(AH154,_xll.xEURO(BB154,Strike2,AE154,AE154,BG154,O154,IF(OptControl=3,1,0),1),0)</f>
        <v>0</v>
      </c>
      <c r="BO154" s="196">
        <f ca="1">IF(AH154,_xll.xEURO(BB154,Strike2,AE154,AE154,BG154,O154,IF(OptControl=3,1,0),2),0)</f>
        <v>0</v>
      </c>
      <c r="BP154" s="196">
        <f ca="1">IF(AH154,_xll.xEURO(BB154,Strike2,AE154,AE154,BG154,O154,IF(OptControl=3,1,0),3)/100,0)</f>
        <v>0</v>
      </c>
      <c r="BQ154" s="197">
        <f ca="1">IF(AH154,_xll.xEURO(BB154,Strike2,AE154,AE154,BG154,O154-DaysForThetaCalculation,IF(OptControl=3,1,0),0)-_xll.xEURO(BB154,Strike2,AE154,AE154,BG154,O154,IF(OptControl=3,1,0),0),0)</f>
        <v>0</v>
      </c>
      <c r="BR154" s="301"/>
      <c r="BS154" s="114"/>
      <c r="BT154" s="345">
        <f t="shared" si="237"/>
        <v>0</v>
      </c>
      <c r="BU154" s="345">
        <f t="shared" ca="1" si="285"/>
        <v>-22.415909090909089</v>
      </c>
      <c r="BV154" s="73"/>
      <c r="BW154" s="345">
        <f t="shared" ca="1" si="282"/>
        <v>7.8318695652173922</v>
      </c>
      <c r="BX154" s="345">
        <f t="shared" ca="1" si="286"/>
        <v>73.097035573122568</v>
      </c>
      <c r="BY154" s="373">
        <f t="shared" ca="1" si="238"/>
        <v>72.018520609824947</v>
      </c>
      <c r="BZ154" s="114"/>
      <c r="CA154" s="345">
        <f t="shared" si="239"/>
        <v>0</v>
      </c>
      <c r="CB154" s="345">
        <f t="shared" ca="1" si="287"/>
        <v>-22.415909090909089</v>
      </c>
      <c r="CC154" s="345">
        <f t="shared" ca="1" si="283"/>
        <v>5.4168695652173922</v>
      </c>
      <c r="CD154" s="345">
        <f t="shared" ca="1" si="240"/>
        <v>66.268520609824961</v>
      </c>
      <c r="CE154" s="347">
        <f t="shared" ca="1" si="272"/>
        <v>-5.7499999999999858</v>
      </c>
      <c r="CF154" s="114"/>
      <c r="CG154" s="345">
        <f t="shared" si="241"/>
        <v>0</v>
      </c>
      <c r="CH154" s="345">
        <f t="shared" ca="1" si="242"/>
        <v>-22.415909090909089</v>
      </c>
      <c r="CI154" s="73"/>
      <c r="CJ154" s="345">
        <f t="shared" ca="1" si="290"/>
        <v>4.2934545454545452</v>
      </c>
      <c r="CK154" s="345">
        <f t="shared" ca="1" si="284"/>
        <v>62.508178053830243</v>
      </c>
      <c r="CL154" s="345">
        <f t="shared" ca="1" si="243"/>
        <v>63.593722943722938</v>
      </c>
      <c r="CM154" s="114"/>
      <c r="CN154" s="345">
        <f t="shared" si="244"/>
        <v>0</v>
      </c>
      <c r="CO154" s="345">
        <f t="shared" ca="1" si="245"/>
        <v>-22.415909090909089</v>
      </c>
      <c r="CP154" s="345">
        <f t="shared" ca="1" si="292"/>
        <v>3.3694545454545453</v>
      </c>
      <c r="CQ154" s="345">
        <f t="shared" ca="1" si="246"/>
        <v>61.393722943722942</v>
      </c>
      <c r="CR154" s="347">
        <f t="shared" ca="1" si="273"/>
        <v>-2.1999999999999957</v>
      </c>
      <c r="CS154" s="114"/>
      <c r="CT154" s="345">
        <f t="shared" si="247"/>
        <v>0</v>
      </c>
      <c r="CU154" s="345">
        <f t="shared" si="274"/>
        <v>0</v>
      </c>
      <c r="CV154" s="345">
        <f t="shared" ca="1" si="291"/>
        <v>2.2499999999999938</v>
      </c>
      <c r="CW154" s="347">
        <f t="shared" ca="1" si="275"/>
        <v>65.843722943722938</v>
      </c>
      <c r="CX154" s="483"/>
      <c r="CY154" s="190">
        <f t="shared" si="248"/>
        <v>-0.15809999999999902</v>
      </c>
      <c r="CZ154" s="190">
        <f t="shared" ca="1" si="280"/>
        <v>-0.03</v>
      </c>
      <c r="DA154" s="354">
        <f t="shared" ca="1" si="249"/>
        <v>0.12809999999999902</v>
      </c>
      <c r="DB154" s="483"/>
      <c r="DC154" s="190">
        <f t="shared" si="250"/>
        <v>-0.15809999999999902</v>
      </c>
      <c r="DD154" s="190">
        <f t="shared" ca="1" si="281"/>
        <v>0.03</v>
      </c>
      <c r="DE154" s="354">
        <f t="shared" ca="1" si="251"/>
        <v>0.18809999999999902</v>
      </c>
      <c r="DG154" s="341"/>
      <c r="DH154" s="114"/>
      <c r="DI154" s="126">
        <f t="shared" ca="1" si="276"/>
        <v>-22.415909090909089</v>
      </c>
      <c r="DJ154" s="126">
        <f t="shared" ca="1" si="224"/>
        <v>-2</v>
      </c>
      <c r="DK154" s="356">
        <f t="shared" ca="1" si="225"/>
        <v>20.415909090909089</v>
      </c>
      <c r="DL154" s="114"/>
      <c r="DM154" s="126">
        <f t="shared" ca="1" si="277"/>
        <v>-22.415909090909089</v>
      </c>
      <c r="DN154" s="126">
        <f t="shared" ca="1" si="252"/>
        <v>-3</v>
      </c>
      <c r="DO154" s="356">
        <f t="shared" ca="1" si="226"/>
        <v>19.415909090909089</v>
      </c>
      <c r="DP154" s="114"/>
      <c r="DQ154" s="126">
        <f t="shared" ca="1" si="278"/>
        <v>-22.415909090909089</v>
      </c>
      <c r="DR154" s="126">
        <f t="shared" ca="1" si="253"/>
        <v>-6</v>
      </c>
      <c r="DS154" s="356">
        <f t="shared" ca="1" si="227"/>
        <v>16.415909090909089</v>
      </c>
      <c r="DT154" s="114"/>
      <c r="DU154" s="126">
        <f t="shared" ca="1" si="279"/>
        <v>-22.415909090909089</v>
      </c>
      <c r="DV154" s="126">
        <f t="shared" ca="1" si="254"/>
        <v>-5</v>
      </c>
      <c r="DW154" s="356">
        <f t="shared" ca="1" si="228"/>
        <v>17.415909090909089</v>
      </c>
    </row>
    <row r="155" spans="2:127" x14ac:dyDescent="0.25">
      <c r="B155" s="396">
        <v>40269</v>
      </c>
      <c r="C155" s="400">
        <v>40257</v>
      </c>
      <c r="I155" s="136">
        <f t="shared" ca="1" si="229"/>
        <v>41518</v>
      </c>
      <c r="J155" s="131">
        <f t="shared" ca="1" si="230"/>
        <v>41507</v>
      </c>
      <c r="K155" s="106">
        <f t="shared" ca="1" si="231"/>
        <v>0.7142857142857143</v>
      </c>
      <c r="L155" s="133">
        <f t="shared" ca="1" si="193"/>
        <v>113</v>
      </c>
      <c r="M155" s="134">
        <f t="shared" ca="1" si="194"/>
        <v>9</v>
      </c>
      <c r="N155" s="103">
        <f t="shared" ca="1" si="216"/>
        <v>21</v>
      </c>
      <c r="O155" s="104">
        <f t="shared" ca="1" si="232"/>
        <v>4559</v>
      </c>
      <c r="P155" s="105">
        <f t="shared" ca="1" si="195"/>
        <v>12.495550992470911</v>
      </c>
      <c r="Q155" s="105">
        <f t="shared" ca="1" si="196"/>
        <v>12.574948665297741</v>
      </c>
      <c r="R155" s="114">
        <v>22.4</v>
      </c>
      <c r="S155" s="198">
        <v>0</v>
      </c>
      <c r="T155" s="189">
        <f t="shared" si="233"/>
        <v>22.4</v>
      </c>
      <c r="U155" s="199">
        <f t="shared" ca="1" si="217"/>
        <v>22.464285714285744</v>
      </c>
      <c r="V155" s="379">
        <f t="shared" ca="1" si="218"/>
        <v>22.464285714285744</v>
      </c>
      <c r="W155" s="483">
        <v>0.15769999999999904</v>
      </c>
      <c r="X155" s="166" t="str">
        <f t="shared" ca="1" si="219"/>
        <v/>
      </c>
      <c r="Y155" s="91">
        <f t="shared" ca="1" si="255"/>
        <v>5.9962891607929537E-4</v>
      </c>
      <c r="Z155" s="91">
        <f t="shared" ca="1" si="256"/>
        <v>1.652149226803421E-4</v>
      </c>
      <c r="AA155" s="91">
        <f t="shared" ca="1" si="257"/>
        <v>5.2650377956485884E-5</v>
      </c>
      <c r="AB155" s="91">
        <f t="shared" ca="1" si="258"/>
        <v>1.1861077146038172E-4</v>
      </c>
      <c r="AC155" s="91">
        <f t="shared" ca="1" si="259"/>
        <v>3.7219617781430238E-4</v>
      </c>
      <c r="AD155" s="91">
        <f t="shared" ca="1" si="260"/>
        <v>1.3508440221433216E-3</v>
      </c>
      <c r="AE155" s="124">
        <v>7.3663252549530017E-2</v>
      </c>
      <c r="AF155" s="191">
        <f t="shared" ca="1" si="261"/>
        <v>0.40266091782825275</v>
      </c>
      <c r="AG155" s="189">
        <f t="shared" ca="1" si="234"/>
        <v>1</v>
      </c>
      <c r="AH155" s="192">
        <f t="shared" ca="1" si="220"/>
        <v>0</v>
      </c>
      <c r="AI155" s="192">
        <f t="shared" ca="1" si="288"/>
        <v>0</v>
      </c>
      <c r="AJ155" s="192">
        <f t="shared" ca="1" si="222"/>
        <v>0</v>
      </c>
      <c r="AK155" s="192">
        <f t="shared" ca="1" si="289"/>
        <v>0</v>
      </c>
      <c r="AL155" s="191" t="str">
        <f t="shared" ca="1" si="262"/>
        <v/>
      </c>
      <c r="AM155" s="191" t="str">
        <f t="shared" ca="1" si="263"/>
        <v/>
      </c>
      <c r="AN155" s="191" t="str">
        <f t="shared" ca="1" si="264"/>
        <v/>
      </c>
      <c r="AO155" s="193" t="str">
        <f t="shared" ca="1" si="265"/>
        <v/>
      </c>
      <c r="AP155" s="194" t="str">
        <f t="shared" ca="1" si="235"/>
        <v/>
      </c>
      <c r="AQ155" s="194" t="str">
        <f t="shared" ca="1" si="236"/>
        <v/>
      </c>
      <c r="AR155" s="195">
        <f ca="1">IF(AH155,_xll.xASN(AL155,Strike1,AE155,AP155,0,N155,0,P155,Q155,IF(OptControl=4,0,1),0),0)</f>
        <v>0</v>
      </c>
      <c r="AS155" s="196">
        <f ca="1">IF(AH155,_xll.xASN(AL155,Strike1,AE155,AP155,0,N155,0,P155,Q155,IF(OptControl=4,0,1),1),0)</f>
        <v>0</v>
      </c>
      <c r="AT155" s="196">
        <f ca="1">IF(AH155,_xll.xASN(AL155,Strike1,AE155,AP155,0,N155,0,P155,Q155,IF(OptControl=4,0,1),2),0)</f>
        <v>0</v>
      </c>
      <c r="AU155" s="196">
        <f ca="1">IF(AH155,_xll.xASN(AL155,Strike1,AE155,AP155,0,N155,0,P155,Q155,IF(OptControl=4,0,1),3)/100,0)</f>
        <v>0</v>
      </c>
      <c r="AV155" s="196">
        <f ca="1">IF(AH155,_xll.xASN(AL155,Strike1,AE155,AP155,0,N155,0,P155-DaysForThetaCalculation/365.25,Q155-DaysForThetaCalculation/365.25,IF(OptControl=4,0,1),0)-_xll.xASN(AL155,Strike1,AE155,AP155,0,N155,0,P155,Q155,IF(OptControl=4,0,1),0),0)</f>
        <v>0</v>
      </c>
      <c r="AW155" s="196">
        <f ca="1">IF(AH155,_xll.xASN(AL155,Strike2,AE155,AQ155,0,N155,0,P155,Q155,IF(OptControl=3,1,0),0),0)</f>
        <v>0</v>
      </c>
      <c r="AX155" s="196">
        <f ca="1">IF(AH155,_xll.xASN(AL155,Strike2,AE155,AQ155,0,N155,0,P155,Q155,IF(OptControl=3,1,0),1),0)</f>
        <v>0</v>
      </c>
      <c r="AY155" s="196">
        <f ca="1">IF(AH155,_xll.xASN(AL155,Strike2,AE155,AQ155,0,N155,0,P155,Q155,IF(OptControl=3,1,0),2),0)</f>
        <v>0</v>
      </c>
      <c r="AZ155" s="196">
        <f ca="1">IF(AH155,_xll.xASN(AL155,Strike2,AE155,AQ155,0,N155,0,P155,Q155,IF(OptControl=3,1,0),3)/100,0)</f>
        <v>0</v>
      </c>
      <c r="BA155" s="196">
        <f ca="1">IF(AH155,_xll.xASN(AL155,Strike2,AE155,AQ155,0,N155,0,P155-DaysForThetaCalculation/365.25,Q155-DaysForThetaCalculation/365.25,IF(OptControl=3,1,0),0)-_xll.xASN(AL155,Strike2,AE155,AQ155,0,N155,0,P155,Q155,IF(OptControl=3,1,0),0),0)</f>
        <v>0</v>
      </c>
      <c r="BB155" s="126" t="str">
        <f t="shared" ca="1" si="266"/>
        <v/>
      </c>
      <c r="BC155" s="191" t="str">
        <f t="shared" ca="1" si="267"/>
        <v/>
      </c>
      <c r="BD155" s="191" t="str">
        <f t="shared" ca="1" si="268"/>
        <v/>
      </c>
      <c r="BE155" s="190" t="str">
        <f t="shared" ca="1" si="269"/>
        <v/>
      </c>
      <c r="BF155" s="194" t="str">
        <f t="shared" ca="1" si="270"/>
        <v/>
      </c>
      <c r="BG155" s="194" t="str">
        <f t="shared" ca="1" si="271"/>
        <v/>
      </c>
      <c r="BH155" s="195">
        <f ca="1">IF(AH155,_xll.xEURO(BB155,Strike1,AE155,AE155,BF155,O155,IF(OptControl=4,0,1),0),0)</f>
        <v>0</v>
      </c>
      <c r="BI155" s="196">
        <f ca="1">IF(AH155,_xll.xEURO(BB155,Strike1,AE155,AE155,BF155,O155,IF(OptControl=4,0,1),1),0)</f>
        <v>0</v>
      </c>
      <c r="BJ155" s="196">
        <f ca="1">IF(AH155,_xll.xEURO(BB155,Strike1,AE155,AE155,BF155,O155,IF(OptControl=4,0,1),2),0)</f>
        <v>0</v>
      </c>
      <c r="BK155" s="196">
        <f ca="1">IF(AH155,_xll.xEURO(BB155,Strike1,AE155,AE155,BF155,O155,IF(OptControl=4,0,1),3)/100,0)</f>
        <v>0</v>
      </c>
      <c r="BL155" s="196">
        <f ca="1">IF(AH155,_xll.xEURO(BB155,Strike1,AE155,AE155,BF155,O155-DaysForThetaCalculation,IF(OptControl=4,0,1),0)-_xll.xEURO(BB155,Strike1,AE155,AE155,BF155,O155,IF(OptControl=4,0,1),0),0)</f>
        <v>0</v>
      </c>
      <c r="BM155" s="196">
        <f ca="1">IF(AH155,_xll.xEURO(BB155,Strike2,AE155,AE155,BG155,O155,IF(OptControl=3,1,0),0),0)</f>
        <v>0</v>
      </c>
      <c r="BN155" s="196">
        <f ca="1">IF(AH155,_xll.xEURO(BB155,Strike2,AE155,AE155,BG155,O155,IF(OptControl=3,1,0),1),0)</f>
        <v>0</v>
      </c>
      <c r="BO155" s="196">
        <f ca="1">IF(AH155,_xll.xEURO(BB155,Strike2,AE155,AE155,BG155,O155,IF(OptControl=3,1,0),2),0)</f>
        <v>0</v>
      </c>
      <c r="BP155" s="196">
        <f ca="1">IF(AH155,_xll.xEURO(BB155,Strike2,AE155,AE155,BG155,O155,IF(OptControl=3,1,0),3)/100,0)</f>
        <v>0</v>
      </c>
      <c r="BQ155" s="197">
        <f ca="1">IF(AH155,_xll.xEURO(BB155,Strike2,AE155,AE155,BG155,O155-DaysForThetaCalculation,IF(OptControl=3,1,0),0)-_xll.xEURO(BB155,Strike2,AE155,AE155,BG155,O155,IF(OptControl=3,1,0),0),0)</f>
        <v>0</v>
      </c>
      <c r="BR155" s="301"/>
      <c r="BS155" s="114"/>
      <c r="BT155" s="345">
        <f t="shared" si="237"/>
        <v>0</v>
      </c>
      <c r="BU155" s="345">
        <f t="shared" ca="1" si="285"/>
        <v>-22.464285714285744</v>
      </c>
      <c r="BV155" s="73"/>
      <c r="BW155" s="345">
        <f t="shared" ca="1" si="282"/>
        <v>6.7490000000000059</v>
      </c>
      <c r="BX155" s="345">
        <f t="shared" ca="1" si="286"/>
        <v>72.018520609824947</v>
      </c>
      <c r="BY155" s="373">
        <f t="shared" ca="1" si="238"/>
        <v>69.555442176870827</v>
      </c>
      <c r="BZ155" s="114"/>
      <c r="CA155" s="345">
        <f t="shared" si="239"/>
        <v>0</v>
      </c>
      <c r="CB155" s="345">
        <f t="shared" ca="1" si="287"/>
        <v>-22.464285714285744</v>
      </c>
      <c r="CC155" s="345">
        <f t="shared" ca="1" si="283"/>
        <v>4.3340000000000023</v>
      </c>
      <c r="CD155" s="345">
        <f t="shared" ca="1" si="240"/>
        <v>63.805442176870827</v>
      </c>
      <c r="CE155" s="347">
        <f t="shared" ca="1" si="272"/>
        <v>-5.75</v>
      </c>
      <c r="CF155" s="114"/>
      <c r="CG155" s="345">
        <f t="shared" si="241"/>
        <v>0</v>
      </c>
      <c r="CH155" s="345">
        <f t="shared" ca="1" si="242"/>
        <v>-22.464285714285744</v>
      </c>
      <c r="CI155" s="73"/>
      <c r="CJ155" s="345">
        <f t="shared" ca="1" si="290"/>
        <v>4.6410000000000018</v>
      </c>
      <c r="CK155" s="345">
        <f t="shared" ca="1" si="284"/>
        <v>63.593722943722938</v>
      </c>
      <c r="CL155" s="345">
        <f t="shared" ca="1" si="243"/>
        <v>64.536394557823201</v>
      </c>
      <c r="CM155" s="114"/>
      <c r="CN155" s="345">
        <f t="shared" si="244"/>
        <v>0</v>
      </c>
      <c r="CO155" s="345">
        <f t="shared" ca="1" si="245"/>
        <v>-22.464285714285744</v>
      </c>
      <c r="CP155" s="345">
        <f t="shared" ca="1" si="292"/>
        <v>3.8302857142857119</v>
      </c>
      <c r="CQ155" s="345">
        <f t="shared" ca="1" si="246"/>
        <v>62.606122448979647</v>
      </c>
      <c r="CR155" s="347">
        <f t="shared" ca="1" si="273"/>
        <v>-1.9302721088435533</v>
      </c>
      <c r="CS155" s="114"/>
      <c r="CT155" s="345">
        <f t="shared" si="247"/>
        <v>0</v>
      </c>
      <c r="CU155" s="345">
        <f t="shared" si="274"/>
        <v>0</v>
      </c>
      <c r="CV155" s="345">
        <f t="shared" ca="1" si="291"/>
        <v>2.250000000000008</v>
      </c>
      <c r="CW155" s="347">
        <f t="shared" ca="1" si="275"/>
        <v>66.786394557823215</v>
      </c>
      <c r="CX155" s="483"/>
      <c r="CY155" s="190">
        <f t="shared" si="248"/>
        <v>-0.15769999999999904</v>
      </c>
      <c r="CZ155" s="190">
        <f t="shared" ca="1" si="280"/>
        <v>-0.03</v>
      </c>
      <c r="DA155" s="354">
        <f t="shared" ca="1" si="249"/>
        <v>0.12769999999999904</v>
      </c>
      <c r="DB155" s="483"/>
      <c r="DC155" s="190">
        <f t="shared" si="250"/>
        <v>-0.15769999999999904</v>
      </c>
      <c r="DD155" s="190">
        <f t="shared" ca="1" si="281"/>
        <v>0.03</v>
      </c>
      <c r="DE155" s="354">
        <f t="shared" ca="1" si="251"/>
        <v>0.18769999999999903</v>
      </c>
      <c r="DG155" s="341"/>
      <c r="DH155" s="114"/>
      <c r="DI155" s="126">
        <f t="shared" ca="1" si="276"/>
        <v>-22.464285714285744</v>
      </c>
      <c r="DJ155" s="126">
        <f t="shared" ca="1" si="224"/>
        <v>-2</v>
      </c>
      <c r="DK155" s="356">
        <f t="shared" ca="1" si="225"/>
        <v>20.464285714285744</v>
      </c>
      <c r="DL155" s="114"/>
      <c r="DM155" s="126">
        <f t="shared" ca="1" si="277"/>
        <v>-22.464285714285744</v>
      </c>
      <c r="DN155" s="126">
        <f t="shared" ca="1" si="252"/>
        <v>-3</v>
      </c>
      <c r="DO155" s="356">
        <f t="shared" ca="1" si="226"/>
        <v>19.464285714285744</v>
      </c>
      <c r="DP155" s="114"/>
      <c r="DQ155" s="126">
        <f t="shared" ca="1" si="278"/>
        <v>-22.464285714285744</v>
      </c>
      <c r="DR155" s="126">
        <f t="shared" ca="1" si="253"/>
        <v>-6</v>
      </c>
      <c r="DS155" s="356">
        <f t="shared" ca="1" si="227"/>
        <v>16.464285714285744</v>
      </c>
      <c r="DT155" s="114"/>
      <c r="DU155" s="126">
        <f t="shared" ca="1" si="279"/>
        <v>-22.464285714285744</v>
      </c>
      <c r="DV155" s="126">
        <f t="shared" ca="1" si="254"/>
        <v>-5</v>
      </c>
      <c r="DW155" s="356">
        <f t="shared" ca="1" si="228"/>
        <v>17.464285714285744</v>
      </c>
    </row>
    <row r="156" spans="2:127" x14ac:dyDescent="0.25">
      <c r="B156" s="396">
        <v>40299</v>
      </c>
      <c r="C156" s="400">
        <v>40288</v>
      </c>
      <c r="I156" s="136">
        <f t="shared" ca="1" si="229"/>
        <v>41548</v>
      </c>
      <c r="J156" s="131">
        <f t="shared" ca="1" si="230"/>
        <v>41537</v>
      </c>
      <c r="K156" s="106">
        <f t="shared" ca="1" si="231"/>
        <v>0.69565217391304346</v>
      </c>
      <c r="L156" s="133">
        <f t="shared" ca="1" si="193"/>
        <v>113</v>
      </c>
      <c r="M156" s="134">
        <f t="shared" ca="1" si="194"/>
        <v>10</v>
      </c>
      <c r="N156" s="103">
        <f t="shared" ca="1" si="216"/>
        <v>23</v>
      </c>
      <c r="O156" s="104">
        <f t="shared" ca="1" si="232"/>
        <v>4588</v>
      </c>
      <c r="P156" s="105">
        <f t="shared" ca="1" si="195"/>
        <v>12.577686516084873</v>
      </c>
      <c r="Q156" s="105">
        <f t="shared" ca="1" si="196"/>
        <v>12.659822039698836</v>
      </c>
      <c r="R156" s="114">
        <v>22.45</v>
      </c>
      <c r="S156" s="198">
        <v>0</v>
      </c>
      <c r="T156" s="189">
        <f t="shared" si="233"/>
        <v>22.45</v>
      </c>
      <c r="U156" s="199">
        <f t="shared" ca="1" si="217"/>
        <v>22.515217391304454</v>
      </c>
      <c r="V156" s="379">
        <f t="shared" ca="1" si="218"/>
        <v>22.515217391304454</v>
      </c>
      <c r="W156" s="483">
        <v>0.15729999999999902</v>
      </c>
      <c r="X156" s="166" t="str">
        <f t="shared" ca="1" si="219"/>
        <v/>
      </c>
      <c r="Y156" s="91">
        <f t="shared" ca="1" si="255"/>
        <v>5.8679177297801181E-4</v>
      </c>
      <c r="Z156" s="91">
        <f t="shared" ca="1" si="256"/>
        <v>1.6081229047089151E-4</v>
      </c>
      <c r="AA156" s="91">
        <f t="shared" ca="1" si="257"/>
        <v>5.1109930848423855E-5</v>
      </c>
      <c r="AB156" s="91">
        <f t="shared" ca="1" si="258"/>
        <v>1.1514045221533954E-4</v>
      </c>
      <c r="AC156" s="91">
        <f t="shared" ca="1" si="259"/>
        <v>3.6227792797285122E-4</v>
      </c>
      <c r="AD156" s="91">
        <f t="shared" ca="1" si="260"/>
        <v>1.3219245061647509E-3</v>
      </c>
      <c r="AE156" s="124">
        <v>7.3659418783113023E-2</v>
      </c>
      <c r="AF156" s="191">
        <f t="shared" ca="1" si="261"/>
        <v>0.4002150229453531</v>
      </c>
      <c r="AG156" s="189">
        <f t="shared" ca="1" si="234"/>
        <v>1</v>
      </c>
      <c r="AH156" s="192">
        <f t="shared" ca="1" si="220"/>
        <v>0</v>
      </c>
      <c r="AI156" s="192">
        <f t="shared" ca="1" si="288"/>
        <v>0</v>
      </c>
      <c r="AJ156" s="192">
        <f t="shared" ca="1" si="222"/>
        <v>0</v>
      </c>
      <c r="AK156" s="192">
        <f t="shared" ca="1" si="289"/>
        <v>0</v>
      </c>
      <c r="AL156" s="191" t="str">
        <f t="shared" ca="1" si="262"/>
        <v/>
      </c>
      <c r="AM156" s="191" t="str">
        <f t="shared" ca="1" si="263"/>
        <v/>
      </c>
      <c r="AN156" s="191" t="str">
        <f t="shared" ca="1" si="264"/>
        <v/>
      </c>
      <c r="AO156" s="193" t="str">
        <f t="shared" ca="1" si="265"/>
        <v/>
      </c>
      <c r="AP156" s="194" t="str">
        <f t="shared" ca="1" si="235"/>
        <v/>
      </c>
      <c r="AQ156" s="194" t="str">
        <f t="shared" ca="1" si="236"/>
        <v/>
      </c>
      <c r="AR156" s="195">
        <f ca="1">IF(AH156,_xll.xASN(AL156,Strike1,AE156,AP156,0,N156,0,P156,Q156,IF(OptControl=4,0,1),0),0)</f>
        <v>0</v>
      </c>
      <c r="AS156" s="196">
        <f ca="1">IF(AH156,_xll.xASN(AL156,Strike1,AE156,AP156,0,N156,0,P156,Q156,IF(OptControl=4,0,1),1),0)</f>
        <v>0</v>
      </c>
      <c r="AT156" s="196">
        <f ca="1">IF(AH156,_xll.xASN(AL156,Strike1,AE156,AP156,0,N156,0,P156,Q156,IF(OptControl=4,0,1),2),0)</f>
        <v>0</v>
      </c>
      <c r="AU156" s="196">
        <f ca="1">IF(AH156,_xll.xASN(AL156,Strike1,AE156,AP156,0,N156,0,P156,Q156,IF(OptControl=4,0,1),3)/100,0)</f>
        <v>0</v>
      </c>
      <c r="AV156" s="196">
        <f ca="1">IF(AH156,_xll.xASN(AL156,Strike1,AE156,AP156,0,N156,0,P156-DaysForThetaCalculation/365.25,Q156-DaysForThetaCalculation/365.25,IF(OptControl=4,0,1),0)-_xll.xASN(AL156,Strike1,AE156,AP156,0,N156,0,P156,Q156,IF(OptControl=4,0,1),0),0)</f>
        <v>0</v>
      </c>
      <c r="AW156" s="196">
        <f ca="1">IF(AH156,_xll.xASN(AL156,Strike2,AE156,AQ156,0,N156,0,P156,Q156,IF(OptControl=3,1,0),0),0)</f>
        <v>0</v>
      </c>
      <c r="AX156" s="196">
        <f ca="1">IF(AH156,_xll.xASN(AL156,Strike2,AE156,AQ156,0,N156,0,P156,Q156,IF(OptControl=3,1,0),1),0)</f>
        <v>0</v>
      </c>
      <c r="AY156" s="196">
        <f ca="1">IF(AH156,_xll.xASN(AL156,Strike2,AE156,AQ156,0,N156,0,P156,Q156,IF(OptControl=3,1,0),2),0)</f>
        <v>0</v>
      </c>
      <c r="AZ156" s="196">
        <f ca="1">IF(AH156,_xll.xASN(AL156,Strike2,AE156,AQ156,0,N156,0,P156,Q156,IF(OptControl=3,1,0),3)/100,0)</f>
        <v>0</v>
      </c>
      <c r="BA156" s="196">
        <f ca="1">IF(AH156,_xll.xASN(AL156,Strike2,AE156,AQ156,0,N156,0,P156-DaysForThetaCalculation/365.25,Q156-DaysForThetaCalculation/365.25,IF(OptControl=3,1,0),0)-_xll.xASN(AL156,Strike2,AE156,AQ156,0,N156,0,P156,Q156,IF(OptControl=3,1,0),0),0)</f>
        <v>0</v>
      </c>
      <c r="BB156" s="126" t="str">
        <f t="shared" ca="1" si="266"/>
        <v/>
      </c>
      <c r="BC156" s="191" t="str">
        <f t="shared" ca="1" si="267"/>
        <v/>
      </c>
      <c r="BD156" s="191" t="str">
        <f t="shared" ca="1" si="268"/>
        <v/>
      </c>
      <c r="BE156" s="190" t="str">
        <f t="shared" ca="1" si="269"/>
        <v/>
      </c>
      <c r="BF156" s="194" t="str">
        <f t="shared" ca="1" si="270"/>
        <v/>
      </c>
      <c r="BG156" s="194" t="str">
        <f t="shared" ca="1" si="271"/>
        <v/>
      </c>
      <c r="BH156" s="195">
        <f ca="1">IF(AH156,_xll.xEURO(BB156,Strike1,AE156,AE156,BF156,O156,IF(OptControl=4,0,1),0),0)</f>
        <v>0</v>
      </c>
      <c r="BI156" s="196">
        <f ca="1">IF(AH156,_xll.xEURO(BB156,Strike1,AE156,AE156,BF156,O156,IF(OptControl=4,0,1),1),0)</f>
        <v>0</v>
      </c>
      <c r="BJ156" s="196">
        <f ca="1">IF(AH156,_xll.xEURO(BB156,Strike1,AE156,AE156,BF156,O156,IF(OptControl=4,0,1),2),0)</f>
        <v>0</v>
      </c>
      <c r="BK156" s="196">
        <f ca="1">IF(AH156,_xll.xEURO(BB156,Strike1,AE156,AE156,BF156,O156,IF(OptControl=4,0,1),3)/100,0)</f>
        <v>0</v>
      </c>
      <c r="BL156" s="196">
        <f ca="1">IF(AH156,_xll.xEURO(BB156,Strike1,AE156,AE156,BF156,O156-DaysForThetaCalculation,IF(OptControl=4,0,1),0)-_xll.xEURO(BB156,Strike1,AE156,AE156,BF156,O156,IF(OptControl=4,0,1),0),0)</f>
        <v>0</v>
      </c>
      <c r="BM156" s="196">
        <f ca="1">IF(AH156,_xll.xEURO(BB156,Strike2,AE156,AE156,BG156,O156,IF(OptControl=3,1,0),0),0)</f>
        <v>0</v>
      </c>
      <c r="BN156" s="196">
        <f ca="1">IF(AH156,_xll.xEURO(BB156,Strike2,AE156,AE156,BG156,O156,IF(OptControl=3,1,0),1),0)</f>
        <v>0</v>
      </c>
      <c r="BO156" s="196">
        <f ca="1">IF(AH156,_xll.xEURO(BB156,Strike2,AE156,AE156,BG156,O156,IF(OptControl=3,1,0),2),0)</f>
        <v>0</v>
      </c>
      <c r="BP156" s="196">
        <f ca="1">IF(AH156,_xll.xEURO(BB156,Strike2,AE156,AE156,BG156,O156,IF(OptControl=3,1,0),3)/100,0)</f>
        <v>0</v>
      </c>
      <c r="BQ156" s="197">
        <f ca="1">IF(AH156,_xll.xEURO(BB156,Strike2,AE156,AE156,BG156,O156-DaysForThetaCalculation,IF(OptControl=3,1,0),0)-_xll.xEURO(BB156,Strike2,AE156,AE156,BG156,O156,IF(OptControl=3,1,0),0),0)</f>
        <v>0</v>
      </c>
      <c r="BR156" s="301"/>
      <c r="BS156" s="114"/>
      <c r="BT156" s="345">
        <f t="shared" si="237"/>
        <v>0</v>
      </c>
      <c r="BU156" s="345">
        <f t="shared" ca="1" si="285"/>
        <v>-22.515217391304454</v>
      </c>
      <c r="BV156" s="73"/>
      <c r="BW156" s="345">
        <f t="shared" ca="1" si="282"/>
        <v>6.3417826086956595</v>
      </c>
      <c r="BX156" s="345">
        <f t="shared" ca="1" si="286"/>
        <v>69.555442176870827</v>
      </c>
      <c r="BY156" s="373">
        <f t="shared" ca="1" si="238"/>
        <v>68.707142857143126</v>
      </c>
      <c r="BZ156" s="114"/>
      <c r="CA156" s="345">
        <f t="shared" si="239"/>
        <v>0</v>
      </c>
      <c r="CB156" s="345">
        <f t="shared" ca="1" si="287"/>
        <v>-22.515217391304454</v>
      </c>
      <c r="CC156" s="345">
        <f t="shared" ca="1" si="283"/>
        <v>4.0317826086956554</v>
      </c>
      <c r="CD156" s="345">
        <f t="shared" ca="1" si="240"/>
        <v>63.207142857143126</v>
      </c>
      <c r="CE156" s="347">
        <f t="shared" ca="1" si="272"/>
        <v>-5.5</v>
      </c>
      <c r="CF156" s="114"/>
      <c r="CG156" s="345">
        <f t="shared" si="241"/>
        <v>0</v>
      </c>
      <c r="CH156" s="345">
        <f t="shared" ca="1" si="242"/>
        <v>-22.515217391304454</v>
      </c>
      <c r="CI156" s="73"/>
      <c r="CJ156" s="345">
        <f t="shared" ca="1" si="290"/>
        <v>5.1997826086956547</v>
      </c>
      <c r="CK156" s="345">
        <f t="shared" ca="1" si="284"/>
        <v>64.536394557823201</v>
      </c>
      <c r="CL156" s="345">
        <f t="shared" ca="1" si="243"/>
        <v>65.988095238095497</v>
      </c>
      <c r="CM156" s="114"/>
      <c r="CN156" s="345">
        <f t="shared" si="244"/>
        <v>0</v>
      </c>
      <c r="CO156" s="345">
        <f t="shared" ca="1" si="245"/>
        <v>-22.515217391304454</v>
      </c>
      <c r="CP156" s="345">
        <f t="shared" ca="1" si="292"/>
        <v>4.0027826086956519</v>
      </c>
      <c r="CQ156" s="345">
        <f t="shared" ca="1" si="246"/>
        <v>63.138095238095488</v>
      </c>
      <c r="CR156" s="347">
        <f t="shared" ca="1" si="273"/>
        <v>-2.8500000000000085</v>
      </c>
      <c r="CS156" s="114"/>
      <c r="CT156" s="345">
        <f t="shared" si="247"/>
        <v>0</v>
      </c>
      <c r="CU156" s="345">
        <f t="shared" si="274"/>
        <v>0</v>
      </c>
      <c r="CV156" s="345">
        <f t="shared" ca="1" si="291"/>
        <v>2.4000000000000079</v>
      </c>
      <c r="CW156" s="347">
        <f t="shared" ca="1" si="275"/>
        <v>68.388095238095502</v>
      </c>
      <c r="CX156" s="483"/>
      <c r="CY156" s="190">
        <f t="shared" si="248"/>
        <v>-0.15729999999999902</v>
      </c>
      <c r="CZ156" s="190">
        <f t="shared" ca="1" si="280"/>
        <v>-0.03</v>
      </c>
      <c r="DA156" s="354">
        <f t="shared" ca="1" si="249"/>
        <v>0.12729999999999903</v>
      </c>
      <c r="DB156" s="483"/>
      <c r="DC156" s="190">
        <f t="shared" si="250"/>
        <v>-0.15729999999999902</v>
      </c>
      <c r="DD156" s="190">
        <f t="shared" ca="1" si="281"/>
        <v>0.03</v>
      </c>
      <c r="DE156" s="354">
        <f t="shared" ca="1" si="251"/>
        <v>0.18729999999999902</v>
      </c>
      <c r="DG156" s="341"/>
      <c r="DH156" s="114"/>
      <c r="DI156" s="126">
        <f t="shared" ca="1" si="276"/>
        <v>-22.515217391304454</v>
      </c>
      <c r="DJ156" s="126">
        <f t="shared" ca="1" si="224"/>
        <v>-2</v>
      </c>
      <c r="DK156" s="356">
        <f t="shared" ca="1" si="225"/>
        <v>20.515217391304454</v>
      </c>
      <c r="DL156" s="114"/>
      <c r="DM156" s="126">
        <f t="shared" ca="1" si="277"/>
        <v>-22.515217391304454</v>
      </c>
      <c r="DN156" s="126">
        <f t="shared" ca="1" si="252"/>
        <v>-3</v>
      </c>
      <c r="DO156" s="356">
        <f t="shared" ca="1" si="226"/>
        <v>19.515217391304454</v>
      </c>
      <c r="DP156" s="114"/>
      <c r="DQ156" s="126">
        <f t="shared" ca="1" si="278"/>
        <v>-22.515217391304454</v>
      </c>
      <c r="DR156" s="126">
        <f t="shared" ca="1" si="253"/>
        <v>-6</v>
      </c>
      <c r="DS156" s="356">
        <f t="shared" ca="1" si="227"/>
        <v>16.515217391304454</v>
      </c>
      <c r="DT156" s="114"/>
      <c r="DU156" s="126">
        <f t="shared" ca="1" si="279"/>
        <v>-22.515217391304454</v>
      </c>
      <c r="DV156" s="126">
        <f t="shared" ca="1" si="254"/>
        <v>-5</v>
      </c>
      <c r="DW156" s="356">
        <f t="shared" ca="1" si="228"/>
        <v>17.515217391304454</v>
      </c>
    </row>
    <row r="157" spans="2:127" x14ac:dyDescent="0.25">
      <c r="B157" s="396">
        <v>40330</v>
      </c>
      <c r="C157" s="400">
        <v>40320</v>
      </c>
      <c r="I157" s="136">
        <f t="shared" ca="1" si="229"/>
        <v>41579</v>
      </c>
      <c r="J157" s="131">
        <f t="shared" ca="1" si="230"/>
        <v>41569</v>
      </c>
      <c r="K157" s="106">
        <f t="shared" ca="1" si="231"/>
        <v>0.61904761904761907</v>
      </c>
      <c r="L157" s="133">
        <f t="shared" ca="1" si="193"/>
        <v>113</v>
      </c>
      <c r="M157" s="134">
        <f t="shared" ca="1" si="194"/>
        <v>11</v>
      </c>
      <c r="N157" s="103">
        <f t="shared" ca="1" si="216"/>
        <v>21</v>
      </c>
      <c r="O157" s="104">
        <f t="shared" ca="1" si="232"/>
        <v>4621</v>
      </c>
      <c r="P157" s="105">
        <f t="shared" ca="1" si="195"/>
        <v>12.662559890485969</v>
      </c>
      <c r="Q157" s="105">
        <f t="shared" ca="1" si="196"/>
        <v>12.7419575633128</v>
      </c>
      <c r="R157" s="114">
        <v>22.500000000000107</v>
      </c>
      <c r="S157" s="198">
        <v>0</v>
      </c>
      <c r="T157" s="189">
        <f t="shared" si="233"/>
        <v>22.500000000000107</v>
      </c>
      <c r="U157" s="199">
        <f t="shared" ca="1" si="217"/>
        <v>22.569047619047723</v>
      </c>
      <c r="V157" s="379">
        <f t="shared" ca="1" si="218"/>
        <v>22.569047619047723</v>
      </c>
      <c r="W157" s="483">
        <v>0.15689999999999901</v>
      </c>
      <c r="X157" s="166" t="str">
        <f t="shared" ca="1" si="219"/>
        <v/>
      </c>
      <c r="Y157" s="91">
        <f t="shared" ca="1" si="255"/>
        <v>5.7422945358616569E-4</v>
      </c>
      <c r="Z157" s="91">
        <f t="shared" ca="1" si="256"/>
        <v>1.5652697920350372E-4</v>
      </c>
      <c r="AA157" s="91">
        <f t="shared" ca="1" si="257"/>
        <v>4.9614554210600382E-5</v>
      </c>
      <c r="AB157" s="91">
        <f t="shared" ca="1" si="258"/>
        <v>1.1177166772565078E-4</v>
      </c>
      <c r="AC157" s="91">
        <f t="shared" ca="1" si="259"/>
        <v>3.5262397874967916E-4</v>
      </c>
      <c r="AD157" s="91">
        <f t="shared" ca="1" si="260"/>
        <v>1.2936241130388007E-3</v>
      </c>
      <c r="AE157" s="124">
        <v>7.3655457224488019E-2</v>
      </c>
      <c r="AF157" s="191">
        <f t="shared" ca="1" si="261"/>
        <v>0.39786364214679498</v>
      </c>
      <c r="AG157" s="189">
        <f t="shared" ca="1" si="234"/>
        <v>1</v>
      </c>
      <c r="AH157" s="192">
        <f t="shared" ca="1" si="220"/>
        <v>0</v>
      </c>
      <c r="AI157" s="192">
        <f t="shared" ca="1" si="288"/>
        <v>0</v>
      </c>
      <c r="AJ157" s="192">
        <f t="shared" ca="1" si="222"/>
        <v>0</v>
      </c>
      <c r="AK157" s="192">
        <f t="shared" ca="1" si="289"/>
        <v>0</v>
      </c>
      <c r="AL157" s="191" t="str">
        <f t="shared" ca="1" si="262"/>
        <v/>
      </c>
      <c r="AM157" s="191" t="str">
        <f t="shared" ca="1" si="263"/>
        <v/>
      </c>
      <c r="AN157" s="191" t="str">
        <f t="shared" ca="1" si="264"/>
        <v/>
      </c>
      <c r="AO157" s="193" t="str">
        <f t="shared" ca="1" si="265"/>
        <v/>
      </c>
      <c r="AP157" s="194" t="str">
        <f t="shared" ca="1" si="235"/>
        <v/>
      </c>
      <c r="AQ157" s="194" t="str">
        <f t="shared" ca="1" si="236"/>
        <v/>
      </c>
      <c r="AR157" s="195">
        <f ca="1">IF(AH157,_xll.xASN(AL157,Strike1,AE157,AP157,0,N157,0,P157,Q157,IF(OptControl=4,0,1),0),0)</f>
        <v>0</v>
      </c>
      <c r="AS157" s="196">
        <f ca="1">IF(AH157,_xll.xASN(AL157,Strike1,AE157,AP157,0,N157,0,P157,Q157,IF(OptControl=4,0,1),1),0)</f>
        <v>0</v>
      </c>
      <c r="AT157" s="196">
        <f ca="1">IF(AH157,_xll.xASN(AL157,Strike1,AE157,AP157,0,N157,0,P157,Q157,IF(OptControl=4,0,1),2),0)</f>
        <v>0</v>
      </c>
      <c r="AU157" s="196">
        <f ca="1">IF(AH157,_xll.xASN(AL157,Strike1,AE157,AP157,0,N157,0,P157,Q157,IF(OptControl=4,0,1),3)/100,0)</f>
        <v>0</v>
      </c>
      <c r="AV157" s="196">
        <f ca="1">IF(AH157,_xll.xASN(AL157,Strike1,AE157,AP157,0,N157,0,P157-DaysForThetaCalculation/365.25,Q157-DaysForThetaCalculation/365.25,IF(OptControl=4,0,1),0)-_xll.xASN(AL157,Strike1,AE157,AP157,0,N157,0,P157,Q157,IF(OptControl=4,0,1),0),0)</f>
        <v>0</v>
      </c>
      <c r="AW157" s="196">
        <f ca="1">IF(AH157,_xll.xASN(AL157,Strike2,AE157,AQ157,0,N157,0,P157,Q157,IF(OptControl=3,1,0),0),0)</f>
        <v>0</v>
      </c>
      <c r="AX157" s="196">
        <f ca="1">IF(AH157,_xll.xASN(AL157,Strike2,AE157,AQ157,0,N157,0,P157,Q157,IF(OptControl=3,1,0),1),0)</f>
        <v>0</v>
      </c>
      <c r="AY157" s="196">
        <f ca="1">IF(AH157,_xll.xASN(AL157,Strike2,AE157,AQ157,0,N157,0,P157,Q157,IF(OptControl=3,1,0),2),0)</f>
        <v>0</v>
      </c>
      <c r="AZ157" s="196">
        <f ca="1">IF(AH157,_xll.xASN(AL157,Strike2,AE157,AQ157,0,N157,0,P157,Q157,IF(OptControl=3,1,0),3)/100,0)</f>
        <v>0</v>
      </c>
      <c r="BA157" s="196">
        <f ca="1">IF(AH157,_xll.xASN(AL157,Strike2,AE157,AQ157,0,N157,0,P157-DaysForThetaCalculation/365.25,Q157-DaysForThetaCalculation/365.25,IF(OptControl=3,1,0),0)-_xll.xASN(AL157,Strike2,AE157,AQ157,0,N157,0,P157,Q157,IF(OptControl=3,1,0),0),0)</f>
        <v>0</v>
      </c>
      <c r="BB157" s="126" t="str">
        <f t="shared" ca="1" si="266"/>
        <v/>
      </c>
      <c r="BC157" s="191" t="str">
        <f t="shared" ca="1" si="267"/>
        <v/>
      </c>
      <c r="BD157" s="191" t="str">
        <f t="shared" ca="1" si="268"/>
        <v/>
      </c>
      <c r="BE157" s="190" t="str">
        <f t="shared" ca="1" si="269"/>
        <v/>
      </c>
      <c r="BF157" s="194" t="str">
        <f t="shared" ca="1" si="270"/>
        <v/>
      </c>
      <c r="BG157" s="194" t="str">
        <f t="shared" ca="1" si="271"/>
        <v/>
      </c>
      <c r="BH157" s="195">
        <f ca="1">IF(AH157,_xll.xEURO(BB157,Strike1,AE157,AE157,BF157,O157,IF(OptControl=4,0,1),0),0)</f>
        <v>0</v>
      </c>
      <c r="BI157" s="196">
        <f ca="1">IF(AH157,_xll.xEURO(BB157,Strike1,AE157,AE157,BF157,O157,IF(OptControl=4,0,1),1),0)</f>
        <v>0</v>
      </c>
      <c r="BJ157" s="196">
        <f ca="1">IF(AH157,_xll.xEURO(BB157,Strike1,AE157,AE157,BF157,O157,IF(OptControl=4,0,1),2),0)</f>
        <v>0</v>
      </c>
      <c r="BK157" s="196">
        <f ca="1">IF(AH157,_xll.xEURO(BB157,Strike1,AE157,AE157,BF157,O157,IF(OptControl=4,0,1),3)/100,0)</f>
        <v>0</v>
      </c>
      <c r="BL157" s="196">
        <f ca="1">IF(AH157,_xll.xEURO(BB157,Strike1,AE157,AE157,BF157,O157-DaysForThetaCalculation,IF(OptControl=4,0,1),0)-_xll.xEURO(BB157,Strike1,AE157,AE157,BF157,O157,IF(OptControl=4,0,1),0),0)</f>
        <v>0</v>
      </c>
      <c r="BM157" s="196">
        <f ca="1">IF(AH157,_xll.xEURO(BB157,Strike2,AE157,AE157,BG157,O157,IF(OptControl=3,1,0),0),0)</f>
        <v>0</v>
      </c>
      <c r="BN157" s="196">
        <f ca="1">IF(AH157,_xll.xEURO(BB157,Strike2,AE157,AE157,BG157,O157,IF(OptControl=3,1,0),1),0)</f>
        <v>0</v>
      </c>
      <c r="BO157" s="196">
        <f ca="1">IF(AH157,_xll.xEURO(BB157,Strike2,AE157,AE157,BG157,O157,IF(OptControl=3,1,0),2),0)</f>
        <v>0</v>
      </c>
      <c r="BP157" s="196">
        <f ca="1">IF(AH157,_xll.xEURO(BB157,Strike2,AE157,AE157,BG157,O157,IF(OptControl=3,1,0),3)/100,0)</f>
        <v>0</v>
      </c>
      <c r="BQ157" s="197">
        <f ca="1">IF(AH157,_xll.xEURO(BB157,Strike2,AE157,AE157,BG157,O157-DaysForThetaCalculation,IF(OptControl=3,1,0),0)-_xll.xEURO(BB157,Strike2,AE157,AE157,BG157,O157,IF(OptControl=3,1,0),0),0)</f>
        <v>0</v>
      </c>
      <c r="BR157" s="301"/>
      <c r="BS157" s="114"/>
      <c r="BT157" s="345">
        <f t="shared" si="237"/>
        <v>0</v>
      </c>
      <c r="BU157" s="345">
        <f t="shared" ca="1" si="285"/>
        <v>-22.569047619047723</v>
      </c>
      <c r="BV157" s="73"/>
      <c r="BW157" s="345">
        <f t="shared" ca="1" si="282"/>
        <v>6.1944545454545548</v>
      </c>
      <c r="BX157" s="345">
        <f t="shared" ca="1" si="286"/>
        <v>68.707142857143126</v>
      </c>
      <c r="BY157" s="373">
        <f t="shared" ca="1" si="238"/>
        <v>68.484528963100658</v>
      </c>
      <c r="BZ157" s="114"/>
      <c r="CA157" s="345">
        <f t="shared" si="239"/>
        <v>0</v>
      </c>
      <c r="CB157" s="345">
        <f t="shared" ca="1" si="287"/>
        <v>-22.569047619047723</v>
      </c>
      <c r="CC157" s="345">
        <f t="shared" ca="1" si="283"/>
        <v>3.8844545454545472</v>
      </c>
      <c r="CD157" s="345">
        <f t="shared" ca="1" si="240"/>
        <v>62.984528963100644</v>
      </c>
      <c r="CE157" s="347">
        <f t="shared" ca="1" si="272"/>
        <v>-5.5000000000000142</v>
      </c>
      <c r="CF157" s="114"/>
      <c r="CG157" s="345">
        <f t="shared" si="241"/>
        <v>0</v>
      </c>
      <c r="CH157" s="345">
        <f t="shared" ca="1" si="242"/>
        <v>-22.569047619047723</v>
      </c>
      <c r="CI157" s="73"/>
      <c r="CJ157" s="345">
        <f t="shared" ca="1" si="290"/>
        <v>5.7664545454545504</v>
      </c>
      <c r="CK157" s="345">
        <f t="shared" ca="1" si="284"/>
        <v>65.988095238095497</v>
      </c>
      <c r="CL157" s="345">
        <f t="shared" ca="1" si="243"/>
        <v>67.465481344053032</v>
      </c>
      <c r="CM157" s="114"/>
      <c r="CN157" s="345">
        <f t="shared" si="244"/>
        <v>0</v>
      </c>
      <c r="CO157" s="345">
        <f t="shared" ca="1" si="245"/>
        <v>-22.569047619047723</v>
      </c>
      <c r="CP157" s="345">
        <f t="shared" ca="1" si="292"/>
        <v>4.5694545454545512</v>
      </c>
      <c r="CQ157" s="345">
        <f t="shared" ca="1" si="246"/>
        <v>64.615481344053038</v>
      </c>
      <c r="CR157" s="347">
        <f t="shared" ca="1" si="273"/>
        <v>-2.8499999999999943</v>
      </c>
      <c r="CS157" s="114"/>
      <c r="CT157" s="345">
        <f t="shared" si="247"/>
        <v>0</v>
      </c>
      <c r="CU157" s="345">
        <f t="shared" si="274"/>
        <v>0</v>
      </c>
      <c r="CV157" s="345">
        <f t="shared" ca="1" si="291"/>
        <v>2.4000000000000079</v>
      </c>
      <c r="CW157" s="347">
        <f t="shared" ca="1" si="275"/>
        <v>69.865481344053038</v>
      </c>
      <c r="CX157" s="483"/>
      <c r="CY157" s="190">
        <f t="shared" si="248"/>
        <v>-0.15689999999999901</v>
      </c>
      <c r="CZ157" s="190">
        <f t="shared" ca="1" si="280"/>
        <v>-0.03</v>
      </c>
      <c r="DA157" s="354">
        <f t="shared" ca="1" si="249"/>
        <v>0.12689999999999901</v>
      </c>
      <c r="DB157" s="483"/>
      <c r="DC157" s="190">
        <f t="shared" si="250"/>
        <v>-0.15689999999999901</v>
      </c>
      <c r="DD157" s="190">
        <f t="shared" ca="1" si="281"/>
        <v>0.03</v>
      </c>
      <c r="DE157" s="354">
        <f t="shared" ca="1" si="251"/>
        <v>0.18689999999999901</v>
      </c>
      <c r="DG157" s="341"/>
      <c r="DH157" s="114"/>
      <c r="DI157" s="126">
        <f t="shared" ca="1" si="276"/>
        <v>-22.569047619047723</v>
      </c>
      <c r="DJ157" s="126">
        <f t="shared" ca="1" si="224"/>
        <v>-2</v>
      </c>
      <c r="DK157" s="356">
        <f t="shared" ca="1" si="225"/>
        <v>20.569047619047723</v>
      </c>
      <c r="DL157" s="114"/>
      <c r="DM157" s="126">
        <f t="shared" ca="1" si="277"/>
        <v>-22.569047619047723</v>
      </c>
      <c r="DN157" s="126">
        <f t="shared" ca="1" si="252"/>
        <v>-3</v>
      </c>
      <c r="DO157" s="356">
        <f t="shared" ca="1" si="226"/>
        <v>19.569047619047723</v>
      </c>
      <c r="DP157" s="114"/>
      <c r="DQ157" s="126">
        <f t="shared" ca="1" si="278"/>
        <v>-22.569047619047723</v>
      </c>
      <c r="DR157" s="126">
        <f t="shared" ca="1" si="253"/>
        <v>-6</v>
      </c>
      <c r="DS157" s="356">
        <f t="shared" ca="1" si="227"/>
        <v>16.569047619047723</v>
      </c>
      <c r="DT157" s="114"/>
      <c r="DU157" s="126">
        <f t="shared" ca="1" si="279"/>
        <v>-22.569047619047723</v>
      </c>
      <c r="DV157" s="126">
        <f t="shared" ca="1" si="254"/>
        <v>-5</v>
      </c>
      <c r="DW157" s="356">
        <f t="shared" ca="1" si="228"/>
        <v>17.569047619047723</v>
      </c>
    </row>
    <row r="158" spans="2:127" x14ac:dyDescent="0.25">
      <c r="B158" s="396">
        <v>40360</v>
      </c>
      <c r="C158" s="400">
        <v>40349</v>
      </c>
      <c r="I158" s="136">
        <f t="shared" ca="1" si="229"/>
        <v>41609</v>
      </c>
      <c r="J158" s="131">
        <f t="shared" ca="1" si="230"/>
        <v>41597</v>
      </c>
      <c r="K158" s="106">
        <f t="shared" ca="1" si="231"/>
        <v>0.63636363636363635</v>
      </c>
      <c r="L158" s="133">
        <f t="shared" ca="1" si="193"/>
        <v>113</v>
      </c>
      <c r="M158" s="134">
        <f t="shared" ca="1" si="194"/>
        <v>12</v>
      </c>
      <c r="N158" s="103">
        <f t="shared" ca="1" si="216"/>
        <v>22</v>
      </c>
      <c r="O158" s="104">
        <f t="shared" ca="1" si="232"/>
        <v>4650</v>
      </c>
      <c r="P158" s="105">
        <f t="shared" ca="1" si="195"/>
        <v>12.744695414099931</v>
      </c>
      <c r="Q158" s="105">
        <f t="shared" ca="1" si="196"/>
        <v>12.826830937713895</v>
      </c>
      <c r="R158" s="114">
        <v>22.550000000000104</v>
      </c>
      <c r="S158" s="198">
        <v>0</v>
      </c>
      <c r="T158" s="189">
        <f t="shared" si="233"/>
        <v>22.550000000000104</v>
      </c>
      <c r="U158" s="199">
        <f t="shared" ca="1" si="217"/>
        <v>22.618181818181924</v>
      </c>
      <c r="V158" s="379">
        <f t="shared" ca="1" si="218"/>
        <v>22.618181818181924</v>
      </c>
      <c r="W158" s="483">
        <v>0.15649999999999803</v>
      </c>
      <c r="X158" s="166" t="str">
        <f t="shared" ca="1" si="219"/>
        <v/>
      </c>
      <c r="Y158" s="91">
        <f t="shared" ca="1" si="255"/>
        <v>5.6193607434612482E-4</v>
      </c>
      <c r="Z158" s="91">
        <f t="shared" ca="1" si="256"/>
        <v>1.5235586252040193E-4</v>
      </c>
      <c r="AA158" s="91">
        <f t="shared" ca="1" si="257"/>
        <v>4.8162929369185712E-5</v>
      </c>
      <c r="AB158" s="91">
        <f t="shared" ca="1" si="258"/>
        <v>1.0850144728291177E-4</v>
      </c>
      <c r="AC158" s="91">
        <f t="shared" ca="1" si="259"/>
        <v>3.4322728708598664E-4</v>
      </c>
      <c r="AD158" s="91">
        <f t="shared" ca="1" si="260"/>
        <v>1.2659295882868373E-3</v>
      </c>
      <c r="AE158" s="124">
        <v>7.3651623458082016E-2</v>
      </c>
      <c r="AF158" s="191">
        <f t="shared" ca="1" si="261"/>
        <v>0.39544738410552194</v>
      </c>
      <c r="AG158" s="189">
        <f t="shared" ca="1" si="234"/>
        <v>1</v>
      </c>
      <c r="AH158" s="192">
        <f t="shared" ca="1" si="220"/>
        <v>0</v>
      </c>
      <c r="AI158" s="192">
        <f t="shared" ca="1" si="288"/>
        <v>0</v>
      </c>
      <c r="AJ158" s="192">
        <f t="shared" ca="1" si="222"/>
        <v>0</v>
      </c>
      <c r="AK158" s="192">
        <f t="shared" ca="1" si="289"/>
        <v>0</v>
      </c>
      <c r="AL158" s="191" t="str">
        <f t="shared" ca="1" si="262"/>
        <v/>
      </c>
      <c r="AM158" s="191" t="str">
        <f t="shared" ca="1" si="263"/>
        <v/>
      </c>
      <c r="AN158" s="191" t="str">
        <f t="shared" ca="1" si="264"/>
        <v/>
      </c>
      <c r="AO158" s="193" t="str">
        <f t="shared" ca="1" si="265"/>
        <v/>
      </c>
      <c r="AP158" s="194" t="str">
        <f t="shared" ca="1" si="235"/>
        <v/>
      </c>
      <c r="AQ158" s="194" t="str">
        <f t="shared" ca="1" si="236"/>
        <v/>
      </c>
      <c r="AR158" s="195">
        <f ca="1">IF(AH158,_xll.xASN(AL158,Strike1,AE158,AP158,0,N158,0,P158,Q158,IF(OptControl=4,0,1),0),0)</f>
        <v>0</v>
      </c>
      <c r="AS158" s="196">
        <f ca="1">IF(AH158,_xll.xASN(AL158,Strike1,AE158,AP158,0,N158,0,P158,Q158,IF(OptControl=4,0,1),1),0)</f>
        <v>0</v>
      </c>
      <c r="AT158" s="196">
        <f ca="1">IF(AH158,_xll.xASN(AL158,Strike1,AE158,AP158,0,N158,0,P158,Q158,IF(OptControl=4,0,1),2),0)</f>
        <v>0</v>
      </c>
      <c r="AU158" s="196">
        <f ca="1">IF(AH158,_xll.xASN(AL158,Strike1,AE158,AP158,0,N158,0,P158,Q158,IF(OptControl=4,0,1),3)/100,0)</f>
        <v>0</v>
      </c>
      <c r="AV158" s="196">
        <f ca="1">IF(AH158,_xll.xASN(AL158,Strike1,AE158,AP158,0,N158,0,P158-DaysForThetaCalculation/365.25,Q158-DaysForThetaCalculation/365.25,IF(OptControl=4,0,1),0)-_xll.xASN(AL158,Strike1,AE158,AP158,0,N158,0,P158,Q158,IF(OptControl=4,0,1),0),0)</f>
        <v>0</v>
      </c>
      <c r="AW158" s="196">
        <f ca="1">IF(AH158,_xll.xASN(AL158,Strike2,AE158,AQ158,0,N158,0,P158,Q158,IF(OptControl=3,1,0),0),0)</f>
        <v>0</v>
      </c>
      <c r="AX158" s="196">
        <f ca="1">IF(AH158,_xll.xASN(AL158,Strike2,AE158,AQ158,0,N158,0,P158,Q158,IF(OptControl=3,1,0),1),0)</f>
        <v>0</v>
      </c>
      <c r="AY158" s="196">
        <f ca="1">IF(AH158,_xll.xASN(AL158,Strike2,AE158,AQ158,0,N158,0,P158,Q158,IF(OptControl=3,1,0),2),0)</f>
        <v>0</v>
      </c>
      <c r="AZ158" s="196">
        <f ca="1">IF(AH158,_xll.xASN(AL158,Strike2,AE158,AQ158,0,N158,0,P158,Q158,IF(OptControl=3,1,0),3)/100,0)</f>
        <v>0</v>
      </c>
      <c r="BA158" s="196">
        <f ca="1">IF(AH158,_xll.xASN(AL158,Strike2,AE158,AQ158,0,N158,0,P158-DaysForThetaCalculation/365.25,Q158-DaysForThetaCalculation/365.25,IF(OptControl=3,1,0),0)-_xll.xASN(AL158,Strike2,AE158,AQ158,0,N158,0,P158,Q158,IF(OptControl=3,1,0),0),0)</f>
        <v>0</v>
      </c>
      <c r="BB158" s="126" t="str">
        <f t="shared" ca="1" si="266"/>
        <v/>
      </c>
      <c r="BC158" s="191" t="str">
        <f t="shared" ca="1" si="267"/>
        <v/>
      </c>
      <c r="BD158" s="191" t="str">
        <f t="shared" ca="1" si="268"/>
        <v/>
      </c>
      <c r="BE158" s="190" t="str">
        <f t="shared" ca="1" si="269"/>
        <v/>
      </c>
      <c r="BF158" s="194" t="str">
        <f t="shared" ca="1" si="270"/>
        <v/>
      </c>
      <c r="BG158" s="194" t="str">
        <f t="shared" ca="1" si="271"/>
        <v/>
      </c>
      <c r="BH158" s="195">
        <f ca="1">IF(AH158,_xll.xEURO(BB158,Strike1,AE158,AE158,BF158,O158,IF(OptControl=4,0,1),0),0)</f>
        <v>0</v>
      </c>
      <c r="BI158" s="196">
        <f ca="1">IF(AH158,_xll.xEURO(BB158,Strike1,AE158,AE158,BF158,O158,IF(OptControl=4,0,1),1),0)</f>
        <v>0</v>
      </c>
      <c r="BJ158" s="196">
        <f ca="1">IF(AH158,_xll.xEURO(BB158,Strike1,AE158,AE158,BF158,O158,IF(OptControl=4,0,1),2),0)</f>
        <v>0</v>
      </c>
      <c r="BK158" s="196">
        <f ca="1">IF(AH158,_xll.xEURO(BB158,Strike1,AE158,AE158,BF158,O158,IF(OptControl=4,0,1),3)/100,0)</f>
        <v>0</v>
      </c>
      <c r="BL158" s="196">
        <f ca="1">IF(AH158,_xll.xEURO(BB158,Strike1,AE158,AE158,BF158,O158-DaysForThetaCalculation,IF(OptControl=4,0,1),0)-_xll.xEURO(BB158,Strike1,AE158,AE158,BF158,O158,IF(OptControl=4,0,1),0),0)</f>
        <v>0</v>
      </c>
      <c r="BM158" s="196">
        <f ca="1">IF(AH158,_xll.xEURO(BB158,Strike2,AE158,AE158,BG158,O158,IF(OptControl=3,1,0),0),0)</f>
        <v>0</v>
      </c>
      <c r="BN158" s="196">
        <f ca="1">IF(AH158,_xll.xEURO(BB158,Strike2,AE158,AE158,BG158,O158,IF(OptControl=3,1,0),1),0)</f>
        <v>0</v>
      </c>
      <c r="BO158" s="196">
        <f ca="1">IF(AH158,_xll.xEURO(BB158,Strike2,AE158,AE158,BG158,O158,IF(OptControl=3,1,0),2),0)</f>
        <v>0</v>
      </c>
      <c r="BP158" s="196">
        <f ca="1">IF(AH158,_xll.xEURO(BB158,Strike2,AE158,AE158,BG158,O158,IF(OptControl=3,1,0),3)/100,0)</f>
        <v>0</v>
      </c>
      <c r="BQ158" s="197">
        <f ca="1">IF(AH158,_xll.xEURO(BB158,Strike2,AE158,AE158,BG158,O158-DaysForThetaCalculation,IF(OptControl=3,1,0),0)-_xll.xEURO(BB158,Strike2,AE158,AE158,BG158,O158,IF(OptControl=3,1,0),0),0)</f>
        <v>0</v>
      </c>
      <c r="BR158" s="301"/>
      <c r="BS158" s="114"/>
      <c r="BT158" s="345">
        <f t="shared" si="237"/>
        <v>0</v>
      </c>
      <c r="BU158" s="345">
        <f t="shared" ca="1" si="285"/>
        <v>-22.618181818181924</v>
      </c>
      <c r="BV158" s="73"/>
      <c r="BW158" s="345">
        <f t="shared" ca="1" si="282"/>
        <v>6.3671428571428628</v>
      </c>
      <c r="BX158" s="345">
        <f t="shared" ca="1" si="286"/>
        <v>68.484528963100658</v>
      </c>
      <c r="BY158" s="373">
        <f t="shared" ca="1" si="238"/>
        <v>69.012677798392346</v>
      </c>
      <c r="BZ158" s="114"/>
      <c r="CA158" s="345">
        <f t="shared" si="239"/>
        <v>0</v>
      </c>
      <c r="CB158" s="345">
        <f t="shared" ca="1" si="287"/>
        <v>-22.618181818181924</v>
      </c>
      <c r="CC158" s="345">
        <f t="shared" ca="1" si="283"/>
        <v>4.0571428571428587</v>
      </c>
      <c r="CD158" s="345">
        <f t="shared" ca="1" si="240"/>
        <v>63.512677798392339</v>
      </c>
      <c r="CE158" s="347">
        <f t="shared" ca="1" si="272"/>
        <v>-5.5000000000000071</v>
      </c>
      <c r="CF158" s="114"/>
      <c r="CG158" s="345">
        <f t="shared" si="241"/>
        <v>0</v>
      </c>
      <c r="CH158" s="345">
        <f t="shared" ca="1" si="242"/>
        <v>-22.618181818181924</v>
      </c>
      <c r="CI158" s="73"/>
      <c r="CJ158" s="345">
        <f t="shared" ca="1" si="290"/>
        <v>6.128142857142862</v>
      </c>
      <c r="CK158" s="345">
        <f t="shared" ca="1" si="284"/>
        <v>67.465481344053032</v>
      </c>
      <c r="CL158" s="345">
        <f t="shared" ca="1" si="243"/>
        <v>68.443630179344723</v>
      </c>
      <c r="CM158" s="114"/>
      <c r="CN158" s="345">
        <f t="shared" si="244"/>
        <v>0</v>
      </c>
      <c r="CO158" s="345">
        <f t="shared" ca="1" si="245"/>
        <v>-22.618181818181924</v>
      </c>
      <c r="CP158" s="345">
        <f t="shared" ca="1" si="292"/>
        <v>4.9311428571428637</v>
      </c>
      <c r="CQ158" s="345">
        <f t="shared" ca="1" si="246"/>
        <v>65.593630179344729</v>
      </c>
      <c r="CR158" s="347">
        <f t="shared" ca="1" si="273"/>
        <v>-2.8499999999999943</v>
      </c>
      <c r="CS158" s="114"/>
      <c r="CT158" s="345">
        <f t="shared" si="247"/>
        <v>0</v>
      </c>
      <c r="CU158" s="345">
        <f t="shared" si="274"/>
        <v>0</v>
      </c>
      <c r="CV158" s="345">
        <f t="shared" ca="1" si="291"/>
        <v>2.4000000000000079</v>
      </c>
      <c r="CW158" s="347">
        <f t="shared" ca="1" si="275"/>
        <v>70.843630179344729</v>
      </c>
      <c r="CX158" s="483"/>
      <c r="CY158" s="190">
        <f t="shared" si="248"/>
        <v>-0.15649999999999803</v>
      </c>
      <c r="CZ158" s="190">
        <f t="shared" ca="1" si="280"/>
        <v>-0.03</v>
      </c>
      <c r="DA158" s="354">
        <f t="shared" ca="1" si="249"/>
        <v>0.12649999999999803</v>
      </c>
      <c r="DB158" s="483"/>
      <c r="DC158" s="190">
        <f t="shared" si="250"/>
        <v>-0.15649999999999803</v>
      </c>
      <c r="DD158" s="190">
        <f t="shared" ca="1" si="281"/>
        <v>0.03</v>
      </c>
      <c r="DE158" s="354">
        <f t="shared" ca="1" si="251"/>
        <v>0.18649999999999803</v>
      </c>
      <c r="DG158" s="341"/>
      <c r="DH158" s="114"/>
      <c r="DI158" s="126">
        <f t="shared" ca="1" si="276"/>
        <v>-22.618181818181924</v>
      </c>
      <c r="DJ158" s="126">
        <f t="shared" ca="1" si="224"/>
        <v>-2</v>
      </c>
      <c r="DK158" s="356">
        <f t="shared" ca="1" si="225"/>
        <v>20.618181818181924</v>
      </c>
      <c r="DL158" s="114"/>
      <c r="DM158" s="126">
        <f t="shared" ca="1" si="277"/>
        <v>-22.618181818181924</v>
      </c>
      <c r="DN158" s="126">
        <f t="shared" ca="1" si="252"/>
        <v>-3</v>
      </c>
      <c r="DO158" s="356">
        <f t="shared" ca="1" si="226"/>
        <v>19.618181818181924</v>
      </c>
      <c r="DP158" s="114"/>
      <c r="DQ158" s="126">
        <f t="shared" ca="1" si="278"/>
        <v>-22.618181818181924</v>
      </c>
      <c r="DR158" s="126">
        <f t="shared" ca="1" si="253"/>
        <v>-6</v>
      </c>
      <c r="DS158" s="356">
        <f t="shared" ca="1" si="227"/>
        <v>16.618181818181924</v>
      </c>
      <c r="DT158" s="114"/>
      <c r="DU158" s="126">
        <f t="shared" ca="1" si="279"/>
        <v>-22.618181818181924</v>
      </c>
      <c r="DV158" s="126">
        <f t="shared" ca="1" si="254"/>
        <v>-5</v>
      </c>
      <c r="DW158" s="356">
        <f t="shared" ca="1" si="228"/>
        <v>17.618181818181924</v>
      </c>
    </row>
    <row r="159" spans="2:127" x14ac:dyDescent="0.25">
      <c r="B159" s="396">
        <v>40391</v>
      </c>
      <c r="C159" s="400">
        <v>40379</v>
      </c>
      <c r="I159" s="136">
        <f t="shared" ca="1" si="229"/>
        <v>41640</v>
      </c>
      <c r="J159" s="131">
        <f t="shared" ca="1" si="230"/>
        <v>41627</v>
      </c>
      <c r="K159" s="106">
        <f t="shared" ca="1" si="231"/>
        <v>0.69565217391304346</v>
      </c>
      <c r="L159" s="133">
        <f t="shared" ca="1" si="193"/>
        <v>114</v>
      </c>
      <c r="M159" s="134">
        <f t="shared" ca="1" si="194"/>
        <v>1</v>
      </c>
      <c r="N159" s="103">
        <f t="shared" ca="1" si="216"/>
        <v>23</v>
      </c>
      <c r="O159" s="104">
        <f t="shared" ca="1" si="232"/>
        <v>4680</v>
      </c>
      <c r="P159" s="105">
        <f t="shared" ca="1" si="195"/>
        <v>12.829568788501026</v>
      </c>
      <c r="Q159" s="105">
        <f t="shared" ca="1" si="196"/>
        <v>12.91170431211499</v>
      </c>
      <c r="R159" s="114">
        <v>22.600000000000104</v>
      </c>
      <c r="S159" s="198">
        <v>0</v>
      </c>
      <c r="T159" s="189">
        <f t="shared" si="233"/>
        <v>22.600000000000104</v>
      </c>
      <c r="U159" s="199">
        <f t="shared" ca="1" si="217"/>
        <v>22.665217391304452</v>
      </c>
      <c r="V159" s="379">
        <f t="shared" ca="1" si="218"/>
        <v>22.665217391304452</v>
      </c>
      <c r="W159" s="483">
        <v>0.15609999999999902</v>
      </c>
      <c r="X159" s="166" t="str">
        <f t="shared" ca="1" si="219"/>
        <v/>
      </c>
      <c r="Y159" s="91">
        <f t="shared" ca="1" si="255"/>
        <v>5.4990587765827738E-4</v>
      </c>
      <c r="Z159" s="91">
        <f t="shared" ca="1" si="256"/>
        <v>1.4829589737470653E-4</v>
      </c>
      <c r="AA159" s="91">
        <f t="shared" ca="1" si="257"/>
        <v>4.6753776232167855E-5</v>
      </c>
      <c r="AB159" s="91">
        <f t="shared" ca="1" si="258"/>
        <v>1.0532690709583788E-4</v>
      </c>
      <c r="AC159" s="91">
        <f t="shared" ca="1" si="259"/>
        <v>3.340809976057633E-4</v>
      </c>
      <c r="AD159" s="91">
        <f t="shared" ca="1" si="260"/>
        <v>1.2388279611884553E-3</v>
      </c>
      <c r="AE159" s="124">
        <v>7.3647661899466019E-2</v>
      </c>
      <c r="AF159" s="191">
        <f t="shared" ca="1" si="261"/>
        <v>0.39304667242560426</v>
      </c>
      <c r="AG159" s="189">
        <f t="shared" ca="1" si="234"/>
        <v>1</v>
      </c>
      <c r="AH159" s="192">
        <f t="shared" ca="1" si="220"/>
        <v>0</v>
      </c>
      <c r="AI159" s="192">
        <f t="shared" ca="1" si="288"/>
        <v>0</v>
      </c>
      <c r="AJ159" s="192">
        <f t="shared" ca="1" si="222"/>
        <v>0</v>
      </c>
      <c r="AK159" s="192">
        <f t="shared" ca="1" si="289"/>
        <v>0</v>
      </c>
      <c r="AL159" s="191" t="str">
        <f t="shared" ca="1" si="262"/>
        <v/>
      </c>
      <c r="AM159" s="191" t="str">
        <f t="shared" ca="1" si="263"/>
        <v/>
      </c>
      <c r="AN159" s="191" t="str">
        <f t="shared" ca="1" si="264"/>
        <v/>
      </c>
      <c r="AO159" s="193" t="str">
        <f t="shared" ca="1" si="265"/>
        <v/>
      </c>
      <c r="AP159" s="194" t="str">
        <f t="shared" ca="1" si="235"/>
        <v/>
      </c>
      <c r="AQ159" s="194" t="str">
        <f t="shared" ca="1" si="236"/>
        <v/>
      </c>
      <c r="AR159" s="195">
        <f ca="1">IF(AH159,_xll.xASN(AL159,Strike1,AE159,AP159,0,N159,0,P159,Q159,IF(OptControl=4,0,1),0),0)</f>
        <v>0</v>
      </c>
      <c r="AS159" s="196">
        <f ca="1">IF(AH159,_xll.xASN(AL159,Strike1,AE159,AP159,0,N159,0,P159,Q159,IF(OptControl=4,0,1),1),0)</f>
        <v>0</v>
      </c>
      <c r="AT159" s="196">
        <f ca="1">IF(AH159,_xll.xASN(AL159,Strike1,AE159,AP159,0,N159,0,P159,Q159,IF(OptControl=4,0,1),2),0)</f>
        <v>0</v>
      </c>
      <c r="AU159" s="196">
        <f ca="1">IF(AH159,_xll.xASN(AL159,Strike1,AE159,AP159,0,N159,0,P159,Q159,IF(OptControl=4,0,1),3)/100,0)</f>
        <v>0</v>
      </c>
      <c r="AV159" s="196">
        <f ca="1">IF(AH159,_xll.xASN(AL159,Strike1,AE159,AP159,0,N159,0,P159-DaysForThetaCalculation/365.25,Q159-DaysForThetaCalculation/365.25,IF(OptControl=4,0,1),0)-_xll.xASN(AL159,Strike1,AE159,AP159,0,N159,0,P159,Q159,IF(OptControl=4,0,1),0),0)</f>
        <v>0</v>
      </c>
      <c r="AW159" s="196">
        <f ca="1">IF(AH159,_xll.xASN(AL159,Strike2,AE159,AQ159,0,N159,0,P159,Q159,IF(OptControl=3,1,0),0),0)</f>
        <v>0</v>
      </c>
      <c r="AX159" s="196">
        <f ca="1">IF(AH159,_xll.xASN(AL159,Strike2,AE159,AQ159,0,N159,0,P159,Q159,IF(OptControl=3,1,0),1),0)</f>
        <v>0</v>
      </c>
      <c r="AY159" s="196">
        <f ca="1">IF(AH159,_xll.xASN(AL159,Strike2,AE159,AQ159,0,N159,0,P159,Q159,IF(OptControl=3,1,0),2),0)</f>
        <v>0</v>
      </c>
      <c r="AZ159" s="196">
        <f ca="1">IF(AH159,_xll.xASN(AL159,Strike2,AE159,AQ159,0,N159,0,P159,Q159,IF(OptControl=3,1,0),3)/100,0)</f>
        <v>0</v>
      </c>
      <c r="BA159" s="196">
        <f ca="1">IF(AH159,_xll.xASN(AL159,Strike2,AE159,AQ159,0,N159,0,P159-DaysForThetaCalculation/365.25,Q159-DaysForThetaCalculation/365.25,IF(OptControl=3,1,0),0)-_xll.xASN(AL159,Strike2,AE159,AQ159,0,N159,0,P159,Q159,IF(OptControl=3,1,0),0),0)</f>
        <v>0</v>
      </c>
      <c r="BB159" s="126" t="str">
        <f t="shared" ca="1" si="266"/>
        <v/>
      </c>
      <c r="BC159" s="191" t="str">
        <f t="shared" ca="1" si="267"/>
        <v/>
      </c>
      <c r="BD159" s="191" t="str">
        <f t="shared" ca="1" si="268"/>
        <v/>
      </c>
      <c r="BE159" s="190" t="str">
        <f t="shared" ca="1" si="269"/>
        <v/>
      </c>
      <c r="BF159" s="194" t="str">
        <f t="shared" ca="1" si="270"/>
        <v/>
      </c>
      <c r="BG159" s="194" t="str">
        <f t="shared" ca="1" si="271"/>
        <v/>
      </c>
      <c r="BH159" s="195">
        <f ca="1">IF(AH159,_xll.xEURO(BB159,Strike1,AE159,AE159,BF159,O159,IF(OptControl=4,0,1),0),0)</f>
        <v>0</v>
      </c>
      <c r="BI159" s="196">
        <f ca="1">IF(AH159,_xll.xEURO(BB159,Strike1,AE159,AE159,BF159,O159,IF(OptControl=4,0,1),1),0)</f>
        <v>0</v>
      </c>
      <c r="BJ159" s="196">
        <f ca="1">IF(AH159,_xll.xEURO(BB159,Strike1,AE159,AE159,BF159,O159,IF(OptControl=4,0,1),2),0)</f>
        <v>0</v>
      </c>
      <c r="BK159" s="196">
        <f ca="1">IF(AH159,_xll.xEURO(BB159,Strike1,AE159,AE159,BF159,O159,IF(OptControl=4,0,1),3)/100,0)</f>
        <v>0</v>
      </c>
      <c r="BL159" s="196">
        <f ca="1">IF(AH159,_xll.xEURO(BB159,Strike1,AE159,AE159,BF159,O159-DaysForThetaCalculation,IF(OptControl=4,0,1),0)-_xll.xEURO(BB159,Strike1,AE159,AE159,BF159,O159,IF(OptControl=4,0,1),0),0)</f>
        <v>0</v>
      </c>
      <c r="BM159" s="196">
        <f ca="1">IF(AH159,_xll.xEURO(BB159,Strike2,AE159,AE159,BG159,O159,IF(OptControl=3,1,0),0),0)</f>
        <v>0</v>
      </c>
      <c r="BN159" s="196">
        <f ca="1">IF(AH159,_xll.xEURO(BB159,Strike2,AE159,AE159,BG159,O159,IF(OptControl=3,1,0),1),0)</f>
        <v>0</v>
      </c>
      <c r="BO159" s="196">
        <f ca="1">IF(AH159,_xll.xEURO(BB159,Strike2,AE159,AE159,BG159,O159,IF(OptControl=3,1,0),2),0)</f>
        <v>0</v>
      </c>
      <c r="BP159" s="196">
        <f ca="1">IF(AH159,_xll.xEURO(BB159,Strike2,AE159,AE159,BG159,O159,IF(OptControl=3,1,0),3)/100,0)</f>
        <v>0</v>
      </c>
      <c r="BQ159" s="197">
        <f ca="1">IF(AH159,_xll.xEURO(BB159,Strike2,AE159,AE159,BG159,O159-DaysForThetaCalculation,IF(OptControl=3,1,0),0)-_xll.xEURO(BB159,Strike2,AE159,AE159,BG159,O159,IF(OptControl=3,1,0),0),0)</f>
        <v>0</v>
      </c>
      <c r="BR159" s="301"/>
      <c r="BS159" s="114"/>
      <c r="BT159" s="345">
        <f t="shared" si="237"/>
        <v>0</v>
      </c>
      <c r="BU159" s="345">
        <f t="shared" ca="1" si="285"/>
        <v>-22.665217391304452</v>
      </c>
      <c r="BV159" s="73"/>
      <c r="BW159" s="345">
        <f t="shared" ca="1" si="282"/>
        <v>6.6094782608695688</v>
      </c>
      <c r="BX159" s="345">
        <f t="shared" ca="1" si="286"/>
        <v>69.012677798392346</v>
      </c>
      <c r="BY159" s="373">
        <f t="shared" ca="1" si="238"/>
        <v>69.70165631470006</v>
      </c>
      <c r="BZ159" s="114"/>
      <c r="CA159" s="345">
        <f t="shared" si="239"/>
        <v>0</v>
      </c>
      <c r="CB159" s="345">
        <f t="shared" ca="1" si="287"/>
        <v>-22.665217391304452</v>
      </c>
      <c r="CC159" s="345">
        <f t="shared" ca="1" si="283"/>
        <v>5.0974782608695701</v>
      </c>
      <c r="CD159" s="345">
        <f t="shared" ca="1" si="240"/>
        <v>66.101656314700065</v>
      </c>
      <c r="CE159" s="347">
        <f t="shared" ca="1" si="272"/>
        <v>-3.5999999999999943</v>
      </c>
      <c r="CF159" s="114"/>
      <c r="CG159" s="345">
        <f t="shared" si="241"/>
        <v>0</v>
      </c>
      <c r="CH159" s="345">
        <f t="shared" ca="1" si="242"/>
        <v>-22.665217391304452</v>
      </c>
      <c r="CI159" s="73"/>
      <c r="CJ159" s="345">
        <f t="shared" ca="1" si="290"/>
        <v>5.9294782608695691</v>
      </c>
      <c r="CK159" s="345">
        <f t="shared" ca="1" si="284"/>
        <v>68.443630179344723</v>
      </c>
      <c r="CL159" s="345">
        <f t="shared" ca="1" si="243"/>
        <v>68.082608695652439</v>
      </c>
      <c r="CM159" s="114"/>
      <c r="CN159" s="345">
        <f t="shared" si="244"/>
        <v>0</v>
      </c>
      <c r="CO159" s="345">
        <f t="shared" ca="1" si="245"/>
        <v>-22.665217391304452</v>
      </c>
      <c r="CP159" s="345">
        <f t="shared" ca="1" si="292"/>
        <v>4.8164782608695704</v>
      </c>
      <c r="CQ159" s="345">
        <f t="shared" ca="1" si="246"/>
        <v>65.432608695652434</v>
      </c>
      <c r="CR159" s="347">
        <f t="shared" ca="1" si="273"/>
        <v>-2.6500000000000057</v>
      </c>
      <c r="CS159" s="114"/>
      <c r="CT159" s="345">
        <f t="shared" si="247"/>
        <v>0</v>
      </c>
      <c r="CU159" s="345">
        <f t="shared" si="274"/>
        <v>0</v>
      </c>
      <c r="CV159" s="345">
        <f t="shared" ca="1" si="291"/>
        <v>2.4000000000000079</v>
      </c>
      <c r="CW159" s="347">
        <f t="shared" ca="1" si="275"/>
        <v>70.482608695652445</v>
      </c>
      <c r="CX159" s="483"/>
      <c r="CY159" s="190">
        <f t="shared" si="248"/>
        <v>-0.15609999999999902</v>
      </c>
      <c r="CZ159" s="190">
        <f t="shared" ca="1" si="280"/>
        <v>-0.03</v>
      </c>
      <c r="DA159" s="354">
        <f t="shared" ca="1" si="249"/>
        <v>0.12609999999999902</v>
      </c>
      <c r="DB159" s="483"/>
      <c r="DC159" s="190">
        <f t="shared" si="250"/>
        <v>-0.15609999999999902</v>
      </c>
      <c r="DD159" s="190">
        <f t="shared" ca="1" si="281"/>
        <v>0.03</v>
      </c>
      <c r="DE159" s="354">
        <f t="shared" ca="1" si="251"/>
        <v>0.18609999999999902</v>
      </c>
      <c r="DG159" s="341"/>
      <c r="DH159" s="114"/>
      <c r="DI159" s="126">
        <f t="shared" ca="1" si="276"/>
        <v>-22.665217391304452</v>
      </c>
      <c r="DJ159" s="126">
        <f t="shared" ca="1" si="224"/>
        <v>-2</v>
      </c>
      <c r="DK159" s="356">
        <f t="shared" ca="1" si="225"/>
        <v>20.665217391304452</v>
      </c>
      <c r="DL159" s="114"/>
      <c r="DM159" s="126">
        <f t="shared" ca="1" si="277"/>
        <v>-22.665217391304452</v>
      </c>
      <c r="DN159" s="126">
        <f t="shared" ca="1" si="252"/>
        <v>-3</v>
      </c>
      <c r="DO159" s="356">
        <f t="shared" ca="1" si="226"/>
        <v>19.665217391304452</v>
      </c>
      <c r="DP159" s="114"/>
      <c r="DQ159" s="126">
        <f t="shared" ca="1" si="278"/>
        <v>-22.665217391304452</v>
      </c>
      <c r="DR159" s="126">
        <f t="shared" ca="1" si="253"/>
        <v>-6</v>
      </c>
      <c r="DS159" s="356">
        <f t="shared" ca="1" si="227"/>
        <v>16.665217391304452</v>
      </c>
      <c r="DT159" s="114"/>
      <c r="DU159" s="126">
        <f t="shared" ca="1" si="279"/>
        <v>-22.665217391304452</v>
      </c>
      <c r="DV159" s="126">
        <f t="shared" ca="1" si="254"/>
        <v>-5</v>
      </c>
      <c r="DW159" s="356">
        <f t="shared" ca="1" si="228"/>
        <v>17.665217391304452</v>
      </c>
    </row>
    <row r="160" spans="2:127" x14ac:dyDescent="0.25">
      <c r="B160" s="396">
        <v>40422</v>
      </c>
      <c r="C160" s="400">
        <v>40411</v>
      </c>
      <c r="I160" s="136">
        <f t="shared" ca="1" si="229"/>
        <v>41671</v>
      </c>
      <c r="J160" s="131">
        <f t="shared" ca="1" si="230"/>
        <v>41661</v>
      </c>
      <c r="K160" s="106">
        <f t="shared" ca="1" si="231"/>
        <v>0.7</v>
      </c>
      <c r="L160" s="133">
        <f t="shared" ca="1" si="193"/>
        <v>114</v>
      </c>
      <c r="M160" s="134">
        <f t="shared" ca="1" si="194"/>
        <v>2</v>
      </c>
      <c r="N160" s="103">
        <f t="shared" ca="1" si="216"/>
        <v>20</v>
      </c>
      <c r="O160" s="104">
        <f t="shared" ca="1" si="232"/>
        <v>4713</v>
      </c>
      <c r="P160" s="105">
        <f t="shared" ca="1" si="195"/>
        <v>12.914442162902121</v>
      </c>
      <c r="Q160" s="105">
        <f t="shared" ca="1" si="196"/>
        <v>12.988364134154688</v>
      </c>
      <c r="R160" s="114">
        <v>22.650000000000105</v>
      </c>
      <c r="S160" s="198">
        <v>0</v>
      </c>
      <c r="T160" s="189">
        <f t="shared" si="233"/>
        <v>22.650000000000105</v>
      </c>
      <c r="U160" s="199">
        <f t="shared" ca="1" si="217"/>
        <v>22.715000000000106</v>
      </c>
      <c r="V160" s="379">
        <f t="shared" ca="1" si="218"/>
        <v>22.715000000000106</v>
      </c>
      <c r="W160" s="483">
        <v>0.15569999999999903</v>
      </c>
      <c r="X160" s="166" t="str">
        <f t="shared" ca="1" si="219"/>
        <v/>
      </c>
      <c r="Y160" s="91">
        <f t="shared" ca="1" si="255"/>
        <v>5.3813322918446242E-4</v>
      </c>
      <c r="Z160" s="91">
        <f t="shared" ca="1" si="256"/>
        <v>1.4434412181037399E-4</v>
      </c>
      <c r="AA160" s="91">
        <f t="shared" ca="1" si="257"/>
        <v>4.5385852160524037E-5</v>
      </c>
      <c r="AB160" s="91">
        <f t="shared" ca="1" si="258"/>
        <v>1.0224524774723863E-4</v>
      </c>
      <c r="AC160" s="91">
        <f t="shared" ca="1" si="259"/>
        <v>3.2517843761443424E-4</v>
      </c>
      <c r="AD160" s="91">
        <f t="shared" ca="1" si="260"/>
        <v>1.2123065387066459E-3</v>
      </c>
      <c r="AE160" s="124">
        <v>7.3643700340856016E-2</v>
      </c>
      <c r="AF160" s="191">
        <f t="shared" ca="1" si="261"/>
        <v>0.39089291240143054</v>
      </c>
      <c r="AG160" s="189">
        <f t="shared" ca="1" si="234"/>
        <v>1</v>
      </c>
      <c r="AH160" s="192">
        <f t="shared" ca="1" si="220"/>
        <v>0</v>
      </c>
      <c r="AI160" s="192">
        <f t="shared" ca="1" si="288"/>
        <v>0</v>
      </c>
      <c r="AJ160" s="192">
        <f t="shared" ca="1" si="222"/>
        <v>0</v>
      </c>
      <c r="AK160" s="192">
        <f t="shared" ca="1" si="289"/>
        <v>0</v>
      </c>
      <c r="AL160" s="191" t="str">
        <f t="shared" ca="1" si="262"/>
        <v/>
      </c>
      <c r="AM160" s="191" t="str">
        <f t="shared" ca="1" si="263"/>
        <v/>
      </c>
      <c r="AN160" s="191" t="str">
        <f t="shared" ca="1" si="264"/>
        <v/>
      </c>
      <c r="AO160" s="193" t="str">
        <f t="shared" ca="1" si="265"/>
        <v/>
      </c>
      <c r="AP160" s="194" t="str">
        <f t="shared" ca="1" si="235"/>
        <v/>
      </c>
      <c r="AQ160" s="194" t="str">
        <f t="shared" ca="1" si="236"/>
        <v/>
      </c>
      <c r="AR160" s="195">
        <f ca="1">IF(AH160,_xll.xASN(AL160,Strike1,AE160,AP160,0,N160,0,P160,Q160,IF(OptControl=4,0,1),0),0)</f>
        <v>0</v>
      </c>
      <c r="AS160" s="196">
        <f ca="1">IF(AH160,_xll.xASN(AL160,Strike1,AE160,AP160,0,N160,0,P160,Q160,IF(OptControl=4,0,1),1),0)</f>
        <v>0</v>
      </c>
      <c r="AT160" s="196">
        <f ca="1">IF(AH160,_xll.xASN(AL160,Strike1,AE160,AP160,0,N160,0,P160,Q160,IF(OptControl=4,0,1),2),0)</f>
        <v>0</v>
      </c>
      <c r="AU160" s="196">
        <f ca="1">IF(AH160,_xll.xASN(AL160,Strike1,AE160,AP160,0,N160,0,P160,Q160,IF(OptControl=4,0,1),3)/100,0)</f>
        <v>0</v>
      </c>
      <c r="AV160" s="196">
        <f ca="1">IF(AH160,_xll.xASN(AL160,Strike1,AE160,AP160,0,N160,0,P160-DaysForThetaCalculation/365.25,Q160-DaysForThetaCalculation/365.25,IF(OptControl=4,0,1),0)-_xll.xASN(AL160,Strike1,AE160,AP160,0,N160,0,P160,Q160,IF(OptControl=4,0,1),0),0)</f>
        <v>0</v>
      </c>
      <c r="AW160" s="196">
        <f ca="1">IF(AH160,_xll.xASN(AL160,Strike2,AE160,AQ160,0,N160,0,P160,Q160,IF(OptControl=3,1,0),0),0)</f>
        <v>0</v>
      </c>
      <c r="AX160" s="196">
        <f ca="1">IF(AH160,_xll.xASN(AL160,Strike2,AE160,AQ160,0,N160,0,P160,Q160,IF(OptControl=3,1,0),1),0)</f>
        <v>0</v>
      </c>
      <c r="AY160" s="196">
        <f ca="1">IF(AH160,_xll.xASN(AL160,Strike2,AE160,AQ160,0,N160,0,P160,Q160,IF(OptControl=3,1,0),2),0)</f>
        <v>0</v>
      </c>
      <c r="AZ160" s="196">
        <f ca="1">IF(AH160,_xll.xASN(AL160,Strike2,AE160,AQ160,0,N160,0,P160,Q160,IF(OptControl=3,1,0),3)/100,0)</f>
        <v>0</v>
      </c>
      <c r="BA160" s="196">
        <f ca="1">IF(AH160,_xll.xASN(AL160,Strike2,AE160,AQ160,0,N160,0,P160-DaysForThetaCalculation/365.25,Q160-DaysForThetaCalculation/365.25,IF(OptControl=3,1,0),0)-_xll.xASN(AL160,Strike2,AE160,AQ160,0,N160,0,P160,Q160,IF(OptControl=3,1,0),0),0)</f>
        <v>0</v>
      </c>
      <c r="BB160" s="126" t="str">
        <f t="shared" ca="1" si="266"/>
        <v/>
      </c>
      <c r="BC160" s="191" t="str">
        <f t="shared" ca="1" si="267"/>
        <v/>
      </c>
      <c r="BD160" s="191" t="str">
        <f t="shared" ca="1" si="268"/>
        <v/>
      </c>
      <c r="BE160" s="190" t="str">
        <f t="shared" ca="1" si="269"/>
        <v/>
      </c>
      <c r="BF160" s="194" t="str">
        <f t="shared" ca="1" si="270"/>
        <v/>
      </c>
      <c r="BG160" s="194" t="str">
        <f t="shared" ca="1" si="271"/>
        <v/>
      </c>
      <c r="BH160" s="195">
        <f ca="1">IF(AH160,_xll.xEURO(BB160,Strike1,AE160,AE160,BF160,O160,IF(OptControl=4,0,1),0),0)</f>
        <v>0</v>
      </c>
      <c r="BI160" s="196">
        <f ca="1">IF(AH160,_xll.xEURO(BB160,Strike1,AE160,AE160,BF160,O160,IF(OptControl=4,0,1),1),0)</f>
        <v>0</v>
      </c>
      <c r="BJ160" s="196">
        <f ca="1">IF(AH160,_xll.xEURO(BB160,Strike1,AE160,AE160,BF160,O160,IF(OptControl=4,0,1),2),0)</f>
        <v>0</v>
      </c>
      <c r="BK160" s="196">
        <f ca="1">IF(AH160,_xll.xEURO(BB160,Strike1,AE160,AE160,BF160,O160,IF(OptControl=4,0,1),3)/100,0)</f>
        <v>0</v>
      </c>
      <c r="BL160" s="196">
        <f ca="1">IF(AH160,_xll.xEURO(BB160,Strike1,AE160,AE160,BF160,O160-DaysForThetaCalculation,IF(OptControl=4,0,1),0)-_xll.xEURO(BB160,Strike1,AE160,AE160,BF160,O160,IF(OptControl=4,0,1),0),0)</f>
        <v>0</v>
      </c>
      <c r="BM160" s="196">
        <f ca="1">IF(AH160,_xll.xEURO(BB160,Strike2,AE160,AE160,BG160,O160,IF(OptControl=3,1,0),0),0)</f>
        <v>0</v>
      </c>
      <c r="BN160" s="196">
        <f ca="1">IF(AH160,_xll.xEURO(BB160,Strike2,AE160,AE160,BG160,O160,IF(OptControl=3,1,0),1),0)</f>
        <v>0</v>
      </c>
      <c r="BO160" s="196">
        <f ca="1">IF(AH160,_xll.xEURO(BB160,Strike2,AE160,AE160,BG160,O160,IF(OptControl=3,1,0),2),0)</f>
        <v>0</v>
      </c>
      <c r="BP160" s="196">
        <f ca="1">IF(AH160,_xll.xEURO(BB160,Strike2,AE160,AE160,BG160,O160,IF(OptControl=3,1,0),3)/100,0)</f>
        <v>0</v>
      </c>
      <c r="BQ160" s="197">
        <f ca="1">IF(AH160,_xll.xEURO(BB160,Strike2,AE160,AE160,BG160,O160-DaysForThetaCalculation,IF(OptControl=3,1,0),0)-_xll.xEURO(BB160,Strike2,AE160,AE160,BG160,O160,IF(OptControl=3,1,0),0),0)</f>
        <v>0</v>
      </c>
      <c r="BR160" s="301"/>
      <c r="BS160" s="114"/>
      <c r="BT160" s="345">
        <f t="shared" si="237"/>
        <v>0</v>
      </c>
      <c r="BU160" s="345">
        <f t="shared" ca="1" si="285"/>
        <v>-22.715000000000106</v>
      </c>
      <c r="BV160" s="73"/>
      <c r="BW160" s="345">
        <f t="shared" ca="1" si="282"/>
        <v>6.990000000000002</v>
      </c>
      <c r="BX160" s="345">
        <f t="shared" ca="1" si="286"/>
        <v>69.70165631470006</v>
      </c>
      <c r="BY160" s="373">
        <f t="shared" ca="1" si="238"/>
        <v>70.726190476190737</v>
      </c>
      <c r="BZ160" s="114"/>
      <c r="CA160" s="345">
        <f t="shared" si="239"/>
        <v>0</v>
      </c>
      <c r="CB160" s="345">
        <f t="shared" ca="1" si="287"/>
        <v>-22.715000000000106</v>
      </c>
      <c r="CC160" s="345">
        <f t="shared" ca="1" si="283"/>
        <v>5.4320000000000013</v>
      </c>
      <c r="CD160" s="345">
        <f t="shared" ca="1" si="240"/>
        <v>67.016666666666922</v>
      </c>
      <c r="CE160" s="347">
        <f t="shared" ca="1" si="272"/>
        <v>-3.7095238095238159</v>
      </c>
      <c r="CF160" s="114"/>
      <c r="CG160" s="345">
        <f t="shared" si="241"/>
        <v>0</v>
      </c>
      <c r="CH160" s="345">
        <f t="shared" ca="1" si="242"/>
        <v>-22.715000000000106</v>
      </c>
      <c r="CI160" s="73"/>
      <c r="CJ160" s="345">
        <f t="shared" ca="1" si="290"/>
        <v>5.2179999999999982</v>
      </c>
      <c r="CK160" s="345">
        <f t="shared" ca="1" si="284"/>
        <v>68.082608695652439</v>
      </c>
      <c r="CL160" s="345">
        <f t="shared" ca="1" si="243"/>
        <v>66.507142857143108</v>
      </c>
      <c r="CM160" s="114"/>
      <c r="CN160" s="345">
        <f t="shared" si="244"/>
        <v>0</v>
      </c>
      <c r="CO160" s="345">
        <f t="shared" ca="1" si="245"/>
        <v>-22.715000000000106</v>
      </c>
      <c r="CP160" s="345">
        <f t="shared" ca="1" si="292"/>
        <v>4.1049999999999986</v>
      </c>
      <c r="CQ160" s="345">
        <f t="shared" ca="1" si="246"/>
        <v>63.857142857143117</v>
      </c>
      <c r="CR160" s="347">
        <f t="shared" ca="1" si="273"/>
        <v>-2.6499999999999915</v>
      </c>
      <c r="CS160" s="114"/>
      <c r="CT160" s="345">
        <f t="shared" si="247"/>
        <v>0</v>
      </c>
      <c r="CU160" s="345">
        <f t="shared" si="274"/>
        <v>0</v>
      </c>
      <c r="CV160" s="345">
        <f t="shared" ca="1" si="291"/>
        <v>2.4000000000000079</v>
      </c>
      <c r="CW160" s="347">
        <f t="shared" ca="1" si="275"/>
        <v>68.907142857143114</v>
      </c>
      <c r="CX160" s="483"/>
      <c r="CY160" s="190">
        <f t="shared" si="248"/>
        <v>-0.15569999999999903</v>
      </c>
      <c r="CZ160" s="190">
        <f t="shared" ca="1" si="280"/>
        <v>-0.03</v>
      </c>
      <c r="DA160" s="354">
        <f t="shared" ca="1" si="249"/>
        <v>0.12569999999999903</v>
      </c>
      <c r="DB160" s="483"/>
      <c r="DC160" s="190">
        <f t="shared" si="250"/>
        <v>-0.15569999999999903</v>
      </c>
      <c r="DD160" s="190">
        <f t="shared" ca="1" si="281"/>
        <v>0.03</v>
      </c>
      <c r="DE160" s="354">
        <f t="shared" ca="1" si="251"/>
        <v>0.18569999999999903</v>
      </c>
      <c r="DG160" s="341"/>
      <c r="DH160" s="114"/>
      <c r="DI160" s="126">
        <f t="shared" ca="1" si="276"/>
        <v>-22.715000000000106</v>
      </c>
      <c r="DJ160" s="126">
        <f t="shared" ca="1" si="224"/>
        <v>-2</v>
      </c>
      <c r="DK160" s="356">
        <f t="shared" ca="1" si="225"/>
        <v>20.715000000000106</v>
      </c>
      <c r="DL160" s="114"/>
      <c r="DM160" s="126">
        <f t="shared" ca="1" si="277"/>
        <v>-22.715000000000106</v>
      </c>
      <c r="DN160" s="126">
        <f t="shared" ca="1" si="252"/>
        <v>-3</v>
      </c>
      <c r="DO160" s="356">
        <f t="shared" ca="1" si="226"/>
        <v>19.715000000000106</v>
      </c>
      <c r="DP160" s="114"/>
      <c r="DQ160" s="126">
        <f t="shared" ca="1" si="278"/>
        <v>-22.715000000000106</v>
      </c>
      <c r="DR160" s="126">
        <f t="shared" ca="1" si="253"/>
        <v>-6</v>
      </c>
      <c r="DS160" s="356">
        <f t="shared" ca="1" si="227"/>
        <v>16.715000000000106</v>
      </c>
      <c r="DT160" s="114"/>
      <c r="DU160" s="126">
        <f t="shared" ca="1" si="279"/>
        <v>-22.715000000000106</v>
      </c>
      <c r="DV160" s="126">
        <f t="shared" ca="1" si="254"/>
        <v>-5</v>
      </c>
      <c r="DW160" s="356">
        <f t="shared" ca="1" si="228"/>
        <v>17.715000000000106</v>
      </c>
    </row>
    <row r="161" spans="2:127" x14ac:dyDescent="0.25">
      <c r="B161" s="396">
        <v>40452</v>
      </c>
      <c r="C161" s="400">
        <v>40441</v>
      </c>
      <c r="I161" s="136">
        <f t="shared" ca="1" si="229"/>
        <v>41699</v>
      </c>
      <c r="J161" s="131">
        <f t="shared" ca="1" si="230"/>
        <v>41690</v>
      </c>
      <c r="K161" s="106">
        <f t="shared" ca="1" si="231"/>
        <v>0.66666666666666663</v>
      </c>
      <c r="L161" s="133">
        <f t="shared" ca="1" si="193"/>
        <v>114</v>
      </c>
      <c r="M161" s="134">
        <f t="shared" ca="1" si="194"/>
        <v>3</v>
      </c>
      <c r="N161" s="103">
        <f t="shared" ca="1" si="216"/>
        <v>21</v>
      </c>
      <c r="O161" s="104">
        <f t="shared" ca="1" si="232"/>
        <v>4741</v>
      </c>
      <c r="P161" s="105">
        <f t="shared" ca="1" si="195"/>
        <v>12.991101984941821</v>
      </c>
      <c r="Q161" s="105">
        <f t="shared" ca="1" si="196"/>
        <v>13.073237508555783</v>
      </c>
      <c r="R161" s="114">
        <v>22.700000000000106</v>
      </c>
      <c r="S161" s="198">
        <v>0</v>
      </c>
      <c r="T161" s="189">
        <f t="shared" si="233"/>
        <v>22.700000000000106</v>
      </c>
      <c r="U161" s="199">
        <f t="shared" ca="1" si="217"/>
        <v>22.766666666666772</v>
      </c>
      <c r="V161" s="379">
        <f t="shared" ca="1" si="218"/>
        <v>22.766666666666772</v>
      </c>
      <c r="W161" s="483">
        <v>0.15529999999999905</v>
      </c>
      <c r="X161" s="166" t="str">
        <f t="shared" ca="1" si="219"/>
        <v/>
      </c>
      <c r="Y161" s="91">
        <f t="shared" ca="1" si="255"/>
        <v>5.266126152091296E-4</v>
      </c>
      <c r="Z161" s="91">
        <f t="shared" ca="1" si="256"/>
        <v>1.4049765280129561E-4</v>
      </c>
      <c r="AA161" s="91">
        <f t="shared" ca="1" si="257"/>
        <v>4.4057950872419467E-5</v>
      </c>
      <c r="AB161" s="91">
        <f t="shared" ca="1" si="258"/>
        <v>9.9253751725396578E-5</v>
      </c>
      <c r="AC161" s="91">
        <f t="shared" ca="1" si="259"/>
        <v>3.1651311223078178E-4</v>
      </c>
      <c r="AD161" s="91">
        <f t="shared" ca="1" si="260"/>
        <v>1.1863528995430172E-3</v>
      </c>
      <c r="AE161" s="124">
        <v>7.3640122158891028E-2</v>
      </c>
      <c r="AF161" s="191">
        <f t="shared" ca="1" si="261"/>
        <v>0.38851846410540219</v>
      </c>
      <c r="AG161" s="189">
        <f t="shared" ca="1" si="234"/>
        <v>1</v>
      </c>
      <c r="AH161" s="192">
        <f t="shared" ca="1" si="220"/>
        <v>0</v>
      </c>
      <c r="AI161" s="192">
        <f t="shared" ca="1" si="288"/>
        <v>0</v>
      </c>
      <c r="AJ161" s="192">
        <f t="shared" ca="1" si="222"/>
        <v>0</v>
      </c>
      <c r="AK161" s="192">
        <f t="shared" ca="1" si="289"/>
        <v>0</v>
      </c>
      <c r="AL161" s="191" t="str">
        <f t="shared" ca="1" si="262"/>
        <v/>
      </c>
      <c r="AM161" s="191" t="str">
        <f t="shared" ca="1" si="263"/>
        <v/>
      </c>
      <c r="AN161" s="191" t="str">
        <f t="shared" ca="1" si="264"/>
        <v/>
      </c>
      <c r="AO161" s="193" t="str">
        <f t="shared" ca="1" si="265"/>
        <v/>
      </c>
      <c r="AP161" s="194" t="str">
        <f t="shared" ca="1" si="235"/>
        <v/>
      </c>
      <c r="AQ161" s="194" t="str">
        <f t="shared" ca="1" si="236"/>
        <v/>
      </c>
      <c r="AR161" s="195">
        <f ca="1">IF(AH161,_xll.xASN(AL161,Strike1,AE161,AP161,0,N161,0,P161,Q161,IF(OptControl=4,0,1),0),0)</f>
        <v>0</v>
      </c>
      <c r="AS161" s="196">
        <f ca="1">IF(AH161,_xll.xASN(AL161,Strike1,AE161,AP161,0,N161,0,P161,Q161,IF(OptControl=4,0,1),1),0)</f>
        <v>0</v>
      </c>
      <c r="AT161" s="196">
        <f ca="1">IF(AH161,_xll.xASN(AL161,Strike1,AE161,AP161,0,N161,0,P161,Q161,IF(OptControl=4,0,1),2),0)</f>
        <v>0</v>
      </c>
      <c r="AU161" s="196">
        <f ca="1">IF(AH161,_xll.xASN(AL161,Strike1,AE161,AP161,0,N161,0,P161,Q161,IF(OptControl=4,0,1),3)/100,0)</f>
        <v>0</v>
      </c>
      <c r="AV161" s="196">
        <f ca="1">IF(AH161,_xll.xASN(AL161,Strike1,AE161,AP161,0,N161,0,P161-DaysForThetaCalculation/365.25,Q161-DaysForThetaCalculation/365.25,IF(OptControl=4,0,1),0)-_xll.xASN(AL161,Strike1,AE161,AP161,0,N161,0,P161,Q161,IF(OptControl=4,0,1),0),0)</f>
        <v>0</v>
      </c>
      <c r="AW161" s="196">
        <f ca="1">IF(AH161,_xll.xASN(AL161,Strike2,AE161,AQ161,0,N161,0,P161,Q161,IF(OptControl=3,1,0),0),0)</f>
        <v>0</v>
      </c>
      <c r="AX161" s="196">
        <f ca="1">IF(AH161,_xll.xASN(AL161,Strike2,AE161,AQ161,0,N161,0,P161,Q161,IF(OptControl=3,1,0),1),0)</f>
        <v>0</v>
      </c>
      <c r="AY161" s="196">
        <f ca="1">IF(AH161,_xll.xASN(AL161,Strike2,AE161,AQ161,0,N161,0,P161,Q161,IF(OptControl=3,1,0),2),0)</f>
        <v>0</v>
      </c>
      <c r="AZ161" s="196">
        <f ca="1">IF(AH161,_xll.xASN(AL161,Strike2,AE161,AQ161,0,N161,0,P161,Q161,IF(OptControl=3,1,0),3)/100,0)</f>
        <v>0</v>
      </c>
      <c r="BA161" s="196">
        <f ca="1">IF(AH161,_xll.xASN(AL161,Strike2,AE161,AQ161,0,N161,0,P161-DaysForThetaCalculation/365.25,Q161-DaysForThetaCalculation/365.25,IF(OptControl=3,1,0),0)-_xll.xASN(AL161,Strike2,AE161,AQ161,0,N161,0,P161,Q161,IF(OptControl=3,1,0),0),0)</f>
        <v>0</v>
      </c>
      <c r="BB161" s="126" t="str">
        <f t="shared" ca="1" si="266"/>
        <v/>
      </c>
      <c r="BC161" s="191" t="str">
        <f t="shared" ca="1" si="267"/>
        <v/>
      </c>
      <c r="BD161" s="191" t="str">
        <f t="shared" ca="1" si="268"/>
        <v/>
      </c>
      <c r="BE161" s="190" t="str">
        <f t="shared" ca="1" si="269"/>
        <v/>
      </c>
      <c r="BF161" s="194" t="str">
        <f t="shared" ca="1" si="270"/>
        <v/>
      </c>
      <c r="BG161" s="194" t="str">
        <f t="shared" ca="1" si="271"/>
        <v/>
      </c>
      <c r="BH161" s="195">
        <f ca="1">IF(AH161,_xll.xEURO(BB161,Strike1,AE161,AE161,BF161,O161,IF(OptControl=4,0,1),0),0)</f>
        <v>0</v>
      </c>
      <c r="BI161" s="196">
        <f ca="1">IF(AH161,_xll.xEURO(BB161,Strike1,AE161,AE161,BF161,O161,IF(OptControl=4,0,1),1),0)</f>
        <v>0</v>
      </c>
      <c r="BJ161" s="196">
        <f ca="1">IF(AH161,_xll.xEURO(BB161,Strike1,AE161,AE161,BF161,O161,IF(OptControl=4,0,1),2),0)</f>
        <v>0</v>
      </c>
      <c r="BK161" s="196">
        <f ca="1">IF(AH161,_xll.xEURO(BB161,Strike1,AE161,AE161,BF161,O161,IF(OptControl=4,0,1),3)/100,0)</f>
        <v>0</v>
      </c>
      <c r="BL161" s="196">
        <f ca="1">IF(AH161,_xll.xEURO(BB161,Strike1,AE161,AE161,BF161,O161-DaysForThetaCalculation,IF(OptControl=4,0,1),0)-_xll.xEURO(BB161,Strike1,AE161,AE161,BF161,O161,IF(OptControl=4,0,1),0),0)</f>
        <v>0</v>
      </c>
      <c r="BM161" s="196">
        <f ca="1">IF(AH161,_xll.xEURO(BB161,Strike2,AE161,AE161,BG161,O161,IF(OptControl=3,1,0),0),0)</f>
        <v>0</v>
      </c>
      <c r="BN161" s="196">
        <f ca="1">IF(AH161,_xll.xEURO(BB161,Strike2,AE161,AE161,BG161,O161,IF(OptControl=3,1,0),1),0)</f>
        <v>0</v>
      </c>
      <c r="BO161" s="196">
        <f ca="1">IF(AH161,_xll.xEURO(BB161,Strike2,AE161,AE161,BG161,O161,IF(OptControl=3,1,0),2),0)</f>
        <v>0</v>
      </c>
      <c r="BP161" s="196">
        <f ca="1">IF(AH161,_xll.xEURO(BB161,Strike2,AE161,AE161,BG161,O161,IF(OptControl=3,1,0),3)/100,0)</f>
        <v>0</v>
      </c>
      <c r="BQ161" s="197">
        <f ca="1">IF(AH161,_xll.xEURO(BB161,Strike2,AE161,AE161,BG161,O161-DaysForThetaCalculation,IF(OptControl=3,1,0),0)-_xll.xEURO(BB161,Strike2,AE161,AE161,BG161,O161,IF(OptControl=3,1,0),0),0)</f>
        <v>0</v>
      </c>
      <c r="BR161" s="301"/>
      <c r="BS161" s="114"/>
      <c r="BT161" s="345">
        <f t="shared" si="237"/>
        <v>0</v>
      </c>
      <c r="BU161" s="345">
        <f t="shared" ca="1" si="285"/>
        <v>-22.766666666666772</v>
      </c>
      <c r="BV161" s="73"/>
      <c r="BW161" s="345">
        <f t="shared" ca="1" si="282"/>
        <v>11.056000000000006</v>
      </c>
      <c r="BX161" s="345">
        <f t="shared" ca="1" si="286"/>
        <v>70.726190476190737</v>
      </c>
      <c r="BY161" s="373">
        <f t="shared" ca="1" si="238"/>
        <v>80.530158730159002</v>
      </c>
      <c r="BZ161" s="114"/>
      <c r="CA161" s="345">
        <f t="shared" si="239"/>
        <v>0</v>
      </c>
      <c r="CB161" s="345">
        <f t="shared" ca="1" si="287"/>
        <v>-22.766666666666772</v>
      </c>
      <c r="CC161" s="345">
        <f t="shared" ca="1" si="283"/>
        <v>7.5980000000000061</v>
      </c>
      <c r="CD161" s="345">
        <f t="shared" ca="1" si="240"/>
        <v>72.296825396825668</v>
      </c>
      <c r="CE161" s="347">
        <f t="shared" ca="1" si="272"/>
        <v>-8.2333333333333343</v>
      </c>
      <c r="CF161" s="114"/>
      <c r="CG161" s="345">
        <f t="shared" si="241"/>
        <v>0</v>
      </c>
      <c r="CH161" s="345">
        <f t="shared" ca="1" si="242"/>
        <v>-22.766666666666772</v>
      </c>
      <c r="CI161" s="73"/>
      <c r="CJ161" s="345">
        <f t="shared" ca="1" si="290"/>
        <v>4.5790000000000006</v>
      </c>
      <c r="CK161" s="345">
        <f t="shared" ca="1" si="284"/>
        <v>66.507142857143108</v>
      </c>
      <c r="CL161" s="345">
        <f t="shared" ca="1" si="243"/>
        <v>65.108730158730424</v>
      </c>
      <c r="CM161" s="114"/>
      <c r="CN161" s="345">
        <f t="shared" si="244"/>
        <v>0</v>
      </c>
      <c r="CO161" s="345">
        <f t="shared" ca="1" si="245"/>
        <v>-22.766666666666772</v>
      </c>
      <c r="CP161" s="345">
        <f t="shared" ca="1" si="292"/>
        <v>3.4659999999999993</v>
      </c>
      <c r="CQ161" s="345">
        <f t="shared" ca="1" si="246"/>
        <v>62.458730158730411</v>
      </c>
      <c r="CR161" s="347">
        <f t="shared" ca="1" si="273"/>
        <v>-2.6500000000000128</v>
      </c>
      <c r="CS161" s="114"/>
      <c r="CT161" s="345">
        <f t="shared" si="247"/>
        <v>0</v>
      </c>
      <c r="CU161" s="345">
        <f t="shared" si="274"/>
        <v>0</v>
      </c>
      <c r="CV161" s="345">
        <f t="shared" ca="1" si="291"/>
        <v>2.3999999999999937</v>
      </c>
      <c r="CW161" s="347">
        <f t="shared" ca="1" si="275"/>
        <v>67.508730158730415</v>
      </c>
      <c r="CX161" s="483"/>
      <c r="CY161" s="190">
        <f t="shared" si="248"/>
        <v>-0.15529999999999905</v>
      </c>
      <c r="CZ161" s="190">
        <f t="shared" ca="1" si="280"/>
        <v>-0.03</v>
      </c>
      <c r="DA161" s="354">
        <f t="shared" ca="1" si="249"/>
        <v>0.12529999999999905</v>
      </c>
      <c r="DB161" s="483"/>
      <c r="DC161" s="190">
        <f t="shared" si="250"/>
        <v>-0.15529999999999905</v>
      </c>
      <c r="DD161" s="190">
        <f t="shared" ca="1" si="281"/>
        <v>0.03</v>
      </c>
      <c r="DE161" s="354">
        <f t="shared" ca="1" si="251"/>
        <v>0.18529999999999905</v>
      </c>
      <c r="DG161" s="341"/>
      <c r="DH161" s="114"/>
      <c r="DI161" s="126">
        <f t="shared" ca="1" si="276"/>
        <v>-22.766666666666772</v>
      </c>
      <c r="DJ161" s="126">
        <f t="shared" ca="1" si="224"/>
        <v>-2</v>
      </c>
      <c r="DK161" s="356">
        <f t="shared" ca="1" si="225"/>
        <v>20.766666666666772</v>
      </c>
      <c r="DL161" s="114"/>
      <c r="DM161" s="126">
        <f t="shared" ca="1" si="277"/>
        <v>-22.766666666666772</v>
      </c>
      <c r="DN161" s="126">
        <f t="shared" ca="1" si="252"/>
        <v>-3</v>
      </c>
      <c r="DO161" s="356">
        <f t="shared" ca="1" si="226"/>
        <v>19.766666666666772</v>
      </c>
      <c r="DP161" s="114"/>
      <c r="DQ161" s="126">
        <f t="shared" ca="1" si="278"/>
        <v>-22.766666666666772</v>
      </c>
      <c r="DR161" s="126">
        <f t="shared" ca="1" si="253"/>
        <v>-6</v>
      </c>
      <c r="DS161" s="356">
        <f t="shared" ca="1" si="227"/>
        <v>16.766666666666772</v>
      </c>
      <c r="DT161" s="114"/>
      <c r="DU161" s="126">
        <f t="shared" ca="1" si="279"/>
        <v>-22.766666666666772</v>
      </c>
      <c r="DV161" s="126">
        <f t="shared" ca="1" si="254"/>
        <v>-5</v>
      </c>
      <c r="DW161" s="356">
        <f t="shared" ca="1" si="228"/>
        <v>17.766666666666772</v>
      </c>
    </row>
    <row r="162" spans="2:127" x14ac:dyDescent="0.25">
      <c r="B162" s="396">
        <v>40483</v>
      </c>
      <c r="C162" s="400">
        <v>40473</v>
      </c>
      <c r="I162" s="136">
        <f t="shared" ca="1" si="229"/>
        <v>41730</v>
      </c>
      <c r="J162" s="131">
        <f t="shared" ca="1" si="230"/>
        <v>41718</v>
      </c>
      <c r="K162" s="106">
        <f t="shared" ca="1" si="231"/>
        <v>0.63636363636363635</v>
      </c>
      <c r="L162" s="133">
        <f t="shared" ref="L162:L186" ca="1" si="293">YEAR(I162)-1900</f>
        <v>114</v>
      </c>
      <c r="M162" s="134">
        <f t="shared" ref="M162:M186" ca="1" si="294">MONTH(I162)</f>
        <v>4</v>
      </c>
      <c r="N162" s="103">
        <f t="shared" ca="1" si="216"/>
        <v>22</v>
      </c>
      <c r="O162" s="104">
        <f t="shared" ca="1" si="232"/>
        <v>4770</v>
      </c>
      <c r="P162" s="105">
        <f t="shared" ref="P162:P184" ca="1" si="295">(I162-DateToday+1)/365.25</f>
        <v>13.075975359342916</v>
      </c>
      <c r="Q162" s="105">
        <f t="shared" ref="Q162:Q184" ca="1" si="296">(I163-DateToday)/365.25</f>
        <v>13.155373032169747</v>
      </c>
      <c r="R162" s="114">
        <v>22.750000000000107</v>
      </c>
      <c r="S162" s="198">
        <v>0</v>
      </c>
      <c r="T162" s="189">
        <f t="shared" si="233"/>
        <v>22.750000000000107</v>
      </c>
      <c r="U162" s="199">
        <f t="shared" ca="1" si="217"/>
        <v>22.818181818181923</v>
      </c>
      <c r="V162" s="379">
        <f t="shared" ca="1" si="218"/>
        <v>22.818181818181923</v>
      </c>
      <c r="W162" s="483">
        <v>0.15489999999999904</v>
      </c>
      <c r="X162" s="166" t="str">
        <f t="shared" ca="1" si="219"/>
        <v/>
      </c>
      <c r="Y162" s="91">
        <f t="shared" ca="1" si="255"/>
        <v>5.1533864005699271E-4</v>
      </c>
      <c r="Z162" s="91">
        <f t="shared" ca="1" si="256"/>
        <v>1.3675368414797981E-4</v>
      </c>
      <c r="AA162" s="91">
        <f t="shared" ca="1" si="257"/>
        <v>4.2768901379467121E-5</v>
      </c>
      <c r="AB162" s="91">
        <f t="shared" ca="1" si="258"/>
        <v>9.6349781027673452E-5</v>
      </c>
      <c r="AC162" s="91">
        <f t="shared" ca="1" si="259"/>
        <v>3.0807869964859127E-4</v>
      </c>
      <c r="AD162" s="91">
        <f t="shared" ca="1" si="260"/>
        <v>1.1609548883202842E-3</v>
      </c>
      <c r="AE162" s="124">
        <v>7.3636160600290004E-2</v>
      </c>
      <c r="AF162" s="191">
        <f t="shared" ca="1" si="261"/>
        <v>0.38623700472165379</v>
      </c>
      <c r="AG162" s="189">
        <f t="shared" ca="1" si="234"/>
        <v>1</v>
      </c>
      <c r="AH162" s="192">
        <f t="shared" ca="1" si="220"/>
        <v>0</v>
      </c>
      <c r="AI162" s="192">
        <f t="shared" ca="1" si="288"/>
        <v>0</v>
      </c>
      <c r="AJ162" s="192">
        <f t="shared" ca="1" si="222"/>
        <v>0</v>
      </c>
      <c r="AK162" s="192">
        <f t="shared" ca="1" si="289"/>
        <v>0</v>
      </c>
      <c r="AL162" s="191" t="str">
        <f t="shared" ca="1" si="262"/>
        <v/>
      </c>
      <c r="AM162" s="191" t="str">
        <f t="shared" ca="1" si="263"/>
        <v/>
      </c>
      <c r="AN162" s="191" t="str">
        <f t="shared" ca="1" si="264"/>
        <v/>
      </c>
      <c r="AO162" s="193" t="str">
        <f t="shared" ca="1" si="265"/>
        <v/>
      </c>
      <c r="AP162" s="194" t="str">
        <f t="shared" ca="1" si="235"/>
        <v/>
      </c>
      <c r="AQ162" s="194" t="str">
        <f t="shared" ca="1" si="236"/>
        <v/>
      </c>
      <c r="AR162" s="195">
        <f ca="1">IF(AH162,_xll.xASN(AL162,Strike1,AE162,AP162,0,N162,0,P162,Q162,IF(OptControl=4,0,1),0),0)</f>
        <v>0</v>
      </c>
      <c r="AS162" s="196">
        <f ca="1">IF(AH162,_xll.xASN(AL162,Strike1,AE162,AP162,0,N162,0,P162,Q162,IF(OptControl=4,0,1),1),0)</f>
        <v>0</v>
      </c>
      <c r="AT162" s="196">
        <f ca="1">IF(AH162,_xll.xASN(AL162,Strike1,AE162,AP162,0,N162,0,P162,Q162,IF(OptControl=4,0,1),2),0)</f>
        <v>0</v>
      </c>
      <c r="AU162" s="196">
        <f ca="1">IF(AH162,_xll.xASN(AL162,Strike1,AE162,AP162,0,N162,0,P162,Q162,IF(OptControl=4,0,1),3)/100,0)</f>
        <v>0</v>
      </c>
      <c r="AV162" s="196">
        <f ca="1">IF(AH162,_xll.xASN(AL162,Strike1,AE162,AP162,0,N162,0,P162-DaysForThetaCalculation/365.25,Q162-DaysForThetaCalculation/365.25,IF(OptControl=4,0,1),0)-_xll.xASN(AL162,Strike1,AE162,AP162,0,N162,0,P162,Q162,IF(OptControl=4,0,1),0),0)</f>
        <v>0</v>
      </c>
      <c r="AW162" s="196">
        <f ca="1">IF(AH162,_xll.xASN(AL162,Strike2,AE162,AQ162,0,N162,0,P162,Q162,IF(OptControl=3,1,0),0),0)</f>
        <v>0</v>
      </c>
      <c r="AX162" s="196">
        <f ca="1">IF(AH162,_xll.xASN(AL162,Strike2,AE162,AQ162,0,N162,0,P162,Q162,IF(OptControl=3,1,0),1),0)</f>
        <v>0</v>
      </c>
      <c r="AY162" s="196">
        <f ca="1">IF(AH162,_xll.xASN(AL162,Strike2,AE162,AQ162,0,N162,0,P162,Q162,IF(OptControl=3,1,0),2),0)</f>
        <v>0</v>
      </c>
      <c r="AZ162" s="196">
        <f ca="1">IF(AH162,_xll.xASN(AL162,Strike2,AE162,AQ162,0,N162,0,P162,Q162,IF(OptControl=3,1,0),3)/100,0)</f>
        <v>0</v>
      </c>
      <c r="BA162" s="196">
        <f ca="1">IF(AH162,_xll.xASN(AL162,Strike2,AE162,AQ162,0,N162,0,P162-DaysForThetaCalculation/365.25,Q162-DaysForThetaCalculation/365.25,IF(OptControl=3,1,0),0)-_xll.xASN(AL162,Strike2,AE162,AQ162,0,N162,0,P162,Q162,IF(OptControl=3,1,0),0),0)</f>
        <v>0</v>
      </c>
      <c r="BB162" s="126" t="str">
        <f t="shared" ca="1" si="266"/>
        <v/>
      </c>
      <c r="BC162" s="191" t="str">
        <f t="shared" ca="1" si="267"/>
        <v/>
      </c>
      <c r="BD162" s="191" t="str">
        <f t="shared" ca="1" si="268"/>
        <v/>
      </c>
      <c r="BE162" s="190" t="str">
        <f t="shared" ca="1" si="269"/>
        <v/>
      </c>
      <c r="BF162" s="194" t="str">
        <f t="shared" ca="1" si="270"/>
        <v/>
      </c>
      <c r="BG162" s="194" t="str">
        <f t="shared" ca="1" si="271"/>
        <v/>
      </c>
      <c r="BH162" s="195">
        <f ca="1">IF(AH162,_xll.xEURO(BB162,Strike1,AE162,AE162,BF162,O162,IF(OptControl=4,0,1),0),0)</f>
        <v>0</v>
      </c>
      <c r="BI162" s="196">
        <f ca="1">IF(AH162,_xll.xEURO(BB162,Strike1,AE162,AE162,BF162,O162,IF(OptControl=4,0,1),1),0)</f>
        <v>0</v>
      </c>
      <c r="BJ162" s="196">
        <f ca="1">IF(AH162,_xll.xEURO(BB162,Strike1,AE162,AE162,BF162,O162,IF(OptControl=4,0,1),2),0)</f>
        <v>0</v>
      </c>
      <c r="BK162" s="196">
        <f ca="1">IF(AH162,_xll.xEURO(BB162,Strike1,AE162,AE162,BF162,O162,IF(OptControl=4,0,1),3)/100,0)</f>
        <v>0</v>
      </c>
      <c r="BL162" s="196">
        <f ca="1">IF(AH162,_xll.xEURO(BB162,Strike1,AE162,AE162,BF162,O162-DaysForThetaCalculation,IF(OptControl=4,0,1),0)-_xll.xEURO(BB162,Strike1,AE162,AE162,BF162,O162,IF(OptControl=4,0,1),0),0)</f>
        <v>0</v>
      </c>
      <c r="BM162" s="196">
        <f ca="1">IF(AH162,_xll.xEURO(BB162,Strike2,AE162,AE162,BG162,O162,IF(OptControl=3,1,0),0),0)</f>
        <v>0</v>
      </c>
      <c r="BN162" s="196">
        <f ca="1">IF(AH162,_xll.xEURO(BB162,Strike2,AE162,AE162,BG162,O162,IF(OptControl=3,1,0),1),0)</f>
        <v>0</v>
      </c>
      <c r="BO162" s="196">
        <f ca="1">IF(AH162,_xll.xEURO(BB162,Strike2,AE162,AE162,BG162,O162,IF(OptControl=3,1,0),2),0)</f>
        <v>0</v>
      </c>
      <c r="BP162" s="196">
        <f ca="1">IF(AH162,_xll.xEURO(BB162,Strike2,AE162,AE162,BG162,O162,IF(OptControl=3,1,0),3)/100,0)</f>
        <v>0</v>
      </c>
      <c r="BQ162" s="197">
        <f ca="1">IF(AH162,_xll.xEURO(BB162,Strike2,AE162,AE162,BG162,O162-DaysForThetaCalculation,IF(OptControl=3,1,0),0)-_xll.xEURO(BB162,Strike2,AE162,AE162,BG162,O162,IF(OptControl=3,1,0),0),0)</f>
        <v>0</v>
      </c>
      <c r="BR162" s="301"/>
      <c r="BS162" s="114"/>
      <c r="BT162" s="345">
        <f t="shared" si="237"/>
        <v>0</v>
      </c>
      <c r="BU162" s="345">
        <f t="shared" ca="1" si="285"/>
        <v>-22.818181818181923</v>
      </c>
      <c r="BV162" s="73"/>
      <c r="BW162" s="345">
        <f t="shared" ca="1" si="282"/>
        <v>9.9957142857142909</v>
      </c>
      <c r="BX162" s="345">
        <f t="shared" ca="1" si="286"/>
        <v>80.530158730159002</v>
      </c>
      <c r="BY162" s="373">
        <f t="shared" ca="1" si="238"/>
        <v>78.12832405689575</v>
      </c>
      <c r="BZ162" s="114"/>
      <c r="CA162" s="345">
        <f t="shared" si="239"/>
        <v>0</v>
      </c>
      <c r="CB162" s="345">
        <f t="shared" ca="1" si="287"/>
        <v>-22.818181818181923</v>
      </c>
      <c r="CC162" s="345">
        <f t="shared" ca="1" si="283"/>
        <v>7.3707142857142909</v>
      </c>
      <c r="CD162" s="345">
        <f t="shared" ca="1" si="240"/>
        <v>71.87832405689575</v>
      </c>
      <c r="CE162" s="347">
        <f t="shared" ca="1" si="272"/>
        <v>-6.25</v>
      </c>
      <c r="CF162" s="114"/>
      <c r="CG162" s="345">
        <f t="shared" si="241"/>
        <v>0</v>
      </c>
      <c r="CH162" s="345">
        <f t="shared" ca="1" si="242"/>
        <v>-22.818181818181923</v>
      </c>
      <c r="CI162" s="73"/>
      <c r="CJ162" s="345">
        <f t="shared" ca="1" si="290"/>
        <v>4.0270909090909104</v>
      </c>
      <c r="CK162" s="345">
        <f t="shared" ca="1" si="284"/>
        <v>65.108730158730424</v>
      </c>
      <c r="CL162" s="345">
        <f t="shared" ca="1" si="243"/>
        <v>63.917316017316274</v>
      </c>
      <c r="CM162" s="114"/>
      <c r="CN162" s="345">
        <f t="shared" si="244"/>
        <v>0</v>
      </c>
      <c r="CO162" s="345">
        <f t="shared" ca="1" si="245"/>
        <v>-22.818181818181923</v>
      </c>
      <c r="CP162" s="345">
        <f t="shared" ca="1" si="292"/>
        <v>3.1030909090909073</v>
      </c>
      <c r="CQ162" s="345">
        <f t="shared" ca="1" si="246"/>
        <v>61.717316017316264</v>
      </c>
      <c r="CR162" s="347">
        <f t="shared" ca="1" si="273"/>
        <v>-2.2000000000000099</v>
      </c>
      <c r="CS162" s="114"/>
      <c r="CT162" s="345">
        <f t="shared" si="247"/>
        <v>0</v>
      </c>
      <c r="CU162" s="345">
        <f t="shared" si="274"/>
        <v>0</v>
      </c>
      <c r="CV162" s="345">
        <f t="shared" ca="1" si="291"/>
        <v>2.3999999999999937</v>
      </c>
      <c r="CW162" s="347">
        <f t="shared" ca="1" si="275"/>
        <v>66.317316017316273</v>
      </c>
      <c r="CX162" s="483"/>
      <c r="CY162" s="190">
        <f t="shared" si="248"/>
        <v>-0.15489999999999904</v>
      </c>
      <c r="CZ162" s="190">
        <f t="shared" ca="1" si="280"/>
        <v>-0.03</v>
      </c>
      <c r="DA162" s="354">
        <f t="shared" ca="1" si="249"/>
        <v>0.12489999999999904</v>
      </c>
      <c r="DB162" s="483"/>
      <c r="DC162" s="190">
        <f t="shared" si="250"/>
        <v>-0.15489999999999904</v>
      </c>
      <c r="DD162" s="190">
        <f t="shared" ca="1" si="281"/>
        <v>0.03</v>
      </c>
      <c r="DE162" s="354">
        <f t="shared" ca="1" si="251"/>
        <v>0.18489999999999904</v>
      </c>
      <c r="DG162" s="341"/>
      <c r="DH162" s="114"/>
      <c r="DI162" s="126">
        <f t="shared" ca="1" si="276"/>
        <v>-22.818181818181923</v>
      </c>
      <c r="DJ162" s="126">
        <f t="shared" ca="1" si="224"/>
        <v>-2</v>
      </c>
      <c r="DK162" s="356">
        <f t="shared" ca="1" si="225"/>
        <v>20.818181818181923</v>
      </c>
      <c r="DL162" s="114"/>
      <c r="DM162" s="126">
        <f t="shared" ca="1" si="277"/>
        <v>-22.818181818181923</v>
      </c>
      <c r="DN162" s="126">
        <f t="shared" ca="1" si="252"/>
        <v>-3</v>
      </c>
      <c r="DO162" s="356">
        <f t="shared" ca="1" si="226"/>
        <v>19.818181818181923</v>
      </c>
      <c r="DP162" s="114"/>
      <c r="DQ162" s="126">
        <f t="shared" ca="1" si="278"/>
        <v>-22.818181818181923</v>
      </c>
      <c r="DR162" s="126">
        <f t="shared" ca="1" si="253"/>
        <v>-6</v>
      </c>
      <c r="DS162" s="356">
        <f t="shared" ca="1" si="227"/>
        <v>16.818181818181923</v>
      </c>
      <c r="DT162" s="114"/>
      <c r="DU162" s="126">
        <f t="shared" ca="1" si="279"/>
        <v>-22.818181818181923</v>
      </c>
      <c r="DV162" s="126">
        <f t="shared" ca="1" si="254"/>
        <v>-5</v>
      </c>
      <c r="DW162" s="356">
        <f t="shared" ca="1" si="228"/>
        <v>17.818181818181923</v>
      </c>
    </row>
    <row r="163" spans="2:127" x14ac:dyDescent="0.25">
      <c r="B163" s="396">
        <v>40513</v>
      </c>
      <c r="C163" s="400">
        <v>40501</v>
      </c>
      <c r="I163" s="136">
        <f t="shared" ca="1" si="229"/>
        <v>41760</v>
      </c>
      <c r="J163" s="131">
        <f t="shared" ca="1" si="230"/>
        <v>41749</v>
      </c>
      <c r="K163" s="106">
        <f t="shared" ca="1" si="231"/>
        <v>0.72727272727272729</v>
      </c>
      <c r="L163" s="133">
        <f t="shared" ca="1" si="293"/>
        <v>114</v>
      </c>
      <c r="M163" s="134">
        <f t="shared" ca="1" si="294"/>
        <v>5</v>
      </c>
      <c r="N163" s="103">
        <f t="shared" ca="1" si="216"/>
        <v>22</v>
      </c>
      <c r="O163" s="104">
        <f t="shared" ca="1" si="232"/>
        <v>4800</v>
      </c>
      <c r="P163" s="105">
        <f t="shared" ca="1" si="295"/>
        <v>13.158110882956878</v>
      </c>
      <c r="Q163" s="105">
        <f t="shared" ca="1" si="296"/>
        <v>13.240246406570842</v>
      </c>
      <c r="R163" s="114">
        <v>22.800000000000104</v>
      </c>
      <c r="S163" s="198">
        <v>0</v>
      </c>
      <c r="T163" s="189">
        <f t="shared" si="233"/>
        <v>22.800000000000104</v>
      </c>
      <c r="U163" s="199">
        <f t="shared" ca="1" si="217"/>
        <v>22.86363636363647</v>
      </c>
      <c r="V163" s="379">
        <f t="shared" ca="1" si="218"/>
        <v>22.86363636363647</v>
      </c>
      <c r="W163" s="483">
        <v>0.15449999999999903</v>
      </c>
      <c r="X163" s="166" t="str">
        <f t="shared" ca="1" si="219"/>
        <v/>
      </c>
      <c r="Y163" s="91">
        <f t="shared" ca="1" si="255"/>
        <v>5.0430602356596672E-4</v>
      </c>
      <c r="Z163" s="91">
        <f t="shared" ca="1" si="256"/>
        <v>1.3310948443028342E-4</v>
      </c>
      <c r="AA163" s="91">
        <f t="shared" ca="1" si="257"/>
        <v>4.1517566954110459E-5</v>
      </c>
      <c r="AB163" s="91">
        <f t="shared" ca="1" si="258"/>
        <v>9.3530774834229893E-5</v>
      </c>
      <c r="AC163" s="91">
        <f t="shared" ca="1" si="259"/>
        <v>2.9986904652456423E-4</v>
      </c>
      <c r="AD163" s="91">
        <f t="shared" ca="1" si="260"/>
        <v>1.1361006098893017E-3</v>
      </c>
      <c r="AE163" s="124">
        <v>7.363232683390801E-2</v>
      </c>
      <c r="AF163" s="191">
        <f t="shared" ca="1" si="261"/>
        <v>0.38389254959467201</v>
      </c>
      <c r="AG163" s="189">
        <f t="shared" ca="1" si="234"/>
        <v>1</v>
      </c>
      <c r="AH163" s="192">
        <f t="shared" ca="1" si="220"/>
        <v>0</v>
      </c>
      <c r="AI163" s="192">
        <f t="shared" ca="1" si="288"/>
        <v>0</v>
      </c>
      <c r="AJ163" s="192">
        <f t="shared" ca="1" si="222"/>
        <v>0</v>
      </c>
      <c r="AK163" s="192">
        <f t="shared" ca="1" si="289"/>
        <v>0</v>
      </c>
      <c r="AL163" s="191" t="str">
        <f t="shared" ca="1" si="262"/>
        <v/>
      </c>
      <c r="AM163" s="191" t="str">
        <f t="shared" ca="1" si="263"/>
        <v/>
      </c>
      <c r="AN163" s="191" t="str">
        <f t="shared" ca="1" si="264"/>
        <v/>
      </c>
      <c r="AO163" s="193" t="str">
        <f t="shared" ca="1" si="265"/>
        <v/>
      </c>
      <c r="AP163" s="194" t="str">
        <f t="shared" ca="1" si="235"/>
        <v/>
      </c>
      <c r="AQ163" s="194" t="str">
        <f t="shared" ca="1" si="236"/>
        <v/>
      </c>
      <c r="AR163" s="195">
        <f ca="1">IF(AH163,_xll.xASN(AL163,Strike1,AE163,AP163,0,N163,0,P163,Q163,IF(OptControl=4,0,1),0),0)</f>
        <v>0</v>
      </c>
      <c r="AS163" s="196">
        <f ca="1">IF(AH163,_xll.xASN(AL163,Strike1,AE163,AP163,0,N163,0,P163,Q163,IF(OptControl=4,0,1),1),0)</f>
        <v>0</v>
      </c>
      <c r="AT163" s="196">
        <f ca="1">IF(AH163,_xll.xASN(AL163,Strike1,AE163,AP163,0,N163,0,P163,Q163,IF(OptControl=4,0,1),2),0)</f>
        <v>0</v>
      </c>
      <c r="AU163" s="196">
        <f ca="1">IF(AH163,_xll.xASN(AL163,Strike1,AE163,AP163,0,N163,0,P163,Q163,IF(OptControl=4,0,1),3)/100,0)</f>
        <v>0</v>
      </c>
      <c r="AV163" s="196">
        <f ca="1">IF(AH163,_xll.xASN(AL163,Strike1,AE163,AP163,0,N163,0,P163-DaysForThetaCalculation/365.25,Q163-DaysForThetaCalculation/365.25,IF(OptControl=4,0,1),0)-_xll.xASN(AL163,Strike1,AE163,AP163,0,N163,0,P163,Q163,IF(OptControl=4,0,1),0),0)</f>
        <v>0</v>
      </c>
      <c r="AW163" s="196">
        <f ca="1">IF(AH163,_xll.xASN(AL163,Strike2,AE163,AQ163,0,N163,0,P163,Q163,IF(OptControl=3,1,0),0),0)</f>
        <v>0</v>
      </c>
      <c r="AX163" s="196">
        <f ca="1">IF(AH163,_xll.xASN(AL163,Strike2,AE163,AQ163,0,N163,0,P163,Q163,IF(OptControl=3,1,0),1),0)</f>
        <v>0</v>
      </c>
      <c r="AY163" s="196">
        <f ca="1">IF(AH163,_xll.xASN(AL163,Strike2,AE163,AQ163,0,N163,0,P163,Q163,IF(OptControl=3,1,0),2),0)</f>
        <v>0</v>
      </c>
      <c r="AZ163" s="196">
        <f ca="1">IF(AH163,_xll.xASN(AL163,Strike2,AE163,AQ163,0,N163,0,P163,Q163,IF(OptControl=3,1,0),3)/100,0)</f>
        <v>0</v>
      </c>
      <c r="BA163" s="196">
        <f ca="1">IF(AH163,_xll.xASN(AL163,Strike2,AE163,AQ163,0,N163,0,P163-DaysForThetaCalculation/365.25,Q163-DaysForThetaCalculation/365.25,IF(OptControl=3,1,0),0)-_xll.xASN(AL163,Strike2,AE163,AQ163,0,N163,0,P163,Q163,IF(OptControl=3,1,0),0),0)</f>
        <v>0</v>
      </c>
      <c r="BB163" s="126" t="str">
        <f t="shared" ca="1" si="266"/>
        <v/>
      </c>
      <c r="BC163" s="191" t="str">
        <f t="shared" ca="1" si="267"/>
        <v/>
      </c>
      <c r="BD163" s="191" t="str">
        <f t="shared" ca="1" si="268"/>
        <v/>
      </c>
      <c r="BE163" s="190" t="str">
        <f t="shared" ca="1" si="269"/>
        <v/>
      </c>
      <c r="BF163" s="194" t="str">
        <f t="shared" ca="1" si="270"/>
        <v/>
      </c>
      <c r="BG163" s="194" t="str">
        <f t="shared" ca="1" si="271"/>
        <v/>
      </c>
      <c r="BH163" s="195">
        <f ca="1">IF(AH163,_xll.xEURO(BB163,Strike1,AE163,AE163,BF163,O163,IF(OptControl=4,0,1),0),0)</f>
        <v>0</v>
      </c>
      <c r="BI163" s="196">
        <f ca="1">IF(AH163,_xll.xEURO(BB163,Strike1,AE163,AE163,BF163,O163,IF(OptControl=4,0,1),1),0)</f>
        <v>0</v>
      </c>
      <c r="BJ163" s="196">
        <f ca="1">IF(AH163,_xll.xEURO(BB163,Strike1,AE163,AE163,BF163,O163,IF(OptControl=4,0,1),2),0)</f>
        <v>0</v>
      </c>
      <c r="BK163" s="196">
        <f ca="1">IF(AH163,_xll.xEURO(BB163,Strike1,AE163,AE163,BF163,O163,IF(OptControl=4,0,1),3)/100,0)</f>
        <v>0</v>
      </c>
      <c r="BL163" s="196">
        <f ca="1">IF(AH163,_xll.xEURO(BB163,Strike1,AE163,AE163,BF163,O163-DaysForThetaCalculation,IF(OptControl=4,0,1),0)-_xll.xEURO(BB163,Strike1,AE163,AE163,BF163,O163,IF(OptControl=4,0,1),0),0)</f>
        <v>0</v>
      </c>
      <c r="BM163" s="196">
        <f ca="1">IF(AH163,_xll.xEURO(BB163,Strike2,AE163,AE163,BG163,O163,IF(OptControl=3,1,0),0),0)</f>
        <v>0</v>
      </c>
      <c r="BN163" s="196">
        <f ca="1">IF(AH163,_xll.xEURO(BB163,Strike2,AE163,AE163,BG163,O163,IF(OptControl=3,1,0),1),0)</f>
        <v>0</v>
      </c>
      <c r="BO163" s="196">
        <f ca="1">IF(AH163,_xll.xEURO(BB163,Strike2,AE163,AE163,BG163,O163,IF(OptControl=3,1,0),2),0)</f>
        <v>0</v>
      </c>
      <c r="BP163" s="196">
        <f ca="1">IF(AH163,_xll.xEURO(BB163,Strike2,AE163,AE163,BG163,O163,IF(OptControl=3,1,0),3)/100,0)</f>
        <v>0</v>
      </c>
      <c r="BQ163" s="197">
        <f ca="1">IF(AH163,_xll.xEURO(BB163,Strike2,AE163,AE163,BG163,O163-DaysForThetaCalculation,IF(OptControl=3,1,0),0)-_xll.xEURO(BB163,Strike2,AE163,AE163,BG163,O163,IF(OptControl=3,1,0),0),0)</f>
        <v>0</v>
      </c>
      <c r="BR163" s="301"/>
      <c r="BS163" s="114"/>
      <c r="BT163" s="345">
        <f t="shared" si="237"/>
        <v>0</v>
      </c>
      <c r="BU163" s="345">
        <f t="shared" ca="1" si="285"/>
        <v>-22.86363636363647</v>
      </c>
      <c r="BV163" s="73"/>
      <c r="BW163" s="345">
        <f t="shared" ca="1" si="282"/>
        <v>9.5039130434782653</v>
      </c>
      <c r="BX163" s="345">
        <f t="shared" ca="1" si="286"/>
        <v>78.12832405689575</v>
      </c>
      <c r="BY163" s="373">
        <f t="shared" ca="1" si="238"/>
        <v>77.065593826463669</v>
      </c>
      <c r="BZ163" s="114"/>
      <c r="CA163" s="345">
        <f t="shared" si="239"/>
        <v>0</v>
      </c>
      <c r="CB163" s="345">
        <f t="shared" ca="1" si="287"/>
        <v>-22.86363636363647</v>
      </c>
      <c r="CC163" s="345">
        <f t="shared" ca="1" si="283"/>
        <v>6.8789130434782653</v>
      </c>
      <c r="CD163" s="345">
        <f t="shared" ca="1" si="240"/>
        <v>70.815593826463669</v>
      </c>
      <c r="CE163" s="347">
        <f t="shared" ca="1" si="272"/>
        <v>-6.25</v>
      </c>
      <c r="CF163" s="114"/>
      <c r="CG163" s="345">
        <f t="shared" si="241"/>
        <v>0</v>
      </c>
      <c r="CH163" s="345">
        <f t="shared" ca="1" si="242"/>
        <v>-22.86363636363647</v>
      </c>
      <c r="CI163" s="73"/>
      <c r="CJ163" s="345">
        <f t="shared" ca="1" si="290"/>
        <v>3.622086956521736</v>
      </c>
      <c r="CK163" s="345">
        <f t="shared" ca="1" si="284"/>
        <v>63.917316017316274</v>
      </c>
      <c r="CL163" s="345">
        <f t="shared" ca="1" si="243"/>
        <v>63.061246000376684</v>
      </c>
      <c r="CM163" s="114"/>
      <c r="CN163" s="345">
        <f t="shared" si="244"/>
        <v>0</v>
      </c>
      <c r="CO163" s="345">
        <f t="shared" ca="1" si="245"/>
        <v>-22.86363636363647</v>
      </c>
      <c r="CP163" s="345">
        <f t="shared" ca="1" si="292"/>
        <v>2.69808695652174</v>
      </c>
      <c r="CQ163" s="345">
        <f t="shared" ca="1" si="246"/>
        <v>60.861246000376681</v>
      </c>
      <c r="CR163" s="347">
        <f t="shared" ca="1" si="273"/>
        <v>-2.2000000000000028</v>
      </c>
      <c r="CS163" s="114"/>
      <c r="CT163" s="345">
        <f t="shared" si="247"/>
        <v>0</v>
      </c>
      <c r="CU163" s="345">
        <f t="shared" si="274"/>
        <v>0</v>
      </c>
      <c r="CV163" s="345">
        <f t="shared" ca="1" si="291"/>
        <v>2.4000000000000079</v>
      </c>
      <c r="CW163" s="347">
        <f t="shared" ca="1" si="275"/>
        <v>65.46124600037669</v>
      </c>
      <c r="CX163" s="483"/>
      <c r="CY163" s="190">
        <f t="shared" si="248"/>
        <v>-0.15449999999999903</v>
      </c>
      <c r="CZ163" s="190">
        <f t="shared" ca="1" si="280"/>
        <v>-0.03</v>
      </c>
      <c r="DA163" s="354">
        <f t="shared" ca="1" si="249"/>
        <v>0.12449999999999903</v>
      </c>
      <c r="DB163" s="483"/>
      <c r="DC163" s="190">
        <f t="shared" si="250"/>
        <v>-0.15449999999999903</v>
      </c>
      <c r="DD163" s="190">
        <f t="shared" ca="1" si="281"/>
        <v>0.03</v>
      </c>
      <c r="DE163" s="354">
        <f t="shared" ca="1" si="251"/>
        <v>0.18449999999999903</v>
      </c>
      <c r="DG163" s="341"/>
      <c r="DH163" s="114"/>
      <c r="DI163" s="126">
        <f t="shared" ca="1" si="276"/>
        <v>-22.86363636363647</v>
      </c>
      <c r="DJ163" s="126">
        <f t="shared" ca="1" si="224"/>
        <v>-2</v>
      </c>
      <c r="DK163" s="356">
        <f t="shared" ca="1" si="225"/>
        <v>20.86363636363647</v>
      </c>
      <c r="DL163" s="114"/>
      <c r="DM163" s="126">
        <f t="shared" ca="1" si="277"/>
        <v>-22.86363636363647</v>
      </c>
      <c r="DN163" s="126">
        <f t="shared" ca="1" si="252"/>
        <v>-3</v>
      </c>
      <c r="DO163" s="356">
        <f t="shared" ca="1" si="226"/>
        <v>19.86363636363647</v>
      </c>
      <c r="DP163" s="114"/>
      <c r="DQ163" s="126">
        <f t="shared" ca="1" si="278"/>
        <v>-22.86363636363647</v>
      </c>
      <c r="DR163" s="126">
        <f t="shared" ca="1" si="253"/>
        <v>-6</v>
      </c>
      <c r="DS163" s="356">
        <f t="shared" ca="1" si="227"/>
        <v>16.86363636363647</v>
      </c>
      <c r="DT163" s="114"/>
      <c r="DU163" s="126">
        <f t="shared" ca="1" si="279"/>
        <v>-22.86363636363647</v>
      </c>
      <c r="DV163" s="126">
        <f t="shared" ca="1" si="254"/>
        <v>-5</v>
      </c>
      <c r="DW163" s="356">
        <f t="shared" ca="1" si="228"/>
        <v>17.86363636363647</v>
      </c>
    </row>
    <row r="164" spans="2:127" x14ac:dyDescent="0.25">
      <c r="B164" s="396">
        <v>40544</v>
      </c>
      <c r="C164" s="400">
        <v>40531</v>
      </c>
      <c r="I164" s="136">
        <f t="shared" ca="1" si="229"/>
        <v>41791</v>
      </c>
      <c r="J164" s="131">
        <f t="shared" ca="1" si="230"/>
        <v>41781</v>
      </c>
      <c r="K164" s="106">
        <f t="shared" ca="1" si="231"/>
        <v>0.7142857142857143</v>
      </c>
      <c r="L164" s="133">
        <f t="shared" ca="1" si="293"/>
        <v>114</v>
      </c>
      <c r="M164" s="134">
        <f t="shared" ca="1" si="294"/>
        <v>6</v>
      </c>
      <c r="N164" s="103">
        <f t="shared" ca="1" si="216"/>
        <v>21</v>
      </c>
      <c r="O164" s="104">
        <f t="shared" ca="1" si="232"/>
        <v>4832</v>
      </c>
      <c r="P164" s="105">
        <f t="shared" ca="1" si="295"/>
        <v>13.242984257357975</v>
      </c>
      <c r="Q164" s="105">
        <f t="shared" ca="1" si="296"/>
        <v>13.322381930184806</v>
      </c>
      <c r="R164" s="114">
        <v>22.850000000000104</v>
      </c>
      <c r="S164" s="198">
        <v>0</v>
      </c>
      <c r="T164" s="189">
        <f t="shared" si="233"/>
        <v>22.850000000000104</v>
      </c>
      <c r="U164" s="199">
        <f t="shared" ca="1" si="217"/>
        <v>22.914285714285818</v>
      </c>
      <c r="V164" s="379">
        <f t="shared" ca="1" si="218"/>
        <v>22.914285714285818</v>
      </c>
      <c r="W164" s="483">
        <v>0.15409999999999804</v>
      </c>
      <c r="X164" s="166" t="str">
        <f t="shared" ca="1" si="219"/>
        <v/>
      </c>
      <c r="Y164" s="91">
        <f t="shared" ca="1" si="255"/>
        <v>4.9350959861420621E-4</v>
      </c>
      <c r="Z164" s="91">
        <f t="shared" ca="1" si="256"/>
        <v>1.2956239501469845E-4</v>
      </c>
      <c r="AA164" s="91">
        <f t="shared" ca="1" si="257"/>
        <v>4.0302844127218525E-5</v>
      </c>
      <c r="AB164" s="91">
        <f t="shared" ca="1" si="258"/>
        <v>9.0794247249807662E-5</v>
      </c>
      <c r="AC164" s="91">
        <f t="shared" ca="1" si="259"/>
        <v>2.9187816348913377E-4</v>
      </c>
      <c r="AD164" s="91">
        <f t="shared" ca="1" si="260"/>
        <v>1.1117784237579765E-3</v>
      </c>
      <c r="AE164" s="124">
        <v>7.3628365275317992E-2</v>
      </c>
      <c r="AF164" s="191">
        <f t="shared" ca="1" si="261"/>
        <v>0.38163873380116203</v>
      </c>
      <c r="AG164" s="189">
        <f t="shared" ca="1" si="234"/>
        <v>1</v>
      </c>
      <c r="AH164" s="192">
        <f t="shared" ca="1" si="220"/>
        <v>0</v>
      </c>
      <c r="AI164" s="192">
        <f t="shared" ca="1" si="288"/>
        <v>0</v>
      </c>
      <c r="AJ164" s="192">
        <f t="shared" ca="1" si="222"/>
        <v>0</v>
      </c>
      <c r="AK164" s="192">
        <f t="shared" ca="1" si="289"/>
        <v>0</v>
      </c>
      <c r="AL164" s="191" t="str">
        <f t="shared" ca="1" si="262"/>
        <v/>
      </c>
      <c r="AM164" s="191" t="str">
        <f t="shared" ca="1" si="263"/>
        <v/>
      </c>
      <c r="AN164" s="191" t="str">
        <f t="shared" ca="1" si="264"/>
        <v/>
      </c>
      <c r="AO164" s="193" t="str">
        <f t="shared" ca="1" si="265"/>
        <v/>
      </c>
      <c r="AP164" s="194" t="str">
        <f t="shared" ca="1" si="235"/>
        <v/>
      </c>
      <c r="AQ164" s="194" t="str">
        <f t="shared" ca="1" si="236"/>
        <v/>
      </c>
      <c r="AR164" s="195">
        <f ca="1">IF(AH164,_xll.xASN(AL164,Strike1,AE164,AP164,0,N164,0,P164,Q164,IF(OptControl=4,0,1),0),0)</f>
        <v>0</v>
      </c>
      <c r="AS164" s="196">
        <f ca="1">IF(AH164,_xll.xASN(AL164,Strike1,AE164,AP164,0,N164,0,P164,Q164,IF(OptControl=4,0,1),1),0)</f>
        <v>0</v>
      </c>
      <c r="AT164" s="196">
        <f ca="1">IF(AH164,_xll.xASN(AL164,Strike1,AE164,AP164,0,N164,0,P164,Q164,IF(OptControl=4,0,1),2),0)</f>
        <v>0</v>
      </c>
      <c r="AU164" s="196">
        <f ca="1">IF(AH164,_xll.xASN(AL164,Strike1,AE164,AP164,0,N164,0,P164,Q164,IF(OptControl=4,0,1),3)/100,0)</f>
        <v>0</v>
      </c>
      <c r="AV164" s="196">
        <f ca="1">IF(AH164,_xll.xASN(AL164,Strike1,AE164,AP164,0,N164,0,P164-DaysForThetaCalculation/365.25,Q164-DaysForThetaCalculation/365.25,IF(OptControl=4,0,1),0)-_xll.xASN(AL164,Strike1,AE164,AP164,0,N164,0,P164,Q164,IF(OptControl=4,0,1),0),0)</f>
        <v>0</v>
      </c>
      <c r="AW164" s="196">
        <f ca="1">IF(AH164,_xll.xASN(AL164,Strike2,AE164,AQ164,0,N164,0,P164,Q164,IF(OptControl=3,1,0),0),0)</f>
        <v>0</v>
      </c>
      <c r="AX164" s="196">
        <f ca="1">IF(AH164,_xll.xASN(AL164,Strike2,AE164,AQ164,0,N164,0,P164,Q164,IF(OptControl=3,1,0),1),0)</f>
        <v>0</v>
      </c>
      <c r="AY164" s="196">
        <f ca="1">IF(AH164,_xll.xASN(AL164,Strike2,AE164,AQ164,0,N164,0,P164,Q164,IF(OptControl=3,1,0),2),0)</f>
        <v>0</v>
      </c>
      <c r="AZ164" s="196">
        <f ca="1">IF(AH164,_xll.xASN(AL164,Strike2,AE164,AQ164,0,N164,0,P164,Q164,IF(OptControl=3,1,0),3)/100,0)</f>
        <v>0</v>
      </c>
      <c r="BA164" s="196">
        <f ca="1">IF(AH164,_xll.xASN(AL164,Strike2,AE164,AQ164,0,N164,0,P164-DaysForThetaCalculation/365.25,Q164-DaysForThetaCalculation/365.25,IF(OptControl=3,1,0),0)-_xll.xASN(AL164,Strike2,AE164,AQ164,0,N164,0,P164,Q164,IF(OptControl=3,1,0),0),0)</f>
        <v>0</v>
      </c>
      <c r="BB164" s="126" t="str">
        <f t="shared" ca="1" si="266"/>
        <v/>
      </c>
      <c r="BC164" s="191" t="str">
        <f t="shared" ca="1" si="267"/>
        <v/>
      </c>
      <c r="BD164" s="191" t="str">
        <f t="shared" ca="1" si="268"/>
        <v/>
      </c>
      <c r="BE164" s="190" t="str">
        <f t="shared" ca="1" si="269"/>
        <v/>
      </c>
      <c r="BF164" s="194" t="str">
        <f t="shared" ca="1" si="270"/>
        <v/>
      </c>
      <c r="BG164" s="194" t="str">
        <f t="shared" ca="1" si="271"/>
        <v/>
      </c>
      <c r="BH164" s="195">
        <f ca="1">IF(AH164,_xll.xEURO(BB164,Strike1,AE164,AE164,BF164,O164,IF(OptControl=4,0,1),0),0)</f>
        <v>0</v>
      </c>
      <c r="BI164" s="196">
        <f ca="1">IF(AH164,_xll.xEURO(BB164,Strike1,AE164,AE164,BF164,O164,IF(OptControl=4,0,1),1),0)</f>
        <v>0</v>
      </c>
      <c r="BJ164" s="196">
        <f ca="1">IF(AH164,_xll.xEURO(BB164,Strike1,AE164,AE164,BF164,O164,IF(OptControl=4,0,1),2),0)</f>
        <v>0</v>
      </c>
      <c r="BK164" s="196">
        <f ca="1">IF(AH164,_xll.xEURO(BB164,Strike1,AE164,AE164,BF164,O164,IF(OptControl=4,0,1),3)/100,0)</f>
        <v>0</v>
      </c>
      <c r="BL164" s="196">
        <f ca="1">IF(AH164,_xll.xEURO(BB164,Strike1,AE164,AE164,BF164,O164-DaysForThetaCalculation,IF(OptControl=4,0,1),0)-_xll.xEURO(BB164,Strike1,AE164,AE164,BF164,O164,IF(OptControl=4,0,1),0),0)</f>
        <v>0</v>
      </c>
      <c r="BM164" s="196">
        <f ca="1">IF(AH164,_xll.xEURO(BB164,Strike2,AE164,AE164,BG164,O164,IF(OptControl=3,1,0),0),0)</f>
        <v>0</v>
      </c>
      <c r="BN164" s="196">
        <f ca="1">IF(AH164,_xll.xEURO(BB164,Strike2,AE164,AE164,BG164,O164,IF(OptControl=3,1,0),1),0)</f>
        <v>0</v>
      </c>
      <c r="BO164" s="196">
        <f ca="1">IF(AH164,_xll.xEURO(BB164,Strike2,AE164,AE164,BG164,O164,IF(OptControl=3,1,0),2),0)</f>
        <v>0</v>
      </c>
      <c r="BP164" s="196">
        <f ca="1">IF(AH164,_xll.xEURO(BB164,Strike2,AE164,AE164,BG164,O164,IF(OptControl=3,1,0),3)/100,0)</f>
        <v>0</v>
      </c>
      <c r="BQ164" s="197">
        <f ca="1">IF(AH164,_xll.xEURO(BB164,Strike2,AE164,AE164,BG164,O164-DaysForThetaCalculation,IF(OptControl=3,1,0),0)-_xll.xEURO(BB164,Strike2,AE164,AE164,BG164,O164,IF(OptControl=3,1,0),0),0)</f>
        <v>0</v>
      </c>
      <c r="BR164" s="301"/>
      <c r="BS164" s="114"/>
      <c r="BT164" s="345">
        <f t="shared" si="237"/>
        <v>0</v>
      </c>
      <c r="BU164" s="345">
        <f t="shared" ca="1" si="285"/>
        <v>-22.914285714285818</v>
      </c>
      <c r="BV164" s="73"/>
      <c r="BW164" s="345">
        <f t="shared" ca="1" si="282"/>
        <v>9.0236666666666725</v>
      </c>
      <c r="BX164" s="345">
        <f t="shared" ca="1" si="286"/>
        <v>77.065593826463669</v>
      </c>
      <c r="BY164" s="373">
        <f t="shared" ca="1" si="238"/>
        <v>76.042743764172585</v>
      </c>
      <c r="BZ164" s="114"/>
      <c r="CA164" s="345">
        <f t="shared" si="239"/>
        <v>0</v>
      </c>
      <c r="CB164" s="345">
        <f t="shared" ca="1" si="287"/>
        <v>-22.914285714285818</v>
      </c>
      <c r="CC164" s="345">
        <f t="shared" ca="1" si="283"/>
        <v>6.3986666666666761</v>
      </c>
      <c r="CD164" s="345">
        <f t="shared" ca="1" si="240"/>
        <v>69.792743764172613</v>
      </c>
      <c r="CE164" s="347">
        <f t="shared" ca="1" si="272"/>
        <v>-6.2499999999999716</v>
      </c>
      <c r="CF164" s="114"/>
      <c r="CG164" s="345">
        <f t="shared" si="241"/>
        <v>0</v>
      </c>
      <c r="CH164" s="345">
        <f t="shared" ca="1" si="242"/>
        <v>-22.914285714285818</v>
      </c>
      <c r="CI164" s="73"/>
      <c r="CJ164" s="345">
        <f t="shared" ca="1" si="290"/>
        <v>3.697000000000001</v>
      </c>
      <c r="CK164" s="345">
        <f t="shared" ca="1" si="284"/>
        <v>63.061246000376684</v>
      </c>
      <c r="CL164" s="345">
        <f t="shared" ca="1" si="243"/>
        <v>63.360204081632901</v>
      </c>
      <c r="CM164" s="114"/>
      <c r="CN164" s="345">
        <f t="shared" si="244"/>
        <v>0</v>
      </c>
      <c r="CO164" s="345">
        <f t="shared" ca="1" si="245"/>
        <v>-22.914285714285818</v>
      </c>
      <c r="CP164" s="345">
        <f t="shared" ca="1" si="292"/>
        <v>2.7729999999999979</v>
      </c>
      <c r="CQ164" s="345">
        <f t="shared" ca="1" si="246"/>
        <v>61.160204081632891</v>
      </c>
      <c r="CR164" s="347">
        <f t="shared" ca="1" si="273"/>
        <v>-2.2000000000000099</v>
      </c>
      <c r="CS164" s="114"/>
      <c r="CT164" s="345">
        <f t="shared" si="247"/>
        <v>0</v>
      </c>
      <c r="CU164" s="345">
        <f t="shared" si="274"/>
        <v>0</v>
      </c>
      <c r="CV164" s="345">
        <f t="shared" ca="1" si="291"/>
        <v>2.3999999999999937</v>
      </c>
      <c r="CW164" s="347">
        <f t="shared" ca="1" si="275"/>
        <v>65.760204081632892</v>
      </c>
      <c r="CX164" s="483"/>
      <c r="CY164" s="190">
        <f t="shared" si="248"/>
        <v>-0.15409999999999804</v>
      </c>
      <c r="CZ164" s="190">
        <f t="shared" ca="1" si="280"/>
        <v>-0.03</v>
      </c>
      <c r="DA164" s="354">
        <f t="shared" ca="1" si="249"/>
        <v>0.12409999999999805</v>
      </c>
      <c r="DB164" s="483"/>
      <c r="DC164" s="190">
        <f t="shared" si="250"/>
        <v>-0.15409999999999804</v>
      </c>
      <c r="DD164" s="190">
        <f t="shared" ca="1" si="281"/>
        <v>0.03</v>
      </c>
      <c r="DE164" s="354">
        <f t="shared" ca="1" si="251"/>
        <v>0.18409999999999804</v>
      </c>
      <c r="DG164" s="341"/>
      <c r="DH164" s="114"/>
      <c r="DI164" s="126">
        <f t="shared" ca="1" si="276"/>
        <v>-22.914285714285818</v>
      </c>
      <c r="DJ164" s="126">
        <f t="shared" ca="1" si="224"/>
        <v>-2</v>
      </c>
      <c r="DK164" s="356">
        <f t="shared" ca="1" si="225"/>
        <v>20.914285714285818</v>
      </c>
      <c r="DL164" s="114"/>
      <c r="DM164" s="126">
        <f t="shared" ca="1" si="277"/>
        <v>-22.914285714285818</v>
      </c>
      <c r="DN164" s="126">
        <f t="shared" ca="1" si="252"/>
        <v>-3</v>
      </c>
      <c r="DO164" s="356">
        <f t="shared" ca="1" si="226"/>
        <v>19.914285714285818</v>
      </c>
      <c r="DP164" s="114"/>
      <c r="DQ164" s="126">
        <f t="shared" ca="1" si="278"/>
        <v>-22.914285714285818</v>
      </c>
      <c r="DR164" s="126">
        <f t="shared" ca="1" si="253"/>
        <v>-6</v>
      </c>
      <c r="DS164" s="356">
        <f t="shared" ca="1" si="227"/>
        <v>16.914285714285818</v>
      </c>
      <c r="DT164" s="114"/>
      <c r="DU164" s="126">
        <f t="shared" ca="1" si="279"/>
        <v>-22.914285714285818</v>
      </c>
      <c r="DV164" s="126">
        <f t="shared" ca="1" si="254"/>
        <v>-5</v>
      </c>
      <c r="DW164" s="356">
        <f t="shared" ca="1" si="228"/>
        <v>17.914285714285818</v>
      </c>
    </row>
    <row r="165" spans="2:127" x14ac:dyDescent="0.25">
      <c r="B165" s="396">
        <v>40575</v>
      </c>
      <c r="C165" s="400">
        <v>40565</v>
      </c>
      <c r="I165" s="136">
        <f t="shared" ca="1" si="229"/>
        <v>41821</v>
      </c>
      <c r="J165" s="131">
        <f t="shared" ca="1" si="230"/>
        <v>41810</v>
      </c>
      <c r="K165" s="106">
        <f t="shared" ca="1" si="231"/>
        <v>0.60869565217391308</v>
      </c>
      <c r="L165" s="133">
        <f t="shared" ca="1" si="293"/>
        <v>114</v>
      </c>
      <c r="M165" s="134">
        <f t="shared" ca="1" si="294"/>
        <v>7</v>
      </c>
      <c r="N165" s="103">
        <f t="shared" ref="N165:N184" ca="1" si="297">NETWORKDAYS(I165,I166-1)</f>
        <v>23</v>
      </c>
      <c r="O165" s="104">
        <f t="shared" ca="1" si="232"/>
        <v>4861</v>
      </c>
      <c r="P165" s="105">
        <f t="shared" ca="1" si="295"/>
        <v>13.325119780971937</v>
      </c>
      <c r="Q165" s="105">
        <f t="shared" ca="1" si="296"/>
        <v>13.407255304585901</v>
      </c>
      <c r="R165" s="114">
        <v>22.900000000000105</v>
      </c>
      <c r="S165" s="198">
        <v>0</v>
      </c>
      <c r="T165" s="189">
        <f t="shared" si="233"/>
        <v>22.900000000000105</v>
      </c>
      <c r="U165" s="199">
        <f t="shared" ref="U165:U184" ca="1" si="298">R166*K165+R167*(1-K165)</f>
        <v>22.969565217391413</v>
      </c>
      <c r="V165" s="379">
        <f t="shared" ref="V165:V184" ca="1" si="299">T166*K165+T167*(1-K165)</f>
        <v>22.969565217391413</v>
      </c>
      <c r="W165" s="483">
        <v>0.15369999999999803</v>
      </c>
      <c r="X165" s="166" t="str">
        <f t="shared" ref="X165:X184" ca="1" si="300">IF($I165-DateToday+1&gt;=$A$10,"",IF($I165-DateToday+1&lt;$A$5,1,MATCH($I165-DateToday+1,$A$5:$A$10)))</f>
        <v/>
      </c>
      <c r="Y165" s="91">
        <f t="shared" ca="1" si="255"/>
        <v>4.8294430870008569E-4</v>
      </c>
      <c r="Z165" s="91">
        <f t="shared" ca="1" si="256"/>
        <v>1.2610982811474042E-4</v>
      </c>
      <c r="AA165" s="91">
        <f t="shared" ca="1" si="257"/>
        <v>3.9123661715009445E-5</v>
      </c>
      <c r="AB165" s="91">
        <f t="shared" ca="1" si="258"/>
        <v>8.8137785111582964E-5</v>
      </c>
      <c r="AC165" s="91">
        <f t="shared" ca="1" si="259"/>
        <v>2.8410022077690768E-4</v>
      </c>
      <c r="AD165" s="91">
        <f t="shared" ca="1" si="260"/>
        <v>1.0879769386394466E-3</v>
      </c>
      <c r="AE165" s="124">
        <v>7.3624531508946017E-2</v>
      </c>
      <c r="AF165" s="191">
        <f t="shared" ca="1" si="261"/>
        <v>0.37932266650755031</v>
      </c>
      <c r="AG165" s="189">
        <f t="shared" ca="1" si="234"/>
        <v>1</v>
      </c>
      <c r="AH165" s="192">
        <f t="shared" ref="AH165:AH184" ca="1" si="301">IF(OR(DateStart&gt;=I166,DateEnd&lt;I165),0,Volume*AG165)</f>
        <v>0</v>
      </c>
      <c r="AI165" s="192">
        <f t="shared" ref="AI165:AI180" ca="1" si="302">AH165*AF165</f>
        <v>0</v>
      </c>
      <c r="AJ165" s="192">
        <f t="shared" ref="AJ165:AJ184" ca="1" si="303">IF(OR(DateStart2&gt;=I166,DateEnd2&lt;I165),0,VolumeSwaption*AG165)</f>
        <v>0</v>
      </c>
      <c r="AK165" s="192">
        <f t="shared" ref="AK165:AK180" ca="1" si="304">AJ165*AF165</f>
        <v>0</v>
      </c>
      <c r="AL165" s="191" t="str">
        <f t="shared" ca="1" si="262"/>
        <v/>
      </c>
      <c r="AM165" s="191" t="str">
        <f t="shared" ca="1" si="263"/>
        <v/>
      </c>
      <c r="AN165" s="191" t="str">
        <f t="shared" ca="1" si="264"/>
        <v/>
      </c>
      <c r="AO165" s="193" t="str">
        <f t="shared" ca="1" si="265"/>
        <v/>
      </c>
      <c r="AP165" s="194" t="str">
        <f t="shared" ca="1" si="235"/>
        <v/>
      </c>
      <c r="AQ165" s="194" t="str">
        <f t="shared" ca="1" si="236"/>
        <v/>
      </c>
      <c r="AR165" s="195">
        <f ca="1">IF(AH165,_xll.xASN(AL165,Strike1,AE165,AP165,0,N165,0,P165,Q165,IF(OptControl=4,0,1),0),0)</f>
        <v>0</v>
      </c>
      <c r="AS165" s="196">
        <f ca="1">IF(AH165,_xll.xASN(AL165,Strike1,AE165,AP165,0,N165,0,P165,Q165,IF(OptControl=4,0,1),1),0)</f>
        <v>0</v>
      </c>
      <c r="AT165" s="196">
        <f ca="1">IF(AH165,_xll.xASN(AL165,Strike1,AE165,AP165,0,N165,0,P165,Q165,IF(OptControl=4,0,1),2),0)</f>
        <v>0</v>
      </c>
      <c r="AU165" s="196">
        <f ca="1">IF(AH165,_xll.xASN(AL165,Strike1,AE165,AP165,0,N165,0,P165,Q165,IF(OptControl=4,0,1),3)/100,0)</f>
        <v>0</v>
      </c>
      <c r="AV165" s="196">
        <f ca="1">IF(AH165,_xll.xASN(AL165,Strike1,AE165,AP165,0,N165,0,P165-DaysForThetaCalculation/365.25,Q165-DaysForThetaCalculation/365.25,IF(OptControl=4,0,1),0)-_xll.xASN(AL165,Strike1,AE165,AP165,0,N165,0,P165,Q165,IF(OptControl=4,0,1),0),0)</f>
        <v>0</v>
      </c>
      <c r="AW165" s="196">
        <f ca="1">IF(AH165,_xll.xASN(AL165,Strike2,AE165,AQ165,0,N165,0,P165,Q165,IF(OptControl=3,1,0),0),0)</f>
        <v>0</v>
      </c>
      <c r="AX165" s="196">
        <f ca="1">IF(AH165,_xll.xASN(AL165,Strike2,AE165,AQ165,0,N165,0,P165,Q165,IF(OptControl=3,1,0),1),0)</f>
        <v>0</v>
      </c>
      <c r="AY165" s="196">
        <f ca="1">IF(AH165,_xll.xASN(AL165,Strike2,AE165,AQ165,0,N165,0,P165,Q165,IF(OptControl=3,1,0),2),0)</f>
        <v>0</v>
      </c>
      <c r="AZ165" s="196">
        <f ca="1">IF(AH165,_xll.xASN(AL165,Strike2,AE165,AQ165,0,N165,0,P165,Q165,IF(OptControl=3,1,0),3)/100,0)</f>
        <v>0</v>
      </c>
      <c r="BA165" s="196">
        <f ca="1">IF(AH165,_xll.xASN(AL165,Strike2,AE165,AQ165,0,N165,0,P165-DaysForThetaCalculation/365.25,Q165-DaysForThetaCalculation/365.25,IF(OptControl=3,1,0),0)-_xll.xASN(AL165,Strike2,AE165,AQ165,0,N165,0,P165,Q165,IF(OptControl=3,1,0),0),0)</f>
        <v>0</v>
      </c>
      <c r="BB165" s="126" t="str">
        <f t="shared" ca="1" si="266"/>
        <v/>
      </c>
      <c r="BC165" s="191" t="str">
        <f t="shared" ca="1" si="267"/>
        <v/>
      </c>
      <c r="BD165" s="191" t="str">
        <f t="shared" ca="1" si="268"/>
        <v/>
      </c>
      <c r="BE165" s="190" t="str">
        <f t="shared" ca="1" si="269"/>
        <v/>
      </c>
      <c r="BF165" s="194" t="str">
        <f t="shared" ca="1" si="270"/>
        <v/>
      </c>
      <c r="BG165" s="194" t="str">
        <f t="shared" ca="1" si="271"/>
        <v/>
      </c>
      <c r="BH165" s="195">
        <f ca="1">IF(AH165,_xll.xEURO(BB165,Strike1,AE165,AE165,BF165,O165,IF(OptControl=4,0,1),0),0)</f>
        <v>0</v>
      </c>
      <c r="BI165" s="196">
        <f ca="1">IF(AH165,_xll.xEURO(BB165,Strike1,AE165,AE165,BF165,O165,IF(OptControl=4,0,1),1),0)</f>
        <v>0</v>
      </c>
      <c r="BJ165" s="196">
        <f ca="1">IF(AH165,_xll.xEURO(BB165,Strike1,AE165,AE165,BF165,O165,IF(OptControl=4,0,1),2),0)</f>
        <v>0</v>
      </c>
      <c r="BK165" s="196">
        <f ca="1">IF(AH165,_xll.xEURO(BB165,Strike1,AE165,AE165,BF165,O165,IF(OptControl=4,0,1),3)/100,0)</f>
        <v>0</v>
      </c>
      <c r="BL165" s="196">
        <f ca="1">IF(AH165,_xll.xEURO(BB165,Strike1,AE165,AE165,BF165,O165-DaysForThetaCalculation,IF(OptControl=4,0,1),0)-_xll.xEURO(BB165,Strike1,AE165,AE165,BF165,O165,IF(OptControl=4,0,1),0),0)</f>
        <v>0</v>
      </c>
      <c r="BM165" s="196">
        <f ca="1">IF(AH165,_xll.xEURO(BB165,Strike2,AE165,AE165,BG165,O165,IF(OptControl=3,1,0),0),0)</f>
        <v>0</v>
      </c>
      <c r="BN165" s="196">
        <f ca="1">IF(AH165,_xll.xEURO(BB165,Strike2,AE165,AE165,BG165,O165,IF(OptControl=3,1,0),1),0)</f>
        <v>0</v>
      </c>
      <c r="BO165" s="196">
        <f ca="1">IF(AH165,_xll.xEURO(BB165,Strike2,AE165,AE165,BG165,O165,IF(OptControl=3,1,0),2),0)</f>
        <v>0</v>
      </c>
      <c r="BP165" s="196">
        <f ca="1">IF(AH165,_xll.xEURO(BB165,Strike2,AE165,AE165,BG165,O165,IF(OptControl=3,1,0),3)/100,0)</f>
        <v>0</v>
      </c>
      <c r="BQ165" s="197">
        <f ca="1">IF(AH165,_xll.xEURO(BB165,Strike2,AE165,AE165,BG165,O165-DaysForThetaCalculation,IF(OptControl=3,1,0),0)-_xll.xEURO(BB165,Strike2,AE165,AE165,BG165,O165,IF(OptControl=3,1,0),0),0)</f>
        <v>0</v>
      </c>
      <c r="BR165" s="301"/>
      <c r="BS165" s="114"/>
      <c r="BT165" s="345">
        <f t="shared" si="237"/>
        <v>0</v>
      </c>
      <c r="BU165" s="345">
        <f t="shared" ca="1" si="285"/>
        <v>-22.969565217391413</v>
      </c>
      <c r="BV165" s="73"/>
      <c r="BW165" s="345">
        <f t="shared" ca="1" si="282"/>
        <v>8.4833636363636504</v>
      </c>
      <c r="BX165" s="345">
        <f t="shared" ca="1" si="286"/>
        <v>76.042743764172585</v>
      </c>
      <c r="BY165" s="373">
        <f t="shared" ca="1" si="238"/>
        <v>74.887925842273958</v>
      </c>
      <c r="BZ165" s="114"/>
      <c r="CA165" s="345">
        <f t="shared" si="239"/>
        <v>0</v>
      </c>
      <c r="CB165" s="345">
        <f t="shared" ca="1" si="287"/>
        <v>-22.969565217391413</v>
      </c>
      <c r="CC165" s="345">
        <f t="shared" ca="1" si="283"/>
        <v>6.0683636363636477</v>
      </c>
      <c r="CD165" s="345">
        <f t="shared" ca="1" si="240"/>
        <v>69.137925842273958</v>
      </c>
      <c r="CE165" s="347">
        <f t="shared" ca="1" si="272"/>
        <v>-5.75</v>
      </c>
      <c r="CF165" s="114"/>
      <c r="CG165" s="345">
        <f t="shared" si="241"/>
        <v>0</v>
      </c>
      <c r="CH165" s="345">
        <f t="shared" ca="1" si="242"/>
        <v>-22.969565217391413</v>
      </c>
      <c r="CI165" s="73"/>
      <c r="CJ165" s="345">
        <f t="shared" ca="1" si="290"/>
        <v>4.0360434782608738</v>
      </c>
      <c r="CK165" s="345">
        <f t="shared" ca="1" si="284"/>
        <v>63.360204081632901</v>
      </c>
      <c r="CL165" s="345">
        <f t="shared" ca="1" si="243"/>
        <v>64.29906832298164</v>
      </c>
      <c r="CM165" s="114"/>
      <c r="CN165" s="345">
        <f t="shared" si="244"/>
        <v>0</v>
      </c>
      <c r="CO165" s="345">
        <f t="shared" ca="1" si="245"/>
        <v>-22.969565217391413</v>
      </c>
      <c r="CP165" s="345">
        <f t="shared" ca="1" si="292"/>
        <v>3.1120434782608708</v>
      </c>
      <c r="CQ165" s="345">
        <f t="shared" ca="1" si="246"/>
        <v>62.09906832298163</v>
      </c>
      <c r="CR165" s="347">
        <f t="shared" ca="1" si="273"/>
        <v>-2.2000000000000099</v>
      </c>
      <c r="CS165" s="114"/>
      <c r="CT165" s="345">
        <f t="shared" si="247"/>
        <v>0</v>
      </c>
      <c r="CU165" s="345">
        <f t="shared" si="274"/>
        <v>0</v>
      </c>
      <c r="CV165" s="345">
        <f t="shared" ca="1" si="291"/>
        <v>2.3999999999999937</v>
      </c>
      <c r="CW165" s="347">
        <f t="shared" ca="1" si="275"/>
        <v>66.699068322981631</v>
      </c>
      <c r="CX165" s="483"/>
      <c r="CY165" s="190">
        <f t="shared" si="248"/>
        <v>-0.15369999999999803</v>
      </c>
      <c r="CZ165" s="190">
        <f t="shared" ca="1" si="280"/>
        <v>-0.03</v>
      </c>
      <c r="DA165" s="354">
        <f t="shared" ca="1" si="249"/>
        <v>0.12369999999999803</v>
      </c>
      <c r="DB165" s="483"/>
      <c r="DC165" s="190">
        <f t="shared" si="250"/>
        <v>-0.15369999999999803</v>
      </c>
      <c r="DD165" s="190">
        <f t="shared" ca="1" si="281"/>
        <v>0.03</v>
      </c>
      <c r="DE165" s="354">
        <f t="shared" ca="1" si="251"/>
        <v>0.18369999999999803</v>
      </c>
      <c r="DG165" s="341"/>
      <c r="DH165" s="114"/>
      <c r="DI165" s="126">
        <f t="shared" ca="1" si="276"/>
        <v>-22.969565217391413</v>
      </c>
      <c r="DJ165" s="126">
        <f t="shared" ca="1" si="224"/>
        <v>-2</v>
      </c>
      <c r="DK165" s="356">
        <f t="shared" ca="1" si="225"/>
        <v>20.969565217391413</v>
      </c>
      <c r="DL165" s="114"/>
      <c r="DM165" s="126">
        <f t="shared" ca="1" si="277"/>
        <v>-22.969565217391413</v>
      </c>
      <c r="DN165" s="126">
        <f t="shared" ca="1" si="252"/>
        <v>-3</v>
      </c>
      <c r="DO165" s="356">
        <f t="shared" ca="1" si="226"/>
        <v>19.969565217391413</v>
      </c>
      <c r="DP165" s="114"/>
      <c r="DQ165" s="126">
        <f t="shared" ca="1" si="278"/>
        <v>-22.969565217391413</v>
      </c>
      <c r="DR165" s="126">
        <f t="shared" ca="1" si="253"/>
        <v>-6</v>
      </c>
      <c r="DS165" s="356">
        <f t="shared" ca="1" si="227"/>
        <v>16.969565217391413</v>
      </c>
      <c r="DT165" s="114"/>
      <c r="DU165" s="126">
        <f t="shared" ca="1" si="279"/>
        <v>-22.969565217391413</v>
      </c>
      <c r="DV165" s="126">
        <f t="shared" ca="1" si="254"/>
        <v>-5</v>
      </c>
      <c r="DW165" s="356">
        <f t="shared" ca="1" si="228"/>
        <v>17.969565217391413</v>
      </c>
    </row>
    <row r="166" spans="2:127" x14ac:dyDescent="0.25">
      <c r="B166" s="396">
        <v>40603</v>
      </c>
      <c r="C166" s="400">
        <v>40594</v>
      </c>
      <c r="I166" s="136">
        <f t="shared" ref="I166:I187" ca="1" si="305">EOMONTH(I165,0)+1</f>
        <v>41852</v>
      </c>
      <c r="J166" s="131">
        <f t="shared" ca="1" si="230"/>
        <v>41840</v>
      </c>
      <c r="K166" s="106">
        <f t="shared" ref="K166:K184" ca="1" si="306">NETWORKDAYS(I166,J167)/N166</f>
        <v>0.7142857142857143</v>
      </c>
      <c r="L166" s="133">
        <f t="shared" ca="1" si="293"/>
        <v>114</v>
      </c>
      <c r="M166" s="134">
        <f t="shared" ca="1" si="294"/>
        <v>8</v>
      </c>
      <c r="N166" s="103">
        <f t="shared" ca="1" si="297"/>
        <v>21</v>
      </c>
      <c r="O166" s="104">
        <f t="shared" ca="1" si="232"/>
        <v>4894</v>
      </c>
      <c r="P166" s="105">
        <f t="shared" ca="1" si="295"/>
        <v>13.409993155373032</v>
      </c>
      <c r="Q166" s="105">
        <f t="shared" ca="1" si="296"/>
        <v>13.492128678986996</v>
      </c>
      <c r="R166" s="114">
        <v>22.950000000000106</v>
      </c>
      <c r="S166" s="198">
        <v>0</v>
      </c>
      <c r="T166" s="189">
        <f t="shared" si="233"/>
        <v>22.950000000000106</v>
      </c>
      <c r="U166" s="199">
        <f t="shared" ca="1" si="298"/>
        <v>23.014285714285819</v>
      </c>
      <c r="V166" s="379">
        <f t="shared" ca="1" si="299"/>
        <v>23.014285714285819</v>
      </c>
      <c r="W166" s="483">
        <v>0.15329999999999802</v>
      </c>
      <c r="X166" s="166" t="str">
        <f t="shared" ca="1" si="300"/>
        <v/>
      </c>
      <c r="Y166" s="91">
        <f t="shared" ca="1" si="255"/>
        <v>4.7260520557398884E-4</v>
      </c>
      <c r="Z166" s="91">
        <f t="shared" ca="1" si="256"/>
        <v>1.2274926490302336E-4</v>
      </c>
      <c r="AA166" s="91">
        <f t="shared" ca="1" si="257"/>
        <v>3.7978979874444247E-5</v>
      </c>
      <c r="AB166" s="91">
        <f t="shared" ca="1" si="258"/>
        <v>8.5559045861157603E-5</v>
      </c>
      <c r="AC166" s="91">
        <f t="shared" ca="1" si="259"/>
        <v>2.765295439735509E-4</v>
      </c>
      <c r="AD166" s="91">
        <f t="shared" ca="1" si="260"/>
        <v>1.0646850071169764E-3</v>
      </c>
      <c r="AE166" s="124">
        <v>7.3620569950366019E-2</v>
      </c>
      <c r="AF166" s="191">
        <f t="shared" ca="1" si="261"/>
        <v>0.37702151848387183</v>
      </c>
      <c r="AG166" s="189">
        <f t="shared" ref="AG166:AG184" ca="1" si="307">AG165*(1+IF(AND(M166=1,L166&gt;YearStart),Escalation,0))</f>
        <v>1</v>
      </c>
      <c r="AH166" s="192">
        <f t="shared" ca="1" si="301"/>
        <v>0</v>
      </c>
      <c r="AI166" s="192">
        <f t="shared" ca="1" si="302"/>
        <v>0</v>
      </c>
      <c r="AJ166" s="192">
        <f t="shared" ca="1" si="303"/>
        <v>0</v>
      </c>
      <c r="AK166" s="192">
        <f t="shared" ca="1" si="304"/>
        <v>0</v>
      </c>
      <c r="AL166" s="191" t="str">
        <f t="shared" ca="1" si="262"/>
        <v/>
      </c>
      <c r="AM166" s="191" t="str">
        <f t="shared" ca="1" si="263"/>
        <v/>
      </c>
      <c r="AN166" s="191" t="str">
        <f t="shared" ca="1" si="264"/>
        <v/>
      </c>
      <c r="AO166" s="193" t="str">
        <f t="shared" ca="1" si="265"/>
        <v/>
      </c>
      <c r="AP166" s="194" t="str">
        <f t="shared" ca="1" si="235"/>
        <v/>
      </c>
      <c r="AQ166" s="194" t="str">
        <f t="shared" ca="1" si="236"/>
        <v/>
      </c>
      <c r="AR166" s="195">
        <f ca="1">IF(AH166,_xll.xASN(AL166,Strike1,AE166,AP166,0,N166,0,P166,Q166,IF(OptControl=4,0,1),0),0)</f>
        <v>0</v>
      </c>
      <c r="AS166" s="196">
        <f ca="1">IF(AH166,_xll.xASN(AL166,Strike1,AE166,AP166,0,N166,0,P166,Q166,IF(OptControl=4,0,1),1),0)</f>
        <v>0</v>
      </c>
      <c r="AT166" s="196">
        <f ca="1">IF(AH166,_xll.xASN(AL166,Strike1,AE166,AP166,0,N166,0,P166,Q166,IF(OptControl=4,0,1),2),0)</f>
        <v>0</v>
      </c>
      <c r="AU166" s="196">
        <f ca="1">IF(AH166,_xll.xASN(AL166,Strike1,AE166,AP166,0,N166,0,P166,Q166,IF(OptControl=4,0,1),3)/100,0)</f>
        <v>0</v>
      </c>
      <c r="AV166" s="196">
        <f ca="1">IF(AH166,_xll.xASN(AL166,Strike1,AE166,AP166,0,N166,0,P166-DaysForThetaCalculation/365.25,Q166-DaysForThetaCalculation/365.25,IF(OptControl=4,0,1),0)-_xll.xASN(AL166,Strike1,AE166,AP166,0,N166,0,P166,Q166,IF(OptControl=4,0,1),0),0)</f>
        <v>0</v>
      </c>
      <c r="AW166" s="196">
        <f ca="1">IF(AH166,_xll.xASN(AL166,Strike2,AE166,AQ166,0,N166,0,P166,Q166,IF(OptControl=3,1,0),0),0)</f>
        <v>0</v>
      </c>
      <c r="AX166" s="196">
        <f ca="1">IF(AH166,_xll.xASN(AL166,Strike2,AE166,AQ166,0,N166,0,P166,Q166,IF(OptControl=3,1,0),1),0)</f>
        <v>0</v>
      </c>
      <c r="AY166" s="196">
        <f ca="1">IF(AH166,_xll.xASN(AL166,Strike2,AE166,AQ166,0,N166,0,P166,Q166,IF(OptControl=3,1,0),2),0)</f>
        <v>0</v>
      </c>
      <c r="AZ166" s="196">
        <f ca="1">IF(AH166,_xll.xASN(AL166,Strike2,AE166,AQ166,0,N166,0,P166,Q166,IF(OptControl=3,1,0),3)/100,0)</f>
        <v>0</v>
      </c>
      <c r="BA166" s="196">
        <f ca="1">IF(AH166,_xll.xASN(AL166,Strike2,AE166,AQ166,0,N166,0,P166-DaysForThetaCalculation/365.25,Q166-DaysForThetaCalculation/365.25,IF(OptControl=3,1,0),0)-_xll.xASN(AL166,Strike2,AE166,AQ166,0,N166,0,P166,Q166,IF(OptControl=3,1,0),0),0)</f>
        <v>0</v>
      </c>
      <c r="BB166" s="126" t="str">
        <f t="shared" ca="1" si="266"/>
        <v/>
      </c>
      <c r="BC166" s="191" t="str">
        <f t="shared" ca="1" si="267"/>
        <v/>
      </c>
      <c r="BD166" s="191" t="str">
        <f t="shared" ca="1" si="268"/>
        <v/>
      </c>
      <c r="BE166" s="190" t="str">
        <f t="shared" ca="1" si="269"/>
        <v/>
      </c>
      <c r="BF166" s="194" t="str">
        <f t="shared" ca="1" si="270"/>
        <v/>
      </c>
      <c r="BG166" s="194" t="str">
        <f t="shared" ca="1" si="271"/>
        <v/>
      </c>
      <c r="BH166" s="195">
        <f ca="1">IF(AH166,_xll.xEURO(BB166,Strike1,AE166,AE166,BF166,O166,IF(OptControl=4,0,1),0),0)</f>
        <v>0</v>
      </c>
      <c r="BI166" s="196">
        <f ca="1">IF(AH166,_xll.xEURO(BB166,Strike1,AE166,AE166,BF166,O166,IF(OptControl=4,0,1),1),0)</f>
        <v>0</v>
      </c>
      <c r="BJ166" s="196">
        <f ca="1">IF(AH166,_xll.xEURO(BB166,Strike1,AE166,AE166,BF166,O166,IF(OptControl=4,0,1),2),0)</f>
        <v>0</v>
      </c>
      <c r="BK166" s="196">
        <f ca="1">IF(AH166,_xll.xEURO(BB166,Strike1,AE166,AE166,BF166,O166,IF(OptControl=4,0,1),3)/100,0)</f>
        <v>0</v>
      </c>
      <c r="BL166" s="196">
        <f ca="1">IF(AH166,_xll.xEURO(BB166,Strike1,AE166,AE166,BF166,O166-DaysForThetaCalculation,IF(OptControl=4,0,1),0)-_xll.xEURO(BB166,Strike1,AE166,AE166,BF166,O166,IF(OptControl=4,0,1),0),0)</f>
        <v>0</v>
      </c>
      <c r="BM166" s="196">
        <f ca="1">IF(AH166,_xll.xEURO(BB166,Strike2,AE166,AE166,BG166,O166,IF(OptControl=3,1,0),0),0)</f>
        <v>0</v>
      </c>
      <c r="BN166" s="196">
        <f ca="1">IF(AH166,_xll.xEURO(BB166,Strike2,AE166,AE166,BG166,O166,IF(OptControl=3,1,0),1),0)</f>
        <v>0</v>
      </c>
      <c r="BO166" s="196">
        <f ca="1">IF(AH166,_xll.xEURO(BB166,Strike2,AE166,AE166,BG166,O166,IF(OptControl=3,1,0),2),0)</f>
        <v>0</v>
      </c>
      <c r="BP166" s="196">
        <f ca="1">IF(AH166,_xll.xEURO(BB166,Strike2,AE166,AE166,BG166,O166,IF(OptControl=3,1,0),3)/100,0)</f>
        <v>0</v>
      </c>
      <c r="BQ166" s="197">
        <f ca="1">IF(AH166,_xll.xEURO(BB166,Strike2,AE166,AE166,BG166,O166-DaysForThetaCalculation,IF(OptControl=3,1,0),0)-_xll.xEURO(BB166,Strike2,AE166,AE166,BG166,O166,IF(OptControl=3,1,0),0),0)</f>
        <v>0</v>
      </c>
      <c r="BR166" s="301"/>
      <c r="BS166" s="114"/>
      <c r="BT166" s="345">
        <f t="shared" si="237"/>
        <v>0</v>
      </c>
      <c r="BU166" s="345">
        <f t="shared" ca="1" si="285"/>
        <v>-23.014285714285819</v>
      </c>
      <c r="BV166" s="73"/>
      <c r="BW166" s="345">
        <f t="shared" ca="1" si="282"/>
        <v>7.9818695652173925</v>
      </c>
      <c r="BX166" s="345">
        <f t="shared" ca="1" si="286"/>
        <v>74.887925842273958</v>
      </c>
      <c r="BY166" s="373">
        <f t="shared" ca="1" si="238"/>
        <v>73.800369713102896</v>
      </c>
      <c r="BZ166" s="114"/>
      <c r="CA166" s="345">
        <f t="shared" si="239"/>
        <v>0</v>
      </c>
      <c r="CB166" s="345">
        <f t="shared" ca="1" si="287"/>
        <v>-23.014285714285819</v>
      </c>
      <c r="CC166" s="345">
        <f t="shared" ca="1" si="283"/>
        <v>5.5668695652173925</v>
      </c>
      <c r="CD166" s="345">
        <f t="shared" ca="1" si="240"/>
        <v>68.050369713102882</v>
      </c>
      <c r="CE166" s="347">
        <f t="shared" ca="1" si="272"/>
        <v>-5.7500000000000142</v>
      </c>
      <c r="CF166" s="114"/>
      <c r="CG166" s="345">
        <f t="shared" si="241"/>
        <v>0</v>
      </c>
      <c r="CH166" s="345">
        <f t="shared" ca="1" si="242"/>
        <v>-23.014285714285819</v>
      </c>
      <c r="CI166" s="73"/>
      <c r="CJ166" s="345">
        <f t="shared" ca="1" si="290"/>
        <v>4.4434545454545455</v>
      </c>
      <c r="CK166" s="345">
        <f t="shared" ca="1" si="284"/>
        <v>64.29906832298164</v>
      </c>
      <c r="CL166" s="345">
        <f t="shared" ca="1" si="243"/>
        <v>65.375572047000873</v>
      </c>
      <c r="CM166" s="114"/>
      <c r="CN166" s="345">
        <f t="shared" si="244"/>
        <v>0</v>
      </c>
      <c r="CO166" s="345">
        <f t="shared" ca="1" si="245"/>
        <v>-23.014285714285819</v>
      </c>
      <c r="CP166" s="345">
        <f t="shared" ca="1" si="292"/>
        <v>3.5194545454545452</v>
      </c>
      <c r="CQ166" s="345">
        <f t="shared" ca="1" si="246"/>
        <v>63.175572047000863</v>
      </c>
      <c r="CR166" s="347">
        <f t="shared" ca="1" si="273"/>
        <v>-2.2000000000000099</v>
      </c>
      <c r="CS166" s="114"/>
      <c r="CT166" s="345">
        <f t="shared" si="247"/>
        <v>0</v>
      </c>
      <c r="CU166" s="345">
        <f t="shared" si="274"/>
        <v>0</v>
      </c>
      <c r="CV166" s="345">
        <f t="shared" ca="1" si="291"/>
        <v>2.3999999999999937</v>
      </c>
      <c r="CW166" s="347">
        <f t="shared" ca="1" si="275"/>
        <v>67.775572047000864</v>
      </c>
      <c r="CX166" s="483"/>
      <c r="CY166" s="190">
        <f t="shared" si="248"/>
        <v>-0.15329999999999802</v>
      </c>
      <c r="CZ166" s="190">
        <f t="shared" ca="1" si="280"/>
        <v>-0.03</v>
      </c>
      <c r="DA166" s="354">
        <f t="shared" ca="1" si="249"/>
        <v>0.12329999999999802</v>
      </c>
      <c r="DB166" s="483"/>
      <c r="DC166" s="190">
        <f t="shared" si="250"/>
        <v>-0.15329999999999802</v>
      </c>
      <c r="DD166" s="190">
        <f t="shared" ca="1" si="281"/>
        <v>0.03</v>
      </c>
      <c r="DE166" s="354">
        <f t="shared" ca="1" si="251"/>
        <v>0.18329999999999802</v>
      </c>
      <c r="DG166" s="341"/>
      <c r="DH166" s="114"/>
      <c r="DI166" s="126">
        <f t="shared" ca="1" si="276"/>
        <v>-23.014285714285819</v>
      </c>
      <c r="DJ166" s="126">
        <f t="shared" ca="1" si="224"/>
        <v>-2</v>
      </c>
      <c r="DK166" s="356">
        <f t="shared" ca="1" si="225"/>
        <v>21.014285714285819</v>
      </c>
      <c r="DL166" s="114"/>
      <c r="DM166" s="126">
        <f t="shared" ca="1" si="277"/>
        <v>-23.014285714285819</v>
      </c>
      <c r="DN166" s="126">
        <f t="shared" ca="1" si="252"/>
        <v>-3</v>
      </c>
      <c r="DO166" s="356">
        <f t="shared" ca="1" si="226"/>
        <v>20.014285714285819</v>
      </c>
      <c r="DP166" s="114"/>
      <c r="DQ166" s="126">
        <f t="shared" ca="1" si="278"/>
        <v>-23.014285714285819</v>
      </c>
      <c r="DR166" s="126">
        <f t="shared" ca="1" si="253"/>
        <v>-6</v>
      </c>
      <c r="DS166" s="356">
        <f t="shared" ca="1" si="227"/>
        <v>17.014285714285819</v>
      </c>
      <c r="DT166" s="114"/>
      <c r="DU166" s="126">
        <f t="shared" ca="1" si="279"/>
        <v>-23.014285714285819</v>
      </c>
      <c r="DV166" s="126">
        <f t="shared" ca="1" si="254"/>
        <v>-5</v>
      </c>
      <c r="DW166" s="356">
        <f t="shared" ca="1" si="228"/>
        <v>18.014285714285819</v>
      </c>
    </row>
    <row r="167" spans="2:127" x14ac:dyDescent="0.25">
      <c r="B167" s="396">
        <v>40634</v>
      </c>
      <c r="C167" s="400">
        <v>40622</v>
      </c>
      <c r="I167" s="136">
        <f t="shared" ca="1" si="305"/>
        <v>41883</v>
      </c>
      <c r="J167" s="131">
        <f t="shared" ca="1" si="230"/>
        <v>41872</v>
      </c>
      <c r="K167" s="106">
        <f t="shared" ca="1" si="306"/>
        <v>0.68181818181818177</v>
      </c>
      <c r="L167" s="133">
        <f t="shared" ca="1" si="293"/>
        <v>114</v>
      </c>
      <c r="M167" s="134">
        <f t="shared" ca="1" si="294"/>
        <v>9</v>
      </c>
      <c r="N167" s="103">
        <f t="shared" ca="1" si="297"/>
        <v>22</v>
      </c>
      <c r="O167" s="104">
        <f t="shared" ca="1" si="232"/>
        <v>4923</v>
      </c>
      <c r="P167" s="105">
        <f t="shared" ca="1" si="295"/>
        <v>13.494866529774127</v>
      </c>
      <c r="Q167" s="105">
        <f t="shared" ca="1" si="296"/>
        <v>13.574264202600958</v>
      </c>
      <c r="R167" s="114">
        <v>23.000000000000107</v>
      </c>
      <c r="S167" s="198">
        <v>0</v>
      </c>
      <c r="T167" s="189">
        <f t="shared" si="233"/>
        <v>23.000000000000107</v>
      </c>
      <c r="U167" s="199">
        <f t="shared" ca="1" si="298"/>
        <v>23.065909090909194</v>
      </c>
      <c r="V167" s="379">
        <f t="shared" ca="1" si="299"/>
        <v>23.065909090909194</v>
      </c>
      <c r="W167" s="483">
        <v>0.15289999999999801</v>
      </c>
      <c r="X167" s="166" t="str">
        <f t="shared" ca="1" si="300"/>
        <v/>
      </c>
      <c r="Y167" s="91">
        <f t="shared" ref="Y167:Y184" ca="1" si="308">IF($X167="",Y166^2/Y165,INDEX(B$5:B$10,$X167)^((INDEX($A$5:$A$10,$X167+1)-($I167-DateToday+1))/(INDEX($A$5:$A$10,$X167+1)-INDEX($A$5:$A$10,$X167)))/INDEX(B$5:B$10,$X167+1)^((INDEX($A$5:$A$10,$X167)-($I167-DateToday+1))/(INDEX($A$5:$A$10,$X167+1)-INDEX($A$5:$A$10,$X167))))</f>
        <v>4.6248744692079777E-4</v>
      </c>
      <c r="Z167" s="91">
        <f t="shared" ref="Z167:Z184" ca="1" si="309">IF($X167="",Z166^2/Z165,INDEX(C$5:C$10,$X167)^((INDEX($A$5:$A$10,$X167+1)-($I167-DateToday+1))/(INDEX($A$5:$A$10,$X167+1)-INDEX($A$5:$A$10,$X167)))/INDEX(C$5:C$10,$X167+1)^((INDEX($A$5:$A$10,$X167)-($I167-DateToday+1))/(INDEX($A$5:$A$10,$X167+1)-INDEX($A$5:$A$10,$X167))))</f>
        <v>1.1947825367364404E-4</v>
      </c>
      <c r="AA167" s="91">
        <f t="shared" ref="AA167:AA184" ca="1" si="310">IF($X167="",AA166^2/AA165,INDEX(D$5:D$10,$X167)^((INDEX($A$5:$A$10,$X167+1)-($I167-DateToday+1))/(INDEX($A$5:$A$10,$X167+1)-INDEX($A$5:$A$10,$X167)))/INDEX(D$5:D$10,$X167+1)^((INDEX($A$5:$A$10,$X167)-($I167-DateToday+1))/(INDEX($A$5:$A$10,$X167+1)-INDEX($A$5:$A$10,$X167))))</f>
        <v>3.6867789186257994E-5</v>
      </c>
      <c r="AB167" s="91">
        <f t="shared" ref="AB167:AB184" ca="1" si="311">IF($X167="",AB166^2/AB165,INDEX(E$5:E$10,$X167)^((INDEX($A$5:$A$10,$X167+1)-($I167-DateToday+1))/(INDEX($A$5:$A$10,$X167+1)-INDEX($A$5:$A$10,$X167)))/INDEX(E$5:E$10,$X167+1)^((INDEX($A$5:$A$10,$X167)-($I167-DateToday+1))/(INDEX($A$5:$A$10,$X167+1)-INDEX($A$5:$A$10,$X167))))</f>
        <v>8.3055755478811532E-5</v>
      </c>
      <c r="AC167" s="91">
        <f t="shared" ref="AC167:AC184" ca="1" si="312">IF($X167="",AC166^2/AC165,INDEX(F$5:F$10,$X167)^((INDEX($A$5:$A$10,$X167+1)-($I167-DateToday+1))/(INDEX($A$5:$A$10,$X167+1)-INDEX($A$5:$A$10,$X167)))/INDEX(F$5:F$10,$X167+1)^((INDEX($A$5:$A$10,$X167)-($I167-DateToday+1))/(INDEX($A$5:$A$10,$X167+1)-INDEX($A$5:$A$10,$X167))))</f>
        <v>2.6916060987600463E-4</v>
      </c>
      <c r="AD167" s="91">
        <f t="shared" ref="AD167:AD184" ca="1" si="313">IF($X167="",AD166^2/AD165,INDEX(G$5:G$10,$X167)^((INDEX($A$5:$A$10,$X167+1)-($I167-DateToday+1))/(INDEX($A$5:$A$10,$X167+1)-INDEX($A$5:$A$10,$X167)))/INDEX(G$5:G$10,$X167+1)^((INDEX($A$5:$A$10,$X167)-($I167-DateToday+1))/(INDEX($A$5:$A$10,$X167+1)-INDEX($A$5:$A$10,$X167))))</f>
        <v>1.0418917204230685E-3</v>
      </c>
      <c r="AE167" s="124">
        <v>7.3616608391792029E-2</v>
      </c>
      <c r="AF167" s="191">
        <f t="shared" ca="1" si="261"/>
        <v>0.37480875212021297</v>
      </c>
      <c r="AG167" s="189">
        <f t="shared" ca="1" si="307"/>
        <v>1</v>
      </c>
      <c r="AH167" s="192">
        <f t="shared" ca="1" si="301"/>
        <v>0</v>
      </c>
      <c r="AI167" s="192">
        <f t="shared" ca="1" si="302"/>
        <v>0</v>
      </c>
      <c r="AJ167" s="192">
        <f t="shared" ca="1" si="303"/>
        <v>0</v>
      </c>
      <c r="AK167" s="192">
        <f t="shared" ca="1" si="304"/>
        <v>0</v>
      </c>
      <c r="AL167" s="191" t="str">
        <f t="shared" ca="1" si="262"/>
        <v/>
      </c>
      <c r="AM167" s="191" t="str">
        <f t="shared" ca="1" si="263"/>
        <v/>
      </c>
      <c r="AN167" s="191" t="str">
        <f t="shared" ca="1" si="264"/>
        <v/>
      </c>
      <c r="AO167" s="193" t="str">
        <f t="shared" ca="1" si="265"/>
        <v/>
      </c>
      <c r="AP167" s="194" t="str">
        <f t="shared" ca="1" si="235"/>
        <v/>
      </c>
      <c r="AQ167" s="194" t="str">
        <f t="shared" ca="1" si="236"/>
        <v/>
      </c>
      <c r="AR167" s="195">
        <f ca="1">IF(AH167,_xll.xASN(AL167,Strike1,AE167,AP167,0,N167,0,P167,Q167,IF(OptControl=4,0,1),0),0)</f>
        <v>0</v>
      </c>
      <c r="AS167" s="196">
        <f ca="1">IF(AH167,_xll.xASN(AL167,Strike1,AE167,AP167,0,N167,0,P167,Q167,IF(OptControl=4,0,1),1),0)</f>
        <v>0</v>
      </c>
      <c r="AT167" s="196">
        <f ca="1">IF(AH167,_xll.xASN(AL167,Strike1,AE167,AP167,0,N167,0,P167,Q167,IF(OptControl=4,0,1),2),0)</f>
        <v>0</v>
      </c>
      <c r="AU167" s="196">
        <f ca="1">IF(AH167,_xll.xASN(AL167,Strike1,AE167,AP167,0,N167,0,P167,Q167,IF(OptControl=4,0,1),3)/100,0)</f>
        <v>0</v>
      </c>
      <c r="AV167" s="196">
        <f ca="1">IF(AH167,_xll.xASN(AL167,Strike1,AE167,AP167,0,N167,0,P167-DaysForThetaCalculation/365.25,Q167-DaysForThetaCalculation/365.25,IF(OptControl=4,0,1),0)-_xll.xASN(AL167,Strike1,AE167,AP167,0,N167,0,P167,Q167,IF(OptControl=4,0,1),0),0)</f>
        <v>0</v>
      </c>
      <c r="AW167" s="196">
        <f ca="1">IF(AH167,_xll.xASN(AL167,Strike2,AE167,AQ167,0,N167,0,P167,Q167,IF(OptControl=3,1,0),0),0)</f>
        <v>0</v>
      </c>
      <c r="AX167" s="196">
        <f ca="1">IF(AH167,_xll.xASN(AL167,Strike2,AE167,AQ167,0,N167,0,P167,Q167,IF(OptControl=3,1,0),1),0)</f>
        <v>0</v>
      </c>
      <c r="AY167" s="196">
        <f ca="1">IF(AH167,_xll.xASN(AL167,Strike2,AE167,AQ167,0,N167,0,P167,Q167,IF(OptControl=3,1,0),2),0)</f>
        <v>0</v>
      </c>
      <c r="AZ167" s="196">
        <f ca="1">IF(AH167,_xll.xASN(AL167,Strike2,AE167,AQ167,0,N167,0,P167,Q167,IF(OptControl=3,1,0),3)/100,0)</f>
        <v>0</v>
      </c>
      <c r="BA167" s="196">
        <f ca="1">IF(AH167,_xll.xASN(AL167,Strike2,AE167,AQ167,0,N167,0,P167-DaysForThetaCalculation/365.25,Q167-DaysForThetaCalculation/365.25,IF(OptControl=3,1,0),0)-_xll.xASN(AL167,Strike2,AE167,AQ167,0,N167,0,P167,Q167,IF(OptControl=3,1,0),0),0)</f>
        <v>0</v>
      </c>
      <c r="BB167" s="126" t="str">
        <f t="shared" ca="1" si="266"/>
        <v/>
      </c>
      <c r="BC167" s="191" t="str">
        <f t="shared" ca="1" si="267"/>
        <v/>
      </c>
      <c r="BD167" s="191" t="str">
        <f t="shared" ca="1" si="268"/>
        <v/>
      </c>
      <c r="BE167" s="190" t="str">
        <f t="shared" ca="1" si="269"/>
        <v/>
      </c>
      <c r="BF167" s="194" t="str">
        <f t="shared" ca="1" si="270"/>
        <v/>
      </c>
      <c r="BG167" s="194" t="str">
        <f t="shared" ca="1" si="271"/>
        <v/>
      </c>
      <c r="BH167" s="195">
        <f ca="1">IF(AH167,_xll.xEURO(BB167,Strike1,AE167,AE167,BF167,O167,IF(OptControl=4,0,1),0),0)</f>
        <v>0</v>
      </c>
      <c r="BI167" s="196">
        <f ca="1">IF(AH167,_xll.xEURO(BB167,Strike1,AE167,AE167,BF167,O167,IF(OptControl=4,0,1),1),0)</f>
        <v>0</v>
      </c>
      <c r="BJ167" s="196">
        <f ca="1">IF(AH167,_xll.xEURO(BB167,Strike1,AE167,AE167,BF167,O167,IF(OptControl=4,0,1),2),0)</f>
        <v>0</v>
      </c>
      <c r="BK167" s="196">
        <f ca="1">IF(AH167,_xll.xEURO(BB167,Strike1,AE167,AE167,BF167,O167,IF(OptControl=4,0,1),3)/100,0)</f>
        <v>0</v>
      </c>
      <c r="BL167" s="196">
        <f ca="1">IF(AH167,_xll.xEURO(BB167,Strike1,AE167,AE167,BF167,O167-DaysForThetaCalculation,IF(OptControl=4,0,1),0)-_xll.xEURO(BB167,Strike1,AE167,AE167,BF167,O167,IF(OptControl=4,0,1),0),0)</f>
        <v>0</v>
      </c>
      <c r="BM167" s="196">
        <f ca="1">IF(AH167,_xll.xEURO(BB167,Strike2,AE167,AE167,BG167,O167,IF(OptControl=3,1,0),0),0)</f>
        <v>0</v>
      </c>
      <c r="BN167" s="196">
        <f ca="1">IF(AH167,_xll.xEURO(BB167,Strike2,AE167,AE167,BG167,O167,IF(OptControl=3,1,0),1),0)</f>
        <v>0</v>
      </c>
      <c r="BO167" s="196">
        <f ca="1">IF(AH167,_xll.xEURO(BB167,Strike2,AE167,AE167,BG167,O167,IF(OptControl=3,1,0),2),0)</f>
        <v>0</v>
      </c>
      <c r="BP167" s="196">
        <f ca="1">IF(AH167,_xll.xEURO(BB167,Strike2,AE167,AE167,BG167,O167,IF(OptControl=3,1,0),3)/100,0)</f>
        <v>0</v>
      </c>
      <c r="BQ167" s="197">
        <f ca="1">IF(AH167,_xll.xEURO(BB167,Strike2,AE167,AE167,BG167,O167-DaysForThetaCalculation,IF(OptControl=3,1,0),0)-_xll.xEURO(BB167,Strike2,AE167,AE167,BG167,O167,IF(OptControl=3,1,0),0),0)</f>
        <v>0</v>
      </c>
      <c r="BR167" s="301"/>
      <c r="BS167" s="114"/>
      <c r="BT167" s="345">
        <f t="shared" si="237"/>
        <v>0</v>
      </c>
      <c r="BU167" s="345">
        <f t="shared" ca="1" si="285"/>
        <v>-23.065909090909194</v>
      </c>
      <c r="BV167" s="73"/>
      <c r="BW167" s="345">
        <f t="shared" ca="1" si="282"/>
        <v>6.8990000000000062</v>
      </c>
      <c r="BX167" s="345">
        <f t="shared" ca="1" si="286"/>
        <v>73.800369713102896</v>
      </c>
      <c r="BY167" s="373">
        <f t="shared" ca="1" si="238"/>
        <v>71.345021645021916</v>
      </c>
      <c r="BZ167" s="114"/>
      <c r="CA167" s="345">
        <f t="shared" si="239"/>
        <v>0</v>
      </c>
      <c r="CB167" s="345">
        <f t="shared" ca="1" si="287"/>
        <v>-23.065909090909194</v>
      </c>
      <c r="CC167" s="345">
        <f t="shared" ca="1" si="283"/>
        <v>4.4840000000000027</v>
      </c>
      <c r="CD167" s="345">
        <f t="shared" ca="1" si="240"/>
        <v>65.595021645021887</v>
      </c>
      <c r="CE167" s="347">
        <f t="shared" ca="1" si="272"/>
        <v>-5.7500000000000284</v>
      </c>
      <c r="CF167" s="114"/>
      <c r="CG167" s="345">
        <f t="shared" si="241"/>
        <v>0</v>
      </c>
      <c r="CH167" s="345">
        <f t="shared" ca="1" si="242"/>
        <v>-23.065909090909194</v>
      </c>
      <c r="CI167" s="73"/>
      <c r="CJ167" s="345">
        <f t="shared" ca="1" si="290"/>
        <v>4.7910000000000021</v>
      </c>
      <c r="CK167" s="345">
        <f t="shared" ca="1" si="284"/>
        <v>65.375572047000873</v>
      </c>
      <c r="CL167" s="345">
        <f t="shared" ca="1" si="243"/>
        <v>66.325974025974276</v>
      </c>
      <c r="CM167" s="114"/>
      <c r="CN167" s="345">
        <f t="shared" si="244"/>
        <v>0</v>
      </c>
      <c r="CO167" s="345">
        <f t="shared" ca="1" si="245"/>
        <v>-23.065909090909194</v>
      </c>
      <c r="CP167" s="345">
        <f t="shared" ca="1" si="292"/>
        <v>3.9802857142857118</v>
      </c>
      <c r="CQ167" s="345">
        <f t="shared" ca="1" si="246"/>
        <v>64.395701917130737</v>
      </c>
      <c r="CR167" s="347">
        <f t="shared" ca="1" si="273"/>
        <v>-1.9302721088435391</v>
      </c>
      <c r="CS167" s="114"/>
      <c r="CT167" s="345">
        <f t="shared" si="247"/>
        <v>0</v>
      </c>
      <c r="CU167" s="345">
        <f t="shared" si="274"/>
        <v>0</v>
      </c>
      <c r="CV167" s="345">
        <f t="shared" ca="1" si="291"/>
        <v>2.4000000000000079</v>
      </c>
      <c r="CW167" s="347">
        <f t="shared" ca="1" si="275"/>
        <v>68.725974025974281</v>
      </c>
      <c r="CX167" s="483"/>
      <c r="CY167" s="190">
        <f t="shared" si="248"/>
        <v>-0.15289999999999801</v>
      </c>
      <c r="CZ167" s="190">
        <f t="shared" ca="1" si="280"/>
        <v>-0.03</v>
      </c>
      <c r="DA167" s="354">
        <f t="shared" ca="1" si="249"/>
        <v>0.12289999999999801</v>
      </c>
      <c r="DB167" s="483"/>
      <c r="DC167" s="190">
        <f t="shared" si="250"/>
        <v>-0.15289999999999801</v>
      </c>
      <c r="DD167" s="190">
        <f t="shared" ca="1" si="281"/>
        <v>0.03</v>
      </c>
      <c r="DE167" s="354">
        <f t="shared" ca="1" si="251"/>
        <v>0.18289999999999801</v>
      </c>
      <c r="DG167" s="341"/>
      <c r="DH167" s="114"/>
      <c r="DI167" s="126">
        <f t="shared" ca="1" si="276"/>
        <v>-23.065909090909194</v>
      </c>
      <c r="DJ167" s="126">
        <f t="shared" ca="1" si="224"/>
        <v>-2</v>
      </c>
      <c r="DK167" s="356">
        <f t="shared" ca="1" si="225"/>
        <v>21.065909090909194</v>
      </c>
      <c r="DL167" s="114"/>
      <c r="DM167" s="126">
        <f t="shared" ca="1" si="277"/>
        <v>-23.065909090909194</v>
      </c>
      <c r="DN167" s="126">
        <f t="shared" ca="1" si="252"/>
        <v>-3</v>
      </c>
      <c r="DO167" s="356">
        <f t="shared" ca="1" si="226"/>
        <v>20.065909090909194</v>
      </c>
      <c r="DP167" s="114"/>
      <c r="DQ167" s="126">
        <f t="shared" ca="1" si="278"/>
        <v>-23.065909090909194</v>
      </c>
      <c r="DR167" s="126">
        <f t="shared" ca="1" si="253"/>
        <v>-6</v>
      </c>
      <c r="DS167" s="356">
        <f t="shared" ca="1" si="227"/>
        <v>17.065909090909194</v>
      </c>
      <c r="DT167" s="114"/>
      <c r="DU167" s="126">
        <f t="shared" ca="1" si="279"/>
        <v>-23.065909090909194</v>
      </c>
      <c r="DV167" s="126">
        <f t="shared" ca="1" si="254"/>
        <v>-5</v>
      </c>
      <c r="DW167" s="356">
        <f t="shared" ca="1" si="228"/>
        <v>18.065909090909194</v>
      </c>
    </row>
    <row r="168" spans="2:127" x14ac:dyDescent="0.25">
      <c r="B168" s="396">
        <v>40664</v>
      </c>
      <c r="C168" s="400">
        <v>40653</v>
      </c>
      <c r="I168" s="136">
        <f t="shared" ca="1" si="305"/>
        <v>41913</v>
      </c>
      <c r="J168" s="131">
        <f t="shared" ca="1" si="230"/>
        <v>41902</v>
      </c>
      <c r="K168" s="106">
        <f t="shared" ca="1" si="306"/>
        <v>0.69565217391304346</v>
      </c>
      <c r="L168" s="133">
        <f t="shared" ca="1" si="293"/>
        <v>114</v>
      </c>
      <c r="M168" s="134">
        <f t="shared" ca="1" si="294"/>
        <v>10</v>
      </c>
      <c r="N168" s="103">
        <f t="shared" ca="1" si="297"/>
        <v>23</v>
      </c>
      <c r="O168" s="104">
        <f t="shared" ca="1" si="232"/>
        <v>4953</v>
      </c>
      <c r="P168" s="105">
        <f t="shared" ca="1" si="295"/>
        <v>13.577002053388091</v>
      </c>
      <c r="Q168" s="105">
        <f t="shared" ca="1" si="296"/>
        <v>13.659137577002053</v>
      </c>
      <c r="R168" s="114">
        <v>23.050000000000104</v>
      </c>
      <c r="S168" s="198">
        <v>0</v>
      </c>
      <c r="T168" s="189">
        <f t="shared" si="233"/>
        <v>23.050000000000104</v>
      </c>
      <c r="U168" s="199">
        <f t="shared" ca="1" si="298"/>
        <v>23.115217391304451</v>
      </c>
      <c r="V168" s="379">
        <f t="shared" ca="1" si="299"/>
        <v>23.115217391304451</v>
      </c>
      <c r="W168" s="483">
        <v>0.15249999999999803</v>
      </c>
      <c r="X168" s="166" t="str">
        <f t="shared" ca="1" si="300"/>
        <v/>
      </c>
      <c r="Y168" s="91">
        <f t="shared" ca="1" si="308"/>
        <v>4.5258629409199641E-4</v>
      </c>
      <c r="Z168" s="91">
        <f t="shared" ca="1" si="309"/>
        <v>1.162944080535348E-4</v>
      </c>
      <c r="AA168" s="91">
        <f t="shared" ca="1" si="310"/>
        <v>3.5789109764819662E-5</v>
      </c>
      <c r="AB168" s="91">
        <f t="shared" ca="1" si="311"/>
        <v>8.0625706478195167E-5</v>
      </c>
      <c r="AC168" s="91">
        <f t="shared" ca="1" si="312"/>
        <v>2.6198804246302203E-4</v>
      </c>
      <c r="AD168" s="91">
        <f t="shared" ca="1" si="313"/>
        <v>1.0195864033303457E-3</v>
      </c>
      <c r="AE168" s="124">
        <v>7.3612774625434016E-2</v>
      </c>
      <c r="AF168" s="191">
        <f t="shared" ca="1" si="261"/>
        <v>0.3725348398368532</v>
      </c>
      <c r="AG168" s="189">
        <f t="shared" ca="1" si="307"/>
        <v>1</v>
      </c>
      <c r="AH168" s="192">
        <f t="shared" ca="1" si="301"/>
        <v>0</v>
      </c>
      <c r="AI168" s="192">
        <f t="shared" ca="1" si="302"/>
        <v>0</v>
      </c>
      <c r="AJ168" s="192">
        <f t="shared" ca="1" si="303"/>
        <v>0</v>
      </c>
      <c r="AK168" s="192">
        <f t="shared" ca="1" si="304"/>
        <v>0</v>
      </c>
      <c r="AL168" s="191" t="str">
        <f t="shared" ca="1" si="262"/>
        <v/>
      </c>
      <c r="AM168" s="191" t="str">
        <f t="shared" ca="1" si="263"/>
        <v/>
      </c>
      <c r="AN168" s="191" t="str">
        <f t="shared" ca="1" si="264"/>
        <v/>
      </c>
      <c r="AO168" s="193" t="str">
        <f t="shared" ca="1" si="265"/>
        <v/>
      </c>
      <c r="AP168" s="194" t="str">
        <f t="shared" ca="1" si="235"/>
        <v/>
      </c>
      <c r="AQ168" s="194" t="str">
        <f t="shared" ca="1" si="236"/>
        <v/>
      </c>
      <c r="AR168" s="195">
        <f ca="1">IF(AH168,_xll.xASN(AL168,Strike1,AE168,AP168,0,N168,0,P168,Q168,IF(OptControl=4,0,1),0),0)</f>
        <v>0</v>
      </c>
      <c r="AS168" s="196">
        <f ca="1">IF(AH168,_xll.xASN(AL168,Strike1,AE168,AP168,0,N168,0,P168,Q168,IF(OptControl=4,0,1),1),0)</f>
        <v>0</v>
      </c>
      <c r="AT168" s="196">
        <f ca="1">IF(AH168,_xll.xASN(AL168,Strike1,AE168,AP168,0,N168,0,P168,Q168,IF(OptControl=4,0,1),2),0)</f>
        <v>0</v>
      </c>
      <c r="AU168" s="196">
        <f ca="1">IF(AH168,_xll.xASN(AL168,Strike1,AE168,AP168,0,N168,0,P168,Q168,IF(OptControl=4,0,1),3)/100,0)</f>
        <v>0</v>
      </c>
      <c r="AV168" s="196">
        <f ca="1">IF(AH168,_xll.xASN(AL168,Strike1,AE168,AP168,0,N168,0,P168-DaysForThetaCalculation/365.25,Q168-DaysForThetaCalculation/365.25,IF(OptControl=4,0,1),0)-_xll.xASN(AL168,Strike1,AE168,AP168,0,N168,0,P168,Q168,IF(OptControl=4,0,1),0),0)</f>
        <v>0</v>
      </c>
      <c r="AW168" s="196">
        <f ca="1">IF(AH168,_xll.xASN(AL168,Strike2,AE168,AQ168,0,N168,0,P168,Q168,IF(OptControl=3,1,0),0),0)</f>
        <v>0</v>
      </c>
      <c r="AX168" s="196">
        <f ca="1">IF(AH168,_xll.xASN(AL168,Strike2,AE168,AQ168,0,N168,0,P168,Q168,IF(OptControl=3,1,0),1),0)</f>
        <v>0</v>
      </c>
      <c r="AY168" s="196">
        <f ca="1">IF(AH168,_xll.xASN(AL168,Strike2,AE168,AQ168,0,N168,0,P168,Q168,IF(OptControl=3,1,0),2),0)</f>
        <v>0</v>
      </c>
      <c r="AZ168" s="196">
        <f ca="1">IF(AH168,_xll.xASN(AL168,Strike2,AE168,AQ168,0,N168,0,P168,Q168,IF(OptControl=3,1,0),3)/100,0)</f>
        <v>0</v>
      </c>
      <c r="BA168" s="196">
        <f ca="1">IF(AH168,_xll.xASN(AL168,Strike2,AE168,AQ168,0,N168,0,P168-DaysForThetaCalculation/365.25,Q168-DaysForThetaCalculation/365.25,IF(OptControl=3,1,0),0)-_xll.xASN(AL168,Strike2,AE168,AQ168,0,N168,0,P168,Q168,IF(OptControl=3,1,0),0),0)</f>
        <v>0</v>
      </c>
      <c r="BB168" s="126" t="str">
        <f t="shared" ca="1" si="266"/>
        <v/>
      </c>
      <c r="BC168" s="191" t="str">
        <f t="shared" ca="1" si="267"/>
        <v/>
      </c>
      <c r="BD168" s="191" t="str">
        <f t="shared" ca="1" si="268"/>
        <v/>
      </c>
      <c r="BE168" s="190" t="str">
        <f t="shared" ca="1" si="269"/>
        <v/>
      </c>
      <c r="BF168" s="194" t="str">
        <f t="shared" ca="1" si="270"/>
        <v/>
      </c>
      <c r="BG168" s="194" t="str">
        <f t="shared" ca="1" si="271"/>
        <v/>
      </c>
      <c r="BH168" s="195">
        <f ca="1">IF(AH168,_xll.xEURO(BB168,Strike1,AE168,AE168,BF168,O168,IF(OptControl=4,0,1),0),0)</f>
        <v>0</v>
      </c>
      <c r="BI168" s="196">
        <f ca="1">IF(AH168,_xll.xEURO(BB168,Strike1,AE168,AE168,BF168,O168,IF(OptControl=4,0,1),1),0)</f>
        <v>0</v>
      </c>
      <c r="BJ168" s="196">
        <f ca="1">IF(AH168,_xll.xEURO(BB168,Strike1,AE168,AE168,BF168,O168,IF(OptControl=4,0,1),2),0)</f>
        <v>0</v>
      </c>
      <c r="BK168" s="196">
        <f ca="1">IF(AH168,_xll.xEURO(BB168,Strike1,AE168,AE168,BF168,O168,IF(OptControl=4,0,1),3)/100,0)</f>
        <v>0</v>
      </c>
      <c r="BL168" s="196">
        <f ca="1">IF(AH168,_xll.xEURO(BB168,Strike1,AE168,AE168,BF168,O168-DaysForThetaCalculation,IF(OptControl=4,0,1),0)-_xll.xEURO(BB168,Strike1,AE168,AE168,BF168,O168,IF(OptControl=4,0,1),0),0)</f>
        <v>0</v>
      </c>
      <c r="BM168" s="196">
        <f ca="1">IF(AH168,_xll.xEURO(BB168,Strike2,AE168,AE168,BG168,O168,IF(OptControl=3,1,0),0),0)</f>
        <v>0</v>
      </c>
      <c r="BN168" s="196">
        <f ca="1">IF(AH168,_xll.xEURO(BB168,Strike2,AE168,AE168,BG168,O168,IF(OptControl=3,1,0),1),0)</f>
        <v>0</v>
      </c>
      <c r="BO168" s="196">
        <f ca="1">IF(AH168,_xll.xEURO(BB168,Strike2,AE168,AE168,BG168,O168,IF(OptControl=3,1,0),2),0)</f>
        <v>0</v>
      </c>
      <c r="BP168" s="196">
        <f ca="1">IF(AH168,_xll.xEURO(BB168,Strike2,AE168,AE168,BG168,O168,IF(OptControl=3,1,0),3)/100,0)</f>
        <v>0</v>
      </c>
      <c r="BQ168" s="197">
        <f ca="1">IF(AH168,_xll.xEURO(BB168,Strike2,AE168,AE168,BG168,O168-DaysForThetaCalculation,IF(OptControl=3,1,0),0)-_xll.xEURO(BB168,Strike2,AE168,AE168,BG168,O168,IF(OptControl=3,1,0),0),0)</f>
        <v>0</v>
      </c>
      <c r="BR168" s="301"/>
      <c r="BS168" s="114"/>
      <c r="BT168" s="345">
        <f t="shared" si="237"/>
        <v>0</v>
      </c>
      <c r="BU168" s="345">
        <f t="shared" ca="1" si="285"/>
        <v>-23.115217391304451</v>
      </c>
      <c r="BV168" s="73"/>
      <c r="BW168" s="345">
        <f t="shared" ca="1" si="282"/>
        <v>6.4917826086956598</v>
      </c>
      <c r="BX168" s="345">
        <f t="shared" ca="1" si="286"/>
        <v>71.345021645021916</v>
      </c>
      <c r="BY168" s="373">
        <f t="shared" ca="1" si="238"/>
        <v>70.492857142857403</v>
      </c>
      <c r="BZ168" s="114"/>
      <c r="CA168" s="345">
        <f t="shared" si="239"/>
        <v>0</v>
      </c>
      <c r="CB168" s="345">
        <f t="shared" ca="1" si="287"/>
        <v>-23.115217391304451</v>
      </c>
      <c r="CC168" s="345">
        <f t="shared" ca="1" si="283"/>
        <v>4.1817826086956558</v>
      </c>
      <c r="CD168" s="345">
        <f t="shared" ca="1" si="240"/>
        <v>64.992857142857403</v>
      </c>
      <c r="CE168" s="347">
        <f t="shared" ca="1" si="272"/>
        <v>-5.5</v>
      </c>
      <c r="CF168" s="114"/>
      <c r="CG168" s="345">
        <f t="shared" si="241"/>
        <v>0</v>
      </c>
      <c r="CH168" s="345">
        <f t="shared" ca="1" si="242"/>
        <v>-23.115217391304451</v>
      </c>
      <c r="CI168" s="73"/>
      <c r="CJ168" s="345">
        <f t="shared" ca="1" si="290"/>
        <v>5.349782608695655</v>
      </c>
      <c r="CK168" s="345">
        <f t="shared" ca="1" si="284"/>
        <v>66.325974025974276</v>
      </c>
      <c r="CL168" s="345">
        <f t="shared" ca="1" si="243"/>
        <v>67.773809523809774</v>
      </c>
      <c r="CM168" s="114"/>
      <c r="CN168" s="345">
        <f t="shared" si="244"/>
        <v>0</v>
      </c>
      <c r="CO168" s="345">
        <f t="shared" ca="1" si="245"/>
        <v>-23.115217391304451</v>
      </c>
      <c r="CP168" s="345">
        <f t="shared" ca="1" si="292"/>
        <v>4.1527826086956523</v>
      </c>
      <c r="CQ168" s="345">
        <f t="shared" ca="1" si="246"/>
        <v>64.923809523809766</v>
      </c>
      <c r="CR168" s="347">
        <f t="shared" ca="1" si="273"/>
        <v>-2.8500000000000085</v>
      </c>
      <c r="CS168" s="114"/>
      <c r="CT168" s="345">
        <f t="shared" si="247"/>
        <v>0</v>
      </c>
      <c r="CU168" s="345">
        <f t="shared" si="274"/>
        <v>0</v>
      </c>
      <c r="CV168" s="345">
        <f t="shared" ca="1" si="291"/>
        <v>2.5500000000000078</v>
      </c>
      <c r="CW168" s="347">
        <f t="shared" ca="1" si="275"/>
        <v>70.323809523809786</v>
      </c>
      <c r="CX168" s="483"/>
      <c r="CY168" s="190">
        <f t="shared" si="248"/>
        <v>-0.15249999999999803</v>
      </c>
      <c r="CZ168" s="190">
        <f t="shared" ca="1" si="280"/>
        <v>-0.03</v>
      </c>
      <c r="DA168" s="354">
        <f t="shared" ca="1" si="249"/>
        <v>0.12249999999999803</v>
      </c>
      <c r="DB168" s="483"/>
      <c r="DC168" s="190">
        <f t="shared" si="250"/>
        <v>-0.15249999999999803</v>
      </c>
      <c r="DD168" s="190">
        <f t="shared" ca="1" si="281"/>
        <v>0.03</v>
      </c>
      <c r="DE168" s="354">
        <f t="shared" ca="1" si="251"/>
        <v>0.18249999999999802</v>
      </c>
      <c r="DG168" s="341"/>
      <c r="DH168" s="114"/>
      <c r="DI168" s="126">
        <f t="shared" ca="1" si="276"/>
        <v>-23.115217391304451</v>
      </c>
      <c r="DJ168" s="126">
        <f t="shared" ca="1" si="224"/>
        <v>-2</v>
      </c>
      <c r="DK168" s="356">
        <f t="shared" ca="1" si="225"/>
        <v>21.115217391304451</v>
      </c>
      <c r="DL168" s="114"/>
      <c r="DM168" s="126">
        <f t="shared" ca="1" si="277"/>
        <v>-23.115217391304451</v>
      </c>
      <c r="DN168" s="126">
        <f t="shared" ca="1" si="252"/>
        <v>-3</v>
      </c>
      <c r="DO168" s="356">
        <f t="shared" ca="1" si="226"/>
        <v>20.115217391304451</v>
      </c>
      <c r="DP168" s="114"/>
      <c r="DQ168" s="126">
        <f t="shared" ca="1" si="278"/>
        <v>-23.115217391304451</v>
      </c>
      <c r="DR168" s="126">
        <f t="shared" ca="1" si="253"/>
        <v>-6</v>
      </c>
      <c r="DS168" s="356">
        <f t="shared" ca="1" si="227"/>
        <v>17.115217391304451</v>
      </c>
      <c r="DT168" s="114"/>
      <c r="DU168" s="126">
        <f t="shared" ca="1" si="279"/>
        <v>-23.115217391304451</v>
      </c>
      <c r="DV168" s="126">
        <f t="shared" ca="1" si="254"/>
        <v>-5</v>
      </c>
      <c r="DW168" s="356">
        <f t="shared" ca="1" si="228"/>
        <v>18.115217391304451</v>
      </c>
    </row>
    <row r="169" spans="2:127" x14ac:dyDescent="0.25">
      <c r="B169" s="396">
        <v>40695</v>
      </c>
      <c r="C169" s="400">
        <v>40685</v>
      </c>
      <c r="I169" s="136">
        <f t="shared" ca="1" si="305"/>
        <v>41944</v>
      </c>
      <c r="J169" s="131">
        <f t="shared" ca="1" si="230"/>
        <v>41934</v>
      </c>
      <c r="K169" s="106">
        <f t="shared" ca="1" si="306"/>
        <v>0.65</v>
      </c>
      <c r="L169" s="133">
        <f t="shared" ca="1" si="293"/>
        <v>114</v>
      </c>
      <c r="M169" s="134">
        <f t="shared" ca="1" si="294"/>
        <v>11</v>
      </c>
      <c r="N169" s="103">
        <f t="shared" ca="1" si="297"/>
        <v>20</v>
      </c>
      <c r="O169" s="104">
        <f t="shared" ca="1" si="232"/>
        <v>4986</v>
      </c>
      <c r="P169" s="105">
        <f t="shared" ca="1" si="295"/>
        <v>13.661875427789186</v>
      </c>
      <c r="Q169" s="105">
        <f t="shared" ca="1" si="296"/>
        <v>13.741273100616016</v>
      </c>
      <c r="R169" s="114">
        <v>23.100000000000104</v>
      </c>
      <c r="S169" s="198">
        <v>0</v>
      </c>
      <c r="T169" s="189">
        <f t="shared" si="233"/>
        <v>23.100000000000104</v>
      </c>
      <c r="U169" s="199">
        <f t="shared" ca="1" si="298"/>
        <v>23.167500000000103</v>
      </c>
      <c r="V169" s="379">
        <f t="shared" ca="1" si="299"/>
        <v>23.167500000000103</v>
      </c>
      <c r="W169" s="483">
        <v>0.15209999999999801</v>
      </c>
      <c r="X169" s="166" t="str">
        <f t="shared" ca="1" si="300"/>
        <v/>
      </c>
      <c r="Y169" s="91">
        <f t="shared" ca="1" si="308"/>
        <v>4.4289710988632631E-4</v>
      </c>
      <c r="Z169" s="91">
        <f t="shared" ca="1" si="309"/>
        <v>1.131954052614801E-4</v>
      </c>
      <c r="AA169" s="91">
        <f t="shared" ca="1" si="310"/>
        <v>3.4741990394035742E-5</v>
      </c>
      <c r="AB169" s="91">
        <f t="shared" ca="1" si="311"/>
        <v>7.8266755959693064E-5</v>
      </c>
      <c r="AC169" s="91">
        <f t="shared" ca="1" si="312"/>
        <v>2.5500660897308068E-4</v>
      </c>
      <c r="AD169" s="91">
        <f t="shared" ca="1" si="313"/>
        <v>9.9775860915181304E-4</v>
      </c>
      <c r="AE169" s="124">
        <v>7.3608813066870005E-2</v>
      </c>
      <c r="AF169" s="191">
        <f t="shared" ca="1" si="261"/>
        <v>0.37034887122066368</v>
      </c>
      <c r="AG169" s="189">
        <f t="shared" ca="1" si="307"/>
        <v>1</v>
      </c>
      <c r="AH169" s="192">
        <f t="shared" ca="1" si="301"/>
        <v>0</v>
      </c>
      <c r="AI169" s="192">
        <f t="shared" ca="1" si="302"/>
        <v>0</v>
      </c>
      <c r="AJ169" s="192">
        <f t="shared" ca="1" si="303"/>
        <v>0</v>
      </c>
      <c r="AK169" s="192">
        <f t="shared" ca="1" si="304"/>
        <v>0</v>
      </c>
      <c r="AL169" s="191" t="str">
        <f t="shared" ca="1" si="262"/>
        <v/>
      </c>
      <c r="AM169" s="191" t="str">
        <f t="shared" ca="1" si="263"/>
        <v/>
      </c>
      <c r="AN169" s="191" t="str">
        <f t="shared" ca="1" si="264"/>
        <v/>
      </c>
      <c r="AO169" s="193" t="str">
        <f t="shared" ca="1" si="265"/>
        <v/>
      </c>
      <c r="AP169" s="194" t="str">
        <f t="shared" ca="1" si="235"/>
        <v/>
      </c>
      <c r="AQ169" s="194" t="str">
        <f t="shared" ca="1" si="236"/>
        <v/>
      </c>
      <c r="AR169" s="195">
        <f ca="1">IF(AH169,_xll.xASN(AL169,Strike1,AE169,AP169,0,N169,0,P169,Q169,IF(OptControl=4,0,1),0),0)</f>
        <v>0</v>
      </c>
      <c r="AS169" s="196">
        <f ca="1">IF(AH169,_xll.xASN(AL169,Strike1,AE169,AP169,0,N169,0,P169,Q169,IF(OptControl=4,0,1),1),0)</f>
        <v>0</v>
      </c>
      <c r="AT169" s="196">
        <f ca="1">IF(AH169,_xll.xASN(AL169,Strike1,AE169,AP169,0,N169,0,P169,Q169,IF(OptControl=4,0,1),2),0)</f>
        <v>0</v>
      </c>
      <c r="AU169" s="196">
        <f ca="1">IF(AH169,_xll.xASN(AL169,Strike1,AE169,AP169,0,N169,0,P169,Q169,IF(OptControl=4,0,1),3)/100,0)</f>
        <v>0</v>
      </c>
      <c r="AV169" s="196">
        <f ca="1">IF(AH169,_xll.xASN(AL169,Strike1,AE169,AP169,0,N169,0,P169-DaysForThetaCalculation/365.25,Q169-DaysForThetaCalculation/365.25,IF(OptControl=4,0,1),0)-_xll.xASN(AL169,Strike1,AE169,AP169,0,N169,0,P169,Q169,IF(OptControl=4,0,1),0),0)</f>
        <v>0</v>
      </c>
      <c r="AW169" s="196">
        <f ca="1">IF(AH169,_xll.xASN(AL169,Strike2,AE169,AQ169,0,N169,0,P169,Q169,IF(OptControl=3,1,0),0),0)</f>
        <v>0</v>
      </c>
      <c r="AX169" s="196">
        <f ca="1">IF(AH169,_xll.xASN(AL169,Strike2,AE169,AQ169,0,N169,0,P169,Q169,IF(OptControl=3,1,0),1),0)</f>
        <v>0</v>
      </c>
      <c r="AY169" s="196">
        <f ca="1">IF(AH169,_xll.xASN(AL169,Strike2,AE169,AQ169,0,N169,0,P169,Q169,IF(OptControl=3,1,0),2),0)</f>
        <v>0</v>
      </c>
      <c r="AZ169" s="196">
        <f ca="1">IF(AH169,_xll.xASN(AL169,Strike2,AE169,AQ169,0,N169,0,P169,Q169,IF(OptControl=3,1,0),3)/100,0)</f>
        <v>0</v>
      </c>
      <c r="BA169" s="196">
        <f ca="1">IF(AH169,_xll.xASN(AL169,Strike2,AE169,AQ169,0,N169,0,P169-DaysForThetaCalculation/365.25,Q169-DaysForThetaCalculation/365.25,IF(OptControl=3,1,0),0)-_xll.xASN(AL169,Strike2,AE169,AQ169,0,N169,0,P169,Q169,IF(OptControl=3,1,0),0),0)</f>
        <v>0</v>
      </c>
      <c r="BB169" s="126" t="str">
        <f t="shared" ca="1" si="266"/>
        <v/>
      </c>
      <c r="BC169" s="191" t="str">
        <f t="shared" ca="1" si="267"/>
        <v/>
      </c>
      <c r="BD169" s="191" t="str">
        <f t="shared" ca="1" si="268"/>
        <v/>
      </c>
      <c r="BE169" s="190" t="str">
        <f t="shared" ca="1" si="269"/>
        <v/>
      </c>
      <c r="BF169" s="194" t="str">
        <f t="shared" ca="1" si="270"/>
        <v/>
      </c>
      <c r="BG169" s="194" t="str">
        <f t="shared" ca="1" si="271"/>
        <v/>
      </c>
      <c r="BH169" s="195">
        <f ca="1">IF(AH169,_xll.xEURO(BB169,Strike1,AE169,AE169,BF169,O169,IF(OptControl=4,0,1),0),0)</f>
        <v>0</v>
      </c>
      <c r="BI169" s="196">
        <f ca="1">IF(AH169,_xll.xEURO(BB169,Strike1,AE169,AE169,BF169,O169,IF(OptControl=4,0,1),1),0)</f>
        <v>0</v>
      </c>
      <c r="BJ169" s="196">
        <f ca="1">IF(AH169,_xll.xEURO(BB169,Strike1,AE169,AE169,BF169,O169,IF(OptControl=4,0,1),2),0)</f>
        <v>0</v>
      </c>
      <c r="BK169" s="196">
        <f ca="1">IF(AH169,_xll.xEURO(BB169,Strike1,AE169,AE169,BF169,O169,IF(OptControl=4,0,1),3)/100,0)</f>
        <v>0</v>
      </c>
      <c r="BL169" s="196">
        <f ca="1">IF(AH169,_xll.xEURO(BB169,Strike1,AE169,AE169,BF169,O169-DaysForThetaCalculation,IF(OptControl=4,0,1),0)-_xll.xEURO(BB169,Strike1,AE169,AE169,BF169,O169,IF(OptControl=4,0,1),0),0)</f>
        <v>0</v>
      </c>
      <c r="BM169" s="196">
        <f ca="1">IF(AH169,_xll.xEURO(BB169,Strike2,AE169,AE169,BG169,O169,IF(OptControl=3,1,0),0),0)</f>
        <v>0</v>
      </c>
      <c r="BN169" s="196">
        <f ca="1">IF(AH169,_xll.xEURO(BB169,Strike2,AE169,AE169,BG169,O169,IF(OptControl=3,1,0),1),0)</f>
        <v>0</v>
      </c>
      <c r="BO169" s="196">
        <f ca="1">IF(AH169,_xll.xEURO(BB169,Strike2,AE169,AE169,BG169,O169,IF(OptControl=3,1,0),2),0)</f>
        <v>0</v>
      </c>
      <c r="BP169" s="196">
        <f ca="1">IF(AH169,_xll.xEURO(BB169,Strike2,AE169,AE169,BG169,O169,IF(OptControl=3,1,0),3)/100,0)</f>
        <v>0</v>
      </c>
      <c r="BQ169" s="197">
        <f ca="1">IF(AH169,_xll.xEURO(BB169,Strike2,AE169,AE169,BG169,O169-DaysForThetaCalculation,IF(OptControl=3,1,0),0)-_xll.xEURO(BB169,Strike2,AE169,AE169,BG169,O169,IF(OptControl=3,1,0),0),0)</f>
        <v>0</v>
      </c>
      <c r="BR169" s="301"/>
      <c r="BS169" s="114"/>
      <c r="BT169" s="345">
        <f t="shared" si="237"/>
        <v>0</v>
      </c>
      <c r="BU169" s="345">
        <f t="shared" ca="1" si="285"/>
        <v>-23.167500000000103</v>
      </c>
      <c r="BV169" s="73"/>
      <c r="BW169" s="345">
        <f t="shared" ca="1" si="282"/>
        <v>6.3444545454545551</v>
      </c>
      <c r="BX169" s="345">
        <f t="shared" ca="1" si="286"/>
        <v>70.492857142857403</v>
      </c>
      <c r="BY169" s="373">
        <f t="shared" ca="1" si="238"/>
        <v>70.266558441558701</v>
      </c>
      <c r="BZ169" s="114"/>
      <c r="CA169" s="345">
        <f t="shared" si="239"/>
        <v>0</v>
      </c>
      <c r="CB169" s="345">
        <f t="shared" ca="1" si="287"/>
        <v>-23.167500000000103</v>
      </c>
      <c r="CC169" s="345">
        <f t="shared" ca="1" si="283"/>
        <v>4.0344545454545475</v>
      </c>
      <c r="CD169" s="345">
        <f t="shared" ca="1" si="240"/>
        <v>64.766558441558686</v>
      </c>
      <c r="CE169" s="347">
        <f t="shared" ca="1" si="272"/>
        <v>-5.5000000000000142</v>
      </c>
      <c r="CF169" s="114"/>
      <c r="CG169" s="345">
        <f t="shared" si="241"/>
        <v>0</v>
      </c>
      <c r="CH169" s="345">
        <f t="shared" ca="1" si="242"/>
        <v>-23.167500000000103</v>
      </c>
      <c r="CI169" s="73"/>
      <c r="CJ169" s="345">
        <f t="shared" ca="1" si="290"/>
        <v>5.9164545454545507</v>
      </c>
      <c r="CK169" s="345">
        <f t="shared" ca="1" si="284"/>
        <v>67.773809523809774</v>
      </c>
      <c r="CL169" s="345">
        <f t="shared" ca="1" si="243"/>
        <v>69.247510822511074</v>
      </c>
      <c r="CM169" s="114"/>
      <c r="CN169" s="345">
        <f t="shared" si="244"/>
        <v>0</v>
      </c>
      <c r="CO169" s="345">
        <f t="shared" ca="1" si="245"/>
        <v>-23.167500000000103</v>
      </c>
      <c r="CP169" s="345">
        <f t="shared" ca="1" si="292"/>
        <v>4.7194545454545516</v>
      </c>
      <c r="CQ169" s="345">
        <f t="shared" ca="1" si="246"/>
        <v>66.39751082251108</v>
      </c>
      <c r="CR169" s="347">
        <f t="shared" ca="1" si="273"/>
        <v>-2.8499999999999943</v>
      </c>
      <c r="CS169" s="114"/>
      <c r="CT169" s="345">
        <f t="shared" si="247"/>
        <v>0</v>
      </c>
      <c r="CU169" s="345">
        <f t="shared" si="274"/>
        <v>0</v>
      </c>
      <c r="CV169" s="345">
        <f t="shared" ca="1" si="291"/>
        <v>2.5500000000000078</v>
      </c>
      <c r="CW169" s="347">
        <f t="shared" ca="1" si="275"/>
        <v>71.797510822511086</v>
      </c>
      <c r="CX169" s="483"/>
      <c r="CY169" s="190">
        <f t="shared" si="248"/>
        <v>-0.15209999999999801</v>
      </c>
      <c r="CZ169" s="190">
        <f t="shared" ca="1" si="280"/>
        <v>-0.03</v>
      </c>
      <c r="DA169" s="354">
        <f t="shared" ca="1" si="249"/>
        <v>0.12209999999999802</v>
      </c>
      <c r="DB169" s="483"/>
      <c r="DC169" s="190">
        <f t="shared" si="250"/>
        <v>-0.15209999999999801</v>
      </c>
      <c r="DD169" s="190">
        <f t="shared" ca="1" si="281"/>
        <v>0.03</v>
      </c>
      <c r="DE169" s="354">
        <f t="shared" ca="1" si="251"/>
        <v>0.18209999999999801</v>
      </c>
      <c r="DG169" s="341"/>
      <c r="DH169" s="114"/>
      <c r="DI169" s="126">
        <f t="shared" ca="1" si="276"/>
        <v>-23.167500000000103</v>
      </c>
      <c r="DJ169" s="126">
        <f t="shared" ca="1" si="224"/>
        <v>-2</v>
      </c>
      <c r="DK169" s="356">
        <f t="shared" ca="1" si="225"/>
        <v>21.167500000000103</v>
      </c>
      <c r="DL169" s="114"/>
      <c r="DM169" s="126">
        <f t="shared" ca="1" si="277"/>
        <v>-23.167500000000103</v>
      </c>
      <c r="DN169" s="126">
        <f t="shared" ca="1" si="252"/>
        <v>-3</v>
      </c>
      <c r="DO169" s="356">
        <f t="shared" ca="1" si="226"/>
        <v>20.167500000000103</v>
      </c>
      <c r="DP169" s="114"/>
      <c r="DQ169" s="126">
        <f t="shared" ca="1" si="278"/>
        <v>-23.167500000000103</v>
      </c>
      <c r="DR169" s="126">
        <f t="shared" ca="1" si="253"/>
        <v>-6</v>
      </c>
      <c r="DS169" s="356">
        <f t="shared" ca="1" si="227"/>
        <v>17.167500000000103</v>
      </c>
      <c r="DT169" s="114"/>
      <c r="DU169" s="126">
        <f t="shared" ca="1" si="279"/>
        <v>-23.167500000000103</v>
      </c>
      <c r="DV169" s="126">
        <f t="shared" ca="1" si="254"/>
        <v>-5</v>
      </c>
      <c r="DW169" s="356">
        <f t="shared" ca="1" si="228"/>
        <v>18.167500000000103</v>
      </c>
    </row>
    <row r="170" spans="2:127" x14ac:dyDescent="0.25">
      <c r="B170" s="396">
        <v>40725</v>
      </c>
      <c r="C170" s="400">
        <v>40714</v>
      </c>
      <c r="I170" s="136">
        <f t="shared" ca="1" si="305"/>
        <v>41974</v>
      </c>
      <c r="J170" s="131">
        <f t="shared" ca="1" si="230"/>
        <v>41962</v>
      </c>
      <c r="K170" s="106">
        <f t="shared" ca="1" si="306"/>
        <v>0.65217391304347827</v>
      </c>
      <c r="L170" s="133">
        <f t="shared" ca="1" si="293"/>
        <v>114</v>
      </c>
      <c r="M170" s="134">
        <f t="shared" ca="1" si="294"/>
        <v>12</v>
      </c>
      <c r="N170" s="103">
        <f t="shared" ca="1" si="297"/>
        <v>23</v>
      </c>
      <c r="O170" s="104">
        <f t="shared" ca="1" si="232"/>
        <v>5014</v>
      </c>
      <c r="P170" s="105">
        <f t="shared" ca="1" si="295"/>
        <v>13.744010951403148</v>
      </c>
      <c r="Q170" s="105">
        <f t="shared" ca="1" si="296"/>
        <v>13.826146475017111</v>
      </c>
      <c r="R170" s="114">
        <v>23.150000000000105</v>
      </c>
      <c r="S170" s="198">
        <v>0</v>
      </c>
      <c r="T170" s="189">
        <f t="shared" si="233"/>
        <v>23.150000000000105</v>
      </c>
      <c r="U170" s="199">
        <f t="shared" ca="1" si="298"/>
        <v>23.217391304347935</v>
      </c>
      <c r="V170" s="379">
        <f t="shared" ca="1" si="299"/>
        <v>23.217391304347935</v>
      </c>
      <c r="W170" s="483">
        <v>0.15169999999999803</v>
      </c>
      <c r="X170" s="166" t="str">
        <f t="shared" ca="1" si="300"/>
        <v/>
      </c>
      <c r="Y170" s="91">
        <f t="shared" ca="1" si="308"/>
        <v>4.3341535637795507E-4</v>
      </c>
      <c r="Z170" s="91">
        <f t="shared" ca="1" si="309"/>
        <v>1.1017898441352662E-4</v>
      </c>
      <c r="AA170" s="91">
        <f t="shared" ca="1" si="310"/>
        <v>3.3725507688535648E-5</v>
      </c>
      <c r="AB170" s="91">
        <f t="shared" ca="1" si="311"/>
        <v>7.5976823720742365E-5</v>
      </c>
      <c r="AC170" s="91">
        <f t="shared" ca="1" si="312"/>
        <v>2.4821121608681058E-4</v>
      </c>
      <c r="AD170" s="91">
        <f t="shared" ca="1" si="313"/>
        <v>9.7639811484815514E-4</v>
      </c>
      <c r="AE170" s="124">
        <v>7.3604979300521997E-2</v>
      </c>
      <c r="AF170" s="191">
        <f t="shared" ca="1" si="261"/>
        <v>0.36810247869715668</v>
      </c>
      <c r="AG170" s="189">
        <f t="shared" ca="1" si="307"/>
        <v>1</v>
      </c>
      <c r="AH170" s="192">
        <f t="shared" ca="1" si="301"/>
        <v>0</v>
      </c>
      <c r="AI170" s="192">
        <f t="shared" ca="1" si="302"/>
        <v>0</v>
      </c>
      <c r="AJ170" s="192">
        <f t="shared" ca="1" si="303"/>
        <v>0</v>
      </c>
      <c r="AK170" s="192">
        <f t="shared" ca="1" si="304"/>
        <v>0</v>
      </c>
      <c r="AL170" s="191" t="str">
        <f t="shared" ca="1" si="262"/>
        <v/>
      </c>
      <c r="AM170" s="191" t="str">
        <f t="shared" ca="1" si="263"/>
        <v/>
      </c>
      <c r="AN170" s="191" t="str">
        <f t="shared" ca="1" si="264"/>
        <v/>
      </c>
      <c r="AO170" s="193" t="str">
        <f t="shared" ca="1" si="265"/>
        <v/>
      </c>
      <c r="AP170" s="194" t="str">
        <f t="shared" ca="1" si="235"/>
        <v/>
      </c>
      <c r="AQ170" s="194" t="str">
        <f t="shared" ca="1" si="236"/>
        <v/>
      </c>
      <c r="AR170" s="195">
        <f ca="1">IF(AH170,_xll.xASN(AL170,Strike1,AE170,AP170,0,N170,0,P170,Q170,IF(OptControl=4,0,1),0),0)</f>
        <v>0</v>
      </c>
      <c r="AS170" s="196">
        <f ca="1">IF(AH170,_xll.xASN(AL170,Strike1,AE170,AP170,0,N170,0,P170,Q170,IF(OptControl=4,0,1),1),0)</f>
        <v>0</v>
      </c>
      <c r="AT170" s="196">
        <f ca="1">IF(AH170,_xll.xASN(AL170,Strike1,AE170,AP170,0,N170,0,P170,Q170,IF(OptControl=4,0,1),2),0)</f>
        <v>0</v>
      </c>
      <c r="AU170" s="196">
        <f ca="1">IF(AH170,_xll.xASN(AL170,Strike1,AE170,AP170,0,N170,0,P170,Q170,IF(OptControl=4,0,1),3)/100,0)</f>
        <v>0</v>
      </c>
      <c r="AV170" s="196">
        <f ca="1">IF(AH170,_xll.xASN(AL170,Strike1,AE170,AP170,0,N170,0,P170-DaysForThetaCalculation/365.25,Q170-DaysForThetaCalculation/365.25,IF(OptControl=4,0,1),0)-_xll.xASN(AL170,Strike1,AE170,AP170,0,N170,0,P170,Q170,IF(OptControl=4,0,1),0),0)</f>
        <v>0</v>
      </c>
      <c r="AW170" s="196">
        <f ca="1">IF(AH170,_xll.xASN(AL170,Strike2,AE170,AQ170,0,N170,0,P170,Q170,IF(OptControl=3,1,0),0),0)</f>
        <v>0</v>
      </c>
      <c r="AX170" s="196">
        <f ca="1">IF(AH170,_xll.xASN(AL170,Strike2,AE170,AQ170,0,N170,0,P170,Q170,IF(OptControl=3,1,0),1),0)</f>
        <v>0</v>
      </c>
      <c r="AY170" s="196">
        <f ca="1">IF(AH170,_xll.xASN(AL170,Strike2,AE170,AQ170,0,N170,0,P170,Q170,IF(OptControl=3,1,0),2),0)</f>
        <v>0</v>
      </c>
      <c r="AZ170" s="196">
        <f ca="1">IF(AH170,_xll.xASN(AL170,Strike2,AE170,AQ170,0,N170,0,P170,Q170,IF(OptControl=3,1,0),3)/100,0)</f>
        <v>0</v>
      </c>
      <c r="BA170" s="196">
        <f ca="1">IF(AH170,_xll.xASN(AL170,Strike2,AE170,AQ170,0,N170,0,P170-DaysForThetaCalculation/365.25,Q170-DaysForThetaCalculation/365.25,IF(OptControl=3,1,0),0)-_xll.xASN(AL170,Strike2,AE170,AQ170,0,N170,0,P170,Q170,IF(OptControl=3,1,0),0),0)</f>
        <v>0</v>
      </c>
      <c r="BB170" s="126" t="str">
        <f t="shared" ca="1" si="266"/>
        <v/>
      </c>
      <c r="BC170" s="191" t="str">
        <f t="shared" ca="1" si="267"/>
        <v/>
      </c>
      <c r="BD170" s="191" t="str">
        <f t="shared" ca="1" si="268"/>
        <v/>
      </c>
      <c r="BE170" s="190" t="str">
        <f t="shared" ca="1" si="269"/>
        <v/>
      </c>
      <c r="BF170" s="194" t="str">
        <f t="shared" ca="1" si="270"/>
        <v/>
      </c>
      <c r="BG170" s="194" t="str">
        <f t="shared" ca="1" si="271"/>
        <v/>
      </c>
      <c r="BH170" s="195">
        <f ca="1">IF(AH170,_xll.xEURO(BB170,Strike1,AE170,AE170,BF170,O170,IF(OptControl=4,0,1),0),0)</f>
        <v>0</v>
      </c>
      <c r="BI170" s="196">
        <f ca="1">IF(AH170,_xll.xEURO(BB170,Strike1,AE170,AE170,BF170,O170,IF(OptControl=4,0,1),1),0)</f>
        <v>0</v>
      </c>
      <c r="BJ170" s="196">
        <f ca="1">IF(AH170,_xll.xEURO(BB170,Strike1,AE170,AE170,BF170,O170,IF(OptControl=4,0,1),2),0)</f>
        <v>0</v>
      </c>
      <c r="BK170" s="196">
        <f ca="1">IF(AH170,_xll.xEURO(BB170,Strike1,AE170,AE170,BF170,O170,IF(OptControl=4,0,1),3)/100,0)</f>
        <v>0</v>
      </c>
      <c r="BL170" s="196">
        <f ca="1">IF(AH170,_xll.xEURO(BB170,Strike1,AE170,AE170,BF170,O170-DaysForThetaCalculation,IF(OptControl=4,0,1),0)-_xll.xEURO(BB170,Strike1,AE170,AE170,BF170,O170,IF(OptControl=4,0,1),0),0)</f>
        <v>0</v>
      </c>
      <c r="BM170" s="196">
        <f ca="1">IF(AH170,_xll.xEURO(BB170,Strike2,AE170,AE170,BG170,O170,IF(OptControl=3,1,0),0),0)</f>
        <v>0</v>
      </c>
      <c r="BN170" s="196">
        <f ca="1">IF(AH170,_xll.xEURO(BB170,Strike2,AE170,AE170,BG170,O170,IF(OptControl=3,1,0),1),0)</f>
        <v>0</v>
      </c>
      <c r="BO170" s="196">
        <f ca="1">IF(AH170,_xll.xEURO(BB170,Strike2,AE170,AE170,BG170,O170,IF(OptControl=3,1,0),2),0)</f>
        <v>0</v>
      </c>
      <c r="BP170" s="196">
        <f ca="1">IF(AH170,_xll.xEURO(BB170,Strike2,AE170,AE170,BG170,O170,IF(OptControl=3,1,0),3)/100,0)</f>
        <v>0</v>
      </c>
      <c r="BQ170" s="197">
        <f ca="1">IF(AH170,_xll.xEURO(BB170,Strike2,AE170,AE170,BG170,O170-DaysForThetaCalculation,IF(OptControl=3,1,0),0)-_xll.xEURO(BB170,Strike2,AE170,AE170,BG170,O170,IF(OptControl=3,1,0),0),0)</f>
        <v>0</v>
      </c>
      <c r="BR170" s="301"/>
      <c r="BS170" s="114"/>
      <c r="BT170" s="345">
        <f t="shared" si="237"/>
        <v>0</v>
      </c>
      <c r="BU170" s="345">
        <f t="shared" ca="1" si="285"/>
        <v>-23.217391304347935</v>
      </c>
      <c r="BV170" s="73"/>
      <c r="BW170" s="345">
        <f t="shared" ca="1" si="282"/>
        <v>6.5171428571428631</v>
      </c>
      <c r="BX170" s="345">
        <f t="shared" ca="1" si="286"/>
        <v>70.266558441558701</v>
      </c>
      <c r="BY170" s="373">
        <f t="shared" ca="1" si="238"/>
        <v>70.796509908311435</v>
      </c>
      <c r="BZ170" s="114"/>
      <c r="CA170" s="345">
        <f t="shared" si="239"/>
        <v>0</v>
      </c>
      <c r="CB170" s="345">
        <f t="shared" ca="1" si="287"/>
        <v>-23.217391304347935</v>
      </c>
      <c r="CC170" s="345">
        <f t="shared" ca="1" si="283"/>
        <v>4.2071428571428591</v>
      </c>
      <c r="CD170" s="345">
        <f t="shared" ca="1" si="240"/>
        <v>65.296509908311407</v>
      </c>
      <c r="CE170" s="347">
        <f t="shared" ca="1" si="272"/>
        <v>-5.5000000000000284</v>
      </c>
      <c r="CF170" s="114"/>
      <c r="CG170" s="345">
        <f t="shared" si="241"/>
        <v>0</v>
      </c>
      <c r="CH170" s="345">
        <f t="shared" ca="1" si="242"/>
        <v>-23.217391304347935</v>
      </c>
      <c r="CI170" s="73"/>
      <c r="CJ170" s="345">
        <f t="shared" ca="1" si="290"/>
        <v>6.2781428571428624</v>
      </c>
      <c r="CK170" s="345">
        <f t="shared" ca="1" si="284"/>
        <v>69.247510822511074</v>
      </c>
      <c r="CL170" s="345">
        <f t="shared" ca="1" si="243"/>
        <v>70.227462289263798</v>
      </c>
      <c r="CM170" s="114"/>
      <c r="CN170" s="345">
        <f t="shared" si="244"/>
        <v>0</v>
      </c>
      <c r="CO170" s="345">
        <f t="shared" ca="1" si="245"/>
        <v>-23.217391304347935</v>
      </c>
      <c r="CP170" s="345">
        <f t="shared" ca="1" si="292"/>
        <v>5.0811428571428641</v>
      </c>
      <c r="CQ170" s="345">
        <f t="shared" ca="1" si="246"/>
        <v>67.377462289263804</v>
      </c>
      <c r="CR170" s="347">
        <f t="shared" ca="1" si="273"/>
        <v>-2.8499999999999943</v>
      </c>
      <c r="CS170" s="114"/>
      <c r="CT170" s="345">
        <f t="shared" si="247"/>
        <v>0</v>
      </c>
      <c r="CU170" s="345">
        <f t="shared" si="274"/>
        <v>0</v>
      </c>
      <c r="CV170" s="345">
        <f t="shared" ca="1" si="291"/>
        <v>2.5500000000000078</v>
      </c>
      <c r="CW170" s="347">
        <f t="shared" ca="1" si="275"/>
        <v>72.777462289263809</v>
      </c>
      <c r="CX170" s="483"/>
      <c r="CY170" s="190">
        <f t="shared" si="248"/>
        <v>-0.15169999999999803</v>
      </c>
      <c r="CZ170" s="190">
        <f t="shared" ca="1" si="280"/>
        <v>-0.03</v>
      </c>
      <c r="DA170" s="354">
        <f t="shared" ca="1" si="249"/>
        <v>0.12169999999999803</v>
      </c>
      <c r="DB170" s="483"/>
      <c r="DC170" s="190">
        <f t="shared" si="250"/>
        <v>-0.15169999999999803</v>
      </c>
      <c r="DD170" s="190">
        <f t="shared" ca="1" si="281"/>
        <v>0.03</v>
      </c>
      <c r="DE170" s="354">
        <f t="shared" ca="1" si="251"/>
        <v>0.18169999999999803</v>
      </c>
      <c r="DG170" s="341"/>
      <c r="DH170" s="114"/>
      <c r="DI170" s="126">
        <f t="shared" ca="1" si="276"/>
        <v>-23.217391304347935</v>
      </c>
      <c r="DJ170" s="126">
        <f t="shared" ca="1" si="224"/>
        <v>-2</v>
      </c>
      <c r="DK170" s="356">
        <f t="shared" ca="1" si="225"/>
        <v>21.217391304347935</v>
      </c>
      <c r="DL170" s="114"/>
      <c r="DM170" s="126">
        <f t="shared" ca="1" si="277"/>
        <v>-23.217391304347935</v>
      </c>
      <c r="DN170" s="126">
        <f t="shared" ca="1" si="252"/>
        <v>-3</v>
      </c>
      <c r="DO170" s="356">
        <f t="shared" ca="1" si="226"/>
        <v>20.217391304347935</v>
      </c>
      <c r="DP170" s="114"/>
      <c r="DQ170" s="126">
        <f t="shared" ca="1" si="278"/>
        <v>-23.217391304347935</v>
      </c>
      <c r="DR170" s="126">
        <f t="shared" ca="1" si="253"/>
        <v>-6</v>
      </c>
      <c r="DS170" s="356">
        <f t="shared" ca="1" si="227"/>
        <v>17.217391304347935</v>
      </c>
      <c r="DT170" s="114"/>
      <c r="DU170" s="126">
        <f t="shared" ca="1" si="279"/>
        <v>-23.217391304347935</v>
      </c>
      <c r="DV170" s="126">
        <f t="shared" ca="1" si="254"/>
        <v>-5</v>
      </c>
      <c r="DW170" s="356">
        <f t="shared" ca="1" si="228"/>
        <v>18.217391304347935</v>
      </c>
    </row>
    <row r="171" spans="2:127" x14ac:dyDescent="0.25">
      <c r="B171" s="396">
        <v>40756</v>
      </c>
      <c r="C171" s="400">
        <v>40744</v>
      </c>
      <c r="I171" s="136">
        <f t="shared" ca="1" si="305"/>
        <v>42005</v>
      </c>
      <c r="J171" s="131">
        <f t="shared" ca="1" si="230"/>
        <v>41992</v>
      </c>
      <c r="K171" s="106">
        <f t="shared" ca="1" si="306"/>
        <v>0.72727272727272729</v>
      </c>
      <c r="L171" s="133">
        <f t="shared" ca="1" si="293"/>
        <v>115</v>
      </c>
      <c r="M171" s="134">
        <f t="shared" ca="1" si="294"/>
        <v>1</v>
      </c>
      <c r="N171" s="103">
        <f t="shared" ca="1" si="297"/>
        <v>22</v>
      </c>
      <c r="O171" s="104">
        <f t="shared" ca="1" si="232"/>
        <v>5045</v>
      </c>
      <c r="P171" s="105">
        <f t="shared" ca="1" si="295"/>
        <v>13.828884325804244</v>
      </c>
      <c r="Q171" s="105">
        <f t="shared" ca="1" si="296"/>
        <v>13.911019849418206</v>
      </c>
      <c r="R171" s="114">
        <v>23.200000000000106</v>
      </c>
      <c r="S171" s="198">
        <v>0</v>
      </c>
      <c r="T171" s="189">
        <f t="shared" si="233"/>
        <v>23.200000000000106</v>
      </c>
      <c r="U171" s="199">
        <f t="shared" ca="1" si="298"/>
        <v>23.263636363636472</v>
      </c>
      <c r="V171" s="379">
        <f t="shared" ca="1" si="299"/>
        <v>23.263636363636472</v>
      </c>
      <c r="W171" s="483">
        <v>0.15129999999999802</v>
      </c>
      <c r="X171" s="166" t="str">
        <f t="shared" ca="1" si="300"/>
        <v/>
      </c>
      <c r="Y171" s="91">
        <f t="shared" ca="1" si="308"/>
        <v>4.2413659279114048E-4</v>
      </c>
      <c r="Z171" s="91">
        <f t="shared" ca="1" si="309"/>
        <v>1.0724294487355071E-4</v>
      </c>
      <c r="AA171" s="91">
        <f t="shared" ca="1" si="310"/>
        <v>3.2738765279399181E-5</v>
      </c>
      <c r="AB171" s="91">
        <f t="shared" ca="1" si="311"/>
        <v>7.3753890421439635E-5</v>
      </c>
      <c r="AC171" s="91">
        <f t="shared" ca="1" si="312"/>
        <v>2.4159690621115232E-4</v>
      </c>
      <c r="AD171" s="91">
        <f t="shared" ca="1" si="313"/>
        <v>9.554949162397801E-4</v>
      </c>
      <c r="AE171" s="124">
        <v>7.3601017741967992E-2</v>
      </c>
      <c r="AF171" s="191">
        <f t="shared" ca="1" si="261"/>
        <v>0.36587056892763098</v>
      </c>
      <c r="AG171" s="189">
        <f t="shared" ca="1" si="307"/>
        <v>1</v>
      </c>
      <c r="AH171" s="192">
        <f t="shared" ca="1" si="301"/>
        <v>0</v>
      </c>
      <c r="AI171" s="192">
        <f t="shared" ca="1" si="302"/>
        <v>0</v>
      </c>
      <c r="AJ171" s="192">
        <f t="shared" ca="1" si="303"/>
        <v>0</v>
      </c>
      <c r="AK171" s="192">
        <f t="shared" ca="1" si="304"/>
        <v>0</v>
      </c>
      <c r="AL171" s="191" t="str">
        <f t="shared" ca="1" si="262"/>
        <v/>
      </c>
      <c r="AM171" s="191" t="str">
        <f t="shared" ca="1" si="263"/>
        <v/>
      </c>
      <c r="AN171" s="191" t="str">
        <f t="shared" ca="1" si="264"/>
        <v/>
      </c>
      <c r="AO171" s="193" t="str">
        <f t="shared" ca="1" si="265"/>
        <v/>
      </c>
      <c r="AP171" s="194" t="str">
        <f t="shared" ca="1" si="235"/>
        <v/>
      </c>
      <c r="AQ171" s="194" t="str">
        <f t="shared" ca="1" si="236"/>
        <v/>
      </c>
      <c r="AR171" s="195">
        <f ca="1">IF(AH171,_xll.xASN(AL171,Strike1,AE171,AP171,0,N171,0,P171,Q171,IF(OptControl=4,0,1),0),0)</f>
        <v>0</v>
      </c>
      <c r="AS171" s="196">
        <f ca="1">IF(AH171,_xll.xASN(AL171,Strike1,AE171,AP171,0,N171,0,P171,Q171,IF(OptControl=4,0,1),1),0)</f>
        <v>0</v>
      </c>
      <c r="AT171" s="196">
        <f ca="1">IF(AH171,_xll.xASN(AL171,Strike1,AE171,AP171,0,N171,0,P171,Q171,IF(OptControl=4,0,1),2),0)</f>
        <v>0</v>
      </c>
      <c r="AU171" s="196">
        <f ca="1">IF(AH171,_xll.xASN(AL171,Strike1,AE171,AP171,0,N171,0,P171,Q171,IF(OptControl=4,0,1),3)/100,0)</f>
        <v>0</v>
      </c>
      <c r="AV171" s="196">
        <f ca="1">IF(AH171,_xll.xASN(AL171,Strike1,AE171,AP171,0,N171,0,P171-DaysForThetaCalculation/365.25,Q171-DaysForThetaCalculation/365.25,IF(OptControl=4,0,1),0)-_xll.xASN(AL171,Strike1,AE171,AP171,0,N171,0,P171,Q171,IF(OptControl=4,0,1),0),0)</f>
        <v>0</v>
      </c>
      <c r="AW171" s="196">
        <f ca="1">IF(AH171,_xll.xASN(AL171,Strike2,AE171,AQ171,0,N171,0,P171,Q171,IF(OptControl=3,1,0),0),0)</f>
        <v>0</v>
      </c>
      <c r="AX171" s="196">
        <f ca="1">IF(AH171,_xll.xASN(AL171,Strike2,AE171,AQ171,0,N171,0,P171,Q171,IF(OptControl=3,1,0),1),0)</f>
        <v>0</v>
      </c>
      <c r="AY171" s="196">
        <f ca="1">IF(AH171,_xll.xASN(AL171,Strike2,AE171,AQ171,0,N171,0,P171,Q171,IF(OptControl=3,1,0),2),0)</f>
        <v>0</v>
      </c>
      <c r="AZ171" s="196">
        <f ca="1">IF(AH171,_xll.xASN(AL171,Strike2,AE171,AQ171,0,N171,0,P171,Q171,IF(OptControl=3,1,0),3)/100,0)</f>
        <v>0</v>
      </c>
      <c r="BA171" s="196">
        <f ca="1">IF(AH171,_xll.xASN(AL171,Strike2,AE171,AQ171,0,N171,0,P171-DaysForThetaCalculation/365.25,Q171-DaysForThetaCalculation/365.25,IF(OptControl=3,1,0),0)-_xll.xASN(AL171,Strike2,AE171,AQ171,0,N171,0,P171,Q171,IF(OptControl=3,1,0),0),0)</f>
        <v>0</v>
      </c>
      <c r="BB171" s="126" t="str">
        <f t="shared" ca="1" si="266"/>
        <v/>
      </c>
      <c r="BC171" s="191" t="str">
        <f t="shared" ca="1" si="267"/>
        <v/>
      </c>
      <c r="BD171" s="191" t="str">
        <f t="shared" ca="1" si="268"/>
        <v/>
      </c>
      <c r="BE171" s="190" t="str">
        <f t="shared" ca="1" si="269"/>
        <v/>
      </c>
      <c r="BF171" s="194" t="str">
        <f t="shared" ca="1" si="270"/>
        <v/>
      </c>
      <c r="BG171" s="194" t="str">
        <f t="shared" ca="1" si="271"/>
        <v/>
      </c>
      <c r="BH171" s="195">
        <f ca="1">IF(AH171,_xll.xEURO(BB171,Strike1,AE171,AE171,BF171,O171,IF(OptControl=4,0,1),0),0)</f>
        <v>0</v>
      </c>
      <c r="BI171" s="196">
        <f ca="1">IF(AH171,_xll.xEURO(BB171,Strike1,AE171,AE171,BF171,O171,IF(OptControl=4,0,1),1),0)</f>
        <v>0</v>
      </c>
      <c r="BJ171" s="196">
        <f ca="1">IF(AH171,_xll.xEURO(BB171,Strike1,AE171,AE171,BF171,O171,IF(OptControl=4,0,1),2),0)</f>
        <v>0</v>
      </c>
      <c r="BK171" s="196">
        <f ca="1">IF(AH171,_xll.xEURO(BB171,Strike1,AE171,AE171,BF171,O171,IF(OptControl=4,0,1),3)/100,0)</f>
        <v>0</v>
      </c>
      <c r="BL171" s="196">
        <f ca="1">IF(AH171,_xll.xEURO(BB171,Strike1,AE171,AE171,BF171,O171-DaysForThetaCalculation,IF(OptControl=4,0,1),0)-_xll.xEURO(BB171,Strike1,AE171,AE171,BF171,O171,IF(OptControl=4,0,1),0),0)</f>
        <v>0</v>
      </c>
      <c r="BM171" s="196">
        <f ca="1">IF(AH171,_xll.xEURO(BB171,Strike2,AE171,AE171,BG171,O171,IF(OptControl=3,1,0),0),0)</f>
        <v>0</v>
      </c>
      <c r="BN171" s="196">
        <f ca="1">IF(AH171,_xll.xEURO(BB171,Strike2,AE171,AE171,BG171,O171,IF(OptControl=3,1,0),1),0)</f>
        <v>0</v>
      </c>
      <c r="BO171" s="196">
        <f ca="1">IF(AH171,_xll.xEURO(BB171,Strike2,AE171,AE171,BG171,O171,IF(OptControl=3,1,0),2),0)</f>
        <v>0</v>
      </c>
      <c r="BP171" s="196">
        <f ca="1">IF(AH171,_xll.xEURO(BB171,Strike2,AE171,AE171,BG171,O171,IF(OptControl=3,1,0),3)/100,0)</f>
        <v>0</v>
      </c>
      <c r="BQ171" s="197">
        <f ca="1">IF(AH171,_xll.xEURO(BB171,Strike2,AE171,AE171,BG171,O171-DaysForThetaCalculation,IF(OptControl=3,1,0),0)-_xll.xEURO(BB171,Strike2,AE171,AE171,BG171,O171,IF(OptControl=3,1,0),0),0)</f>
        <v>0</v>
      </c>
      <c r="BR171" s="301"/>
      <c r="BS171" s="114"/>
      <c r="BT171" s="345">
        <f t="shared" si="237"/>
        <v>0</v>
      </c>
      <c r="BU171" s="345">
        <f t="shared" ca="1" si="285"/>
        <v>-23.263636363636472</v>
      </c>
      <c r="BV171" s="73"/>
      <c r="BW171" s="345">
        <f t="shared" ca="1" si="282"/>
        <v>6.7594782608695692</v>
      </c>
      <c r="BX171" s="345">
        <f t="shared" ca="1" si="286"/>
        <v>70.796509908311435</v>
      </c>
      <c r="BY171" s="373">
        <f t="shared" ca="1" si="238"/>
        <v>71.483606248823918</v>
      </c>
      <c r="BZ171" s="114"/>
      <c r="CA171" s="345">
        <f t="shared" si="239"/>
        <v>0</v>
      </c>
      <c r="CB171" s="345">
        <f t="shared" ca="1" si="287"/>
        <v>-23.263636363636472</v>
      </c>
      <c r="CC171" s="345">
        <f t="shared" ca="1" si="283"/>
        <v>5.2474782608695705</v>
      </c>
      <c r="CD171" s="345">
        <f t="shared" ca="1" si="240"/>
        <v>67.883606248823909</v>
      </c>
      <c r="CE171" s="347">
        <f t="shared" ca="1" si="272"/>
        <v>-3.6000000000000085</v>
      </c>
      <c r="CF171" s="114"/>
      <c r="CG171" s="345">
        <f t="shared" si="241"/>
        <v>0</v>
      </c>
      <c r="CH171" s="345">
        <f t="shared" ca="1" si="242"/>
        <v>-23.263636363636472</v>
      </c>
      <c r="CI171" s="73"/>
      <c r="CJ171" s="345">
        <f t="shared" ca="1" si="290"/>
        <v>6.0794782608695694</v>
      </c>
      <c r="CK171" s="345">
        <f t="shared" ca="1" si="284"/>
        <v>70.227462289263798</v>
      </c>
      <c r="CL171" s="345">
        <f t="shared" ca="1" si="243"/>
        <v>69.864558629776297</v>
      </c>
      <c r="CM171" s="114"/>
      <c r="CN171" s="345">
        <f t="shared" si="244"/>
        <v>0</v>
      </c>
      <c r="CO171" s="345">
        <f t="shared" ca="1" si="245"/>
        <v>-23.263636363636472</v>
      </c>
      <c r="CP171" s="345">
        <f t="shared" ca="1" si="292"/>
        <v>4.9664782608695708</v>
      </c>
      <c r="CQ171" s="345">
        <f t="shared" ca="1" si="246"/>
        <v>67.214558629776292</v>
      </c>
      <c r="CR171" s="347">
        <f t="shared" ca="1" si="273"/>
        <v>-2.6500000000000057</v>
      </c>
      <c r="CS171" s="114"/>
      <c r="CT171" s="345">
        <f t="shared" si="247"/>
        <v>0</v>
      </c>
      <c r="CU171" s="345">
        <f t="shared" si="274"/>
        <v>0</v>
      </c>
      <c r="CV171" s="345">
        <f t="shared" ca="1" si="291"/>
        <v>2.5500000000000078</v>
      </c>
      <c r="CW171" s="347">
        <f t="shared" ca="1" si="275"/>
        <v>72.414558629776309</v>
      </c>
      <c r="CX171" s="483"/>
      <c r="CY171" s="190">
        <f t="shared" si="248"/>
        <v>-0.15129999999999802</v>
      </c>
      <c r="CZ171" s="190">
        <f t="shared" ca="1" si="280"/>
        <v>-0.03</v>
      </c>
      <c r="DA171" s="354">
        <f t="shared" ca="1" si="249"/>
        <v>0.12129999999999802</v>
      </c>
      <c r="DB171" s="483"/>
      <c r="DC171" s="190">
        <f t="shared" si="250"/>
        <v>-0.15129999999999802</v>
      </c>
      <c r="DD171" s="190">
        <f t="shared" ca="1" si="281"/>
        <v>0.03</v>
      </c>
      <c r="DE171" s="354">
        <f t="shared" ca="1" si="251"/>
        <v>0.18129999999999802</v>
      </c>
      <c r="DG171" s="341"/>
      <c r="DH171" s="114"/>
      <c r="DI171" s="126">
        <f t="shared" ca="1" si="276"/>
        <v>-23.263636363636472</v>
      </c>
      <c r="DJ171" s="126">
        <f t="shared" ca="1" si="224"/>
        <v>-2</v>
      </c>
      <c r="DK171" s="356">
        <f t="shared" ca="1" si="225"/>
        <v>21.263636363636472</v>
      </c>
      <c r="DL171" s="114"/>
      <c r="DM171" s="126">
        <f t="shared" ca="1" si="277"/>
        <v>-23.263636363636472</v>
      </c>
      <c r="DN171" s="126">
        <f t="shared" ca="1" si="252"/>
        <v>-3</v>
      </c>
      <c r="DO171" s="356">
        <f t="shared" ca="1" si="226"/>
        <v>20.263636363636472</v>
      </c>
      <c r="DP171" s="114"/>
      <c r="DQ171" s="126">
        <f t="shared" ca="1" si="278"/>
        <v>-23.263636363636472</v>
      </c>
      <c r="DR171" s="126">
        <f t="shared" ca="1" si="253"/>
        <v>-6</v>
      </c>
      <c r="DS171" s="356">
        <f t="shared" ca="1" si="227"/>
        <v>17.263636363636472</v>
      </c>
      <c r="DT171" s="114"/>
      <c r="DU171" s="126">
        <f t="shared" ca="1" si="279"/>
        <v>-23.263636363636472</v>
      </c>
      <c r="DV171" s="126">
        <f t="shared" ca="1" si="254"/>
        <v>-5</v>
      </c>
      <c r="DW171" s="356">
        <f t="shared" ca="1" si="228"/>
        <v>18.263636363636472</v>
      </c>
    </row>
    <row r="172" spans="2:127" x14ac:dyDescent="0.25">
      <c r="B172" s="396">
        <v>40787</v>
      </c>
      <c r="C172" s="400">
        <v>40776</v>
      </c>
      <c r="I172" s="136">
        <f t="shared" ca="1" si="305"/>
        <v>42036</v>
      </c>
      <c r="J172" s="131">
        <f t="shared" ca="1" si="230"/>
        <v>42026</v>
      </c>
      <c r="K172" s="106">
        <f t="shared" ca="1" si="306"/>
        <v>0.75</v>
      </c>
      <c r="L172" s="133">
        <f t="shared" ca="1" si="293"/>
        <v>115</v>
      </c>
      <c r="M172" s="134">
        <f t="shared" ca="1" si="294"/>
        <v>2</v>
      </c>
      <c r="N172" s="103">
        <f t="shared" ca="1" si="297"/>
        <v>20</v>
      </c>
      <c r="O172" s="104">
        <f t="shared" ca="1" si="232"/>
        <v>5077</v>
      </c>
      <c r="P172" s="105">
        <f t="shared" ca="1" si="295"/>
        <v>13.913757700205339</v>
      </c>
      <c r="Q172" s="105">
        <f t="shared" ca="1" si="296"/>
        <v>13.987679671457906</v>
      </c>
      <c r="R172" s="114">
        <v>23.250000000000107</v>
      </c>
      <c r="S172" s="198">
        <v>0</v>
      </c>
      <c r="T172" s="189">
        <f t="shared" si="233"/>
        <v>23.250000000000107</v>
      </c>
      <c r="U172" s="199">
        <f t="shared" ca="1" si="298"/>
        <v>23.312500000000107</v>
      </c>
      <c r="V172" s="379">
        <f t="shared" ca="1" si="299"/>
        <v>23.312500000000107</v>
      </c>
      <c r="W172" s="483">
        <v>0.15089999999999804</v>
      </c>
      <c r="X172" s="166" t="str">
        <f t="shared" ca="1" si="300"/>
        <v/>
      </c>
      <c r="Y172" s="91">
        <f t="shared" ca="1" si="308"/>
        <v>4.1505647342039497E-4</v>
      </c>
      <c r="Z172" s="91">
        <f t="shared" ca="1" si="309"/>
        <v>1.0438514464777966E-4</v>
      </c>
      <c r="AA172" s="91">
        <f t="shared" ca="1" si="310"/>
        <v>3.1780893023708005E-5</v>
      </c>
      <c r="AB172" s="91">
        <f t="shared" ca="1" si="311"/>
        <v>7.1595995803818454E-5</v>
      </c>
      <c r="AC172" s="91">
        <f t="shared" ca="1" si="312"/>
        <v>2.3515885386253478E-4</v>
      </c>
      <c r="AD172" s="91">
        <f t="shared" ca="1" si="313"/>
        <v>9.3503922332136555E-4</v>
      </c>
      <c r="AE172" s="124">
        <v>7.3597056183419024E-2</v>
      </c>
      <c r="AF172" s="191">
        <f t="shared" ca="1" si="261"/>
        <v>0.36386836923299942</v>
      </c>
      <c r="AG172" s="189">
        <f t="shared" ca="1" si="307"/>
        <v>1</v>
      </c>
      <c r="AH172" s="192">
        <f t="shared" ca="1" si="301"/>
        <v>0</v>
      </c>
      <c r="AI172" s="192">
        <f t="shared" ca="1" si="302"/>
        <v>0</v>
      </c>
      <c r="AJ172" s="192">
        <f t="shared" ca="1" si="303"/>
        <v>0</v>
      </c>
      <c r="AK172" s="192">
        <f t="shared" ca="1" si="304"/>
        <v>0</v>
      </c>
      <c r="AL172" s="191" t="str">
        <f t="shared" ca="1" si="262"/>
        <v/>
      </c>
      <c r="AM172" s="191" t="str">
        <f t="shared" ca="1" si="263"/>
        <v/>
      </c>
      <c r="AN172" s="191" t="str">
        <f t="shared" ca="1" si="264"/>
        <v/>
      </c>
      <c r="AO172" s="193" t="str">
        <f t="shared" ca="1" si="265"/>
        <v/>
      </c>
      <c r="AP172" s="194" t="str">
        <f t="shared" ca="1" si="235"/>
        <v/>
      </c>
      <c r="AQ172" s="194" t="str">
        <f t="shared" ca="1" si="236"/>
        <v/>
      </c>
      <c r="AR172" s="195">
        <f ca="1">IF(AH172,_xll.xASN(AL172,Strike1,AE172,AP172,0,N172,0,P172,Q172,IF(OptControl=4,0,1),0),0)</f>
        <v>0</v>
      </c>
      <c r="AS172" s="196">
        <f ca="1">IF(AH172,_xll.xASN(AL172,Strike1,AE172,AP172,0,N172,0,P172,Q172,IF(OptControl=4,0,1),1),0)</f>
        <v>0</v>
      </c>
      <c r="AT172" s="196">
        <f ca="1">IF(AH172,_xll.xASN(AL172,Strike1,AE172,AP172,0,N172,0,P172,Q172,IF(OptControl=4,0,1),2),0)</f>
        <v>0</v>
      </c>
      <c r="AU172" s="196">
        <f ca="1">IF(AH172,_xll.xASN(AL172,Strike1,AE172,AP172,0,N172,0,P172,Q172,IF(OptControl=4,0,1),3)/100,0)</f>
        <v>0</v>
      </c>
      <c r="AV172" s="196">
        <f ca="1">IF(AH172,_xll.xASN(AL172,Strike1,AE172,AP172,0,N172,0,P172-DaysForThetaCalculation/365.25,Q172-DaysForThetaCalculation/365.25,IF(OptControl=4,0,1),0)-_xll.xASN(AL172,Strike1,AE172,AP172,0,N172,0,P172,Q172,IF(OptControl=4,0,1),0),0)</f>
        <v>0</v>
      </c>
      <c r="AW172" s="196">
        <f ca="1">IF(AH172,_xll.xASN(AL172,Strike2,AE172,AQ172,0,N172,0,P172,Q172,IF(OptControl=3,1,0),0),0)</f>
        <v>0</v>
      </c>
      <c r="AX172" s="196">
        <f ca="1">IF(AH172,_xll.xASN(AL172,Strike2,AE172,AQ172,0,N172,0,P172,Q172,IF(OptControl=3,1,0),1),0)</f>
        <v>0</v>
      </c>
      <c r="AY172" s="196">
        <f ca="1">IF(AH172,_xll.xASN(AL172,Strike2,AE172,AQ172,0,N172,0,P172,Q172,IF(OptControl=3,1,0),2),0)</f>
        <v>0</v>
      </c>
      <c r="AZ172" s="196">
        <f ca="1">IF(AH172,_xll.xASN(AL172,Strike2,AE172,AQ172,0,N172,0,P172,Q172,IF(OptControl=3,1,0),3)/100,0)</f>
        <v>0</v>
      </c>
      <c r="BA172" s="196">
        <f ca="1">IF(AH172,_xll.xASN(AL172,Strike2,AE172,AQ172,0,N172,0,P172-DaysForThetaCalculation/365.25,Q172-DaysForThetaCalculation/365.25,IF(OptControl=3,1,0),0)-_xll.xASN(AL172,Strike2,AE172,AQ172,0,N172,0,P172,Q172,IF(OptControl=3,1,0),0),0)</f>
        <v>0</v>
      </c>
      <c r="BB172" s="126" t="str">
        <f t="shared" ca="1" si="266"/>
        <v/>
      </c>
      <c r="BC172" s="191" t="str">
        <f t="shared" ca="1" si="267"/>
        <v/>
      </c>
      <c r="BD172" s="191" t="str">
        <f t="shared" ca="1" si="268"/>
        <v/>
      </c>
      <c r="BE172" s="190" t="str">
        <f t="shared" ca="1" si="269"/>
        <v/>
      </c>
      <c r="BF172" s="194" t="str">
        <f t="shared" ca="1" si="270"/>
        <v/>
      </c>
      <c r="BG172" s="194" t="str">
        <f t="shared" ca="1" si="271"/>
        <v/>
      </c>
      <c r="BH172" s="195">
        <f ca="1">IF(AH172,_xll.xEURO(BB172,Strike1,AE172,AE172,BF172,O172,IF(OptControl=4,0,1),0),0)</f>
        <v>0</v>
      </c>
      <c r="BI172" s="196">
        <f ca="1">IF(AH172,_xll.xEURO(BB172,Strike1,AE172,AE172,BF172,O172,IF(OptControl=4,0,1),1),0)</f>
        <v>0</v>
      </c>
      <c r="BJ172" s="196">
        <f ca="1">IF(AH172,_xll.xEURO(BB172,Strike1,AE172,AE172,BF172,O172,IF(OptControl=4,0,1),2),0)</f>
        <v>0</v>
      </c>
      <c r="BK172" s="196">
        <f ca="1">IF(AH172,_xll.xEURO(BB172,Strike1,AE172,AE172,BF172,O172,IF(OptControl=4,0,1),3)/100,0)</f>
        <v>0</v>
      </c>
      <c r="BL172" s="196">
        <f ca="1">IF(AH172,_xll.xEURO(BB172,Strike1,AE172,AE172,BF172,O172-DaysForThetaCalculation,IF(OptControl=4,0,1),0)-_xll.xEURO(BB172,Strike1,AE172,AE172,BF172,O172,IF(OptControl=4,0,1),0),0)</f>
        <v>0</v>
      </c>
      <c r="BM172" s="196">
        <f ca="1">IF(AH172,_xll.xEURO(BB172,Strike2,AE172,AE172,BG172,O172,IF(OptControl=3,1,0),0),0)</f>
        <v>0</v>
      </c>
      <c r="BN172" s="196">
        <f ca="1">IF(AH172,_xll.xEURO(BB172,Strike2,AE172,AE172,BG172,O172,IF(OptControl=3,1,0),1),0)</f>
        <v>0</v>
      </c>
      <c r="BO172" s="196">
        <f ca="1">IF(AH172,_xll.xEURO(BB172,Strike2,AE172,AE172,BG172,O172,IF(OptControl=3,1,0),2),0)</f>
        <v>0</v>
      </c>
      <c r="BP172" s="196">
        <f ca="1">IF(AH172,_xll.xEURO(BB172,Strike2,AE172,AE172,BG172,O172,IF(OptControl=3,1,0),3)/100,0)</f>
        <v>0</v>
      </c>
      <c r="BQ172" s="197">
        <f ca="1">IF(AH172,_xll.xEURO(BB172,Strike2,AE172,AE172,BG172,O172-DaysForThetaCalculation,IF(OptControl=3,1,0),0)-_xll.xEURO(BB172,Strike2,AE172,AE172,BG172,O172,IF(OptControl=3,1,0),0),0)</f>
        <v>0</v>
      </c>
      <c r="BR172" s="301"/>
      <c r="BS172" s="114"/>
      <c r="BT172" s="345">
        <f t="shared" si="237"/>
        <v>0</v>
      </c>
      <c r="BU172" s="345">
        <f t="shared" ca="1" si="285"/>
        <v>-23.312500000000107</v>
      </c>
      <c r="BV172" s="73"/>
      <c r="BW172" s="345">
        <f t="shared" ca="1" si="282"/>
        <v>7.1400000000000023</v>
      </c>
      <c r="BX172" s="345">
        <f t="shared" ca="1" si="286"/>
        <v>71.483606248823918</v>
      </c>
      <c r="BY172" s="373">
        <f t="shared" ca="1" si="238"/>
        <v>72.505952380952635</v>
      </c>
      <c r="BZ172" s="114"/>
      <c r="CA172" s="345">
        <f t="shared" si="239"/>
        <v>0</v>
      </c>
      <c r="CB172" s="345">
        <f t="shared" ca="1" si="287"/>
        <v>-23.312500000000107</v>
      </c>
      <c r="CC172" s="345">
        <f t="shared" ca="1" si="283"/>
        <v>5.5820000000000016</v>
      </c>
      <c r="CD172" s="345">
        <f t="shared" ca="1" si="240"/>
        <v>68.796428571428834</v>
      </c>
      <c r="CE172" s="347">
        <f t="shared" ca="1" si="272"/>
        <v>-3.7095238095238017</v>
      </c>
      <c r="CF172" s="114"/>
      <c r="CG172" s="345">
        <f t="shared" si="241"/>
        <v>0</v>
      </c>
      <c r="CH172" s="345">
        <f t="shared" ca="1" si="242"/>
        <v>-23.312500000000107</v>
      </c>
      <c r="CI172" s="73"/>
      <c r="CJ172" s="345">
        <f t="shared" ca="1" si="290"/>
        <v>5.3679999999999986</v>
      </c>
      <c r="CK172" s="345">
        <f t="shared" ca="1" si="284"/>
        <v>69.864558629776297</v>
      </c>
      <c r="CL172" s="345">
        <f t="shared" ca="1" si="243"/>
        <v>68.286904761905021</v>
      </c>
      <c r="CM172" s="114"/>
      <c r="CN172" s="345">
        <f t="shared" si="244"/>
        <v>0</v>
      </c>
      <c r="CO172" s="345">
        <f t="shared" ca="1" si="245"/>
        <v>-23.312500000000107</v>
      </c>
      <c r="CP172" s="345">
        <f t="shared" ca="1" si="292"/>
        <v>4.254999999999999</v>
      </c>
      <c r="CQ172" s="345">
        <f t="shared" ca="1" si="246"/>
        <v>65.636904761905015</v>
      </c>
      <c r="CR172" s="347">
        <f t="shared" ca="1" si="273"/>
        <v>-2.6500000000000057</v>
      </c>
      <c r="CS172" s="114"/>
      <c r="CT172" s="345">
        <f t="shared" si="247"/>
        <v>0</v>
      </c>
      <c r="CU172" s="345">
        <f t="shared" si="274"/>
        <v>0</v>
      </c>
      <c r="CV172" s="345">
        <f t="shared" ca="1" si="291"/>
        <v>2.5500000000000078</v>
      </c>
      <c r="CW172" s="347">
        <f t="shared" ca="1" si="275"/>
        <v>70.836904761905032</v>
      </c>
      <c r="CX172" s="483"/>
      <c r="CY172" s="190">
        <f t="shared" si="248"/>
        <v>-0.15089999999999804</v>
      </c>
      <c r="CZ172" s="190">
        <f t="shared" ca="1" si="280"/>
        <v>-0.03</v>
      </c>
      <c r="DA172" s="354">
        <f t="shared" ca="1" si="249"/>
        <v>0.12089999999999804</v>
      </c>
      <c r="DB172" s="483"/>
      <c r="DC172" s="190">
        <f t="shared" si="250"/>
        <v>-0.15089999999999804</v>
      </c>
      <c r="DD172" s="190">
        <f t="shared" ca="1" si="281"/>
        <v>0.03</v>
      </c>
      <c r="DE172" s="354">
        <f t="shared" ca="1" si="251"/>
        <v>0.18089999999999803</v>
      </c>
      <c r="DG172" s="341"/>
      <c r="DH172" s="114"/>
      <c r="DI172" s="126">
        <f t="shared" ca="1" si="276"/>
        <v>-23.312500000000107</v>
      </c>
      <c r="DJ172" s="126">
        <f t="shared" ca="1" si="224"/>
        <v>-2</v>
      </c>
      <c r="DK172" s="356">
        <f t="shared" ca="1" si="225"/>
        <v>21.312500000000107</v>
      </c>
      <c r="DL172" s="114"/>
      <c r="DM172" s="126">
        <f t="shared" ca="1" si="277"/>
        <v>-23.312500000000107</v>
      </c>
      <c r="DN172" s="126">
        <f t="shared" ca="1" si="252"/>
        <v>-3</v>
      </c>
      <c r="DO172" s="356">
        <f t="shared" ca="1" si="226"/>
        <v>20.312500000000107</v>
      </c>
      <c r="DP172" s="114"/>
      <c r="DQ172" s="126">
        <f t="shared" ca="1" si="278"/>
        <v>-23.312500000000107</v>
      </c>
      <c r="DR172" s="126">
        <f t="shared" ca="1" si="253"/>
        <v>-6</v>
      </c>
      <c r="DS172" s="356">
        <f t="shared" ca="1" si="227"/>
        <v>17.312500000000107</v>
      </c>
      <c r="DT172" s="114"/>
      <c r="DU172" s="126">
        <f t="shared" ca="1" si="279"/>
        <v>-23.312500000000107</v>
      </c>
      <c r="DV172" s="126">
        <f t="shared" ca="1" si="254"/>
        <v>-5</v>
      </c>
      <c r="DW172" s="356">
        <f t="shared" ca="1" si="228"/>
        <v>18.312500000000107</v>
      </c>
    </row>
    <row r="173" spans="2:127" x14ac:dyDescent="0.25">
      <c r="B173" s="396">
        <v>40817</v>
      </c>
      <c r="C173" s="400">
        <v>40806</v>
      </c>
      <c r="I173" s="136">
        <f t="shared" ca="1" si="305"/>
        <v>42064</v>
      </c>
      <c r="J173" s="131">
        <f t="shared" ca="1" si="230"/>
        <v>42055</v>
      </c>
      <c r="K173" s="106">
        <f t="shared" ca="1" si="306"/>
        <v>0.68181818181818177</v>
      </c>
      <c r="L173" s="133">
        <f t="shared" ca="1" si="293"/>
        <v>115</v>
      </c>
      <c r="M173" s="134">
        <f t="shared" ca="1" si="294"/>
        <v>3</v>
      </c>
      <c r="N173" s="103">
        <f t="shared" ca="1" si="297"/>
        <v>22</v>
      </c>
      <c r="O173" s="104">
        <f t="shared" ca="1" si="232"/>
        <v>5105</v>
      </c>
      <c r="P173" s="105">
        <f t="shared" ca="1" si="295"/>
        <v>13.990417522245037</v>
      </c>
      <c r="Q173" s="105">
        <f t="shared" ca="1" si="296"/>
        <v>14.072553045859001</v>
      </c>
      <c r="R173" s="114">
        <v>23.300000000000104</v>
      </c>
      <c r="S173" s="198">
        <v>0</v>
      </c>
      <c r="T173" s="189">
        <f t="shared" si="233"/>
        <v>23.300000000000104</v>
      </c>
      <c r="U173" s="199">
        <f t="shared" ca="1" si="298"/>
        <v>23.365909090909195</v>
      </c>
      <c r="V173" s="379">
        <f t="shared" ca="1" si="299"/>
        <v>23.365909090909195</v>
      </c>
      <c r="W173" s="483">
        <v>0.15049999999999802</v>
      </c>
      <c r="X173" s="166" t="str">
        <f t="shared" ca="1" si="300"/>
        <v/>
      </c>
      <c r="Y173" s="91">
        <f t="shared" ca="1" si="308"/>
        <v>4.061707455951759E-4</v>
      </c>
      <c r="Z173" s="91">
        <f t="shared" ca="1" si="309"/>
        <v>1.0160349882209569E-4</v>
      </c>
      <c r="AA173" s="91">
        <f t="shared" ca="1" si="310"/>
        <v>3.0851046237224132E-5</v>
      </c>
      <c r="AB173" s="91">
        <f t="shared" ca="1" si="311"/>
        <v>6.950123696322748E-5</v>
      </c>
      <c r="AC173" s="91">
        <f t="shared" ca="1" si="312"/>
        <v>2.2889236214643344E-4</v>
      </c>
      <c r="AD173" s="91">
        <f t="shared" ca="1" si="313"/>
        <v>9.1502145567671296E-4</v>
      </c>
      <c r="AE173" s="124">
        <v>7.3593478001508006E-2</v>
      </c>
      <c r="AF173" s="191">
        <f t="shared" ca="1" si="261"/>
        <v>0.36166070799064659</v>
      </c>
      <c r="AG173" s="189">
        <f t="shared" ca="1" si="307"/>
        <v>1</v>
      </c>
      <c r="AH173" s="192">
        <f t="shared" ca="1" si="301"/>
        <v>0</v>
      </c>
      <c r="AI173" s="192">
        <f t="shared" ca="1" si="302"/>
        <v>0</v>
      </c>
      <c r="AJ173" s="192">
        <f t="shared" ca="1" si="303"/>
        <v>0</v>
      </c>
      <c r="AK173" s="192">
        <f t="shared" ca="1" si="304"/>
        <v>0</v>
      </c>
      <c r="AL173" s="191" t="str">
        <f t="shared" ca="1" si="262"/>
        <v/>
      </c>
      <c r="AM173" s="191" t="str">
        <f t="shared" ca="1" si="263"/>
        <v/>
      </c>
      <c r="AN173" s="191" t="str">
        <f t="shared" ca="1" si="264"/>
        <v/>
      </c>
      <c r="AO173" s="193" t="str">
        <f t="shared" ca="1" si="265"/>
        <v/>
      </c>
      <c r="AP173" s="194" t="str">
        <f t="shared" ca="1" si="235"/>
        <v/>
      </c>
      <c r="AQ173" s="194" t="str">
        <f t="shared" ca="1" si="236"/>
        <v/>
      </c>
      <c r="AR173" s="195">
        <f ca="1">IF(AH173,_xll.xASN(AL173,Strike1,AE173,AP173,0,N173,0,P173,Q173,IF(OptControl=4,0,1),0),0)</f>
        <v>0</v>
      </c>
      <c r="AS173" s="196">
        <f ca="1">IF(AH173,_xll.xASN(AL173,Strike1,AE173,AP173,0,N173,0,P173,Q173,IF(OptControl=4,0,1),1),0)</f>
        <v>0</v>
      </c>
      <c r="AT173" s="196">
        <f ca="1">IF(AH173,_xll.xASN(AL173,Strike1,AE173,AP173,0,N173,0,P173,Q173,IF(OptControl=4,0,1),2),0)</f>
        <v>0</v>
      </c>
      <c r="AU173" s="196">
        <f ca="1">IF(AH173,_xll.xASN(AL173,Strike1,AE173,AP173,0,N173,0,P173,Q173,IF(OptControl=4,0,1),3)/100,0)</f>
        <v>0</v>
      </c>
      <c r="AV173" s="196">
        <f ca="1">IF(AH173,_xll.xASN(AL173,Strike1,AE173,AP173,0,N173,0,P173-DaysForThetaCalculation/365.25,Q173-DaysForThetaCalculation/365.25,IF(OptControl=4,0,1),0)-_xll.xASN(AL173,Strike1,AE173,AP173,0,N173,0,P173,Q173,IF(OptControl=4,0,1),0),0)</f>
        <v>0</v>
      </c>
      <c r="AW173" s="196">
        <f ca="1">IF(AH173,_xll.xASN(AL173,Strike2,AE173,AQ173,0,N173,0,P173,Q173,IF(OptControl=3,1,0),0),0)</f>
        <v>0</v>
      </c>
      <c r="AX173" s="196">
        <f ca="1">IF(AH173,_xll.xASN(AL173,Strike2,AE173,AQ173,0,N173,0,P173,Q173,IF(OptControl=3,1,0),1),0)</f>
        <v>0</v>
      </c>
      <c r="AY173" s="196">
        <f ca="1">IF(AH173,_xll.xASN(AL173,Strike2,AE173,AQ173,0,N173,0,P173,Q173,IF(OptControl=3,1,0),2),0)</f>
        <v>0</v>
      </c>
      <c r="AZ173" s="196">
        <f ca="1">IF(AH173,_xll.xASN(AL173,Strike2,AE173,AQ173,0,N173,0,P173,Q173,IF(OptControl=3,1,0),3)/100,0)</f>
        <v>0</v>
      </c>
      <c r="BA173" s="196">
        <f ca="1">IF(AH173,_xll.xASN(AL173,Strike2,AE173,AQ173,0,N173,0,P173-DaysForThetaCalculation/365.25,Q173-DaysForThetaCalculation/365.25,IF(OptControl=3,1,0),0)-_xll.xASN(AL173,Strike2,AE173,AQ173,0,N173,0,P173,Q173,IF(OptControl=3,1,0),0),0)</f>
        <v>0</v>
      </c>
      <c r="BB173" s="126" t="str">
        <f t="shared" ca="1" si="266"/>
        <v/>
      </c>
      <c r="BC173" s="191" t="str">
        <f t="shared" ca="1" si="267"/>
        <v/>
      </c>
      <c r="BD173" s="191" t="str">
        <f t="shared" ca="1" si="268"/>
        <v/>
      </c>
      <c r="BE173" s="190" t="str">
        <f t="shared" ca="1" si="269"/>
        <v/>
      </c>
      <c r="BF173" s="194" t="str">
        <f t="shared" ca="1" si="270"/>
        <v/>
      </c>
      <c r="BG173" s="194" t="str">
        <f t="shared" ca="1" si="271"/>
        <v/>
      </c>
      <c r="BH173" s="195">
        <f ca="1">IF(AH173,_xll.xEURO(BB173,Strike1,AE173,AE173,BF173,O173,IF(OptControl=4,0,1),0),0)</f>
        <v>0</v>
      </c>
      <c r="BI173" s="196">
        <f ca="1">IF(AH173,_xll.xEURO(BB173,Strike1,AE173,AE173,BF173,O173,IF(OptControl=4,0,1),1),0)</f>
        <v>0</v>
      </c>
      <c r="BJ173" s="196">
        <f ca="1">IF(AH173,_xll.xEURO(BB173,Strike1,AE173,AE173,BF173,O173,IF(OptControl=4,0,1),2),0)</f>
        <v>0</v>
      </c>
      <c r="BK173" s="196">
        <f ca="1">IF(AH173,_xll.xEURO(BB173,Strike1,AE173,AE173,BF173,O173,IF(OptControl=4,0,1),3)/100,0)</f>
        <v>0</v>
      </c>
      <c r="BL173" s="196">
        <f ca="1">IF(AH173,_xll.xEURO(BB173,Strike1,AE173,AE173,BF173,O173-DaysForThetaCalculation,IF(OptControl=4,0,1),0)-_xll.xEURO(BB173,Strike1,AE173,AE173,BF173,O173,IF(OptControl=4,0,1),0),0)</f>
        <v>0</v>
      </c>
      <c r="BM173" s="196">
        <f ca="1">IF(AH173,_xll.xEURO(BB173,Strike2,AE173,AE173,BG173,O173,IF(OptControl=3,1,0),0),0)</f>
        <v>0</v>
      </c>
      <c r="BN173" s="196">
        <f ca="1">IF(AH173,_xll.xEURO(BB173,Strike2,AE173,AE173,BG173,O173,IF(OptControl=3,1,0),1),0)</f>
        <v>0</v>
      </c>
      <c r="BO173" s="196">
        <f ca="1">IF(AH173,_xll.xEURO(BB173,Strike2,AE173,AE173,BG173,O173,IF(OptControl=3,1,0),2),0)</f>
        <v>0</v>
      </c>
      <c r="BP173" s="196">
        <f ca="1">IF(AH173,_xll.xEURO(BB173,Strike2,AE173,AE173,BG173,O173,IF(OptControl=3,1,0),3)/100,0)</f>
        <v>0</v>
      </c>
      <c r="BQ173" s="197">
        <f ca="1">IF(AH173,_xll.xEURO(BB173,Strike2,AE173,AE173,BG173,O173-DaysForThetaCalculation,IF(OptControl=3,1,0),0)-_xll.xEURO(BB173,Strike2,AE173,AE173,BG173,O173,IF(OptControl=3,1,0),0),0)</f>
        <v>0</v>
      </c>
      <c r="BR173" s="301"/>
      <c r="BS173" s="114"/>
      <c r="BT173" s="345">
        <f t="shared" si="237"/>
        <v>0</v>
      </c>
      <c r="BU173" s="345">
        <f t="shared" ca="1" si="285"/>
        <v>-23.365909090909195</v>
      </c>
      <c r="BV173" s="73"/>
      <c r="BW173" s="345">
        <f t="shared" ca="1" si="282"/>
        <v>11.206000000000007</v>
      </c>
      <c r="BX173" s="345">
        <f t="shared" ca="1" si="286"/>
        <v>72.505952380952635</v>
      </c>
      <c r="BY173" s="373">
        <f t="shared" ca="1" si="238"/>
        <v>82.314069264069531</v>
      </c>
      <c r="BZ173" s="114"/>
      <c r="CA173" s="345">
        <f t="shared" si="239"/>
        <v>0</v>
      </c>
      <c r="CB173" s="345">
        <f t="shared" ca="1" si="287"/>
        <v>-23.365909090909195</v>
      </c>
      <c r="CC173" s="345">
        <f t="shared" ca="1" si="283"/>
        <v>7.7480000000000064</v>
      </c>
      <c r="CD173" s="345">
        <f t="shared" ca="1" si="240"/>
        <v>74.080735930736196</v>
      </c>
      <c r="CE173" s="347">
        <f t="shared" ca="1" si="272"/>
        <v>-8.2333333333333343</v>
      </c>
      <c r="CF173" s="114"/>
      <c r="CG173" s="345">
        <f t="shared" si="241"/>
        <v>0</v>
      </c>
      <c r="CH173" s="345">
        <f t="shared" ca="1" si="242"/>
        <v>-23.365909090909195</v>
      </c>
      <c r="CI173" s="73"/>
      <c r="CJ173" s="345">
        <f t="shared" ca="1" si="290"/>
        <v>4.729000000000001</v>
      </c>
      <c r="CK173" s="345">
        <f t="shared" ca="1" si="284"/>
        <v>68.286904761905021</v>
      </c>
      <c r="CL173" s="345">
        <f t="shared" ca="1" si="243"/>
        <v>66.892640692640938</v>
      </c>
      <c r="CM173" s="114"/>
      <c r="CN173" s="345">
        <f t="shared" si="244"/>
        <v>0</v>
      </c>
      <c r="CO173" s="345">
        <f t="shared" ca="1" si="245"/>
        <v>-23.365909090909195</v>
      </c>
      <c r="CP173" s="345">
        <f t="shared" ca="1" si="292"/>
        <v>3.6159999999999992</v>
      </c>
      <c r="CQ173" s="345">
        <f t="shared" ca="1" si="246"/>
        <v>64.242640692640933</v>
      </c>
      <c r="CR173" s="347">
        <f t="shared" ca="1" si="273"/>
        <v>-2.6500000000000057</v>
      </c>
      <c r="CS173" s="114"/>
      <c r="CT173" s="345">
        <f t="shared" si="247"/>
        <v>0</v>
      </c>
      <c r="CU173" s="345">
        <f t="shared" si="274"/>
        <v>0</v>
      </c>
      <c r="CV173" s="345">
        <f t="shared" ca="1" si="291"/>
        <v>2.5499999999999936</v>
      </c>
      <c r="CW173" s="347">
        <f t="shared" ca="1" si="275"/>
        <v>69.442640692640936</v>
      </c>
      <c r="CX173" s="483"/>
      <c r="CY173" s="190">
        <f t="shared" si="248"/>
        <v>-0.15049999999999802</v>
      </c>
      <c r="CZ173" s="190">
        <f t="shared" ca="1" si="280"/>
        <v>-0.03</v>
      </c>
      <c r="DA173" s="354">
        <f t="shared" ca="1" si="249"/>
        <v>0.12049999999999803</v>
      </c>
      <c r="DB173" s="483"/>
      <c r="DC173" s="190">
        <f t="shared" si="250"/>
        <v>-0.15049999999999802</v>
      </c>
      <c r="DD173" s="190">
        <f t="shared" ca="1" si="281"/>
        <v>0.03</v>
      </c>
      <c r="DE173" s="354">
        <f t="shared" ca="1" si="251"/>
        <v>0.18049999999999802</v>
      </c>
      <c r="DG173" s="341"/>
      <c r="DH173" s="114"/>
      <c r="DI173" s="126">
        <f t="shared" ca="1" si="276"/>
        <v>-23.365909090909195</v>
      </c>
      <c r="DJ173" s="126">
        <f t="shared" ca="1" si="224"/>
        <v>-2</v>
      </c>
      <c r="DK173" s="356">
        <f t="shared" ca="1" si="225"/>
        <v>21.365909090909195</v>
      </c>
      <c r="DL173" s="114"/>
      <c r="DM173" s="126">
        <f t="shared" ca="1" si="277"/>
        <v>-23.365909090909195</v>
      </c>
      <c r="DN173" s="126">
        <f t="shared" ca="1" si="252"/>
        <v>-3</v>
      </c>
      <c r="DO173" s="356">
        <f t="shared" ca="1" si="226"/>
        <v>20.365909090909195</v>
      </c>
      <c r="DP173" s="114"/>
      <c r="DQ173" s="126">
        <f t="shared" ca="1" si="278"/>
        <v>-23.365909090909195</v>
      </c>
      <c r="DR173" s="126">
        <f t="shared" ca="1" si="253"/>
        <v>-6</v>
      </c>
      <c r="DS173" s="356">
        <f t="shared" ca="1" si="227"/>
        <v>17.365909090909195</v>
      </c>
      <c r="DT173" s="114"/>
      <c r="DU173" s="126">
        <f t="shared" ca="1" si="279"/>
        <v>-23.365909090909195</v>
      </c>
      <c r="DV173" s="126">
        <f t="shared" ca="1" si="254"/>
        <v>-5</v>
      </c>
      <c r="DW173" s="356">
        <f t="shared" ca="1" si="228"/>
        <v>18.365909090909195</v>
      </c>
    </row>
    <row r="174" spans="2:127" x14ac:dyDescent="0.25">
      <c r="B174" s="396">
        <v>40848</v>
      </c>
      <c r="C174" s="400">
        <v>40838</v>
      </c>
      <c r="I174" s="136">
        <f t="shared" ca="1" si="305"/>
        <v>42095</v>
      </c>
      <c r="J174" s="131">
        <f t="shared" ca="1" si="230"/>
        <v>42083</v>
      </c>
      <c r="K174" s="106">
        <f t="shared" ca="1" si="306"/>
        <v>0.63636363636363635</v>
      </c>
      <c r="L174" s="133">
        <f t="shared" ca="1" si="293"/>
        <v>115</v>
      </c>
      <c r="M174" s="134">
        <f t="shared" ca="1" si="294"/>
        <v>4</v>
      </c>
      <c r="N174" s="103">
        <f t="shared" ca="1" si="297"/>
        <v>22</v>
      </c>
      <c r="O174" s="104">
        <f t="shared" ca="1" si="232"/>
        <v>5135</v>
      </c>
      <c r="P174" s="105">
        <f t="shared" ca="1" si="295"/>
        <v>14.075290896646132</v>
      </c>
      <c r="Q174" s="105">
        <f t="shared" ca="1" si="296"/>
        <v>14.154688569472963</v>
      </c>
      <c r="R174" s="114">
        <v>23.350000000000104</v>
      </c>
      <c r="S174" s="198">
        <v>0</v>
      </c>
      <c r="T174" s="189">
        <f t="shared" si="233"/>
        <v>23.350000000000104</v>
      </c>
      <c r="U174" s="199">
        <f t="shared" ca="1" si="298"/>
        <v>23.418181818181925</v>
      </c>
      <c r="V174" s="379">
        <f t="shared" ca="1" si="299"/>
        <v>23.418181818181925</v>
      </c>
      <c r="W174" s="483">
        <v>0.15009999999999804</v>
      </c>
      <c r="X174" s="166" t="str">
        <f t="shared" ca="1" si="300"/>
        <v/>
      </c>
      <c r="Y174" s="91">
        <f t="shared" ca="1" si="308"/>
        <v>3.9747524768814896E-4</v>
      </c>
      <c r="Z174" s="91">
        <f t="shared" ca="1" si="309"/>
        <v>9.8895978040982506E-5</v>
      </c>
      <c r="AA174" s="91">
        <f t="shared" ca="1" si="310"/>
        <v>2.9948404949518703E-5</v>
      </c>
      <c r="AB174" s="91">
        <f t="shared" ca="1" si="311"/>
        <v>6.7467766670284586E-5</v>
      </c>
      <c r="AC174" s="91">
        <f t="shared" ca="1" si="312"/>
        <v>2.227928593307412E-4</v>
      </c>
      <c r="AD174" s="91">
        <f t="shared" ca="1" si="313"/>
        <v>8.954322379917636E-4</v>
      </c>
      <c r="AE174" s="124">
        <v>7.358951644296903E-2</v>
      </c>
      <c r="AF174" s="191">
        <f t="shared" ca="1" si="261"/>
        <v>0.35953966459899761</v>
      </c>
      <c r="AG174" s="189">
        <f t="shared" ca="1" si="307"/>
        <v>1</v>
      </c>
      <c r="AH174" s="192">
        <f t="shared" ca="1" si="301"/>
        <v>0</v>
      </c>
      <c r="AI174" s="192">
        <f t="shared" ca="1" si="302"/>
        <v>0</v>
      </c>
      <c r="AJ174" s="192">
        <f t="shared" ca="1" si="303"/>
        <v>0</v>
      </c>
      <c r="AK174" s="192">
        <f t="shared" ca="1" si="304"/>
        <v>0</v>
      </c>
      <c r="AL174" s="191" t="str">
        <f t="shared" ca="1" si="262"/>
        <v/>
      </c>
      <c r="AM174" s="191" t="str">
        <f t="shared" ca="1" si="263"/>
        <v/>
      </c>
      <c r="AN174" s="191" t="str">
        <f t="shared" ca="1" si="264"/>
        <v/>
      </c>
      <c r="AO174" s="193" t="str">
        <f t="shared" ca="1" si="265"/>
        <v/>
      </c>
      <c r="AP174" s="194" t="str">
        <f t="shared" ca="1" si="235"/>
        <v/>
      </c>
      <c r="AQ174" s="194" t="str">
        <f t="shared" ca="1" si="236"/>
        <v/>
      </c>
      <c r="AR174" s="195">
        <f ca="1">IF(AH174,_xll.xASN(AL174,Strike1,AE174,AP174,0,N174,0,P174,Q174,IF(OptControl=4,0,1),0),0)</f>
        <v>0</v>
      </c>
      <c r="AS174" s="196">
        <f ca="1">IF(AH174,_xll.xASN(AL174,Strike1,AE174,AP174,0,N174,0,P174,Q174,IF(OptControl=4,0,1),1),0)</f>
        <v>0</v>
      </c>
      <c r="AT174" s="196">
        <f ca="1">IF(AH174,_xll.xASN(AL174,Strike1,AE174,AP174,0,N174,0,P174,Q174,IF(OptControl=4,0,1),2),0)</f>
        <v>0</v>
      </c>
      <c r="AU174" s="196">
        <f ca="1">IF(AH174,_xll.xASN(AL174,Strike1,AE174,AP174,0,N174,0,P174,Q174,IF(OptControl=4,0,1),3)/100,0)</f>
        <v>0</v>
      </c>
      <c r="AV174" s="196">
        <f ca="1">IF(AH174,_xll.xASN(AL174,Strike1,AE174,AP174,0,N174,0,P174-DaysForThetaCalculation/365.25,Q174-DaysForThetaCalculation/365.25,IF(OptControl=4,0,1),0)-_xll.xASN(AL174,Strike1,AE174,AP174,0,N174,0,P174,Q174,IF(OptControl=4,0,1),0),0)</f>
        <v>0</v>
      </c>
      <c r="AW174" s="196">
        <f ca="1">IF(AH174,_xll.xASN(AL174,Strike2,AE174,AQ174,0,N174,0,P174,Q174,IF(OptControl=3,1,0),0),0)</f>
        <v>0</v>
      </c>
      <c r="AX174" s="196">
        <f ca="1">IF(AH174,_xll.xASN(AL174,Strike2,AE174,AQ174,0,N174,0,P174,Q174,IF(OptControl=3,1,0),1),0)</f>
        <v>0</v>
      </c>
      <c r="AY174" s="196">
        <f ca="1">IF(AH174,_xll.xASN(AL174,Strike2,AE174,AQ174,0,N174,0,P174,Q174,IF(OptControl=3,1,0),2),0)</f>
        <v>0</v>
      </c>
      <c r="AZ174" s="196">
        <f ca="1">IF(AH174,_xll.xASN(AL174,Strike2,AE174,AQ174,0,N174,0,P174,Q174,IF(OptControl=3,1,0),3)/100,0)</f>
        <v>0</v>
      </c>
      <c r="BA174" s="196">
        <f ca="1">IF(AH174,_xll.xASN(AL174,Strike2,AE174,AQ174,0,N174,0,P174-DaysForThetaCalculation/365.25,Q174-DaysForThetaCalculation/365.25,IF(OptControl=3,1,0),0)-_xll.xASN(AL174,Strike2,AE174,AQ174,0,N174,0,P174,Q174,IF(OptControl=3,1,0),0),0)</f>
        <v>0</v>
      </c>
      <c r="BB174" s="126" t="str">
        <f t="shared" ca="1" si="266"/>
        <v/>
      </c>
      <c r="BC174" s="191" t="str">
        <f t="shared" ca="1" si="267"/>
        <v/>
      </c>
      <c r="BD174" s="191" t="str">
        <f t="shared" ca="1" si="268"/>
        <v/>
      </c>
      <c r="BE174" s="190" t="str">
        <f t="shared" ca="1" si="269"/>
        <v/>
      </c>
      <c r="BF174" s="194" t="str">
        <f t="shared" ca="1" si="270"/>
        <v/>
      </c>
      <c r="BG174" s="194" t="str">
        <f t="shared" ca="1" si="271"/>
        <v/>
      </c>
      <c r="BH174" s="195">
        <f ca="1">IF(AH174,_xll.xEURO(BB174,Strike1,AE174,AE174,BF174,O174,IF(OptControl=4,0,1),0),0)</f>
        <v>0</v>
      </c>
      <c r="BI174" s="196">
        <f ca="1">IF(AH174,_xll.xEURO(BB174,Strike1,AE174,AE174,BF174,O174,IF(OptControl=4,0,1),1),0)</f>
        <v>0</v>
      </c>
      <c r="BJ174" s="196">
        <f ca="1">IF(AH174,_xll.xEURO(BB174,Strike1,AE174,AE174,BF174,O174,IF(OptControl=4,0,1),2),0)</f>
        <v>0</v>
      </c>
      <c r="BK174" s="196">
        <f ca="1">IF(AH174,_xll.xEURO(BB174,Strike1,AE174,AE174,BF174,O174,IF(OptControl=4,0,1),3)/100,0)</f>
        <v>0</v>
      </c>
      <c r="BL174" s="196">
        <f ca="1">IF(AH174,_xll.xEURO(BB174,Strike1,AE174,AE174,BF174,O174-DaysForThetaCalculation,IF(OptControl=4,0,1),0)-_xll.xEURO(BB174,Strike1,AE174,AE174,BF174,O174,IF(OptControl=4,0,1),0),0)</f>
        <v>0</v>
      </c>
      <c r="BM174" s="196">
        <f ca="1">IF(AH174,_xll.xEURO(BB174,Strike2,AE174,AE174,BG174,O174,IF(OptControl=3,1,0),0),0)</f>
        <v>0</v>
      </c>
      <c r="BN174" s="196">
        <f ca="1">IF(AH174,_xll.xEURO(BB174,Strike2,AE174,AE174,BG174,O174,IF(OptControl=3,1,0),1),0)</f>
        <v>0</v>
      </c>
      <c r="BO174" s="196">
        <f ca="1">IF(AH174,_xll.xEURO(BB174,Strike2,AE174,AE174,BG174,O174,IF(OptControl=3,1,0),2),0)</f>
        <v>0</v>
      </c>
      <c r="BP174" s="196">
        <f ca="1">IF(AH174,_xll.xEURO(BB174,Strike2,AE174,AE174,BG174,O174,IF(OptControl=3,1,0),3)/100,0)</f>
        <v>0</v>
      </c>
      <c r="BQ174" s="197">
        <f ca="1">IF(AH174,_xll.xEURO(BB174,Strike2,AE174,AE174,BG174,O174-DaysForThetaCalculation,IF(OptControl=3,1,0),0)-_xll.xEURO(BB174,Strike2,AE174,AE174,BG174,O174,IF(OptControl=3,1,0),0),0)</f>
        <v>0</v>
      </c>
      <c r="BR174" s="301"/>
      <c r="BS174" s="114"/>
      <c r="BT174" s="345">
        <f t="shared" si="237"/>
        <v>0</v>
      </c>
      <c r="BU174" s="345">
        <f t="shared" ca="1" si="285"/>
        <v>-23.418181818181925</v>
      </c>
      <c r="BV174" s="73"/>
      <c r="BW174" s="345">
        <f t="shared" ca="1" si="282"/>
        <v>10.145714285714291</v>
      </c>
      <c r="BX174" s="345">
        <f t="shared" ca="1" si="286"/>
        <v>82.314069264069531</v>
      </c>
      <c r="BY174" s="373">
        <f t="shared" ca="1" si="238"/>
        <v>79.914038342610027</v>
      </c>
      <c r="BZ174" s="114"/>
      <c r="CA174" s="345">
        <f t="shared" si="239"/>
        <v>0</v>
      </c>
      <c r="CB174" s="345">
        <f t="shared" ca="1" si="287"/>
        <v>-23.418181818181925</v>
      </c>
      <c r="CC174" s="345">
        <f t="shared" ca="1" si="283"/>
        <v>7.5207142857142912</v>
      </c>
      <c r="CD174" s="345">
        <f t="shared" ca="1" si="240"/>
        <v>73.664038342610041</v>
      </c>
      <c r="CE174" s="347">
        <f t="shared" ca="1" si="272"/>
        <v>-6.2499999999999858</v>
      </c>
      <c r="CF174" s="114"/>
      <c r="CG174" s="345">
        <f t="shared" si="241"/>
        <v>0</v>
      </c>
      <c r="CH174" s="345">
        <f t="shared" ca="1" si="242"/>
        <v>-23.418181818181925</v>
      </c>
      <c r="CI174" s="73"/>
      <c r="CJ174" s="345">
        <f t="shared" ca="1" si="290"/>
        <v>4.1770909090909107</v>
      </c>
      <c r="CK174" s="345">
        <f t="shared" ca="1" si="284"/>
        <v>66.892640692640938</v>
      </c>
      <c r="CL174" s="345">
        <f t="shared" ca="1" si="243"/>
        <v>65.703030303030559</v>
      </c>
      <c r="CM174" s="114"/>
      <c r="CN174" s="345">
        <f t="shared" si="244"/>
        <v>0</v>
      </c>
      <c r="CO174" s="345">
        <f t="shared" ca="1" si="245"/>
        <v>-23.418181818181925</v>
      </c>
      <c r="CP174" s="345">
        <f t="shared" ca="1" si="292"/>
        <v>3.2530909090909073</v>
      </c>
      <c r="CQ174" s="345">
        <f t="shared" ca="1" si="246"/>
        <v>63.503030303030549</v>
      </c>
      <c r="CR174" s="347">
        <f t="shared" ca="1" si="273"/>
        <v>-2.2000000000000099</v>
      </c>
      <c r="CS174" s="114"/>
      <c r="CT174" s="345">
        <f t="shared" si="247"/>
        <v>0</v>
      </c>
      <c r="CU174" s="345">
        <f t="shared" si="274"/>
        <v>0</v>
      </c>
      <c r="CV174" s="345">
        <f t="shared" ca="1" si="291"/>
        <v>2.5499999999999936</v>
      </c>
      <c r="CW174" s="347">
        <f t="shared" ca="1" si="275"/>
        <v>68.253030303030556</v>
      </c>
      <c r="CX174" s="483"/>
      <c r="CY174" s="190">
        <f t="shared" si="248"/>
        <v>-0.15009999999999804</v>
      </c>
      <c r="CZ174" s="190">
        <f t="shared" ca="1" si="280"/>
        <v>-0.03</v>
      </c>
      <c r="DA174" s="354">
        <f t="shared" ca="1" si="249"/>
        <v>0.12009999999999804</v>
      </c>
      <c r="DB174" s="483"/>
      <c r="DC174" s="190">
        <f t="shared" si="250"/>
        <v>-0.15009999999999804</v>
      </c>
      <c r="DD174" s="190">
        <f t="shared" ca="1" si="281"/>
        <v>0.03</v>
      </c>
      <c r="DE174" s="354">
        <f t="shared" ca="1" si="251"/>
        <v>0.18009999999999804</v>
      </c>
      <c r="DG174" s="341"/>
      <c r="DH174" s="114"/>
      <c r="DI174" s="126">
        <f t="shared" ca="1" si="276"/>
        <v>-23.418181818181925</v>
      </c>
      <c r="DJ174" s="126">
        <f t="shared" ca="1" si="224"/>
        <v>-2</v>
      </c>
      <c r="DK174" s="356">
        <f t="shared" ca="1" si="225"/>
        <v>21.418181818181925</v>
      </c>
      <c r="DL174" s="114"/>
      <c r="DM174" s="126">
        <f t="shared" ca="1" si="277"/>
        <v>-23.418181818181925</v>
      </c>
      <c r="DN174" s="126">
        <f t="shared" ca="1" si="252"/>
        <v>-3</v>
      </c>
      <c r="DO174" s="356">
        <f t="shared" ca="1" si="226"/>
        <v>20.418181818181925</v>
      </c>
      <c r="DP174" s="114"/>
      <c r="DQ174" s="126">
        <f t="shared" ca="1" si="278"/>
        <v>-23.418181818181925</v>
      </c>
      <c r="DR174" s="126">
        <f t="shared" ca="1" si="253"/>
        <v>-6</v>
      </c>
      <c r="DS174" s="356">
        <f t="shared" ca="1" si="227"/>
        <v>17.418181818181925</v>
      </c>
      <c r="DT174" s="114"/>
      <c r="DU174" s="126">
        <f t="shared" ca="1" si="279"/>
        <v>-23.418181818181925</v>
      </c>
      <c r="DV174" s="126">
        <f t="shared" ca="1" si="254"/>
        <v>-5</v>
      </c>
      <c r="DW174" s="356">
        <f t="shared" ca="1" si="228"/>
        <v>18.418181818181925</v>
      </c>
    </row>
    <row r="175" spans="2:127" x14ac:dyDescent="0.25">
      <c r="B175" s="396">
        <v>40878</v>
      </c>
      <c r="C175" s="400">
        <v>40866</v>
      </c>
      <c r="I175" s="136">
        <f t="shared" ca="1" si="305"/>
        <v>42125</v>
      </c>
      <c r="J175" s="131">
        <f t="shared" ca="1" si="230"/>
        <v>42114</v>
      </c>
      <c r="K175" s="106">
        <f t="shared" ca="1" si="306"/>
        <v>0.76190476190476186</v>
      </c>
      <c r="L175" s="133">
        <f t="shared" ca="1" si="293"/>
        <v>115</v>
      </c>
      <c r="M175" s="134">
        <f t="shared" ca="1" si="294"/>
        <v>5</v>
      </c>
      <c r="N175" s="103">
        <f t="shared" ca="1" si="297"/>
        <v>21</v>
      </c>
      <c r="O175" s="104">
        <f t="shared" ca="1" si="232"/>
        <v>5167</v>
      </c>
      <c r="P175" s="105">
        <f t="shared" ca="1" si="295"/>
        <v>14.157426420260096</v>
      </c>
      <c r="Q175" s="105">
        <f t="shared" ca="1" si="296"/>
        <v>14.239561943874058</v>
      </c>
      <c r="R175" s="114">
        <v>23.400000000000105</v>
      </c>
      <c r="S175" s="198">
        <v>0</v>
      </c>
      <c r="T175" s="189">
        <f t="shared" si="233"/>
        <v>23.400000000000105</v>
      </c>
      <c r="U175" s="199">
        <f t="shared" ca="1" si="298"/>
        <v>23.461904761904869</v>
      </c>
      <c r="V175" s="379">
        <f t="shared" ca="1" si="299"/>
        <v>23.461904761904869</v>
      </c>
      <c r="W175" s="483">
        <v>0.14969999999999803</v>
      </c>
      <c r="X175" s="166" t="str">
        <f t="shared" ca="1" si="300"/>
        <v/>
      </c>
      <c r="Y175" s="91">
        <f t="shared" ca="1" si="308"/>
        <v>3.889659071660915E-4</v>
      </c>
      <c r="Z175" s="91">
        <f t="shared" ca="1" si="309"/>
        <v>9.6260607027004769E-5</v>
      </c>
      <c r="AA175" s="91">
        <f t="shared" ca="1" si="310"/>
        <v>2.9072173180894262E-5</v>
      </c>
      <c r="AB175" s="91">
        <f t="shared" ca="1" si="311"/>
        <v>6.5493791741927341E-5</v>
      </c>
      <c r="AC175" s="91">
        <f t="shared" ca="1" si="312"/>
        <v>2.1685589551045169E-4</v>
      </c>
      <c r="AD175" s="91">
        <f t="shared" ca="1" si="313"/>
        <v>8.7626239566367353E-4</v>
      </c>
      <c r="AE175" s="124">
        <v>7.358568267664603E-2</v>
      </c>
      <c r="AF175" s="191">
        <f t="shared" ca="1" si="261"/>
        <v>0.35735994748922317</v>
      </c>
      <c r="AG175" s="189">
        <f t="shared" ca="1" si="307"/>
        <v>1</v>
      </c>
      <c r="AH175" s="192">
        <f t="shared" ca="1" si="301"/>
        <v>0</v>
      </c>
      <c r="AI175" s="192">
        <f t="shared" ca="1" si="302"/>
        <v>0</v>
      </c>
      <c r="AJ175" s="192">
        <f t="shared" ca="1" si="303"/>
        <v>0</v>
      </c>
      <c r="AK175" s="192">
        <f t="shared" ca="1" si="304"/>
        <v>0</v>
      </c>
      <c r="AL175" s="191" t="str">
        <f t="shared" ca="1" si="262"/>
        <v/>
      </c>
      <c r="AM175" s="191" t="str">
        <f t="shared" ca="1" si="263"/>
        <v/>
      </c>
      <c r="AN175" s="191" t="str">
        <f t="shared" ca="1" si="264"/>
        <v/>
      </c>
      <c r="AO175" s="193" t="str">
        <f t="shared" ca="1" si="265"/>
        <v/>
      </c>
      <c r="AP175" s="194" t="str">
        <f t="shared" ca="1" si="235"/>
        <v/>
      </c>
      <c r="AQ175" s="194" t="str">
        <f t="shared" ca="1" si="236"/>
        <v/>
      </c>
      <c r="AR175" s="195">
        <f ca="1">IF(AH175,_xll.xASN(AL175,Strike1,AE175,AP175,0,N175,0,P175,Q175,IF(OptControl=4,0,1),0),0)</f>
        <v>0</v>
      </c>
      <c r="AS175" s="196">
        <f ca="1">IF(AH175,_xll.xASN(AL175,Strike1,AE175,AP175,0,N175,0,P175,Q175,IF(OptControl=4,0,1),1),0)</f>
        <v>0</v>
      </c>
      <c r="AT175" s="196">
        <f ca="1">IF(AH175,_xll.xASN(AL175,Strike1,AE175,AP175,0,N175,0,P175,Q175,IF(OptControl=4,0,1),2),0)</f>
        <v>0</v>
      </c>
      <c r="AU175" s="196">
        <f ca="1">IF(AH175,_xll.xASN(AL175,Strike1,AE175,AP175,0,N175,0,P175,Q175,IF(OptControl=4,0,1),3)/100,0)</f>
        <v>0</v>
      </c>
      <c r="AV175" s="196">
        <f ca="1">IF(AH175,_xll.xASN(AL175,Strike1,AE175,AP175,0,N175,0,P175-DaysForThetaCalculation/365.25,Q175-DaysForThetaCalculation/365.25,IF(OptControl=4,0,1),0)-_xll.xASN(AL175,Strike1,AE175,AP175,0,N175,0,P175,Q175,IF(OptControl=4,0,1),0),0)</f>
        <v>0</v>
      </c>
      <c r="AW175" s="196">
        <f ca="1">IF(AH175,_xll.xASN(AL175,Strike2,AE175,AQ175,0,N175,0,P175,Q175,IF(OptControl=3,1,0),0),0)</f>
        <v>0</v>
      </c>
      <c r="AX175" s="196">
        <f ca="1">IF(AH175,_xll.xASN(AL175,Strike2,AE175,AQ175,0,N175,0,P175,Q175,IF(OptControl=3,1,0),1),0)</f>
        <v>0</v>
      </c>
      <c r="AY175" s="196">
        <f ca="1">IF(AH175,_xll.xASN(AL175,Strike2,AE175,AQ175,0,N175,0,P175,Q175,IF(OptControl=3,1,0),2),0)</f>
        <v>0</v>
      </c>
      <c r="AZ175" s="196">
        <f ca="1">IF(AH175,_xll.xASN(AL175,Strike2,AE175,AQ175,0,N175,0,P175,Q175,IF(OptControl=3,1,0),3)/100,0)</f>
        <v>0</v>
      </c>
      <c r="BA175" s="196">
        <f ca="1">IF(AH175,_xll.xASN(AL175,Strike2,AE175,AQ175,0,N175,0,P175-DaysForThetaCalculation/365.25,Q175-DaysForThetaCalculation/365.25,IF(OptControl=3,1,0),0)-_xll.xASN(AL175,Strike2,AE175,AQ175,0,N175,0,P175,Q175,IF(OptControl=3,1,0),0),0)</f>
        <v>0</v>
      </c>
      <c r="BB175" s="126" t="str">
        <f t="shared" ca="1" si="266"/>
        <v/>
      </c>
      <c r="BC175" s="191" t="str">
        <f t="shared" ca="1" si="267"/>
        <v/>
      </c>
      <c r="BD175" s="191" t="str">
        <f t="shared" ca="1" si="268"/>
        <v/>
      </c>
      <c r="BE175" s="190" t="str">
        <f t="shared" ca="1" si="269"/>
        <v/>
      </c>
      <c r="BF175" s="194" t="str">
        <f t="shared" ca="1" si="270"/>
        <v/>
      </c>
      <c r="BG175" s="194" t="str">
        <f t="shared" ca="1" si="271"/>
        <v/>
      </c>
      <c r="BH175" s="195">
        <f ca="1">IF(AH175,_xll.xEURO(BB175,Strike1,AE175,AE175,BF175,O175,IF(OptControl=4,0,1),0),0)</f>
        <v>0</v>
      </c>
      <c r="BI175" s="196">
        <f ca="1">IF(AH175,_xll.xEURO(BB175,Strike1,AE175,AE175,BF175,O175,IF(OptControl=4,0,1),1),0)</f>
        <v>0</v>
      </c>
      <c r="BJ175" s="196">
        <f ca="1">IF(AH175,_xll.xEURO(BB175,Strike1,AE175,AE175,BF175,O175,IF(OptControl=4,0,1),2),0)</f>
        <v>0</v>
      </c>
      <c r="BK175" s="196">
        <f ca="1">IF(AH175,_xll.xEURO(BB175,Strike1,AE175,AE175,BF175,O175,IF(OptControl=4,0,1),3)/100,0)</f>
        <v>0</v>
      </c>
      <c r="BL175" s="196">
        <f ca="1">IF(AH175,_xll.xEURO(BB175,Strike1,AE175,AE175,BF175,O175-DaysForThetaCalculation,IF(OptControl=4,0,1),0)-_xll.xEURO(BB175,Strike1,AE175,AE175,BF175,O175,IF(OptControl=4,0,1),0),0)</f>
        <v>0</v>
      </c>
      <c r="BM175" s="196">
        <f ca="1">IF(AH175,_xll.xEURO(BB175,Strike2,AE175,AE175,BG175,O175,IF(OptControl=3,1,0),0),0)</f>
        <v>0</v>
      </c>
      <c r="BN175" s="196">
        <f ca="1">IF(AH175,_xll.xEURO(BB175,Strike2,AE175,AE175,BG175,O175,IF(OptControl=3,1,0),1),0)</f>
        <v>0</v>
      </c>
      <c r="BO175" s="196">
        <f ca="1">IF(AH175,_xll.xEURO(BB175,Strike2,AE175,AE175,BG175,O175,IF(OptControl=3,1,0),2),0)</f>
        <v>0</v>
      </c>
      <c r="BP175" s="196">
        <f ca="1">IF(AH175,_xll.xEURO(BB175,Strike2,AE175,AE175,BG175,O175,IF(OptControl=3,1,0),3)/100,0)</f>
        <v>0</v>
      </c>
      <c r="BQ175" s="197">
        <f ca="1">IF(AH175,_xll.xEURO(BB175,Strike2,AE175,AE175,BG175,O175-DaysForThetaCalculation,IF(OptControl=3,1,0),0)-_xll.xEURO(BB175,Strike2,AE175,AE175,BG175,O175,IF(OptControl=3,1,0),0),0)</f>
        <v>0</v>
      </c>
      <c r="BR175" s="301"/>
      <c r="BS175" s="114"/>
      <c r="BT175" s="345">
        <f t="shared" si="237"/>
        <v>0</v>
      </c>
      <c r="BU175" s="345">
        <f t="shared" ca="1" si="285"/>
        <v>-23.461904761904869</v>
      </c>
      <c r="BV175" s="73"/>
      <c r="BW175" s="345">
        <f t="shared" ca="1" si="282"/>
        <v>9.6539130434782656</v>
      </c>
      <c r="BX175" s="345">
        <f t="shared" ca="1" si="286"/>
        <v>79.914038342610027</v>
      </c>
      <c r="BY175" s="373">
        <f t="shared" ca="1" si="238"/>
        <v>78.847185250912219</v>
      </c>
      <c r="BZ175" s="114"/>
      <c r="CA175" s="345">
        <f t="shared" si="239"/>
        <v>0</v>
      </c>
      <c r="CB175" s="345">
        <f t="shared" ca="1" si="287"/>
        <v>-23.461904761904869</v>
      </c>
      <c r="CC175" s="345">
        <f t="shared" ca="1" si="283"/>
        <v>7.0289130434782656</v>
      </c>
      <c r="CD175" s="345">
        <f t="shared" ca="1" si="240"/>
        <v>72.597185250912233</v>
      </c>
      <c r="CE175" s="347">
        <f t="shared" ca="1" si="272"/>
        <v>-6.2499999999999858</v>
      </c>
      <c r="CF175" s="114"/>
      <c r="CG175" s="345">
        <f t="shared" si="241"/>
        <v>0</v>
      </c>
      <c r="CH175" s="345">
        <f t="shared" ca="1" si="242"/>
        <v>-23.461904761904869</v>
      </c>
      <c r="CI175" s="73"/>
      <c r="CJ175" s="345">
        <f t="shared" ca="1" si="290"/>
        <v>3.7720869565217359</v>
      </c>
      <c r="CK175" s="345">
        <f t="shared" ca="1" si="284"/>
        <v>65.703030303030559</v>
      </c>
      <c r="CL175" s="345">
        <f t="shared" ca="1" si="243"/>
        <v>64.842837424825248</v>
      </c>
      <c r="CM175" s="114"/>
      <c r="CN175" s="345">
        <f t="shared" si="244"/>
        <v>0</v>
      </c>
      <c r="CO175" s="345">
        <f t="shared" ca="1" si="245"/>
        <v>-23.461904761904869</v>
      </c>
      <c r="CP175" s="345">
        <f t="shared" ca="1" si="292"/>
        <v>2.8480869565217399</v>
      </c>
      <c r="CQ175" s="345">
        <f t="shared" ca="1" si="246"/>
        <v>62.64283742482526</v>
      </c>
      <c r="CR175" s="347">
        <f t="shared" ca="1" si="273"/>
        <v>-2.1999999999999886</v>
      </c>
      <c r="CS175" s="114"/>
      <c r="CT175" s="345">
        <f t="shared" si="247"/>
        <v>0</v>
      </c>
      <c r="CU175" s="345">
        <f t="shared" si="274"/>
        <v>0</v>
      </c>
      <c r="CV175" s="345">
        <f t="shared" ca="1" si="291"/>
        <v>2.5500000000000078</v>
      </c>
      <c r="CW175" s="347">
        <f t="shared" ca="1" si="275"/>
        <v>67.39283742482526</v>
      </c>
      <c r="CX175" s="483"/>
      <c r="CY175" s="190">
        <f t="shared" si="248"/>
        <v>-0.14969999999999803</v>
      </c>
      <c r="CZ175" s="190">
        <f t="shared" ca="1" si="280"/>
        <v>-0.03</v>
      </c>
      <c r="DA175" s="354">
        <f t="shared" ca="1" si="249"/>
        <v>0.11969999999999803</v>
      </c>
      <c r="DB175" s="483"/>
      <c r="DC175" s="190">
        <f t="shared" si="250"/>
        <v>-0.14969999999999803</v>
      </c>
      <c r="DD175" s="190">
        <f t="shared" ca="1" si="281"/>
        <v>0.03</v>
      </c>
      <c r="DE175" s="354">
        <f t="shared" ca="1" si="251"/>
        <v>0.17969999999999803</v>
      </c>
      <c r="DG175" s="341"/>
      <c r="DH175" s="114"/>
      <c r="DI175" s="126">
        <f t="shared" ca="1" si="276"/>
        <v>-23.461904761904869</v>
      </c>
      <c r="DJ175" s="126">
        <f t="shared" ca="1" si="224"/>
        <v>-2</v>
      </c>
      <c r="DK175" s="356">
        <f t="shared" ca="1" si="225"/>
        <v>21.461904761904869</v>
      </c>
      <c r="DL175" s="114"/>
      <c r="DM175" s="126">
        <f t="shared" ca="1" si="277"/>
        <v>-23.461904761904869</v>
      </c>
      <c r="DN175" s="126">
        <f t="shared" ca="1" si="252"/>
        <v>-3</v>
      </c>
      <c r="DO175" s="356">
        <f t="shared" ca="1" si="226"/>
        <v>20.461904761904869</v>
      </c>
      <c r="DP175" s="114"/>
      <c r="DQ175" s="126">
        <f t="shared" ca="1" si="278"/>
        <v>-23.461904761904869</v>
      </c>
      <c r="DR175" s="126">
        <f t="shared" ca="1" si="253"/>
        <v>-6</v>
      </c>
      <c r="DS175" s="356">
        <f t="shared" ca="1" si="227"/>
        <v>17.461904761904869</v>
      </c>
      <c r="DT175" s="114"/>
      <c r="DU175" s="126">
        <f t="shared" ca="1" si="279"/>
        <v>-23.461904761904869</v>
      </c>
      <c r="DV175" s="126">
        <f t="shared" ca="1" si="254"/>
        <v>-5</v>
      </c>
      <c r="DW175" s="356">
        <f t="shared" ca="1" si="228"/>
        <v>18.461904761904869</v>
      </c>
    </row>
    <row r="176" spans="2:127" x14ac:dyDescent="0.25">
      <c r="B176" s="396">
        <v>40909</v>
      </c>
      <c r="C176" s="400">
        <v>40896</v>
      </c>
      <c r="I176" s="136">
        <f t="shared" ca="1" si="305"/>
        <v>42156</v>
      </c>
      <c r="J176" s="131">
        <f t="shared" ca="1" si="230"/>
        <v>42146</v>
      </c>
      <c r="K176" s="106">
        <f t="shared" ca="1" si="306"/>
        <v>0.68181818181818177</v>
      </c>
      <c r="L176" s="133">
        <f t="shared" ca="1" si="293"/>
        <v>115</v>
      </c>
      <c r="M176" s="134">
        <f t="shared" ca="1" si="294"/>
        <v>6</v>
      </c>
      <c r="N176" s="103">
        <f t="shared" ca="1" si="297"/>
        <v>22</v>
      </c>
      <c r="O176" s="104">
        <f t="shared" ca="1" si="232"/>
        <v>5196</v>
      </c>
      <c r="P176" s="105">
        <f t="shared" ca="1" si="295"/>
        <v>14.242299794661191</v>
      </c>
      <c r="Q176" s="105">
        <f t="shared" ca="1" si="296"/>
        <v>14.321697467488022</v>
      </c>
      <c r="R176" s="114">
        <v>23.450000000000106</v>
      </c>
      <c r="S176" s="198">
        <v>0</v>
      </c>
      <c r="T176" s="189">
        <f t="shared" si="233"/>
        <v>23.450000000000106</v>
      </c>
      <c r="U176" s="199">
        <f t="shared" ca="1" si="298"/>
        <v>23.515909090909197</v>
      </c>
      <c r="V176" s="379">
        <f t="shared" ca="1" si="299"/>
        <v>23.515909090909197</v>
      </c>
      <c r="W176" s="483">
        <v>0.14929999999999802</v>
      </c>
      <c r="X176" s="166" t="str">
        <f t="shared" ca="1" si="300"/>
        <v/>
      </c>
      <c r="Y176" s="91">
        <f t="shared" ca="1" si="308"/>
        <v>3.8063873868252323E-4</v>
      </c>
      <c r="Z176" s="91">
        <f t="shared" ca="1" si="309"/>
        <v>9.369546313974028E-5</v>
      </c>
      <c r="AA176" s="91">
        <f t="shared" ca="1" si="310"/>
        <v>2.8221578240462873E-5</v>
      </c>
      <c r="AB176" s="91">
        <f t="shared" ca="1" si="311"/>
        <v>6.3577571460123394E-5</v>
      </c>
      <c r="AC176" s="91">
        <f t="shared" ca="1" si="312"/>
        <v>2.1107713936122178E-4</v>
      </c>
      <c r="AD176" s="91">
        <f t="shared" ca="1" si="313"/>
        <v>8.5750295050389185E-4</v>
      </c>
      <c r="AE176" s="124">
        <v>7.3581721118117019E-2</v>
      </c>
      <c r="AF176" s="191">
        <f t="shared" ca="1" si="261"/>
        <v>0.35526457308172121</v>
      </c>
      <c r="AG176" s="189">
        <f t="shared" ca="1" si="307"/>
        <v>1</v>
      </c>
      <c r="AH176" s="192">
        <f t="shared" ca="1" si="301"/>
        <v>0</v>
      </c>
      <c r="AI176" s="192">
        <f t="shared" ca="1" si="302"/>
        <v>0</v>
      </c>
      <c r="AJ176" s="192">
        <f t="shared" ca="1" si="303"/>
        <v>0</v>
      </c>
      <c r="AK176" s="192">
        <f t="shared" ca="1" si="304"/>
        <v>0</v>
      </c>
      <c r="AL176" s="191" t="str">
        <f t="shared" ca="1" si="262"/>
        <v/>
      </c>
      <c r="AM176" s="191" t="str">
        <f t="shared" ca="1" si="263"/>
        <v/>
      </c>
      <c r="AN176" s="191" t="str">
        <f t="shared" ca="1" si="264"/>
        <v/>
      </c>
      <c r="AO176" s="193" t="str">
        <f t="shared" ca="1" si="265"/>
        <v/>
      </c>
      <c r="AP176" s="194" t="str">
        <f t="shared" ca="1" si="235"/>
        <v/>
      </c>
      <c r="AQ176" s="194" t="str">
        <f t="shared" ca="1" si="236"/>
        <v/>
      </c>
      <c r="AR176" s="195">
        <f ca="1">IF(AH176,_xll.xASN(AL176,Strike1,AE176,AP176,0,N176,0,P176,Q176,IF(OptControl=4,0,1),0),0)</f>
        <v>0</v>
      </c>
      <c r="AS176" s="196">
        <f ca="1">IF(AH176,_xll.xASN(AL176,Strike1,AE176,AP176,0,N176,0,P176,Q176,IF(OptControl=4,0,1),1),0)</f>
        <v>0</v>
      </c>
      <c r="AT176" s="196">
        <f ca="1">IF(AH176,_xll.xASN(AL176,Strike1,AE176,AP176,0,N176,0,P176,Q176,IF(OptControl=4,0,1),2),0)</f>
        <v>0</v>
      </c>
      <c r="AU176" s="196">
        <f ca="1">IF(AH176,_xll.xASN(AL176,Strike1,AE176,AP176,0,N176,0,P176,Q176,IF(OptControl=4,0,1),3)/100,0)</f>
        <v>0</v>
      </c>
      <c r="AV176" s="196">
        <f ca="1">IF(AH176,_xll.xASN(AL176,Strike1,AE176,AP176,0,N176,0,P176-DaysForThetaCalculation/365.25,Q176-DaysForThetaCalculation/365.25,IF(OptControl=4,0,1),0)-_xll.xASN(AL176,Strike1,AE176,AP176,0,N176,0,P176,Q176,IF(OptControl=4,0,1),0),0)</f>
        <v>0</v>
      </c>
      <c r="AW176" s="196">
        <f ca="1">IF(AH176,_xll.xASN(AL176,Strike2,AE176,AQ176,0,N176,0,P176,Q176,IF(OptControl=3,1,0),0),0)</f>
        <v>0</v>
      </c>
      <c r="AX176" s="196">
        <f ca="1">IF(AH176,_xll.xASN(AL176,Strike2,AE176,AQ176,0,N176,0,P176,Q176,IF(OptControl=3,1,0),1),0)</f>
        <v>0</v>
      </c>
      <c r="AY176" s="196">
        <f ca="1">IF(AH176,_xll.xASN(AL176,Strike2,AE176,AQ176,0,N176,0,P176,Q176,IF(OptControl=3,1,0),2),0)</f>
        <v>0</v>
      </c>
      <c r="AZ176" s="196">
        <f ca="1">IF(AH176,_xll.xASN(AL176,Strike2,AE176,AQ176,0,N176,0,P176,Q176,IF(OptControl=3,1,0),3)/100,0)</f>
        <v>0</v>
      </c>
      <c r="BA176" s="196">
        <f ca="1">IF(AH176,_xll.xASN(AL176,Strike2,AE176,AQ176,0,N176,0,P176-DaysForThetaCalculation/365.25,Q176-DaysForThetaCalculation/365.25,IF(OptControl=3,1,0),0)-_xll.xASN(AL176,Strike2,AE176,AQ176,0,N176,0,P176,Q176,IF(OptControl=3,1,0),0),0)</f>
        <v>0</v>
      </c>
      <c r="BB176" s="126" t="str">
        <f t="shared" ca="1" si="266"/>
        <v/>
      </c>
      <c r="BC176" s="191" t="str">
        <f t="shared" ca="1" si="267"/>
        <v/>
      </c>
      <c r="BD176" s="191" t="str">
        <f t="shared" ca="1" si="268"/>
        <v/>
      </c>
      <c r="BE176" s="190" t="str">
        <f t="shared" ca="1" si="269"/>
        <v/>
      </c>
      <c r="BF176" s="194" t="str">
        <f t="shared" ca="1" si="270"/>
        <v/>
      </c>
      <c r="BG176" s="194" t="str">
        <f t="shared" ca="1" si="271"/>
        <v/>
      </c>
      <c r="BH176" s="195">
        <f ca="1">IF(AH176,_xll.xEURO(BB176,Strike1,AE176,AE176,BF176,O176,IF(OptControl=4,0,1),0),0)</f>
        <v>0</v>
      </c>
      <c r="BI176" s="196">
        <f ca="1">IF(AH176,_xll.xEURO(BB176,Strike1,AE176,AE176,BF176,O176,IF(OptControl=4,0,1),1),0)</f>
        <v>0</v>
      </c>
      <c r="BJ176" s="196">
        <f ca="1">IF(AH176,_xll.xEURO(BB176,Strike1,AE176,AE176,BF176,O176,IF(OptControl=4,0,1),2),0)</f>
        <v>0</v>
      </c>
      <c r="BK176" s="196">
        <f ca="1">IF(AH176,_xll.xEURO(BB176,Strike1,AE176,AE176,BF176,O176,IF(OptControl=4,0,1),3)/100,0)</f>
        <v>0</v>
      </c>
      <c r="BL176" s="196">
        <f ca="1">IF(AH176,_xll.xEURO(BB176,Strike1,AE176,AE176,BF176,O176-DaysForThetaCalculation,IF(OptControl=4,0,1),0)-_xll.xEURO(BB176,Strike1,AE176,AE176,BF176,O176,IF(OptControl=4,0,1),0),0)</f>
        <v>0</v>
      </c>
      <c r="BM176" s="196">
        <f ca="1">IF(AH176,_xll.xEURO(BB176,Strike2,AE176,AE176,BG176,O176,IF(OptControl=3,1,0),0),0)</f>
        <v>0</v>
      </c>
      <c r="BN176" s="196">
        <f ca="1">IF(AH176,_xll.xEURO(BB176,Strike2,AE176,AE176,BG176,O176,IF(OptControl=3,1,0),1),0)</f>
        <v>0</v>
      </c>
      <c r="BO176" s="196">
        <f ca="1">IF(AH176,_xll.xEURO(BB176,Strike2,AE176,AE176,BG176,O176,IF(OptControl=3,1,0),2),0)</f>
        <v>0</v>
      </c>
      <c r="BP176" s="196">
        <f ca="1">IF(AH176,_xll.xEURO(BB176,Strike2,AE176,AE176,BG176,O176,IF(OptControl=3,1,0),3)/100,0)</f>
        <v>0</v>
      </c>
      <c r="BQ176" s="197">
        <f ca="1">IF(AH176,_xll.xEURO(BB176,Strike2,AE176,AE176,BG176,O176-DaysForThetaCalculation,IF(OptControl=3,1,0),0)-_xll.xEURO(BB176,Strike2,AE176,AE176,BG176,O176,IF(OptControl=3,1,0),0),0)</f>
        <v>0</v>
      </c>
      <c r="BR176" s="301"/>
      <c r="BS176" s="114"/>
      <c r="BT176" s="345">
        <f t="shared" si="237"/>
        <v>0</v>
      </c>
      <c r="BU176" s="345">
        <f t="shared" ca="1" si="285"/>
        <v>-23.515909090909197</v>
      </c>
      <c r="BV176" s="73"/>
      <c r="BW176" s="345">
        <f t="shared" ca="1" si="282"/>
        <v>9.1736666666666729</v>
      </c>
      <c r="BX176" s="345">
        <f t="shared" ca="1" si="286"/>
        <v>78.847185250912219</v>
      </c>
      <c r="BY176" s="373">
        <f t="shared" ca="1" si="238"/>
        <v>77.832323232323489</v>
      </c>
      <c r="BZ176" s="114"/>
      <c r="CA176" s="345">
        <f t="shared" si="239"/>
        <v>0</v>
      </c>
      <c r="CB176" s="345">
        <f t="shared" ca="1" si="287"/>
        <v>-23.515909090909197</v>
      </c>
      <c r="CC176" s="345">
        <f t="shared" ca="1" si="283"/>
        <v>6.5486666666666764</v>
      </c>
      <c r="CD176" s="345">
        <f t="shared" ca="1" si="240"/>
        <v>71.582323232323503</v>
      </c>
      <c r="CE176" s="347">
        <f t="shared" ca="1" si="272"/>
        <v>-6.2499999999999858</v>
      </c>
      <c r="CF176" s="114"/>
      <c r="CG176" s="345">
        <f t="shared" si="241"/>
        <v>0</v>
      </c>
      <c r="CH176" s="345">
        <f t="shared" ca="1" si="242"/>
        <v>-23.515909090909197</v>
      </c>
      <c r="CI176" s="73"/>
      <c r="CJ176" s="345">
        <f t="shared" ca="1" si="290"/>
        <v>3.8470000000000009</v>
      </c>
      <c r="CK176" s="345">
        <f t="shared" ca="1" si="284"/>
        <v>64.842837424825248</v>
      </c>
      <c r="CL176" s="345">
        <f t="shared" ca="1" si="243"/>
        <v>65.149783549783805</v>
      </c>
      <c r="CM176" s="114"/>
      <c r="CN176" s="345">
        <f t="shared" si="244"/>
        <v>0</v>
      </c>
      <c r="CO176" s="345">
        <f t="shared" ca="1" si="245"/>
        <v>-23.515909090909197</v>
      </c>
      <c r="CP176" s="345">
        <f t="shared" ca="1" si="292"/>
        <v>2.9229999999999978</v>
      </c>
      <c r="CQ176" s="345">
        <f t="shared" ca="1" si="246"/>
        <v>62.949783549783803</v>
      </c>
      <c r="CR176" s="347">
        <f t="shared" ca="1" si="273"/>
        <v>-2.2000000000000028</v>
      </c>
      <c r="CS176" s="114"/>
      <c r="CT176" s="345">
        <f t="shared" si="247"/>
        <v>0</v>
      </c>
      <c r="CU176" s="345">
        <f t="shared" si="274"/>
        <v>0</v>
      </c>
      <c r="CV176" s="345">
        <f t="shared" ca="1" si="291"/>
        <v>2.5499999999999936</v>
      </c>
      <c r="CW176" s="347">
        <f t="shared" ca="1" si="275"/>
        <v>67.699783549783803</v>
      </c>
      <c r="CX176" s="483"/>
      <c r="CY176" s="190">
        <f t="shared" si="248"/>
        <v>-0.14929999999999802</v>
      </c>
      <c r="CZ176" s="190">
        <f t="shared" ca="1" si="280"/>
        <v>-0.03</v>
      </c>
      <c r="DA176" s="354">
        <f t="shared" ca="1" si="249"/>
        <v>0.11929999999999802</v>
      </c>
      <c r="DB176" s="483"/>
      <c r="DC176" s="190">
        <f t="shared" si="250"/>
        <v>-0.14929999999999802</v>
      </c>
      <c r="DD176" s="190">
        <f t="shared" ca="1" si="281"/>
        <v>0.03</v>
      </c>
      <c r="DE176" s="354">
        <f t="shared" ca="1" si="251"/>
        <v>0.17929999999999802</v>
      </c>
      <c r="DG176" s="341"/>
      <c r="DH176" s="114"/>
      <c r="DI176" s="126">
        <f t="shared" ca="1" si="276"/>
        <v>-23.515909090909197</v>
      </c>
      <c r="DJ176" s="126">
        <f t="shared" ca="1" si="224"/>
        <v>-2</v>
      </c>
      <c r="DK176" s="356">
        <f t="shared" ca="1" si="225"/>
        <v>21.515909090909197</v>
      </c>
      <c r="DL176" s="114"/>
      <c r="DM176" s="126">
        <f t="shared" ca="1" si="277"/>
        <v>-23.515909090909197</v>
      </c>
      <c r="DN176" s="126">
        <f t="shared" ca="1" si="252"/>
        <v>-3</v>
      </c>
      <c r="DO176" s="356">
        <f t="shared" ca="1" si="226"/>
        <v>20.515909090909197</v>
      </c>
      <c r="DP176" s="114"/>
      <c r="DQ176" s="126">
        <f t="shared" ca="1" si="278"/>
        <v>-23.515909090909197</v>
      </c>
      <c r="DR176" s="126">
        <f t="shared" ca="1" si="253"/>
        <v>-6</v>
      </c>
      <c r="DS176" s="356">
        <f t="shared" ca="1" si="227"/>
        <v>17.515909090909197</v>
      </c>
      <c r="DT176" s="114"/>
      <c r="DU176" s="126">
        <f t="shared" ca="1" si="279"/>
        <v>-23.515909090909197</v>
      </c>
      <c r="DV176" s="126">
        <f t="shared" ca="1" si="254"/>
        <v>-5</v>
      </c>
      <c r="DW176" s="356">
        <f t="shared" ca="1" si="228"/>
        <v>18.515909090909197</v>
      </c>
    </row>
    <row r="177" spans="2:127" x14ac:dyDescent="0.25">
      <c r="B177" s="396">
        <v>40940</v>
      </c>
      <c r="C177" s="400">
        <v>40930</v>
      </c>
      <c r="I177" s="136">
        <f t="shared" ca="1" si="305"/>
        <v>42186</v>
      </c>
      <c r="J177" s="131">
        <f t="shared" ca="1" si="230"/>
        <v>42175</v>
      </c>
      <c r="K177" s="106">
        <f t="shared" ca="1" si="306"/>
        <v>0.60869565217391308</v>
      </c>
      <c r="L177" s="133">
        <f t="shared" ca="1" si="293"/>
        <v>115</v>
      </c>
      <c r="M177" s="134">
        <f t="shared" ca="1" si="294"/>
        <v>7</v>
      </c>
      <c r="N177" s="103">
        <f t="shared" ca="1" si="297"/>
        <v>23</v>
      </c>
      <c r="O177" s="104">
        <f t="shared" ca="1" si="232"/>
        <v>5226</v>
      </c>
      <c r="P177" s="105">
        <f t="shared" ca="1" si="295"/>
        <v>14.324435318275153</v>
      </c>
      <c r="Q177" s="105">
        <f t="shared" ca="1" si="296"/>
        <v>14.406570841889117</v>
      </c>
      <c r="R177" s="114">
        <v>23.500000000000107</v>
      </c>
      <c r="S177" s="198">
        <v>0</v>
      </c>
      <c r="T177" s="189">
        <f t="shared" si="233"/>
        <v>23.500000000000107</v>
      </c>
      <c r="U177" s="199">
        <f t="shared" ca="1" si="298"/>
        <v>23.569565217391407</v>
      </c>
      <c r="V177" s="379">
        <f t="shared" ca="1" si="299"/>
        <v>23.569565217391407</v>
      </c>
      <c r="W177" s="483">
        <v>0.14889999999999801</v>
      </c>
      <c r="X177" s="166" t="str">
        <f t="shared" ca="1" si="300"/>
        <v/>
      </c>
      <c r="Y177" s="91">
        <f t="shared" ca="1" si="308"/>
        <v>3.7248984221117048E-4</v>
      </c>
      <c r="Z177" s="91">
        <f t="shared" ca="1" si="309"/>
        <v>9.119867497311366E-5</v>
      </c>
      <c r="AA177" s="91">
        <f t="shared" ca="1" si="310"/>
        <v>2.7395870044761078E-5</v>
      </c>
      <c r="AB177" s="91">
        <f t="shared" ca="1" si="311"/>
        <v>6.1717416036846269E-5</v>
      </c>
      <c r="AC177" s="91">
        <f t="shared" ca="1" si="312"/>
        <v>2.0545237497944491E-4</v>
      </c>
      <c r="AD177" s="91">
        <f t="shared" ca="1" si="313"/>
        <v>8.3914511653322937E-4</v>
      </c>
      <c r="AE177" s="124">
        <v>7.3577887351804011E-2</v>
      </c>
      <c r="AF177" s="191">
        <f t="shared" ca="1" si="261"/>
        <v>0.35311121727593342</v>
      </c>
      <c r="AG177" s="189">
        <f t="shared" ca="1" si="307"/>
        <v>1</v>
      </c>
      <c r="AH177" s="192">
        <f t="shared" ca="1" si="301"/>
        <v>0</v>
      </c>
      <c r="AI177" s="192">
        <f t="shared" ca="1" si="302"/>
        <v>0</v>
      </c>
      <c r="AJ177" s="192">
        <f t="shared" ca="1" si="303"/>
        <v>0</v>
      </c>
      <c r="AK177" s="192">
        <f t="shared" ca="1" si="304"/>
        <v>0</v>
      </c>
      <c r="AL177" s="191" t="str">
        <f t="shared" ca="1" si="262"/>
        <v/>
      </c>
      <c r="AM177" s="191" t="str">
        <f t="shared" ca="1" si="263"/>
        <v/>
      </c>
      <c r="AN177" s="191" t="str">
        <f t="shared" ca="1" si="264"/>
        <v/>
      </c>
      <c r="AO177" s="193" t="str">
        <f t="shared" ca="1" si="265"/>
        <v/>
      </c>
      <c r="AP177" s="194" t="str">
        <f t="shared" ca="1" si="235"/>
        <v/>
      </c>
      <c r="AQ177" s="194" t="str">
        <f t="shared" ca="1" si="236"/>
        <v/>
      </c>
      <c r="AR177" s="195">
        <f ca="1">IF(AH177,_xll.xASN(AL177,Strike1,AE177,AP177,0,N177,0,P177,Q177,IF(OptControl=4,0,1),0),0)</f>
        <v>0</v>
      </c>
      <c r="AS177" s="196">
        <f ca="1">IF(AH177,_xll.xASN(AL177,Strike1,AE177,AP177,0,N177,0,P177,Q177,IF(OptControl=4,0,1),1),0)</f>
        <v>0</v>
      </c>
      <c r="AT177" s="196">
        <f ca="1">IF(AH177,_xll.xASN(AL177,Strike1,AE177,AP177,0,N177,0,P177,Q177,IF(OptControl=4,0,1),2),0)</f>
        <v>0</v>
      </c>
      <c r="AU177" s="196">
        <f ca="1">IF(AH177,_xll.xASN(AL177,Strike1,AE177,AP177,0,N177,0,P177,Q177,IF(OptControl=4,0,1),3)/100,0)</f>
        <v>0</v>
      </c>
      <c r="AV177" s="196">
        <f ca="1">IF(AH177,_xll.xASN(AL177,Strike1,AE177,AP177,0,N177,0,P177-DaysForThetaCalculation/365.25,Q177-DaysForThetaCalculation/365.25,IF(OptControl=4,0,1),0)-_xll.xASN(AL177,Strike1,AE177,AP177,0,N177,0,P177,Q177,IF(OptControl=4,0,1),0),0)</f>
        <v>0</v>
      </c>
      <c r="AW177" s="196">
        <f ca="1">IF(AH177,_xll.xASN(AL177,Strike2,AE177,AQ177,0,N177,0,P177,Q177,IF(OptControl=3,1,0),0),0)</f>
        <v>0</v>
      </c>
      <c r="AX177" s="196">
        <f ca="1">IF(AH177,_xll.xASN(AL177,Strike2,AE177,AQ177,0,N177,0,P177,Q177,IF(OptControl=3,1,0),1),0)</f>
        <v>0</v>
      </c>
      <c r="AY177" s="196">
        <f ca="1">IF(AH177,_xll.xASN(AL177,Strike2,AE177,AQ177,0,N177,0,P177,Q177,IF(OptControl=3,1,0),2),0)</f>
        <v>0</v>
      </c>
      <c r="AZ177" s="196">
        <f ca="1">IF(AH177,_xll.xASN(AL177,Strike2,AE177,AQ177,0,N177,0,P177,Q177,IF(OptControl=3,1,0),3)/100,0)</f>
        <v>0</v>
      </c>
      <c r="BA177" s="196">
        <f ca="1">IF(AH177,_xll.xASN(AL177,Strike2,AE177,AQ177,0,N177,0,P177-DaysForThetaCalculation/365.25,Q177-DaysForThetaCalculation/365.25,IF(OptControl=3,1,0),0)-_xll.xASN(AL177,Strike2,AE177,AQ177,0,N177,0,P177,Q177,IF(OptControl=3,1,0),0),0)</f>
        <v>0</v>
      </c>
      <c r="BB177" s="126" t="str">
        <f t="shared" ca="1" si="266"/>
        <v/>
      </c>
      <c r="BC177" s="191" t="str">
        <f t="shared" ca="1" si="267"/>
        <v/>
      </c>
      <c r="BD177" s="191" t="str">
        <f t="shared" ca="1" si="268"/>
        <v/>
      </c>
      <c r="BE177" s="190" t="str">
        <f t="shared" ca="1" si="269"/>
        <v/>
      </c>
      <c r="BF177" s="194" t="str">
        <f t="shared" ca="1" si="270"/>
        <v/>
      </c>
      <c r="BG177" s="194" t="str">
        <f t="shared" ca="1" si="271"/>
        <v/>
      </c>
      <c r="BH177" s="195">
        <f ca="1">IF(AH177,_xll.xEURO(BB177,Strike1,AE177,AE177,BF177,O177,IF(OptControl=4,0,1),0),0)</f>
        <v>0</v>
      </c>
      <c r="BI177" s="196">
        <f ca="1">IF(AH177,_xll.xEURO(BB177,Strike1,AE177,AE177,BF177,O177,IF(OptControl=4,0,1),1),0)</f>
        <v>0</v>
      </c>
      <c r="BJ177" s="196">
        <f ca="1">IF(AH177,_xll.xEURO(BB177,Strike1,AE177,AE177,BF177,O177,IF(OptControl=4,0,1),2),0)</f>
        <v>0</v>
      </c>
      <c r="BK177" s="196">
        <f ca="1">IF(AH177,_xll.xEURO(BB177,Strike1,AE177,AE177,BF177,O177,IF(OptControl=4,0,1),3)/100,0)</f>
        <v>0</v>
      </c>
      <c r="BL177" s="196">
        <f ca="1">IF(AH177,_xll.xEURO(BB177,Strike1,AE177,AE177,BF177,O177-DaysForThetaCalculation,IF(OptControl=4,0,1),0)-_xll.xEURO(BB177,Strike1,AE177,AE177,BF177,O177,IF(OptControl=4,0,1),0),0)</f>
        <v>0</v>
      </c>
      <c r="BM177" s="196">
        <f ca="1">IF(AH177,_xll.xEURO(BB177,Strike2,AE177,AE177,BG177,O177,IF(OptControl=3,1,0),0),0)</f>
        <v>0</v>
      </c>
      <c r="BN177" s="196">
        <f ca="1">IF(AH177,_xll.xEURO(BB177,Strike2,AE177,AE177,BG177,O177,IF(OptControl=3,1,0),1),0)</f>
        <v>0</v>
      </c>
      <c r="BO177" s="196">
        <f ca="1">IF(AH177,_xll.xEURO(BB177,Strike2,AE177,AE177,BG177,O177,IF(OptControl=3,1,0),2),0)</f>
        <v>0</v>
      </c>
      <c r="BP177" s="196">
        <f ca="1">IF(AH177,_xll.xEURO(BB177,Strike2,AE177,AE177,BG177,O177,IF(OptControl=3,1,0),3)/100,0)</f>
        <v>0</v>
      </c>
      <c r="BQ177" s="197">
        <f ca="1">IF(AH177,_xll.xEURO(BB177,Strike2,AE177,AE177,BG177,O177-DaysForThetaCalculation,IF(OptControl=3,1,0),0)-_xll.xEURO(BB177,Strike2,AE177,AE177,BG177,O177,IF(OptControl=3,1,0),0),0)</f>
        <v>0</v>
      </c>
      <c r="BR177" s="301"/>
      <c r="BS177" s="114"/>
      <c r="BT177" s="345">
        <f t="shared" si="237"/>
        <v>0</v>
      </c>
      <c r="BU177" s="345">
        <f t="shared" ca="1" si="285"/>
        <v>-23.569565217391407</v>
      </c>
      <c r="BV177" s="73"/>
      <c r="BW177" s="345">
        <f t="shared" ca="1" si="282"/>
        <v>8.6333636363636508</v>
      </c>
      <c r="BX177" s="345">
        <f t="shared" ca="1" si="286"/>
        <v>77.832323232323489</v>
      </c>
      <c r="BY177" s="373">
        <f t="shared" ca="1" si="238"/>
        <v>76.673640127988236</v>
      </c>
      <c r="BZ177" s="114"/>
      <c r="CA177" s="345">
        <f t="shared" si="239"/>
        <v>0</v>
      </c>
      <c r="CB177" s="345">
        <f t="shared" ca="1" si="287"/>
        <v>-23.569565217391407</v>
      </c>
      <c r="CC177" s="345">
        <f t="shared" ca="1" si="283"/>
        <v>6.2183636363636481</v>
      </c>
      <c r="CD177" s="345">
        <f t="shared" ca="1" si="240"/>
        <v>70.923640127988236</v>
      </c>
      <c r="CE177" s="347">
        <f t="shared" ca="1" si="272"/>
        <v>-5.75</v>
      </c>
      <c r="CF177" s="114"/>
      <c r="CG177" s="345">
        <f t="shared" si="241"/>
        <v>0</v>
      </c>
      <c r="CH177" s="345">
        <f t="shared" ca="1" si="242"/>
        <v>-23.569565217391407</v>
      </c>
      <c r="CI177" s="73"/>
      <c r="CJ177" s="345">
        <f t="shared" ca="1" si="290"/>
        <v>4.1860434782608742</v>
      </c>
      <c r="CK177" s="345">
        <f t="shared" ca="1" si="284"/>
        <v>65.149783549783805</v>
      </c>
      <c r="CL177" s="345">
        <f t="shared" ca="1" si="243"/>
        <v>66.084782608695903</v>
      </c>
      <c r="CM177" s="114"/>
      <c r="CN177" s="345">
        <f t="shared" si="244"/>
        <v>0</v>
      </c>
      <c r="CO177" s="345">
        <f t="shared" ca="1" si="245"/>
        <v>-23.569565217391407</v>
      </c>
      <c r="CP177" s="345">
        <f t="shared" ca="1" si="292"/>
        <v>3.2620434782608707</v>
      </c>
      <c r="CQ177" s="345">
        <f t="shared" ca="1" si="246"/>
        <v>63.884782608695893</v>
      </c>
      <c r="CR177" s="347">
        <f t="shared" ca="1" si="273"/>
        <v>-2.2000000000000099</v>
      </c>
      <c r="CS177" s="114"/>
      <c r="CT177" s="345">
        <f t="shared" si="247"/>
        <v>0</v>
      </c>
      <c r="CU177" s="345">
        <f t="shared" si="274"/>
        <v>0</v>
      </c>
      <c r="CV177" s="345">
        <f t="shared" ca="1" si="291"/>
        <v>2.5499999999999936</v>
      </c>
      <c r="CW177" s="347">
        <f t="shared" ca="1" si="275"/>
        <v>68.6347826086959</v>
      </c>
      <c r="CX177" s="483"/>
      <c r="CY177" s="190">
        <f t="shared" si="248"/>
        <v>-0.14889999999999801</v>
      </c>
      <c r="CZ177" s="190">
        <f t="shared" ca="1" si="280"/>
        <v>-0.03</v>
      </c>
      <c r="DA177" s="354">
        <f t="shared" ca="1" si="249"/>
        <v>0.11889999999999801</v>
      </c>
      <c r="DB177" s="483"/>
      <c r="DC177" s="190">
        <f t="shared" si="250"/>
        <v>-0.14889999999999801</v>
      </c>
      <c r="DD177" s="190">
        <f t="shared" ca="1" si="281"/>
        <v>0.03</v>
      </c>
      <c r="DE177" s="354">
        <f t="shared" ca="1" si="251"/>
        <v>0.17889999999999801</v>
      </c>
      <c r="DG177" s="341"/>
      <c r="DH177" s="114"/>
      <c r="DI177" s="126">
        <f t="shared" ca="1" si="276"/>
        <v>-23.569565217391407</v>
      </c>
      <c r="DJ177" s="126">
        <f t="shared" ca="1" si="224"/>
        <v>-2</v>
      </c>
      <c r="DK177" s="356">
        <f t="shared" ca="1" si="225"/>
        <v>21.569565217391407</v>
      </c>
      <c r="DL177" s="114"/>
      <c r="DM177" s="126">
        <f t="shared" ca="1" si="277"/>
        <v>-23.569565217391407</v>
      </c>
      <c r="DN177" s="126">
        <f t="shared" ca="1" si="252"/>
        <v>-3</v>
      </c>
      <c r="DO177" s="356">
        <f t="shared" ca="1" si="226"/>
        <v>20.569565217391407</v>
      </c>
      <c r="DP177" s="114"/>
      <c r="DQ177" s="126">
        <f t="shared" ca="1" si="278"/>
        <v>-23.569565217391407</v>
      </c>
      <c r="DR177" s="126">
        <f t="shared" ca="1" si="253"/>
        <v>-6</v>
      </c>
      <c r="DS177" s="356">
        <f t="shared" ca="1" si="227"/>
        <v>17.569565217391407</v>
      </c>
      <c r="DT177" s="114"/>
      <c r="DU177" s="126">
        <f t="shared" ca="1" si="279"/>
        <v>-23.569565217391407</v>
      </c>
      <c r="DV177" s="126">
        <f t="shared" ca="1" si="254"/>
        <v>-5</v>
      </c>
      <c r="DW177" s="356">
        <f t="shared" ca="1" si="228"/>
        <v>18.569565217391407</v>
      </c>
    </row>
    <row r="178" spans="2:127" x14ac:dyDescent="0.25">
      <c r="B178" s="396">
        <v>40969</v>
      </c>
      <c r="C178" s="400">
        <v>40959</v>
      </c>
      <c r="I178" s="136">
        <f t="shared" ca="1" si="305"/>
        <v>42217</v>
      </c>
      <c r="J178" s="131">
        <f t="shared" ca="1" si="230"/>
        <v>42205</v>
      </c>
      <c r="K178" s="106">
        <f t="shared" ca="1" si="306"/>
        <v>0.7142857142857143</v>
      </c>
      <c r="L178" s="133">
        <f t="shared" ca="1" si="293"/>
        <v>115</v>
      </c>
      <c r="M178" s="134">
        <f t="shared" ca="1" si="294"/>
        <v>8</v>
      </c>
      <c r="N178" s="103">
        <f t="shared" ca="1" si="297"/>
        <v>21</v>
      </c>
      <c r="O178" s="104">
        <f t="shared" ca="1" si="232"/>
        <v>5259</v>
      </c>
      <c r="P178" s="105">
        <f t="shared" ca="1" si="295"/>
        <v>14.40930869267625</v>
      </c>
      <c r="Q178" s="105">
        <f t="shared" ca="1" si="296"/>
        <v>14.491444216290212</v>
      </c>
      <c r="R178" s="114">
        <v>23.550000000000104</v>
      </c>
      <c r="S178" s="198">
        <v>0</v>
      </c>
      <c r="T178" s="189">
        <f t="shared" si="233"/>
        <v>23.550000000000104</v>
      </c>
      <c r="U178" s="199">
        <f t="shared" ca="1" si="298"/>
        <v>23.61428571428582</v>
      </c>
      <c r="V178" s="379">
        <f t="shared" ca="1" si="299"/>
        <v>23.61428571428582</v>
      </c>
      <c r="W178" s="483">
        <v>0.14849999999999802</v>
      </c>
      <c r="X178" s="166" t="str">
        <f t="shared" ca="1" si="300"/>
        <v/>
      </c>
      <c r="Y178" s="91">
        <f t="shared" ca="1" si="308"/>
        <v>3.6451540121939049E-4</v>
      </c>
      <c r="Z178" s="91">
        <f t="shared" ca="1" si="309"/>
        <v>8.8768420990108173E-5</v>
      </c>
      <c r="AA178" s="91">
        <f t="shared" ca="1" si="310"/>
        <v>2.6594320456300869E-5</v>
      </c>
      <c r="AB178" s="91">
        <f t="shared" ca="1" si="311"/>
        <v>5.9911685123962991E-5</v>
      </c>
      <c r="AC178" s="91">
        <f t="shared" ca="1" si="312"/>
        <v>1.9997749880652974E-4</v>
      </c>
      <c r="AD178" s="91">
        <f t="shared" ca="1" si="313"/>
        <v>8.2118029586694837E-4</v>
      </c>
      <c r="AE178" s="124">
        <v>7.3573925793285005E-2</v>
      </c>
      <c r="AF178" s="191">
        <f t="shared" ca="1" si="261"/>
        <v>0.35097176078030451</v>
      </c>
      <c r="AG178" s="189">
        <f t="shared" ca="1" si="307"/>
        <v>1</v>
      </c>
      <c r="AH178" s="192">
        <f t="shared" ca="1" si="301"/>
        <v>0</v>
      </c>
      <c r="AI178" s="192">
        <f t="shared" ca="1" si="302"/>
        <v>0</v>
      </c>
      <c r="AJ178" s="192">
        <f t="shared" ca="1" si="303"/>
        <v>0</v>
      </c>
      <c r="AK178" s="192">
        <f t="shared" ca="1" si="304"/>
        <v>0</v>
      </c>
      <c r="AL178" s="191" t="str">
        <f t="shared" ca="1" si="262"/>
        <v/>
      </c>
      <c r="AM178" s="191" t="str">
        <f t="shared" ca="1" si="263"/>
        <v/>
      </c>
      <c r="AN178" s="191" t="str">
        <f t="shared" ca="1" si="264"/>
        <v/>
      </c>
      <c r="AO178" s="193" t="str">
        <f t="shared" ca="1" si="265"/>
        <v/>
      </c>
      <c r="AP178" s="194" t="str">
        <f t="shared" ca="1" si="235"/>
        <v/>
      </c>
      <c r="AQ178" s="194" t="str">
        <f t="shared" ca="1" si="236"/>
        <v/>
      </c>
      <c r="AR178" s="195">
        <f ca="1">IF(AH178,_xll.xASN(AL178,Strike1,AE178,AP178,0,N178,0,P178,Q178,IF(OptControl=4,0,1),0),0)</f>
        <v>0</v>
      </c>
      <c r="AS178" s="196">
        <f ca="1">IF(AH178,_xll.xASN(AL178,Strike1,AE178,AP178,0,N178,0,P178,Q178,IF(OptControl=4,0,1),1),0)</f>
        <v>0</v>
      </c>
      <c r="AT178" s="196">
        <f ca="1">IF(AH178,_xll.xASN(AL178,Strike1,AE178,AP178,0,N178,0,P178,Q178,IF(OptControl=4,0,1),2),0)</f>
        <v>0</v>
      </c>
      <c r="AU178" s="196">
        <f ca="1">IF(AH178,_xll.xASN(AL178,Strike1,AE178,AP178,0,N178,0,P178,Q178,IF(OptControl=4,0,1),3)/100,0)</f>
        <v>0</v>
      </c>
      <c r="AV178" s="196">
        <f ca="1">IF(AH178,_xll.xASN(AL178,Strike1,AE178,AP178,0,N178,0,P178-DaysForThetaCalculation/365.25,Q178-DaysForThetaCalculation/365.25,IF(OptControl=4,0,1),0)-_xll.xASN(AL178,Strike1,AE178,AP178,0,N178,0,P178,Q178,IF(OptControl=4,0,1),0),0)</f>
        <v>0</v>
      </c>
      <c r="AW178" s="196">
        <f ca="1">IF(AH178,_xll.xASN(AL178,Strike2,AE178,AQ178,0,N178,0,P178,Q178,IF(OptControl=3,1,0),0),0)</f>
        <v>0</v>
      </c>
      <c r="AX178" s="196">
        <f ca="1">IF(AH178,_xll.xASN(AL178,Strike2,AE178,AQ178,0,N178,0,P178,Q178,IF(OptControl=3,1,0),1),0)</f>
        <v>0</v>
      </c>
      <c r="AY178" s="196">
        <f ca="1">IF(AH178,_xll.xASN(AL178,Strike2,AE178,AQ178,0,N178,0,P178,Q178,IF(OptControl=3,1,0),2),0)</f>
        <v>0</v>
      </c>
      <c r="AZ178" s="196">
        <f ca="1">IF(AH178,_xll.xASN(AL178,Strike2,AE178,AQ178,0,N178,0,P178,Q178,IF(OptControl=3,1,0),3)/100,0)</f>
        <v>0</v>
      </c>
      <c r="BA178" s="196">
        <f ca="1">IF(AH178,_xll.xASN(AL178,Strike2,AE178,AQ178,0,N178,0,P178-DaysForThetaCalculation/365.25,Q178-DaysForThetaCalculation/365.25,IF(OptControl=3,1,0),0)-_xll.xASN(AL178,Strike2,AE178,AQ178,0,N178,0,P178,Q178,IF(OptControl=3,1,0),0),0)</f>
        <v>0</v>
      </c>
      <c r="BB178" s="126" t="str">
        <f t="shared" ca="1" si="266"/>
        <v/>
      </c>
      <c r="BC178" s="191" t="str">
        <f t="shared" ca="1" si="267"/>
        <v/>
      </c>
      <c r="BD178" s="191" t="str">
        <f t="shared" ca="1" si="268"/>
        <v/>
      </c>
      <c r="BE178" s="190" t="str">
        <f t="shared" ca="1" si="269"/>
        <v/>
      </c>
      <c r="BF178" s="194" t="str">
        <f t="shared" ca="1" si="270"/>
        <v/>
      </c>
      <c r="BG178" s="194" t="str">
        <f t="shared" ca="1" si="271"/>
        <v/>
      </c>
      <c r="BH178" s="195">
        <f ca="1">IF(AH178,_xll.xEURO(BB178,Strike1,AE178,AE178,BF178,O178,IF(OptControl=4,0,1),0),0)</f>
        <v>0</v>
      </c>
      <c r="BI178" s="196">
        <f ca="1">IF(AH178,_xll.xEURO(BB178,Strike1,AE178,AE178,BF178,O178,IF(OptControl=4,0,1),1),0)</f>
        <v>0</v>
      </c>
      <c r="BJ178" s="196">
        <f ca="1">IF(AH178,_xll.xEURO(BB178,Strike1,AE178,AE178,BF178,O178,IF(OptControl=4,0,1),2),0)</f>
        <v>0</v>
      </c>
      <c r="BK178" s="196">
        <f ca="1">IF(AH178,_xll.xEURO(BB178,Strike1,AE178,AE178,BF178,O178,IF(OptControl=4,0,1),3)/100,0)</f>
        <v>0</v>
      </c>
      <c r="BL178" s="196">
        <f ca="1">IF(AH178,_xll.xEURO(BB178,Strike1,AE178,AE178,BF178,O178-DaysForThetaCalculation,IF(OptControl=4,0,1),0)-_xll.xEURO(BB178,Strike1,AE178,AE178,BF178,O178,IF(OptControl=4,0,1),0),0)</f>
        <v>0</v>
      </c>
      <c r="BM178" s="196">
        <f ca="1">IF(AH178,_xll.xEURO(BB178,Strike2,AE178,AE178,BG178,O178,IF(OptControl=3,1,0),0),0)</f>
        <v>0</v>
      </c>
      <c r="BN178" s="196">
        <f ca="1">IF(AH178,_xll.xEURO(BB178,Strike2,AE178,AE178,BG178,O178,IF(OptControl=3,1,0),1),0)</f>
        <v>0</v>
      </c>
      <c r="BO178" s="196">
        <f ca="1">IF(AH178,_xll.xEURO(BB178,Strike2,AE178,AE178,BG178,O178,IF(OptControl=3,1,0),2),0)</f>
        <v>0</v>
      </c>
      <c r="BP178" s="196">
        <f ca="1">IF(AH178,_xll.xEURO(BB178,Strike2,AE178,AE178,BG178,O178,IF(OptControl=3,1,0),3)/100,0)</f>
        <v>0</v>
      </c>
      <c r="BQ178" s="197">
        <f ca="1">IF(AH178,_xll.xEURO(BB178,Strike2,AE178,AE178,BG178,O178-DaysForThetaCalculation,IF(OptControl=3,1,0),0)-_xll.xEURO(BB178,Strike2,AE178,AE178,BG178,O178,IF(OptControl=3,1,0),0),0)</f>
        <v>0</v>
      </c>
      <c r="BR178" s="301"/>
      <c r="BS178" s="114"/>
      <c r="BT178" s="345">
        <f t="shared" si="237"/>
        <v>0</v>
      </c>
      <c r="BU178" s="345">
        <f t="shared" ca="1" si="285"/>
        <v>-23.61428571428582</v>
      </c>
      <c r="BV178" s="73"/>
      <c r="BW178" s="345">
        <f t="shared" ca="1" si="282"/>
        <v>8.1318695652173929</v>
      </c>
      <c r="BX178" s="345">
        <f t="shared" ca="1" si="286"/>
        <v>76.673640127988236</v>
      </c>
      <c r="BY178" s="373">
        <f t="shared" ca="1" si="238"/>
        <v>75.586083998817173</v>
      </c>
      <c r="BZ178" s="114"/>
      <c r="CA178" s="345">
        <f t="shared" si="239"/>
        <v>0</v>
      </c>
      <c r="CB178" s="345">
        <f t="shared" ca="1" si="287"/>
        <v>-23.61428571428582</v>
      </c>
      <c r="CC178" s="345">
        <f t="shared" ca="1" si="283"/>
        <v>5.7168695652173929</v>
      </c>
      <c r="CD178" s="345">
        <f t="shared" ca="1" si="240"/>
        <v>69.836083998817173</v>
      </c>
      <c r="CE178" s="347">
        <f t="shared" ca="1" si="272"/>
        <v>-5.75</v>
      </c>
      <c r="CF178" s="114"/>
      <c r="CG178" s="345">
        <f t="shared" si="241"/>
        <v>0</v>
      </c>
      <c r="CH178" s="345">
        <f t="shared" ca="1" si="242"/>
        <v>-23.61428571428582</v>
      </c>
      <c r="CI178" s="73"/>
      <c r="CJ178" s="345">
        <f t="shared" ca="1" si="290"/>
        <v>4.5934545454545459</v>
      </c>
      <c r="CK178" s="345">
        <f t="shared" ca="1" si="284"/>
        <v>66.084782608695903</v>
      </c>
      <c r="CL178" s="345">
        <f t="shared" ca="1" si="243"/>
        <v>67.161286332715164</v>
      </c>
      <c r="CM178" s="114"/>
      <c r="CN178" s="345">
        <f t="shared" si="244"/>
        <v>0</v>
      </c>
      <c r="CO178" s="345">
        <f t="shared" ca="1" si="245"/>
        <v>-23.61428571428582</v>
      </c>
      <c r="CP178" s="345">
        <f t="shared" ca="1" si="292"/>
        <v>3.6694545454545451</v>
      </c>
      <c r="CQ178" s="345">
        <f t="shared" ca="1" si="246"/>
        <v>64.961286332715162</v>
      </c>
      <c r="CR178" s="347">
        <f t="shared" ca="1" si="273"/>
        <v>-2.2000000000000028</v>
      </c>
      <c r="CS178" s="114"/>
      <c r="CT178" s="345">
        <f t="shared" si="247"/>
        <v>0</v>
      </c>
      <c r="CU178" s="345">
        <f t="shared" si="274"/>
        <v>0</v>
      </c>
      <c r="CV178" s="345">
        <f t="shared" ca="1" si="291"/>
        <v>2.5499999999999936</v>
      </c>
      <c r="CW178" s="347">
        <f t="shared" ca="1" si="275"/>
        <v>69.711286332715162</v>
      </c>
      <c r="CX178" s="483"/>
      <c r="CY178" s="190">
        <f t="shared" si="248"/>
        <v>-0.14849999999999802</v>
      </c>
      <c r="CZ178" s="190">
        <f t="shared" ca="1" si="280"/>
        <v>-0.03</v>
      </c>
      <c r="DA178" s="354">
        <f t="shared" ca="1" si="249"/>
        <v>0.11849999999999802</v>
      </c>
      <c r="DB178" s="483"/>
      <c r="DC178" s="190">
        <f t="shared" si="250"/>
        <v>-0.14849999999999802</v>
      </c>
      <c r="DD178" s="190">
        <f t="shared" ca="1" si="281"/>
        <v>0.03</v>
      </c>
      <c r="DE178" s="354">
        <f t="shared" ca="1" si="251"/>
        <v>0.17849999999999802</v>
      </c>
      <c r="DG178" s="341"/>
      <c r="DH178" s="114"/>
      <c r="DI178" s="126">
        <f t="shared" ca="1" si="276"/>
        <v>-23.61428571428582</v>
      </c>
      <c r="DJ178" s="126">
        <f t="shared" ca="1" si="224"/>
        <v>-2</v>
      </c>
      <c r="DK178" s="356">
        <f t="shared" ca="1" si="225"/>
        <v>21.61428571428582</v>
      </c>
      <c r="DL178" s="114"/>
      <c r="DM178" s="126">
        <f t="shared" ca="1" si="277"/>
        <v>-23.61428571428582</v>
      </c>
      <c r="DN178" s="126">
        <f t="shared" ca="1" si="252"/>
        <v>-3</v>
      </c>
      <c r="DO178" s="356">
        <f t="shared" ca="1" si="226"/>
        <v>20.61428571428582</v>
      </c>
      <c r="DP178" s="114"/>
      <c r="DQ178" s="126">
        <f t="shared" ca="1" si="278"/>
        <v>-23.61428571428582</v>
      </c>
      <c r="DR178" s="126">
        <f t="shared" ca="1" si="253"/>
        <v>-6</v>
      </c>
      <c r="DS178" s="356">
        <f t="shared" ca="1" si="227"/>
        <v>17.61428571428582</v>
      </c>
      <c r="DT178" s="114"/>
      <c r="DU178" s="126">
        <f t="shared" ca="1" si="279"/>
        <v>-23.61428571428582</v>
      </c>
      <c r="DV178" s="126">
        <f t="shared" ca="1" si="254"/>
        <v>-5</v>
      </c>
      <c r="DW178" s="356">
        <f t="shared" ca="1" si="228"/>
        <v>18.61428571428582</v>
      </c>
    </row>
    <row r="179" spans="2:127" x14ac:dyDescent="0.25">
      <c r="B179" s="396">
        <v>41000</v>
      </c>
      <c r="C179" s="400">
        <v>40988</v>
      </c>
      <c r="I179" s="136">
        <f t="shared" ca="1" si="305"/>
        <v>42248</v>
      </c>
      <c r="J179" s="131">
        <f t="shared" ca="1" si="230"/>
        <v>42237</v>
      </c>
      <c r="K179" s="106">
        <f t="shared" ca="1" si="306"/>
        <v>0.63636363636363635</v>
      </c>
      <c r="L179" s="133">
        <f t="shared" ca="1" si="293"/>
        <v>115</v>
      </c>
      <c r="M179" s="134">
        <f t="shared" ca="1" si="294"/>
        <v>9</v>
      </c>
      <c r="N179" s="103">
        <f t="shared" ca="1" si="297"/>
        <v>22</v>
      </c>
      <c r="O179" s="104">
        <f t="shared" ca="1" si="232"/>
        <v>5288</v>
      </c>
      <c r="P179" s="105">
        <f t="shared" ca="1" si="295"/>
        <v>14.494182067077345</v>
      </c>
      <c r="Q179" s="105">
        <f t="shared" ca="1" si="296"/>
        <v>14.573579739904176</v>
      </c>
      <c r="R179" s="114">
        <v>23.600000000000104</v>
      </c>
      <c r="S179" s="198">
        <v>0</v>
      </c>
      <c r="T179" s="189">
        <f t="shared" si="233"/>
        <v>23.600000000000104</v>
      </c>
      <c r="U179" s="199">
        <f t="shared" ca="1" si="298"/>
        <v>23.668181818181921</v>
      </c>
      <c r="V179" s="379">
        <f t="shared" ca="1" si="299"/>
        <v>23.668181818181921</v>
      </c>
      <c r="W179" s="483">
        <v>0.14809999999999804</v>
      </c>
      <c r="X179" s="166" t="str">
        <f t="shared" ca="1" si="300"/>
        <v/>
      </c>
      <c r="Y179" s="91">
        <f t="shared" ca="1" si="308"/>
        <v>3.5671168088069965E-4</v>
      </c>
      <c r="Z179" s="91">
        <f t="shared" ca="1" si="309"/>
        <v>8.6402928193859572E-5</v>
      </c>
      <c r="AA179" s="91">
        <f t="shared" ca="1" si="310"/>
        <v>2.5816222641473364E-5</v>
      </c>
      <c r="AB179" s="91">
        <f t="shared" ca="1" si="311"/>
        <v>5.815878636671947E-5</v>
      </c>
      <c r="AC179" s="91">
        <f t="shared" ca="1" si="312"/>
        <v>1.946485166351405E-4</v>
      </c>
      <c r="AD179" s="91">
        <f t="shared" ca="1" si="313"/>
        <v>8.0360007468794671E-4</v>
      </c>
      <c r="AE179" s="124">
        <v>7.3569964234771024E-2</v>
      </c>
      <c r="AF179" s="191">
        <f t="shared" ca="1" si="261"/>
        <v>0.34891450429835991</v>
      </c>
      <c r="AG179" s="189">
        <f t="shared" ca="1" si="307"/>
        <v>1</v>
      </c>
      <c r="AH179" s="192">
        <f t="shared" ca="1" si="301"/>
        <v>0</v>
      </c>
      <c r="AI179" s="192">
        <f t="shared" ca="1" si="302"/>
        <v>0</v>
      </c>
      <c r="AJ179" s="192">
        <f t="shared" ca="1" si="303"/>
        <v>0</v>
      </c>
      <c r="AK179" s="192">
        <f t="shared" ca="1" si="304"/>
        <v>0</v>
      </c>
      <c r="AL179" s="191" t="str">
        <f t="shared" ca="1" si="262"/>
        <v/>
      </c>
      <c r="AM179" s="191" t="str">
        <f t="shared" ca="1" si="263"/>
        <v/>
      </c>
      <c r="AN179" s="191" t="str">
        <f t="shared" ca="1" si="264"/>
        <v/>
      </c>
      <c r="AO179" s="193" t="str">
        <f t="shared" ca="1" si="265"/>
        <v/>
      </c>
      <c r="AP179" s="194" t="str">
        <f t="shared" ca="1" si="235"/>
        <v/>
      </c>
      <c r="AQ179" s="194" t="str">
        <f t="shared" ca="1" si="236"/>
        <v/>
      </c>
      <c r="AR179" s="195">
        <f ca="1">IF(AH179,_xll.xASN(AL179,Strike1,AE179,AP179,0,N179,0,P179,Q179,IF(OptControl=4,0,1),0),0)</f>
        <v>0</v>
      </c>
      <c r="AS179" s="196">
        <f ca="1">IF(AH179,_xll.xASN(AL179,Strike1,AE179,AP179,0,N179,0,P179,Q179,IF(OptControl=4,0,1),1),0)</f>
        <v>0</v>
      </c>
      <c r="AT179" s="196">
        <f ca="1">IF(AH179,_xll.xASN(AL179,Strike1,AE179,AP179,0,N179,0,P179,Q179,IF(OptControl=4,0,1),2),0)</f>
        <v>0</v>
      </c>
      <c r="AU179" s="196">
        <f ca="1">IF(AH179,_xll.xASN(AL179,Strike1,AE179,AP179,0,N179,0,P179,Q179,IF(OptControl=4,0,1),3)/100,0)</f>
        <v>0</v>
      </c>
      <c r="AV179" s="196">
        <f ca="1">IF(AH179,_xll.xASN(AL179,Strike1,AE179,AP179,0,N179,0,P179-DaysForThetaCalculation/365.25,Q179-DaysForThetaCalculation/365.25,IF(OptControl=4,0,1),0)-_xll.xASN(AL179,Strike1,AE179,AP179,0,N179,0,P179,Q179,IF(OptControl=4,0,1),0),0)</f>
        <v>0</v>
      </c>
      <c r="AW179" s="196">
        <f ca="1">IF(AH179,_xll.xASN(AL179,Strike2,AE179,AQ179,0,N179,0,P179,Q179,IF(OptControl=3,1,0),0),0)</f>
        <v>0</v>
      </c>
      <c r="AX179" s="196">
        <f ca="1">IF(AH179,_xll.xASN(AL179,Strike2,AE179,AQ179,0,N179,0,P179,Q179,IF(OptControl=3,1,0),1),0)</f>
        <v>0</v>
      </c>
      <c r="AY179" s="196">
        <f ca="1">IF(AH179,_xll.xASN(AL179,Strike2,AE179,AQ179,0,N179,0,P179,Q179,IF(OptControl=3,1,0),2),0)</f>
        <v>0</v>
      </c>
      <c r="AZ179" s="196">
        <f ca="1">IF(AH179,_xll.xASN(AL179,Strike2,AE179,AQ179,0,N179,0,P179,Q179,IF(OptControl=3,1,0),3)/100,0)</f>
        <v>0</v>
      </c>
      <c r="BA179" s="196">
        <f ca="1">IF(AH179,_xll.xASN(AL179,Strike2,AE179,AQ179,0,N179,0,P179-DaysForThetaCalculation/365.25,Q179-DaysForThetaCalculation/365.25,IF(OptControl=3,1,0),0)-_xll.xASN(AL179,Strike2,AE179,AQ179,0,N179,0,P179,Q179,IF(OptControl=3,1,0),0),0)</f>
        <v>0</v>
      </c>
      <c r="BB179" s="126" t="str">
        <f t="shared" ca="1" si="266"/>
        <v/>
      </c>
      <c r="BC179" s="191" t="str">
        <f t="shared" ca="1" si="267"/>
        <v/>
      </c>
      <c r="BD179" s="191" t="str">
        <f t="shared" ca="1" si="268"/>
        <v/>
      </c>
      <c r="BE179" s="190" t="str">
        <f t="shared" ca="1" si="269"/>
        <v/>
      </c>
      <c r="BF179" s="194" t="str">
        <f t="shared" ca="1" si="270"/>
        <v/>
      </c>
      <c r="BG179" s="194" t="str">
        <f t="shared" ca="1" si="271"/>
        <v/>
      </c>
      <c r="BH179" s="195">
        <f ca="1">IF(AH179,_xll.xEURO(BB179,Strike1,AE179,AE179,BF179,O179,IF(OptControl=4,0,1),0),0)</f>
        <v>0</v>
      </c>
      <c r="BI179" s="196">
        <f ca="1">IF(AH179,_xll.xEURO(BB179,Strike1,AE179,AE179,BF179,O179,IF(OptControl=4,0,1),1),0)</f>
        <v>0</v>
      </c>
      <c r="BJ179" s="196">
        <f ca="1">IF(AH179,_xll.xEURO(BB179,Strike1,AE179,AE179,BF179,O179,IF(OptControl=4,0,1),2),0)</f>
        <v>0</v>
      </c>
      <c r="BK179" s="196">
        <f ca="1">IF(AH179,_xll.xEURO(BB179,Strike1,AE179,AE179,BF179,O179,IF(OptControl=4,0,1),3)/100,0)</f>
        <v>0</v>
      </c>
      <c r="BL179" s="196">
        <f ca="1">IF(AH179,_xll.xEURO(BB179,Strike1,AE179,AE179,BF179,O179-DaysForThetaCalculation,IF(OptControl=4,0,1),0)-_xll.xEURO(BB179,Strike1,AE179,AE179,BF179,O179,IF(OptControl=4,0,1),0),0)</f>
        <v>0</v>
      </c>
      <c r="BM179" s="196">
        <f ca="1">IF(AH179,_xll.xEURO(BB179,Strike2,AE179,AE179,BG179,O179,IF(OptControl=3,1,0),0),0)</f>
        <v>0</v>
      </c>
      <c r="BN179" s="196">
        <f ca="1">IF(AH179,_xll.xEURO(BB179,Strike2,AE179,AE179,BG179,O179,IF(OptControl=3,1,0),1),0)</f>
        <v>0</v>
      </c>
      <c r="BO179" s="196">
        <f ca="1">IF(AH179,_xll.xEURO(BB179,Strike2,AE179,AE179,BG179,O179,IF(OptControl=3,1,0),2),0)</f>
        <v>0</v>
      </c>
      <c r="BP179" s="196">
        <f ca="1">IF(AH179,_xll.xEURO(BB179,Strike2,AE179,AE179,BG179,O179,IF(OptControl=3,1,0),3)/100,0)</f>
        <v>0</v>
      </c>
      <c r="BQ179" s="197">
        <f ca="1">IF(AH179,_xll.xEURO(BB179,Strike2,AE179,AE179,BG179,O179-DaysForThetaCalculation,IF(OptControl=3,1,0),0)-_xll.xEURO(BB179,Strike2,AE179,AE179,BG179,O179,IF(OptControl=3,1,0),0),0)</f>
        <v>0</v>
      </c>
      <c r="BR179" s="301"/>
      <c r="BS179" s="114"/>
      <c r="BT179" s="345">
        <f t="shared" si="237"/>
        <v>0</v>
      </c>
      <c r="BU179" s="345">
        <f t="shared" ca="1" si="285"/>
        <v>-23.668181818181921</v>
      </c>
      <c r="BV179" s="73"/>
      <c r="BW179" s="345">
        <f t="shared" ca="1" si="282"/>
        <v>7.0490000000000066</v>
      </c>
      <c r="BX179" s="345">
        <f t="shared" ca="1" si="286"/>
        <v>75.586083998817173</v>
      </c>
      <c r="BY179" s="373">
        <f t="shared" ca="1" si="238"/>
        <v>73.13614718614744</v>
      </c>
      <c r="BZ179" s="114"/>
      <c r="CA179" s="345">
        <f t="shared" si="239"/>
        <v>0</v>
      </c>
      <c r="CB179" s="345">
        <f t="shared" ca="1" si="287"/>
        <v>-23.668181818181921</v>
      </c>
      <c r="CC179" s="345">
        <f t="shared" ca="1" si="283"/>
        <v>4.634000000000003</v>
      </c>
      <c r="CD179" s="345">
        <f t="shared" ca="1" si="240"/>
        <v>67.38614718614744</v>
      </c>
      <c r="CE179" s="347">
        <f t="shared" ca="1" si="272"/>
        <v>-5.75</v>
      </c>
      <c r="CF179" s="114"/>
      <c r="CG179" s="345">
        <f t="shared" si="241"/>
        <v>0</v>
      </c>
      <c r="CH179" s="345">
        <f t="shared" ca="1" si="242"/>
        <v>-23.668181818181921</v>
      </c>
      <c r="CI179" s="73"/>
      <c r="CJ179" s="345">
        <f t="shared" ca="1" si="290"/>
        <v>4.9410000000000025</v>
      </c>
      <c r="CK179" s="345">
        <f t="shared" ca="1" si="284"/>
        <v>67.161286332715164</v>
      </c>
      <c r="CL179" s="345">
        <f t="shared" ca="1" si="243"/>
        <v>68.117099567099814</v>
      </c>
      <c r="CM179" s="114"/>
      <c r="CN179" s="345">
        <f t="shared" si="244"/>
        <v>0</v>
      </c>
      <c r="CO179" s="345">
        <f t="shared" ca="1" si="245"/>
        <v>-23.668181818181921</v>
      </c>
      <c r="CP179" s="345">
        <f t="shared" ca="1" si="292"/>
        <v>4.1302857142857121</v>
      </c>
      <c r="CQ179" s="345">
        <f t="shared" ca="1" si="246"/>
        <v>66.186827458256275</v>
      </c>
      <c r="CR179" s="347">
        <f t="shared" ca="1" si="273"/>
        <v>-1.9302721088435391</v>
      </c>
      <c r="CS179" s="114"/>
      <c r="CT179" s="345">
        <f t="shared" si="247"/>
        <v>0</v>
      </c>
      <c r="CU179" s="345">
        <f t="shared" si="274"/>
        <v>0</v>
      </c>
      <c r="CV179" s="345">
        <f t="shared" ca="1" si="291"/>
        <v>2.5500000000000078</v>
      </c>
      <c r="CW179" s="347">
        <f t="shared" ca="1" si="275"/>
        <v>70.667099567099825</v>
      </c>
      <c r="CX179" s="483"/>
      <c r="CY179" s="190">
        <f t="shared" si="248"/>
        <v>-0.14809999999999804</v>
      </c>
      <c r="CZ179" s="190">
        <f t="shared" ca="1" si="280"/>
        <v>-0.03</v>
      </c>
      <c r="DA179" s="354">
        <f t="shared" ca="1" si="249"/>
        <v>0.11809999999999804</v>
      </c>
      <c r="DB179" s="483"/>
      <c r="DC179" s="190">
        <f t="shared" si="250"/>
        <v>-0.14809999999999804</v>
      </c>
      <c r="DD179" s="190">
        <f t="shared" ca="1" si="281"/>
        <v>0.03</v>
      </c>
      <c r="DE179" s="354">
        <f t="shared" ca="1" si="251"/>
        <v>0.17809999999999804</v>
      </c>
      <c r="DG179" s="341"/>
      <c r="DH179" s="114"/>
      <c r="DI179" s="126">
        <f t="shared" ca="1" si="276"/>
        <v>-23.668181818181921</v>
      </c>
      <c r="DJ179" s="126">
        <f t="shared" ca="1" si="224"/>
        <v>-2</v>
      </c>
      <c r="DK179" s="356">
        <f t="shared" ca="1" si="225"/>
        <v>21.668181818181921</v>
      </c>
      <c r="DL179" s="114"/>
      <c r="DM179" s="126">
        <f t="shared" ca="1" si="277"/>
        <v>-23.668181818181921</v>
      </c>
      <c r="DN179" s="126">
        <f t="shared" ca="1" si="252"/>
        <v>-3</v>
      </c>
      <c r="DO179" s="356">
        <f t="shared" ca="1" si="226"/>
        <v>20.668181818181921</v>
      </c>
      <c r="DP179" s="114"/>
      <c r="DQ179" s="126">
        <f t="shared" ca="1" si="278"/>
        <v>-23.668181818181921</v>
      </c>
      <c r="DR179" s="126">
        <f t="shared" ca="1" si="253"/>
        <v>-6</v>
      </c>
      <c r="DS179" s="356">
        <f t="shared" ca="1" si="227"/>
        <v>17.668181818181921</v>
      </c>
      <c r="DT179" s="114"/>
      <c r="DU179" s="126">
        <f t="shared" ca="1" si="279"/>
        <v>-23.668181818181921</v>
      </c>
      <c r="DV179" s="126">
        <f t="shared" ca="1" si="254"/>
        <v>-5</v>
      </c>
      <c r="DW179" s="356">
        <f t="shared" ca="1" si="228"/>
        <v>18.668181818181921</v>
      </c>
    </row>
    <row r="180" spans="2:127" x14ac:dyDescent="0.25">
      <c r="B180" s="396">
        <v>41030</v>
      </c>
      <c r="C180" s="400">
        <v>41019</v>
      </c>
      <c r="I180" s="136">
        <f t="shared" ca="1" si="305"/>
        <v>42278</v>
      </c>
      <c r="J180" s="131">
        <f t="shared" ca="1" si="230"/>
        <v>42267</v>
      </c>
      <c r="K180" s="106">
        <f t="shared" ca="1" si="306"/>
        <v>0.72727272727272729</v>
      </c>
      <c r="L180" s="133">
        <f t="shared" ca="1" si="293"/>
        <v>115</v>
      </c>
      <c r="M180" s="134">
        <f t="shared" ca="1" si="294"/>
        <v>10</v>
      </c>
      <c r="N180" s="103">
        <f t="shared" ca="1" si="297"/>
        <v>22</v>
      </c>
      <c r="O180" s="104">
        <f t="shared" ca="1" si="232"/>
        <v>5318</v>
      </c>
      <c r="P180" s="105">
        <f t="shared" ca="1" si="295"/>
        <v>14.576317590691307</v>
      </c>
      <c r="Q180" s="105">
        <f t="shared" ca="1" si="296"/>
        <v>14.658453114305271</v>
      </c>
      <c r="R180" s="114">
        <v>23.650000000000105</v>
      </c>
      <c r="S180" s="198">
        <v>0</v>
      </c>
      <c r="T180" s="189">
        <f t="shared" si="233"/>
        <v>23.650000000000105</v>
      </c>
      <c r="U180" s="199">
        <f t="shared" ca="1" si="298"/>
        <v>23.713636363636468</v>
      </c>
      <c r="V180" s="379">
        <f t="shared" ca="1" si="299"/>
        <v>23.713636363636468</v>
      </c>
      <c r="W180" s="483">
        <v>0.14769999999999803</v>
      </c>
      <c r="X180" s="166" t="str">
        <f t="shared" ca="1" si="300"/>
        <v/>
      </c>
      <c r="Y180" s="91">
        <f t="shared" ca="1" si="308"/>
        <v>3.4907502632556902E-4</v>
      </c>
      <c r="Z180" s="91">
        <f t="shared" ca="1" si="309"/>
        <v>8.4100470834162536E-5</v>
      </c>
      <c r="AA180" s="91">
        <f t="shared" ca="1" si="310"/>
        <v>2.5060890447238955E-5</v>
      </c>
      <c r="AB180" s="91">
        <f t="shared" ca="1" si="311"/>
        <v>5.6457173999548072E-5</v>
      </c>
      <c r="AC180" s="91">
        <f t="shared" ca="1" si="312"/>
        <v>1.894615406952146E-4</v>
      </c>
      <c r="AD180" s="91">
        <f t="shared" ca="1" si="313"/>
        <v>7.863962193061496E-4</v>
      </c>
      <c r="AE180" s="124">
        <v>7.3566130468473018E-2</v>
      </c>
      <c r="AF180" s="191">
        <f t="shared" ca="1" si="261"/>
        <v>0.34680029488477521</v>
      </c>
      <c r="AG180" s="189">
        <f t="shared" ca="1" si="307"/>
        <v>1</v>
      </c>
      <c r="AH180" s="192">
        <f t="shared" ca="1" si="301"/>
        <v>0</v>
      </c>
      <c r="AI180" s="192">
        <f t="shared" ca="1" si="302"/>
        <v>0</v>
      </c>
      <c r="AJ180" s="192">
        <f t="shared" ca="1" si="303"/>
        <v>0</v>
      </c>
      <c r="AK180" s="192">
        <f t="shared" ca="1" si="304"/>
        <v>0</v>
      </c>
      <c r="AL180" s="191" t="str">
        <f t="shared" ca="1" si="262"/>
        <v/>
      </c>
      <c r="AM180" s="191" t="str">
        <f t="shared" ca="1" si="263"/>
        <v/>
      </c>
      <c r="AN180" s="191" t="str">
        <f t="shared" ca="1" si="264"/>
        <v/>
      </c>
      <c r="AO180" s="193" t="str">
        <f t="shared" ca="1" si="265"/>
        <v/>
      </c>
      <c r="AP180" s="194" t="str">
        <f t="shared" ca="1" si="235"/>
        <v/>
      </c>
      <c r="AQ180" s="194" t="str">
        <f t="shared" ca="1" si="236"/>
        <v/>
      </c>
      <c r="AR180" s="195">
        <f ca="1">IF(AH180,_xll.xASN(AL180,Strike1,AE180,AP180,0,N180,0,P180,Q180,IF(OptControl=4,0,1),0),0)</f>
        <v>0</v>
      </c>
      <c r="AS180" s="196">
        <f ca="1">IF(AH180,_xll.xASN(AL180,Strike1,AE180,AP180,0,N180,0,P180,Q180,IF(OptControl=4,0,1),1),0)</f>
        <v>0</v>
      </c>
      <c r="AT180" s="196">
        <f ca="1">IF(AH180,_xll.xASN(AL180,Strike1,AE180,AP180,0,N180,0,P180,Q180,IF(OptControl=4,0,1),2),0)</f>
        <v>0</v>
      </c>
      <c r="AU180" s="196">
        <f ca="1">IF(AH180,_xll.xASN(AL180,Strike1,AE180,AP180,0,N180,0,P180,Q180,IF(OptControl=4,0,1),3)/100,0)</f>
        <v>0</v>
      </c>
      <c r="AV180" s="196">
        <f ca="1">IF(AH180,_xll.xASN(AL180,Strike1,AE180,AP180,0,N180,0,P180-DaysForThetaCalculation/365.25,Q180-DaysForThetaCalculation/365.25,IF(OptControl=4,0,1),0)-_xll.xASN(AL180,Strike1,AE180,AP180,0,N180,0,P180,Q180,IF(OptControl=4,0,1),0),0)</f>
        <v>0</v>
      </c>
      <c r="AW180" s="196">
        <f ca="1">IF(AH180,_xll.xASN(AL180,Strike2,AE180,AQ180,0,N180,0,P180,Q180,IF(OptControl=3,1,0),0),0)</f>
        <v>0</v>
      </c>
      <c r="AX180" s="196">
        <f ca="1">IF(AH180,_xll.xASN(AL180,Strike2,AE180,AQ180,0,N180,0,P180,Q180,IF(OptControl=3,1,0),1),0)</f>
        <v>0</v>
      </c>
      <c r="AY180" s="196">
        <f ca="1">IF(AH180,_xll.xASN(AL180,Strike2,AE180,AQ180,0,N180,0,P180,Q180,IF(OptControl=3,1,0),2),0)</f>
        <v>0</v>
      </c>
      <c r="AZ180" s="196">
        <f ca="1">IF(AH180,_xll.xASN(AL180,Strike2,AE180,AQ180,0,N180,0,P180,Q180,IF(OptControl=3,1,0),3)/100,0)</f>
        <v>0</v>
      </c>
      <c r="BA180" s="196">
        <f ca="1">IF(AH180,_xll.xASN(AL180,Strike2,AE180,AQ180,0,N180,0,P180-DaysForThetaCalculation/365.25,Q180-DaysForThetaCalculation/365.25,IF(OptControl=3,1,0),0)-_xll.xASN(AL180,Strike2,AE180,AQ180,0,N180,0,P180,Q180,IF(OptControl=3,1,0),0),0)</f>
        <v>0</v>
      </c>
      <c r="BB180" s="126" t="str">
        <f t="shared" ca="1" si="266"/>
        <v/>
      </c>
      <c r="BC180" s="191" t="str">
        <f t="shared" ca="1" si="267"/>
        <v/>
      </c>
      <c r="BD180" s="191" t="str">
        <f t="shared" ca="1" si="268"/>
        <v/>
      </c>
      <c r="BE180" s="190" t="str">
        <f t="shared" ca="1" si="269"/>
        <v/>
      </c>
      <c r="BF180" s="194" t="str">
        <f t="shared" ca="1" si="270"/>
        <v/>
      </c>
      <c r="BG180" s="194" t="str">
        <f t="shared" ca="1" si="271"/>
        <v/>
      </c>
      <c r="BH180" s="195">
        <f ca="1">IF(AH180,_xll.xEURO(BB180,Strike1,AE180,AE180,BF180,O180,IF(OptControl=4,0,1),0),0)</f>
        <v>0</v>
      </c>
      <c r="BI180" s="196">
        <f ca="1">IF(AH180,_xll.xEURO(BB180,Strike1,AE180,AE180,BF180,O180,IF(OptControl=4,0,1),1),0)</f>
        <v>0</v>
      </c>
      <c r="BJ180" s="196">
        <f ca="1">IF(AH180,_xll.xEURO(BB180,Strike1,AE180,AE180,BF180,O180,IF(OptControl=4,0,1),2),0)</f>
        <v>0</v>
      </c>
      <c r="BK180" s="196">
        <f ca="1">IF(AH180,_xll.xEURO(BB180,Strike1,AE180,AE180,BF180,O180,IF(OptControl=4,0,1),3)/100,0)</f>
        <v>0</v>
      </c>
      <c r="BL180" s="196">
        <f ca="1">IF(AH180,_xll.xEURO(BB180,Strike1,AE180,AE180,BF180,O180-DaysForThetaCalculation,IF(OptControl=4,0,1),0)-_xll.xEURO(BB180,Strike1,AE180,AE180,BF180,O180,IF(OptControl=4,0,1),0),0)</f>
        <v>0</v>
      </c>
      <c r="BM180" s="196">
        <f ca="1">IF(AH180,_xll.xEURO(BB180,Strike2,AE180,AE180,BG180,O180,IF(OptControl=3,1,0),0),0)</f>
        <v>0</v>
      </c>
      <c r="BN180" s="196">
        <f ca="1">IF(AH180,_xll.xEURO(BB180,Strike2,AE180,AE180,BG180,O180,IF(OptControl=3,1,0),1),0)</f>
        <v>0</v>
      </c>
      <c r="BO180" s="196">
        <f ca="1">IF(AH180,_xll.xEURO(BB180,Strike2,AE180,AE180,BG180,O180,IF(OptControl=3,1,0),2),0)</f>
        <v>0</v>
      </c>
      <c r="BP180" s="196">
        <f ca="1">IF(AH180,_xll.xEURO(BB180,Strike2,AE180,AE180,BG180,O180,IF(OptControl=3,1,0),3)/100,0)</f>
        <v>0</v>
      </c>
      <c r="BQ180" s="197">
        <f ca="1">IF(AH180,_xll.xEURO(BB180,Strike2,AE180,AE180,BG180,O180-DaysForThetaCalculation,IF(OptControl=3,1,0),0)-_xll.xEURO(BB180,Strike2,AE180,AE180,BG180,O180,IF(OptControl=3,1,0),0),0)</f>
        <v>0</v>
      </c>
      <c r="BR180" s="301"/>
      <c r="BS180" s="114"/>
      <c r="BT180" s="345">
        <f t="shared" si="237"/>
        <v>0</v>
      </c>
      <c r="BU180" s="345">
        <f t="shared" ca="1" si="285"/>
        <v>-23.713636363636468</v>
      </c>
      <c r="BV180" s="73"/>
      <c r="BW180" s="345">
        <f t="shared" ca="1" si="282"/>
        <v>6.6417826086956602</v>
      </c>
      <c r="BX180" s="345">
        <f t="shared" ca="1" si="286"/>
        <v>73.13614718614744</v>
      </c>
      <c r="BY180" s="373">
        <f t="shared" ca="1" si="238"/>
        <v>72.274807076981261</v>
      </c>
      <c r="BZ180" s="114"/>
      <c r="CA180" s="345">
        <f t="shared" si="239"/>
        <v>0</v>
      </c>
      <c r="CB180" s="345">
        <f t="shared" ca="1" si="287"/>
        <v>-23.713636363636468</v>
      </c>
      <c r="CC180" s="345">
        <f t="shared" ca="1" si="283"/>
        <v>4.3317826086956561</v>
      </c>
      <c r="CD180" s="345">
        <f t="shared" ca="1" si="240"/>
        <v>66.774807076981247</v>
      </c>
      <c r="CE180" s="347">
        <f t="shared" ca="1" si="272"/>
        <v>-5.5000000000000142</v>
      </c>
      <c r="CF180" s="114"/>
      <c r="CG180" s="345">
        <f t="shared" si="241"/>
        <v>0</v>
      </c>
      <c r="CH180" s="345">
        <f t="shared" ca="1" si="242"/>
        <v>-23.713636363636468</v>
      </c>
      <c r="CI180" s="73"/>
      <c r="CJ180" s="345">
        <f t="shared" ca="1" si="290"/>
        <v>5.4997826086956554</v>
      </c>
      <c r="CK180" s="345">
        <f t="shared" ca="1" si="284"/>
        <v>68.117099567099814</v>
      </c>
      <c r="CL180" s="345">
        <f t="shared" ca="1" si="243"/>
        <v>69.555759457933618</v>
      </c>
      <c r="CM180" s="114"/>
      <c r="CN180" s="345">
        <f t="shared" si="244"/>
        <v>0</v>
      </c>
      <c r="CO180" s="345">
        <f t="shared" ca="1" si="245"/>
        <v>-23.713636363636468</v>
      </c>
      <c r="CP180" s="345">
        <f t="shared" ca="1" si="292"/>
        <v>4.3027826086956527</v>
      </c>
      <c r="CQ180" s="345">
        <f t="shared" ca="1" si="246"/>
        <v>66.70575945793361</v>
      </c>
      <c r="CR180" s="347">
        <f t="shared" ca="1" si="273"/>
        <v>-2.8500000000000085</v>
      </c>
      <c r="CS180" s="114"/>
      <c r="CT180" s="345">
        <f t="shared" si="247"/>
        <v>0</v>
      </c>
      <c r="CU180" s="345">
        <f t="shared" si="274"/>
        <v>0</v>
      </c>
      <c r="CV180" s="345">
        <f t="shared" ca="1" si="291"/>
        <v>2.7000000000000077</v>
      </c>
      <c r="CW180" s="347">
        <f t="shared" ca="1" si="275"/>
        <v>72.255759457933621</v>
      </c>
      <c r="CX180" s="483"/>
      <c r="CY180" s="190">
        <f t="shared" si="248"/>
        <v>-0.14769999999999803</v>
      </c>
      <c r="CZ180" s="190">
        <f t="shared" ca="1" si="280"/>
        <v>-0.03</v>
      </c>
      <c r="DA180" s="354">
        <f t="shared" ca="1" si="249"/>
        <v>0.11769999999999803</v>
      </c>
      <c r="DB180" s="483"/>
      <c r="DC180" s="190">
        <f t="shared" si="250"/>
        <v>-0.14769999999999803</v>
      </c>
      <c r="DD180" s="190">
        <f t="shared" ca="1" si="281"/>
        <v>0.03</v>
      </c>
      <c r="DE180" s="354">
        <f t="shared" ca="1" si="251"/>
        <v>0.17769999999999803</v>
      </c>
      <c r="DG180" s="341"/>
      <c r="DH180" s="114"/>
      <c r="DI180" s="126">
        <f t="shared" ca="1" si="276"/>
        <v>-23.713636363636468</v>
      </c>
      <c r="DJ180" s="126">
        <f t="shared" ca="1" si="224"/>
        <v>-2</v>
      </c>
      <c r="DK180" s="356">
        <f t="shared" ca="1" si="225"/>
        <v>21.713636363636468</v>
      </c>
      <c r="DL180" s="114"/>
      <c r="DM180" s="126">
        <f t="shared" ca="1" si="277"/>
        <v>-23.713636363636468</v>
      </c>
      <c r="DN180" s="126">
        <f t="shared" ca="1" si="252"/>
        <v>-3</v>
      </c>
      <c r="DO180" s="356">
        <f t="shared" ca="1" si="226"/>
        <v>20.713636363636468</v>
      </c>
      <c r="DP180" s="114"/>
      <c r="DQ180" s="126">
        <f t="shared" ca="1" si="278"/>
        <v>-23.713636363636468</v>
      </c>
      <c r="DR180" s="126">
        <f t="shared" ca="1" si="253"/>
        <v>-6</v>
      </c>
      <c r="DS180" s="356">
        <f t="shared" ca="1" si="227"/>
        <v>17.713636363636468</v>
      </c>
      <c r="DT180" s="114"/>
      <c r="DU180" s="126">
        <f t="shared" ca="1" si="279"/>
        <v>-23.713636363636468</v>
      </c>
      <c r="DV180" s="126">
        <f t="shared" ca="1" si="254"/>
        <v>-5</v>
      </c>
      <c r="DW180" s="356">
        <f t="shared" ca="1" si="228"/>
        <v>18.713636363636468</v>
      </c>
    </row>
    <row r="181" spans="2:127" x14ac:dyDescent="0.25">
      <c r="B181" s="396">
        <v>41061</v>
      </c>
      <c r="C181" s="400">
        <v>41051</v>
      </c>
      <c r="I181" s="136">
        <f t="shared" ca="1" si="305"/>
        <v>42309</v>
      </c>
      <c r="J181" s="131">
        <f t="shared" ca="1" si="230"/>
        <v>42299</v>
      </c>
      <c r="K181" s="106">
        <f t="shared" ca="1" si="306"/>
        <v>0.66666666666666663</v>
      </c>
      <c r="L181" s="133">
        <f t="shared" ca="1" si="293"/>
        <v>115</v>
      </c>
      <c r="M181" s="134">
        <f t="shared" ca="1" si="294"/>
        <v>11</v>
      </c>
      <c r="N181" s="103">
        <f t="shared" ca="1" si="297"/>
        <v>21</v>
      </c>
      <c r="O181" s="104">
        <f t="shared" ca="1" si="232"/>
        <v>5350</v>
      </c>
      <c r="P181" s="105">
        <f t="shared" ca="1" si="295"/>
        <v>14.661190965092402</v>
      </c>
      <c r="Q181" s="105">
        <f t="shared" ca="1" si="296"/>
        <v>14.740588637919233</v>
      </c>
      <c r="R181" s="114">
        <v>23.700000000000106</v>
      </c>
      <c r="S181" s="198">
        <v>0</v>
      </c>
      <c r="T181" s="189">
        <f t="shared" si="233"/>
        <v>23.700000000000106</v>
      </c>
      <c r="U181" s="199">
        <f t="shared" ca="1" si="298"/>
        <v>23.766666666666772</v>
      </c>
      <c r="V181" s="379">
        <f t="shared" ca="1" si="299"/>
        <v>23.766666666666772</v>
      </c>
      <c r="W181" s="483">
        <v>0.14729999999999804</v>
      </c>
      <c r="X181" s="166" t="str">
        <f t="shared" ca="1" si="300"/>
        <v/>
      </c>
      <c r="Y181" s="91">
        <f t="shared" ca="1" si="308"/>
        <v>3.4160186092966753E-4</v>
      </c>
      <c r="Z181" s="91">
        <f t="shared" ca="1" si="309"/>
        <v>8.1859369148446E-5</v>
      </c>
      <c r="AA181" s="91">
        <f t="shared" ca="1" si="310"/>
        <v>2.432765779605429E-5</v>
      </c>
      <c r="AB181" s="91">
        <f t="shared" ca="1" si="311"/>
        <v>5.4805347482959129E-5</v>
      </c>
      <c r="AC181" s="91">
        <f t="shared" ca="1" si="312"/>
        <v>1.84412786817632E-4</v>
      </c>
      <c r="AD181" s="91">
        <f t="shared" ca="1" si="313"/>
        <v>7.6956067230226396E-4</v>
      </c>
      <c r="AE181" s="124">
        <v>7.3562168909969014E-2</v>
      </c>
      <c r="AF181" s="191">
        <f t="shared" ca="1" si="261"/>
        <v>0.34476792286896774</v>
      </c>
      <c r="AG181" s="189">
        <f t="shared" ca="1" si="307"/>
        <v>1</v>
      </c>
      <c r="AH181" s="192">
        <f t="shared" ca="1" si="301"/>
        <v>0</v>
      </c>
      <c r="AI181" s="192">
        <f ca="1">AH181*AF181</f>
        <v>0</v>
      </c>
      <c r="AJ181" s="192">
        <f t="shared" ca="1" si="303"/>
        <v>0</v>
      </c>
      <c r="AK181" s="192">
        <f ca="1">AJ181*AF181</f>
        <v>0</v>
      </c>
      <c r="AL181" s="191" t="str">
        <f t="shared" ca="1" si="262"/>
        <v/>
      </c>
      <c r="AM181" s="191" t="str">
        <f t="shared" ca="1" si="263"/>
        <v/>
      </c>
      <c r="AN181" s="191" t="str">
        <f t="shared" ca="1" si="264"/>
        <v/>
      </c>
      <c r="AO181" s="193" t="str">
        <f t="shared" ca="1" si="265"/>
        <v/>
      </c>
      <c r="AP181" s="194" t="str">
        <f t="shared" ca="1" si="235"/>
        <v/>
      </c>
      <c r="AQ181" s="194" t="str">
        <f t="shared" ca="1" si="236"/>
        <v/>
      </c>
      <c r="AR181" s="195">
        <f ca="1">IF(AH181,_xll.xASN(AL181,Strike1,AE181,AP181,0,N181,0,P181,Q181,IF(OptControl=4,0,1),0),0)</f>
        <v>0</v>
      </c>
      <c r="AS181" s="196">
        <f ca="1">IF(AH181,_xll.xASN(AL181,Strike1,AE181,AP181,0,N181,0,P181,Q181,IF(OptControl=4,0,1),1),0)</f>
        <v>0</v>
      </c>
      <c r="AT181" s="196">
        <f ca="1">IF(AH181,_xll.xASN(AL181,Strike1,AE181,AP181,0,N181,0,P181,Q181,IF(OptControl=4,0,1),2),0)</f>
        <v>0</v>
      </c>
      <c r="AU181" s="196">
        <f ca="1">IF(AH181,_xll.xASN(AL181,Strike1,AE181,AP181,0,N181,0,P181,Q181,IF(OptControl=4,0,1),3)/100,0)</f>
        <v>0</v>
      </c>
      <c r="AV181" s="196">
        <f ca="1">IF(AH181,_xll.xASN(AL181,Strike1,AE181,AP181,0,N181,0,P181-DaysForThetaCalculation/365.25,Q181-DaysForThetaCalculation/365.25,IF(OptControl=4,0,1),0)-_xll.xASN(AL181,Strike1,AE181,AP181,0,N181,0,P181,Q181,IF(OptControl=4,0,1),0),0)</f>
        <v>0</v>
      </c>
      <c r="AW181" s="196">
        <f ca="1">IF(AH181,_xll.xASN(AL181,Strike2,AE181,AQ181,0,N181,0,P181,Q181,IF(OptControl=3,1,0),0),0)</f>
        <v>0</v>
      </c>
      <c r="AX181" s="196">
        <f ca="1">IF(AH181,_xll.xASN(AL181,Strike2,AE181,AQ181,0,N181,0,P181,Q181,IF(OptControl=3,1,0),1),0)</f>
        <v>0</v>
      </c>
      <c r="AY181" s="196">
        <f ca="1">IF(AH181,_xll.xASN(AL181,Strike2,AE181,AQ181,0,N181,0,P181,Q181,IF(OptControl=3,1,0),2),0)</f>
        <v>0</v>
      </c>
      <c r="AZ181" s="196">
        <f ca="1">IF(AH181,_xll.xASN(AL181,Strike2,AE181,AQ181,0,N181,0,P181,Q181,IF(OptControl=3,1,0),3)/100,0)</f>
        <v>0</v>
      </c>
      <c r="BA181" s="196">
        <f ca="1">IF(AH181,_xll.xASN(AL181,Strike2,AE181,AQ181,0,N181,0,P181-DaysForThetaCalculation/365.25,Q181-DaysForThetaCalculation/365.25,IF(OptControl=3,1,0),0)-_xll.xASN(AL181,Strike2,AE181,AQ181,0,N181,0,P181,Q181,IF(OptControl=3,1,0),0),0)</f>
        <v>0</v>
      </c>
      <c r="BB181" s="126" t="str">
        <f t="shared" ca="1" si="266"/>
        <v/>
      </c>
      <c r="BC181" s="191" t="str">
        <f t="shared" ca="1" si="267"/>
        <v/>
      </c>
      <c r="BD181" s="191" t="str">
        <f t="shared" ca="1" si="268"/>
        <v/>
      </c>
      <c r="BE181" s="190" t="str">
        <f t="shared" ca="1" si="269"/>
        <v/>
      </c>
      <c r="BF181" s="194" t="str">
        <f t="shared" ca="1" si="270"/>
        <v/>
      </c>
      <c r="BG181" s="194" t="str">
        <f t="shared" ca="1" si="271"/>
        <v/>
      </c>
      <c r="BH181" s="195">
        <f ca="1">IF(AH181,_xll.xEURO(BB181,Strike1,AE181,AE181,BF181,O181,IF(OptControl=4,0,1),0),0)</f>
        <v>0</v>
      </c>
      <c r="BI181" s="196">
        <f ca="1">IF(AH181,_xll.xEURO(BB181,Strike1,AE181,AE181,BF181,O181,IF(OptControl=4,0,1),1),0)</f>
        <v>0</v>
      </c>
      <c r="BJ181" s="196">
        <f ca="1">IF(AH181,_xll.xEURO(BB181,Strike1,AE181,AE181,BF181,O181,IF(OptControl=4,0,1),2),0)</f>
        <v>0</v>
      </c>
      <c r="BK181" s="196">
        <f ca="1">IF(AH181,_xll.xEURO(BB181,Strike1,AE181,AE181,BF181,O181,IF(OptControl=4,0,1),3)/100,0)</f>
        <v>0</v>
      </c>
      <c r="BL181" s="196">
        <f ca="1">IF(AH181,_xll.xEURO(BB181,Strike1,AE181,AE181,BF181,O181-DaysForThetaCalculation,IF(OptControl=4,0,1),0)-_xll.xEURO(BB181,Strike1,AE181,AE181,BF181,O181,IF(OptControl=4,0,1),0),0)</f>
        <v>0</v>
      </c>
      <c r="BM181" s="196">
        <f ca="1">IF(AH181,_xll.xEURO(BB181,Strike2,AE181,AE181,BG181,O181,IF(OptControl=3,1,0),0),0)</f>
        <v>0</v>
      </c>
      <c r="BN181" s="196">
        <f ca="1">IF(AH181,_xll.xEURO(BB181,Strike2,AE181,AE181,BG181,O181,IF(OptControl=3,1,0),1),0)</f>
        <v>0</v>
      </c>
      <c r="BO181" s="196">
        <f ca="1">IF(AH181,_xll.xEURO(BB181,Strike2,AE181,AE181,BG181,O181,IF(OptControl=3,1,0),2),0)</f>
        <v>0</v>
      </c>
      <c r="BP181" s="196">
        <f ca="1">IF(AH181,_xll.xEURO(BB181,Strike2,AE181,AE181,BG181,O181,IF(OptControl=3,1,0),3)/100,0)</f>
        <v>0</v>
      </c>
      <c r="BQ181" s="197">
        <f ca="1">IF(AH181,_xll.xEURO(BB181,Strike2,AE181,AE181,BG181,O181-DaysForThetaCalculation,IF(OptControl=3,1,0),0)-_xll.xEURO(BB181,Strike2,AE181,AE181,BG181,O181,IF(OptControl=3,1,0),0),0)</f>
        <v>0</v>
      </c>
      <c r="BR181" s="301"/>
      <c r="BS181" s="114"/>
      <c r="BT181" s="345">
        <f t="shared" si="237"/>
        <v>0</v>
      </c>
      <c r="BU181" s="345">
        <f t="shared" ca="1" si="285"/>
        <v>-23.766666666666772</v>
      </c>
      <c r="BV181" s="73"/>
      <c r="BW181" s="345">
        <f t="shared" ca="1" si="282"/>
        <v>6.4944545454545555</v>
      </c>
      <c r="BX181" s="345">
        <f t="shared" ca="1" si="286"/>
        <v>72.274807076981261</v>
      </c>
      <c r="BY181" s="373">
        <f t="shared" ca="1" si="238"/>
        <v>72.05028860028888</v>
      </c>
      <c r="BZ181" s="114"/>
      <c r="CA181" s="345">
        <f t="shared" si="239"/>
        <v>0</v>
      </c>
      <c r="CB181" s="345">
        <f t="shared" ca="1" si="287"/>
        <v>-23.766666666666772</v>
      </c>
      <c r="CC181" s="345">
        <f t="shared" ca="1" si="283"/>
        <v>4.1844545454545479</v>
      </c>
      <c r="CD181" s="345">
        <f t="shared" ca="1" si="240"/>
        <v>66.550288600288852</v>
      </c>
      <c r="CE181" s="347">
        <f t="shared" ca="1" si="272"/>
        <v>-5.5000000000000284</v>
      </c>
      <c r="CF181" s="114"/>
      <c r="CG181" s="345">
        <f t="shared" si="241"/>
        <v>0</v>
      </c>
      <c r="CH181" s="345">
        <f t="shared" ca="1" si="242"/>
        <v>-23.766666666666772</v>
      </c>
      <c r="CI181" s="73"/>
      <c r="CJ181" s="345">
        <f t="shared" ca="1" si="290"/>
        <v>6.0664545454545511</v>
      </c>
      <c r="CK181" s="345">
        <f t="shared" ca="1" si="284"/>
        <v>69.555759457933618</v>
      </c>
      <c r="CL181" s="345">
        <f t="shared" ca="1" si="243"/>
        <v>71.03124098124124</v>
      </c>
      <c r="CM181" s="114"/>
      <c r="CN181" s="345">
        <f t="shared" si="244"/>
        <v>0</v>
      </c>
      <c r="CO181" s="345">
        <f t="shared" ca="1" si="245"/>
        <v>-23.766666666666772</v>
      </c>
      <c r="CP181" s="345">
        <f t="shared" ca="1" si="292"/>
        <v>4.8694545454545519</v>
      </c>
      <c r="CQ181" s="345">
        <f t="shared" ca="1" si="246"/>
        <v>68.181240981241245</v>
      </c>
      <c r="CR181" s="347">
        <f t="shared" ca="1" si="273"/>
        <v>-2.8499999999999943</v>
      </c>
      <c r="CS181" s="114"/>
      <c r="CT181" s="345">
        <f t="shared" si="247"/>
        <v>0</v>
      </c>
      <c r="CU181" s="345">
        <f t="shared" si="274"/>
        <v>0</v>
      </c>
      <c r="CV181" s="345">
        <f t="shared" ca="1" si="291"/>
        <v>2.7000000000000077</v>
      </c>
      <c r="CW181" s="347">
        <f t="shared" ca="1" si="275"/>
        <v>73.731240981241243</v>
      </c>
      <c r="CX181" s="483"/>
      <c r="CY181" s="190">
        <f t="shared" si="248"/>
        <v>-0.14729999999999804</v>
      </c>
      <c r="CZ181" s="190">
        <f t="shared" ca="1" si="280"/>
        <v>-0.03</v>
      </c>
      <c r="DA181" s="354">
        <f t="shared" ca="1" si="249"/>
        <v>0.11729999999999804</v>
      </c>
      <c r="DB181" s="483"/>
      <c r="DC181" s="190">
        <f t="shared" si="250"/>
        <v>-0.14729999999999804</v>
      </c>
      <c r="DD181" s="190">
        <f t="shared" ca="1" si="281"/>
        <v>0.03</v>
      </c>
      <c r="DE181" s="354">
        <f t="shared" ca="1" si="251"/>
        <v>0.17729999999999804</v>
      </c>
      <c r="DG181" s="341"/>
      <c r="DH181" s="114"/>
      <c r="DI181" s="126">
        <f t="shared" ca="1" si="276"/>
        <v>-23.766666666666772</v>
      </c>
      <c r="DJ181" s="126">
        <f t="shared" ca="1" si="224"/>
        <v>-2</v>
      </c>
      <c r="DK181" s="356">
        <f t="shared" ca="1" si="225"/>
        <v>21.766666666666772</v>
      </c>
      <c r="DL181" s="114"/>
      <c r="DM181" s="126">
        <f t="shared" ca="1" si="277"/>
        <v>-23.766666666666772</v>
      </c>
      <c r="DN181" s="126">
        <f t="shared" ca="1" si="252"/>
        <v>-3</v>
      </c>
      <c r="DO181" s="356">
        <f t="shared" ca="1" si="226"/>
        <v>20.766666666666772</v>
      </c>
      <c r="DP181" s="114"/>
      <c r="DQ181" s="126">
        <f t="shared" ca="1" si="278"/>
        <v>-23.766666666666772</v>
      </c>
      <c r="DR181" s="126">
        <f t="shared" ca="1" si="253"/>
        <v>-6</v>
      </c>
      <c r="DS181" s="356">
        <f t="shared" ca="1" si="227"/>
        <v>17.766666666666772</v>
      </c>
      <c r="DT181" s="114"/>
      <c r="DU181" s="126">
        <f t="shared" ca="1" si="279"/>
        <v>-23.766666666666772</v>
      </c>
      <c r="DV181" s="126">
        <f t="shared" ca="1" si="254"/>
        <v>-5</v>
      </c>
      <c r="DW181" s="356">
        <f t="shared" ca="1" si="228"/>
        <v>18.766666666666772</v>
      </c>
    </row>
    <row r="182" spans="2:127" x14ac:dyDescent="0.25">
      <c r="B182" s="396">
        <v>41091</v>
      </c>
      <c r="C182" s="400">
        <v>41080</v>
      </c>
      <c r="I182" s="136">
        <f t="shared" ca="1" si="305"/>
        <v>42339</v>
      </c>
      <c r="J182" s="131">
        <f t="shared" ca="1" si="230"/>
        <v>42327</v>
      </c>
      <c r="K182" s="106">
        <f t="shared" ca="1" si="306"/>
        <v>0.60869565217391308</v>
      </c>
      <c r="L182" s="133">
        <f t="shared" ca="1" si="293"/>
        <v>115</v>
      </c>
      <c r="M182" s="134">
        <f t="shared" ca="1" si="294"/>
        <v>12</v>
      </c>
      <c r="N182" s="103">
        <f t="shared" ca="1" si="297"/>
        <v>23</v>
      </c>
      <c r="O182" s="104">
        <f t="shared" ca="1" si="232"/>
        <v>5379</v>
      </c>
      <c r="P182" s="105">
        <f t="shared" ca="1" si="295"/>
        <v>14.743326488706366</v>
      </c>
      <c r="Q182" s="105">
        <f t="shared" ca="1" si="296"/>
        <v>14.825462012320328</v>
      </c>
      <c r="R182" s="114">
        <v>23.750000000000107</v>
      </c>
      <c r="S182" s="198">
        <v>0</v>
      </c>
      <c r="T182" s="189">
        <f t="shared" si="233"/>
        <v>23.750000000000107</v>
      </c>
      <c r="U182" s="199">
        <f t="shared" ca="1" si="298"/>
        <v>23.819565217391407</v>
      </c>
      <c r="V182" s="379">
        <f t="shared" ca="1" si="299"/>
        <v>23.819565217391407</v>
      </c>
      <c r="W182" s="483">
        <v>0.14689999999999803</v>
      </c>
      <c r="X182" s="166" t="str">
        <f t="shared" ca="1" si="300"/>
        <v/>
      </c>
      <c r="Y182" s="91">
        <f t="shared" ca="1" si="308"/>
        <v>3.342886846387512E-4</v>
      </c>
      <c r="Z182" s="91">
        <f t="shared" ca="1" si="309"/>
        <v>7.9677988136298889E-5</v>
      </c>
      <c r="AA182" s="91">
        <f t="shared" ca="1" si="310"/>
        <v>2.3615878098502503E-5</v>
      </c>
      <c r="AB182" s="91">
        <f t="shared" ca="1" si="311"/>
        <v>5.320185018031434E-5</v>
      </c>
      <c r="AC182" s="91">
        <f t="shared" ca="1" si="312"/>
        <v>1.7949857167346659E-4</v>
      </c>
      <c r="AD182" s="91">
        <f t="shared" ca="1" si="313"/>
        <v>7.5308554875408884E-4</v>
      </c>
      <c r="AE182" s="124">
        <v>7.3558335143680029E-2</v>
      </c>
      <c r="AF182" s="191">
        <f t="shared" ca="1" si="261"/>
        <v>0.34267926958616818</v>
      </c>
      <c r="AG182" s="189">
        <f t="shared" ca="1" si="307"/>
        <v>1</v>
      </c>
      <c r="AH182" s="192">
        <f t="shared" ca="1" si="301"/>
        <v>0</v>
      </c>
      <c r="AI182" s="192">
        <f ca="1">AH182*AF182</f>
        <v>0</v>
      </c>
      <c r="AJ182" s="192">
        <f t="shared" ca="1" si="303"/>
        <v>0</v>
      </c>
      <c r="AK182" s="192">
        <f ca="1">AJ182*AF182</f>
        <v>0</v>
      </c>
      <c r="AL182" s="191" t="str">
        <f t="shared" ca="1" si="262"/>
        <v/>
      </c>
      <c r="AM182" s="191" t="str">
        <f t="shared" ca="1" si="263"/>
        <v/>
      </c>
      <c r="AN182" s="191" t="str">
        <f t="shared" ca="1" si="264"/>
        <v/>
      </c>
      <c r="AO182" s="193" t="str">
        <f t="shared" ca="1" si="265"/>
        <v/>
      </c>
      <c r="AP182" s="194" t="str">
        <f t="shared" ca="1" si="235"/>
        <v/>
      </c>
      <c r="AQ182" s="194" t="str">
        <f t="shared" ca="1" si="236"/>
        <v/>
      </c>
      <c r="AR182" s="195">
        <f ca="1">IF(AH182,_xll.xASN(AL182,Strike1,AE182,AP182,0,N182,0,P182,Q182,IF(OptControl=4,0,1),0),0)</f>
        <v>0</v>
      </c>
      <c r="AS182" s="196">
        <f ca="1">IF(AH182,_xll.xASN(AL182,Strike1,AE182,AP182,0,N182,0,P182,Q182,IF(OptControl=4,0,1),1),0)</f>
        <v>0</v>
      </c>
      <c r="AT182" s="196">
        <f ca="1">IF(AH182,_xll.xASN(AL182,Strike1,AE182,AP182,0,N182,0,P182,Q182,IF(OptControl=4,0,1),2),0)</f>
        <v>0</v>
      </c>
      <c r="AU182" s="196">
        <f ca="1">IF(AH182,_xll.xASN(AL182,Strike1,AE182,AP182,0,N182,0,P182,Q182,IF(OptControl=4,0,1),3)/100,0)</f>
        <v>0</v>
      </c>
      <c r="AV182" s="196">
        <f ca="1">IF(AH182,_xll.xASN(AL182,Strike1,AE182,AP182,0,N182,0,P182-DaysForThetaCalculation/365.25,Q182-DaysForThetaCalculation/365.25,IF(OptControl=4,0,1),0)-_xll.xASN(AL182,Strike1,AE182,AP182,0,N182,0,P182,Q182,IF(OptControl=4,0,1),0),0)</f>
        <v>0</v>
      </c>
      <c r="AW182" s="196">
        <f ca="1">IF(AH182,_xll.xASN(AL182,Strike2,AE182,AQ182,0,N182,0,P182,Q182,IF(OptControl=3,1,0),0),0)</f>
        <v>0</v>
      </c>
      <c r="AX182" s="196">
        <f ca="1">IF(AH182,_xll.xASN(AL182,Strike2,AE182,AQ182,0,N182,0,P182,Q182,IF(OptControl=3,1,0),1),0)</f>
        <v>0</v>
      </c>
      <c r="AY182" s="196">
        <f ca="1">IF(AH182,_xll.xASN(AL182,Strike2,AE182,AQ182,0,N182,0,P182,Q182,IF(OptControl=3,1,0),2),0)</f>
        <v>0</v>
      </c>
      <c r="AZ182" s="196">
        <f ca="1">IF(AH182,_xll.xASN(AL182,Strike2,AE182,AQ182,0,N182,0,P182,Q182,IF(OptControl=3,1,0),3)/100,0)</f>
        <v>0</v>
      </c>
      <c r="BA182" s="196">
        <f ca="1">IF(AH182,_xll.xASN(AL182,Strike2,AE182,AQ182,0,N182,0,P182-DaysForThetaCalculation/365.25,Q182-DaysForThetaCalculation/365.25,IF(OptControl=3,1,0),0)-_xll.xASN(AL182,Strike2,AE182,AQ182,0,N182,0,P182,Q182,IF(OptControl=3,1,0),0),0)</f>
        <v>0</v>
      </c>
      <c r="BB182" s="126" t="str">
        <f t="shared" ca="1" si="266"/>
        <v/>
      </c>
      <c r="BC182" s="191" t="str">
        <f t="shared" ca="1" si="267"/>
        <v/>
      </c>
      <c r="BD182" s="191" t="str">
        <f t="shared" ca="1" si="268"/>
        <v/>
      </c>
      <c r="BE182" s="190" t="str">
        <f t="shared" ca="1" si="269"/>
        <v/>
      </c>
      <c r="BF182" s="194" t="str">
        <f t="shared" ca="1" si="270"/>
        <v/>
      </c>
      <c r="BG182" s="194" t="str">
        <f t="shared" ca="1" si="271"/>
        <v/>
      </c>
      <c r="BH182" s="195">
        <f ca="1">IF(AH182,_xll.xEURO(BB182,Strike1,AE182,AE182,BF182,O182,IF(OptControl=4,0,1),0),0)</f>
        <v>0</v>
      </c>
      <c r="BI182" s="196">
        <f ca="1">IF(AH182,_xll.xEURO(BB182,Strike1,AE182,AE182,BF182,O182,IF(OptControl=4,0,1),1),0)</f>
        <v>0</v>
      </c>
      <c r="BJ182" s="196">
        <f ca="1">IF(AH182,_xll.xEURO(BB182,Strike1,AE182,AE182,BF182,O182,IF(OptControl=4,0,1),2),0)</f>
        <v>0</v>
      </c>
      <c r="BK182" s="196">
        <f ca="1">IF(AH182,_xll.xEURO(BB182,Strike1,AE182,AE182,BF182,O182,IF(OptControl=4,0,1),3)/100,0)</f>
        <v>0</v>
      </c>
      <c r="BL182" s="196">
        <f ca="1">IF(AH182,_xll.xEURO(BB182,Strike1,AE182,AE182,BF182,O182-DaysForThetaCalculation,IF(OptControl=4,0,1),0)-_xll.xEURO(BB182,Strike1,AE182,AE182,BF182,O182,IF(OptControl=4,0,1),0),0)</f>
        <v>0</v>
      </c>
      <c r="BM182" s="196">
        <f ca="1">IF(AH182,_xll.xEURO(BB182,Strike2,AE182,AE182,BG182,O182,IF(OptControl=3,1,0),0),0)</f>
        <v>0</v>
      </c>
      <c r="BN182" s="196">
        <f ca="1">IF(AH182,_xll.xEURO(BB182,Strike2,AE182,AE182,BG182,O182,IF(OptControl=3,1,0),1),0)</f>
        <v>0</v>
      </c>
      <c r="BO182" s="196">
        <f ca="1">IF(AH182,_xll.xEURO(BB182,Strike2,AE182,AE182,BG182,O182,IF(OptControl=3,1,0),2),0)</f>
        <v>0</v>
      </c>
      <c r="BP182" s="196">
        <f ca="1">IF(AH182,_xll.xEURO(BB182,Strike2,AE182,AE182,BG182,O182,IF(OptControl=3,1,0),3)/100,0)</f>
        <v>0</v>
      </c>
      <c r="BQ182" s="197">
        <f ca="1">IF(AH182,_xll.xEURO(BB182,Strike2,AE182,AE182,BG182,O182-DaysForThetaCalculation,IF(OptControl=3,1,0),0)-_xll.xEURO(BB182,Strike2,AE182,AE182,BG182,O182,IF(OptControl=3,1,0),0),0)</f>
        <v>0</v>
      </c>
      <c r="BR182" s="301"/>
      <c r="BS182" s="114"/>
      <c r="BT182" s="345">
        <f t="shared" si="237"/>
        <v>0</v>
      </c>
      <c r="BU182" s="345">
        <f t="shared" ca="1" si="285"/>
        <v>-23.819565217391407</v>
      </c>
      <c r="BV182" s="73"/>
      <c r="BW182" s="345">
        <f t="shared" ca="1" si="282"/>
        <v>6.6671428571428635</v>
      </c>
      <c r="BX182" s="345">
        <f t="shared" ca="1" si="286"/>
        <v>72.05028860028888</v>
      </c>
      <c r="BY182" s="373">
        <f t="shared" ca="1" si="238"/>
        <v>72.587400177462555</v>
      </c>
      <c r="BZ182" s="114"/>
      <c r="CA182" s="345">
        <f t="shared" si="239"/>
        <v>0</v>
      </c>
      <c r="CB182" s="345">
        <f t="shared" ca="1" si="287"/>
        <v>-23.819565217391407</v>
      </c>
      <c r="CC182" s="345">
        <f t="shared" ca="1" si="283"/>
        <v>4.3571428571428594</v>
      </c>
      <c r="CD182" s="345">
        <f t="shared" ca="1" si="240"/>
        <v>67.087400177462541</v>
      </c>
      <c r="CE182" s="347">
        <f t="shared" ca="1" si="272"/>
        <v>-5.5000000000000142</v>
      </c>
      <c r="CF182" s="114"/>
      <c r="CG182" s="345">
        <f t="shared" si="241"/>
        <v>0</v>
      </c>
      <c r="CH182" s="345">
        <f t="shared" ca="1" si="242"/>
        <v>-23.819565217391407</v>
      </c>
      <c r="CI182" s="73"/>
      <c r="CJ182" s="345">
        <f t="shared" ca="1" si="290"/>
        <v>6.4281428571428627</v>
      </c>
      <c r="CK182" s="345">
        <f t="shared" ca="1" si="284"/>
        <v>71.03124098124124</v>
      </c>
      <c r="CL182" s="345">
        <f t="shared" ca="1" si="243"/>
        <v>72.018352558414932</v>
      </c>
      <c r="CM182" s="114"/>
      <c r="CN182" s="345">
        <f t="shared" si="244"/>
        <v>0</v>
      </c>
      <c r="CO182" s="345">
        <f t="shared" ca="1" si="245"/>
        <v>-23.819565217391407</v>
      </c>
      <c r="CP182" s="345">
        <f t="shared" ca="1" si="292"/>
        <v>5.2311428571428644</v>
      </c>
      <c r="CQ182" s="345">
        <f t="shared" ca="1" si="246"/>
        <v>69.168352558414924</v>
      </c>
      <c r="CR182" s="347">
        <f t="shared" ca="1" si="273"/>
        <v>-2.8500000000000085</v>
      </c>
      <c r="CS182" s="114"/>
      <c r="CT182" s="345">
        <f t="shared" si="247"/>
        <v>0</v>
      </c>
      <c r="CU182" s="345">
        <f t="shared" si="274"/>
        <v>0</v>
      </c>
      <c r="CV182" s="345">
        <f t="shared" ca="1" si="291"/>
        <v>2.7000000000000077</v>
      </c>
      <c r="CW182" s="347">
        <f t="shared" ca="1" si="275"/>
        <v>74.718352558414935</v>
      </c>
      <c r="CX182" s="483"/>
      <c r="CY182" s="190">
        <f t="shared" si="248"/>
        <v>-0.14689999999999803</v>
      </c>
      <c r="CZ182" s="190">
        <f t="shared" ca="1" si="280"/>
        <v>-0.03</v>
      </c>
      <c r="DA182" s="354">
        <f t="shared" ca="1" si="249"/>
        <v>0.11689999999999803</v>
      </c>
      <c r="DB182" s="483"/>
      <c r="DC182" s="190">
        <f t="shared" si="250"/>
        <v>-0.14689999999999803</v>
      </c>
      <c r="DD182" s="190">
        <f t="shared" ca="1" si="281"/>
        <v>0.03</v>
      </c>
      <c r="DE182" s="354">
        <f t="shared" ca="1" si="251"/>
        <v>0.17689999999999803</v>
      </c>
      <c r="DG182" s="341"/>
      <c r="DH182" s="114"/>
      <c r="DI182" s="126">
        <f t="shared" ca="1" si="276"/>
        <v>-23.819565217391407</v>
      </c>
      <c r="DJ182" s="126">
        <f t="shared" ca="1" si="224"/>
        <v>-2</v>
      </c>
      <c r="DK182" s="356">
        <f t="shared" ca="1" si="225"/>
        <v>21.819565217391407</v>
      </c>
      <c r="DL182" s="114"/>
      <c r="DM182" s="126">
        <f t="shared" ca="1" si="277"/>
        <v>-23.819565217391407</v>
      </c>
      <c r="DN182" s="126">
        <f t="shared" ca="1" si="252"/>
        <v>-3</v>
      </c>
      <c r="DO182" s="356">
        <f t="shared" ca="1" si="226"/>
        <v>20.819565217391407</v>
      </c>
      <c r="DP182" s="114"/>
      <c r="DQ182" s="126">
        <f t="shared" ca="1" si="278"/>
        <v>-23.819565217391407</v>
      </c>
      <c r="DR182" s="126">
        <f t="shared" ca="1" si="253"/>
        <v>-6</v>
      </c>
      <c r="DS182" s="356">
        <f t="shared" ca="1" si="227"/>
        <v>17.819565217391407</v>
      </c>
      <c r="DT182" s="114"/>
      <c r="DU182" s="126">
        <f t="shared" ca="1" si="279"/>
        <v>-23.819565217391407</v>
      </c>
      <c r="DV182" s="126">
        <f t="shared" ca="1" si="254"/>
        <v>-5</v>
      </c>
      <c r="DW182" s="356">
        <f t="shared" ca="1" si="228"/>
        <v>18.819565217391407</v>
      </c>
    </row>
    <row r="183" spans="2:127" x14ac:dyDescent="0.25">
      <c r="B183" s="396">
        <v>41122</v>
      </c>
      <c r="C183" s="400">
        <v>41110</v>
      </c>
      <c r="I183" s="136">
        <f t="shared" ca="1" si="305"/>
        <v>42370</v>
      </c>
      <c r="J183" s="131">
        <f t="shared" ca="1" si="230"/>
        <v>42357</v>
      </c>
      <c r="K183" s="106">
        <f t="shared" ca="1" si="306"/>
        <v>0.76190476190476186</v>
      </c>
      <c r="L183" s="133">
        <f t="shared" ca="1" si="293"/>
        <v>116</v>
      </c>
      <c r="M183" s="134">
        <f t="shared" ca="1" si="294"/>
        <v>1</v>
      </c>
      <c r="N183" s="103">
        <f t="shared" ca="1" si="297"/>
        <v>21</v>
      </c>
      <c r="O183" s="104">
        <f t="shared" ca="1" si="232"/>
        <v>5412</v>
      </c>
      <c r="P183" s="105">
        <f t="shared" ca="1" si="295"/>
        <v>14.828199863107461</v>
      </c>
      <c r="Q183" s="105">
        <f t="shared" ca="1" si="296"/>
        <v>14.910335386721425</v>
      </c>
      <c r="R183" s="114">
        <v>23.800000000000104</v>
      </c>
      <c r="S183" s="198">
        <v>0</v>
      </c>
      <c r="T183" s="189">
        <f t="shared" si="233"/>
        <v>23.800000000000104</v>
      </c>
      <c r="U183" s="199">
        <f t="shared" ca="1" si="298"/>
        <v>23.861904761904867</v>
      </c>
      <c r="V183" s="379">
        <f t="shared" ca="1" si="299"/>
        <v>23.861904761904867</v>
      </c>
      <c r="W183" s="483">
        <v>0.14649999999999805</v>
      </c>
      <c r="X183" s="166" t="str">
        <f t="shared" ca="1" si="300"/>
        <v/>
      </c>
      <c r="Y183" s="91">
        <f t="shared" ca="1" si="308"/>
        <v>3.271320723294141E-4</v>
      </c>
      <c r="Z183" s="91">
        <f t="shared" ca="1" si="309"/>
        <v>7.7554736366652126E-5</v>
      </c>
      <c r="AA183" s="91">
        <f t="shared" ca="1" si="310"/>
        <v>2.2924923683108752E-5</v>
      </c>
      <c r="AB183" s="91">
        <f t="shared" ca="1" si="311"/>
        <v>5.1645268073315171E-5</v>
      </c>
      <c r="AC183" s="91">
        <f t="shared" ca="1" si="312"/>
        <v>1.7471531008680599E-4</v>
      </c>
      <c r="AD183" s="91">
        <f t="shared" ca="1" si="313"/>
        <v>7.3696313254361539E-4</v>
      </c>
      <c r="AE183" s="124">
        <v>7.3554373585188015E-2</v>
      </c>
      <c r="AF183" s="191">
        <f t="shared" ca="1" si="261"/>
        <v>0.34060410946205488</v>
      </c>
      <c r="AG183" s="189">
        <f t="shared" ca="1" si="307"/>
        <v>1</v>
      </c>
      <c r="AH183" s="192">
        <f t="shared" ca="1" si="301"/>
        <v>0</v>
      </c>
      <c r="AI183" s="192">
        <f ca="1">AH183*AF183</f>
        <v>0</v>
      </c>
      <c r="AJ183" s="192">
        <f t="shared" ca="1" si="303"/>
        <v>0</v>
      </c>
      <c r="AK183" s="192">
        <f ca="1">AJ183*AF183</f>
        <v>0</v>
      </c>
      <c r="AL183" s="191" t="str">
        <f t="shared" ca="1" si="262"/>
        <v/>
      </c>
      <c r="AM183" s="191" t="str">
        <f t="shared" ca="1" si="263"/>
        <v/>
      </c>
      <c r="AN183" s="191" t="str">
        <f t="shared" ca="1" si="264"/>
        <v/>
      </c>
      <c r="AO183" s="193" t="str">
        <f t="shared" ca="1" si="265"/>
        <v/>
      </c>
      <c r="AP183" s="194" t="str">
        <f t="shared" ca="1" si="235"/>
        <v/>
      </c>
      <c r="AQ183" s="194" t="str">
        <f t="shared" ca="1" si="236"/>
        <v/>
      </c>
      <c r="AR183" s="195">
        <f ca="1">IF(AH183,_xll.xASN(AL183,Strike1,AE183,AP183,0,N183,0,P183,Q183,IF(OptControl=4,0,1),0),0)</f>
        <v>0</v>
      </c>
      <c r="AS183" s="196">
        <f ca="1">IF(AH183,_xll.xASN(AL183,Strike1,AE183,AP183,0,N183,0,P183,Q183,IF(OptControl=4,0,1),1),0)</f>
        <v>0</v>
      </c>
      <c r="AT183" s="196">
        <f ca="1">IF(AH183,_xll.xASN(AL183,Strike1,AE183,AP183,0,N183,0,P183,Q183,IF(OptControl=4,0,1),2),0)</f>
        <v>0</v>
      </c>
      <c r="AU183" s="196">
        <f ca="1">IF(AH183,_xll.xASN(AL183,Strike1,AE183,AP183,0,N183,0,P183,Q183,IF(OptControl=4,0,1),3)/100,0)</f>
        <v>0</v>
      </c>
      <c r="AV183" s="196">
        <f ca="1">IF(AH183,_xll.xASN(AL183,Strike1,AE183,AP183,0,N183,0,P183-DaysForThetaCalculation/365.25,Q183-DaysForThetaCalculation/365.25,IF(OptControl=4,0,1),0)-_xll.xASN(AL183,Strike1,AE183,AP183,0,N183,0,P183,Q183,IF(OptControl=4,0,1),0),0)</f>
        <v>0</v>
      </c>
      <c r="AW183" s="196">
        <f ca="1">IF(AH183,_xll.xASN(AL183,Strike2,AE183,AQ183,0,N183,0,P183,Q183,IF(OptControl=3,1,0),0),0)</f>
        <v>0</v>
      </c>
      <c r="AX183" s="196">
        <f ca="1">IF(AH183,_xll.xASN(AL183,Strike2,AE183,AQ183,0,N183,0,P183,Q183,IF(OptControl=3,1,0),1),0)</f>
        <v>0</v>
      </c>
      <c r="AY183" s="196">
        <f ca="1">IF(AH183,_xll.xASN(AL183,Strike2,AE183,AQ183,0,N183,0,P183,Q183,IF(OptControl=3,1,0),2),0)</f>
        <v>0</v>
      </c>
      <c r="AZ183" s="196">
        <f ca="1">IF(AH183,_xll.xASN(AL183,Strike2,AE183,AQ183,0,N183,0,P183,Q183,IF(OptControl=3,1,0),3)/100,0)</f>
        <v>0</v>
      </c>
      <c r="BA183" s="196">
        <f ca="1">IF(AH183,_xll.xASN(AL183,Strike2,AE183,AQ183,0,N183,0,P183-DaysForThetaCalculation/365.25,Q183-DaysForThetaCalculation/365.25,IF(OptControl=3,1,0),0)-_xll.xASN(AL183,Strike2,AE183,AQ183,0,N183,0,P183,Q183,IF(OptControl=3,1,0),0),0)</f>
        <v>0</v>
      </c>
      <c r="BB183" s="126" t="str">
        <f t="shared" ca="1" si="266"/>
        <v/>
      </c>
      <c r="BC183" s="191" t="str">
        <f t="shared" ca="1" si="267"/>
        <v/>
      </c>
      <c r="BD183" s="191" t="str">
        <f t="shared" ca="1" si="268"/>
        <v/>
      </c>
      <c r="BE183" s="190" t="str">
        <f t="shared" ca="1" si="269"/>
        <v/>
      </c>
      <c r="BF183" s="194" t="str">
        <f t="shared" ca="1" si="270"/>
        <v/>
      </c>
      <c r="BG183" s="194" t="str">
        <f t="shared" ca="1" si="271"/>
        <v/>
      </c>
      <c r="BH183" s="195">
        <f ca="1">IF(AH183,_xll.xEURO(BB183,Strike1,AE183,AE183,BF183,O183,IF(OptControl=4,0,1),0),0)</f>
        <v>0</v>
      </c>
      <c r="BI183" s="196">
        <f ca="1">IF(AH183,_xll.xEURO(BB183,Strike1,AE183,AE183,BF183,O183,IF(OptControl=4,0,1),1),0)</f>
        <v>0</v>
      </c>
      <c r="BJ183" s="196">
        <f ca="1">IF(AH183,_xll.xEURO(BB183,Strike1,AE183,AE183,BF183,O183,IF(OptControl=4,0,1),2),0)</f>
        <v>0</v>
      </c>
      <c r="BK183" s="196">
        <f ca="1">IF(AH183,_xll.xEURO(BB183,Strike1,AE183,AE183,BF183,O183,IF(OptControl=4,0,1),3)/100,0)</f>
        <v>0</v>
      </c>
      <c r="BL183" s="196">
        <f ca="1">IF(AH183,_xll.xEURO(BB183,Strike1,AE183,AE183,BF183,O183-DaysForThetaCalculation,IF(OptControl=4,0,1),0)-_xll.xEURO(BB183,Strike1,AE183,AE183,BF183,O183,IF(OptControl=4,0,1),0),0)</f>
        <v>0</v>
      </c>
      <c r="BM183" s="196">
        <f ca="1">IF(AH183,_xll.xEURO(BB183,Strike2,AE183,AE183,BG183,O183,IF(OptControl=3,1,0),0),0)</f>
        <v>0</v>
      </c>
      <c r="BN183" s="196">
        <f ca="1">IF(AH183,_xll.xEURO(BB183,Strike2,AE183,AE183,BG183,O183,IF(OptControl=3,1,0),1),0)</f>
        <v>0</v>
      </c>
      <c r="BO183" s="196">
        <f ca="1">IF(AH183,_xll.xEURO(BB183,Strike2,AE183,AE183,BG183,O183,IF(OptControl=3,1,0),2),0)</f>
        <v>0</v>
      </c>
      <c r="BP183" s="196">
        <f ca="1">IF(AH183,_xll.xEURO(BB183,Strike2,AE183,AE183,BG183,O183,IF(OptControl=3,1,0),3)/100,0)</f>
        <v>0</v>
      </c>
      <c r="BQ183" s="197">
        <f ca="1">IF(AH183,_xll.xEURO(BB183,Strike2,AE183,AE183,BG183,O183-DaysForThetaCalculation,IF(OptControl=3,1,0),0)-_xll.xEURO(BB183,Strike2,AE183,AE183,BG183,O183,IF(OptControl=3,1,0),0),0)</f>
        <v>0</v>
      </c>
      <c r="BR183" s="301"/>
      <c r="BS183" s="114"/>
      <c r="BT183" s="345">
        <f t="shared" si="237"/>
        <v>0</v>
      </c>
      <c r="BU183" s="345">
        <f t="shared" ca="1" si="285"/>
        <v>-23.861904761904867</v>
      </c>
      <c r="BV183" s="73"/>
      <c r="BW183" s="345">
        <f t="shared" ca="1" si="282"/>
        <v>6.9094782608695695</v>
      </c>
      <c r="BX183" s="345">
        <f t="shared" ca="1" si="286"/>
        <v>72.587400177462555</v>
      </c>
      <c r="BY183" s="373">
        <f t="shared" ca="1" si="238"/>
        <v>73.265197673272468</v>
      </c>
      <c r="BZ183" s="114"/>
      <c r="CA183" s="345">
        <f t="shared" si="239"/>
        <v>0</v>
      </c>
      <c r="CB183" s="345">
        <f t="shared" ca="1" si="287"/>
        <v>-23.861904761904867</v>
      </c>
      <c r="CC183" s="345">
        <f t="shared" ca="1" si="283"/>
        <v>5.3974782608695708</v>
      </c>
      <c r="CD183" s="345">
        <f t="shared" ca="1" si="240"/>
        <v>69.665197673272473</v>
      </c>
      <c r="CE183" s="347">
        <f t="shared" ca="1" si="272"/>
        <v>-3.5999999999999943</v>
      </c>
      <c r="CF183" s="114"/>
      <c r="CG183" s="345">
        <f t="shared" si="241"/>
        <v>0</v>
      </c>
      <c r="CH183" s="345">
        <f t="shared" ca="1" si="242"/>
        <v>-23.861904761904867</v>
      </c>
      <c r="CI183" s="73"/>
      <c r="CJ183" s="345">
        <f t="shared" ca="1" si="290"/>
        <v>6.2294782608695698</v>
      </c>
      <c r="CK183" s="345">
        <f t="shared" ca="1" si="284"/>
        <v>72.018352558414932</v>
      </c>
      <c r="CL183" s="345">
        <f t="shared" ca="1" si="243"/>
        <v>71.646150054224847</v>
      </c>
      <c r="CM183" s="114"/>
      <c r="CN183" s="345">
        <f t="shared" si="244"/>
        <v>0</v>
      </c>
      <c r="CO183" s="345">
        <f t="shared" ca="1" si="245"/>
        <v>-23.861904761904867</v>
      </c>
      <c r="CP183" s="345">
        <f t="shared" ca="1" si="292"/>
        <v>5.1164782608695711</v>
      </c>
      <c r="CQ183" s="345">
        <f t="shared" ca="1" si="246"/>
        <v>68.996150054224856</v>
      </c>
      <c r="CR183" s="347">
        <f t="shared" ca="1" si="273"/>
        <v>-2.6499999999999915</v>
      </c>
      <c r="CS183" s="114"/>
      <c r="CT183" s="345">
        <f t="shared" si="247"/>
        <v>0</v>
      </c>
      <c r="CU183" s="345">
        <f t="shared" si="274"/>
        <v>0</v>
      </c>
      <c r="CV183" s="345">
        <f t="shared" ca="1" si="291"/>
        <v>2.7000000000000077</v>
      </c>
      <c r="CW183" s="347">
        <f t="shared" ca="1" si="275"/>
        <v>74.34615005422485</v>
      </c>
      <c r="CX183" s="483"/>
      <c r="CY183" s="190">
        <f t="shared" si="248"/>
        <v>-0.14649999999999805</v>
      </c>
      <c r="CZ183" s="190">
        <f t="shared" ca="1" si="280"/>
        <v>-0.03</v>
      </c>
      <c r="DA183" s="354">
        <f t="shared" ca="1" si="249"/>
        <v>0.11649999999999805</v>
      </c>
      <c r="DB183" s="483"/>
      <c r="DC183" s="190">
        <f t="shared" si="250"/>
        <v>-0.14649999999999805</v>
      </c>
      <c r="DD183" s="190">
        <f t="shared" ca="1" si="281"/>
        <v>0.03</v>
      </c>
      <c r="DE183" s="354">
        <f t="shared" ca="1" si="251"/>
        <v>0.17649999999999805</v>
      </c>
      <c r="DG183" s="341"/>
      <c r="DH183" s="114"/>
      <c r="DI183" s="126">
        <f t="shared" ca="1" si="276"/>
        <v>-23.861904761904867</v>
      </c>
      <c r="DJ183" s="126">
        <f t="shared" ca="1" si="224"/>
        <v>-2</v>
      </c>
      <c r="DK183" s="356">
        <f t="shared" ca="1" si="225"/>
        <v>21.861904761904867</v>
      </c>
      <c r="DL183" s="114"/>
      <c r="DM183" s="126">
        <f t="shared" ca="1" si="277"/>
        <v>-23.861904761904867</v>
      </c>
      <c r="DN183" s="126">
        <f t="shared" ca="1" si="252"/>
        <v>-3</v>
      </c>
      <c r="DO183" s="356">
        <f t="shared" ca="1" si="226"/>
        <v>20.861904761904867</v>
      </c>
      <c r="DP183" s="114"/>
      <c r="DQ183" s="126">
        <f t="shared" ca="1" si="278"/>
        <v>-23.861904761904867</v>
      </c>
      <c r="DR183" s="126">
        <f t="shared" ca="1" si="253"/>
        <v>-6</v>
      </c>
      <c r="DS183" s="356">
        <f t="shared" ca="1" si="227"/>
        <v>17.861904761904867</v>
      </c>
      <c r="DT183" s="114"/>
      <c r="DU183" s="126">
        <f t="shared" ca="1" si="279"/>
        <v>-23.861904761904867</v>
      </c>
      <c r="DV183" s="126">
        <f t="shared" ca="1" si="254"/>
        <v>-5</v>
      </c>
      <c r="DW183" s="356">
        <f t="shared" ca="1" si="228"/>
        <v>18.861904761904867</v>
      </c>
    </row>
    <row r="184" spans="2:127" ht="13.8" thickBot="1" x14ac:dyDescent="0.3">
      <c r="B184" s="396">
        <v>41153</v>
      </c>
      <c r="C184" s="400">
        <v>41142</v>
      </c>
      <c r="I184" s="136">
        <f t="shared" ca="1" si="305"/>
        <v>42401</v>
      </c>
      <c r="J184" s="131">
        <f t="shared" ca="1" si="230"/>
        <v>42391</v>
      </c>
      <c r="K184" s="106">
        <f t="shared" ca="1" si="306"/>
        <v>0.7142857142857143</v>
      </c>
      <c r="L184" s="133">
        <f t="shared" ca="1" si="293"/>
        <v>116</v>
      </c>
      <c r="M184" s="134">
        <f t="shared" ca="1" si="294"/>
        <v>2</v>
      </c>
      <c r="N184" s="103">
        <f t="shared" ca="1" si="297"/>
        <v>21</v>
      </c>
      <c r="O184" s="104">
        <f t="shared" ca="1" si="232"/>
        <v>5441</v>
      </c>
      <c r="P184" s="105">
        <f t="shared" ca="1" si="295"/>
        <v>14.913073237508556</v>
      </c>
      <c r="Q184" s="105">
        <f t="shared" ca="1" si="296"/>
        <v>14.989733059548255</v>
      </c>
      <c r="R184" s="114">
        <v>23.850000000000104</v>
      </c>
      <c r="S184" s="198">
        <v>0</v>
      </c>
      <c r="T184" s="189">
        <f t="shared" si="233"/>
        <v>23.850000000000104</v>
      </c>
      <c r="U184" s="199">
        <f t="shared" ca="1" si="298"/>
        <v>23.914285714285821</v>
      </c>
      <c r="V184" s="379">
        <f t="shared" ca="1" si="299"/>
        <v>23.914285714285821</v>
      </c>
      <c r="W184" s="483">
        <v>0.14609999999999804</v>
      </c>
      <c r="X184" s="212" t="str">
        <f t="shared" ca="1" si="300"/>
        <v/>
      </c>
      <c r="Y184" s="211">
        <f t="shared" ca="1" si="308"/>
        <v>3.2012867220493303E-4</v>
      </c>
      <c r="Z184" s="211">
        <f t="shared" ca="1" si="309"/>
        <v>7.5488064816746811E-5</v>
      </c>
      <c r="AA184" s="211">
        <f t="shared" ca="1" si="310"/>
        <v>2.2254185242838214E-5</v>
      </c>
      <c r="AB184" s="211">
        <f t="shared" ca="1" si="311"/>
        <v>5.0134228515073575E-5</v>
      </c>
      <c r="AC184" s="211">
        <f t="shared" ca="1" si="312"/>
        <v>1.7005951241917894E-4</v>
      </c>
      <c r="AD184" s="211">
        <f t="shared" ca="1" si="313"/>
        <v>7.2118587274318572E-4</v>
      </c>
      <c r="AE184" s="124">
        <v>7.3550412026699014E-2</v>
      </c>
      <c r="AF184" s="213">
        <f t="shared" ca="1" si="261"/>
        <v>0.33867565907563157</v>
      </c>
      <c r="AG184" s="209">
        <f t="shared" ca="1" si="307"/>
        <v>1</v>
      </c>
      <c r="AH184" s="214">
        <f t="shared" ca="1" si="301"/>
        <v>0</v>
      </c>
      <c r="AI184" s="214">
        <f ca="1">AH184*AF184</f>
        <v>0</v>
      </c>
      <c r="AJ184" s="214">
        <f t="shared" ca="1" si="303"/>
        <v>0</v>
      </c>
      <c r="AK184" s="214">
        <f ca="1">AJ184*AF184</f>
        <v>0</v>
      </c>
      <c r="AL184" s="213" t="str">
        <f t="shared" ca="1" si="262"/>
        <v/>
      </c>
      <c r="AM184" s="213" t="str">
        <f t="shared" ca="1" si="263"/>
        <v/>
      </c>
      <c r="AN184" s="213" t="str">
        <f t="shared" ca="1" si="264"/>
        <v/>
      </c>
      <c r="AO184" s="215" t="str">
        <f t="shared" ca="1" si="265"/>
        <v/>
      </c>
      <c r="AP184" s="216" t="str">
        <f t="shared" ca="1" si="235"/>
        <v/>
      </c>
      <c r="AQ184" s="216" t="str">
        <f t="shared" ca="1" si="236"/>
        <v/>
      </c>
      <c r="AR184" s="217">
        <f ca="1">IF(AH184,_xll.xASN(AL184,Strike1,AE184,AP184,0,N184,0,P184,Q184,IF(OptControl=4,0,1),0),0)</f>
        <v>0</v>
      </c>
      <c r="AS184" s="218">
        <f ca="1">IF(AH184,_xll.xASN(AL184,Strike1,AE184,AP184,0,N184,0,P184,Q184,IF(OptControl=4,0,1),1),0)</f>
        <v>0</v>
      </c>
      <c r="AT184" s="218">
        <f ca="1">IF(AH184,_xll.xASN(AL184,Strike1,AE184,AP184,0,N184,0,P184,Q184,IF(OptControl=4,0,1),2),0)</f>
        <v>0</v>
      </c>
      <c r="AU184" s="218">
        <f ca="1">IF(AH184,_xll.xASN(AL184,Strike1,AE184,AP184,0,N184,0,P184,Q184,IF(OptControl=4,0,1),3)/100,0)</f>
        <v>0</v>
      </c>
      <c r="AV184" s="218">
        <f ca="1">IF(AH184,_xll.xASN(AL184,Strike1,AE184,AP184,0,N184,0,P184-DaysForThetaCalculation/365.25,Q184-DaysForThetaCalculation/365.25,IF(OptControl=4,0,1),0)-_xll.xASN(AL184,Strike1,AE184,AP184,0,N184,0,P184,Q184,IF(OptControl=4,0,1),0),0)</f>
        <v>0</v>
      </c>
      <c r="AW184" s="218">
        <f ca="1">IF(AH184,_xll.xASN(AL184,Strike2,AE184,AQ184,0,N184,0,P184,Q184,IF(OptControl=3,1,0),0),0)</f>
        <v>0</v>
      </c>
      <c r="AX184" s="218">
        <f ca="1">IF(AH184,_xll.xASN(AL184,Strike2,AE184,AQ184,0,N184,0,P184,Q184,IF(OptControl=3,1,0),1),0)</f>
        <v>0</v>
      </c>
      <c r="AY184" s="218">
        <f ca="1">IF(AH184,_xll.xASN(AL184,Strike2,AE184,AQ184,0,N184,0,P184,Q184,IF(OptControl=3,1,0),2),0)</f>
        <v>0</v>
      </c>
      <c r="AZ184" s="218">
        <f ca="1">IF(AH184,_xll.xASN(AL184,Strike2,AE184,AQ184,0,N184,0,P184,Q184,IF(OptControl=3,1,0),3)/100,0)</f>
        <v>0</v>
      </c>
      <c r="BA184" s="218">
        <f ca="1">IF(AH184,_xll.xASN(AL184,Strike2,AE184,AQ184,0,N184,0,P184-DaysForThetaCalculation/365.25,Q184-DaysForThetaCalculation/365.25,IF(OptControl=3,1,0),0)-_xll.xASN(AL184,Strike2,AE184,AQ184,0,N184,0,P184,Q184,IF(OptControl=3,1,0),0),0)</f>
        <v>0</v>
      </c>
      <c r="BB184" s="342" t="str">
        <f t="shared" ca="1" si="266"/>
        <v/>
      </c>
      <c r="BC184" s="213" t="str">
        <f ca="1">IF(AH184,Strike1/BB184-1,"")</f>
        <v/>
      </c>
      <c r="BD184" s="213" t="str">
        <f ca="1">IF(AH184,Strike2/BB184-1,"")</f>
        <v/>
      </c>
      <c r="BE184" s="343" t="str">
        <f t="shared" ca="1" si="269"/>
        <v/>
      </c>
      <c r="BF184" s="216" t="str">
        <f t="shared" ca="1" si="270"/>
        <v/>
      </c>
      <c r="BG184" s="216" t="str">
        <f t="shared" ca="1" si="271"/>
        <v/>
      </c>
      <c r="BH184" s="217">
        <f ca="1">IF(AH184,_xll.xEURO(BB184,Strike1,AE184,AE184,BF184,O184,IF(OptControl=4,0,1),0),0)</f>
        <v>0</v>
      </c>
      <c r="BI184" s="218">
        <f ca="1">IF(AH184,_xll.xEURO(BB184,Strike1,AE184,AE184,BF184,O184,IF(OptControl=4,0,1),1),0)</f>
        <v>0</v>
      </c>
      <c r="BJ184" s="218">
        <f ca="1">IF(AH184,_xll.xEURO(BB184,Strike1,AE184,AE184,BF184,O184,IF(OptControl=4,0,1),2),0)</f>
        <v>0</v>
      </c>
      <c r="BK184" s="218">
        <f ca="1">IF(AH184,_xll.xEURO(BB184,Strike1,AE184,AE184,BF184,O184,IF(OptControl=4,0,1),3)/100,0)</f>
        <v>0</v>
      </c>
      <c r="BL184" s="218">
        <f ca="1">IF(AH184,_xll.xEURO(BB184,Strike1,AE184,AE184,BF184,O184-DaysForThetaCalculation,IF(OptControl=4,0,1),0)-_xll.xEURO(BB184,Strike1,AE184,AE184,BF184,O184,IF(OptControl=4,0,1),0),0)</f>
        <v>0</v>
      </c>
      <c r="BM184" s="218">
        <f ca="1">IF(AH184,_xll.xEURO(BB184,Strike2,AE184,AE184,BG184,O184,IF(OptControl=3,1,0),0),0)</f>
        <v>0</v>
      </c>
      <c r="BN184" s="218">
        <f ca="1">IF(AH184,_xll.xEURO(BB184,Strike2,AE184,AE184,BG184,O184,IF(OptControl=3,1,0),1),0)</f>
        <v>0</v>
      </c>
      <c r="BO184" s="218">
        <f ca="1">IF(AH184,_xll.xEURO(BB184,Strike2,AE184,AE184,BG184,O184,IF(OptControl=3,1,0),2),0)</f>
        <v>0</v>
      </c>
      <c r="BP184" s="218">
        <f ca="1">IF(AH184,_xll.xEURO(BB184,Strike2,AE184,AE184,BG184,O184,IF(OptControl=3,1,0),3)/100,0)</f>
        <v>0</v>
      </c>
      <c r="BQ184" s="344">
        <f ca="1">IF(AH184,_xll.xEURO(BB184,Strike2,AE184,AE184,BG184,O184-DaysForThetaCalculation,IF(OptControl=3,1,0),0)-_xll.xEURO(BB184,Strike2,AE184,AE184,BG184,O184,IF(OptControl=3,1,0),0),0)</f>
        <v>0</v>
      </c>
      <c r="BR184" s="301"/>
      <c r="BS184" s="114"/>
      <c r="BT184" s="345">
        <f t="shared" si="237"/>
        <v>0</v>
      </c>
      <c r="BU184" s="345">
        <f t="shared" ca="1" si="285"/>
        <v>-23.914285714285821</v>
      </c>
      <c r="BV184" s="73"/>
      <c r="BW184" s="345">
        <f t="shared" ca="1" si="282"/>
        <v>7.2900000000000027</v>
      </c>
      <c r="BX184" s="345">
        <f t="shared" ca="1" si="286"/>
        <v>73.265197673272468</v>
      </c>
      <c r="BY184" s="373">
        <f t="shared" ca="1" si="238"/>
        <v>74.295918367347198</v>
      </c>
      <c r="BZ184" s="114"/>
      <c r="CA184" s="345">
        <f t="shared" si="239"/>
        <v>0</v>
      </c>
      <c r="CB184" s="345">
        <f t="shared" ca="1" si="287"/>
        <v>-23.914285714285821</v>
      </c>
      <c r="CC184" s="345">
        <f t="shared" ca="1" si="283"/>
        <v>5.732000000000002</v>
      </c>
      <c r="CD184" s="345">
        <f t="shared" ca="1" si="240"/>
        <v>70.586394557823382</v>
      </c>
      <c r="CE184" s="347">
        <f t="shared" ca="1" si="272"/>
        <v>-3.7095238095238159</v>
      </c>
      <c r="CF184" s="114"/>
      <c r="CG184" s="345">
        <f t="shared" si="241"/>
        <v>0</v>
      </c>
      <c r="CH184" s="345">
        <f t="shared" ca="1" si="242"/>
        <v>-23.914285714285821</v>
      </c>
      <c r="CI184" s="73"/>
      <c r="CJ184" s="345">
        <f t="shared" ca="1" si="290"/>
        <v>5.5179999999999989</v>
      </c>
      <c r="CK184" s="345">
        <f t="shared" ca="1" si="284"/>
        <v>71.646150054224847</v>
      </c>
      <c r="CL184" s="345">
        <f t="shared" ca="1" si="243"/>
        <v>70.076870748299569</v>
      </c>
      <c r="CM184" s="114"/>
      <c r="CN184" s="345">
        <f t="shared" si="244"/>
        <v>0</v>
      </c>
      <c r="CO184" s="345">
        <f t="shared" ca="1" si="245"/>
        <v>-23.914285714285821</v>
      </c>
      <c r="CP184" s="345">
        <f t="shared" ca="1" si="292"/>
        <v>4.4049999999999994</v>
      </c>
      <c r="CQ184" s="345">
        <f t="shared" ca="1" si="246"/>
        <v>67.426870748299578</v>
      </c>
      <c r="CR184" s="347">
        <f t="shared" ca="1" si="273"/>
        <v>-2.6499999999999915</v>
      </c>
      <c r="CS184" s="114"/>
      <c r="CT184" s="345">
        <f t="shared" si="247"/>
        <v>0</v>
      </c>
      <c r="CU184" s="345">
        <f t="shared" si="274"/>
        <v>0</v>
      </c>
      <c r="CV184" s="345">
        <f t="shared" ca="1" si="291"/>
        <v>2.7000000000000077</v>
      </c>
      <c r="CW184" s="347">
        <f t="shared" ca="1" si="275"/>
        <v>72.776870748299572</v>
      </c>
      <c r="CX184" s="483"/>
      <c r="CY184" s="190">
        <f t="shared" si="248"/>
        <v>-0.14609999999999804</v>
      </c>
      <c r="CZ184" s="190">
        <f t="shared" ca="1" si="280"/>
        <v>-0.03</v>
      </c>
      <c r="DA184" s="354">
        <f t="shared" ca="1" si="249"/>
        <v>0.11609999999999804</v>
      </c>
      <c r="DB184" s="483"/>
      <c r="DC184" s="190">
        <f t="shared" si="250"/>
        <v>-0.14609999999999804</v>
      </c>
      <c r="DD184" s="190">
        <f t="shared" ca="1" si="281"/>
        <v>0.03</v>
      </c>
      <c r="DE184" s="354">
        <f t="shared" ca="1" si="251"/>
        <v>0.17609999999999804</v>
      </c>
      <c r="DG184" s="341"/>
      <c r="DH184" s="114"/>
      <c r="DI184" s="126">
        <f t="shared" ca="1" si="276"/>
        <v>-23.914285714285821</v>
      </c>
      <c r="DJ184" s="126">
        <f t="shared" ca="1" si="224"/>
        <v>-2</v>
      </c>
      <c r="DK184" s="356">
        <f t="shared" ca="1" si="225"/>
        <v>21.914285714285821</v>
      </c>
      <c r="DL184" s="114"/>
      <c r="DM184" s="126">
        <f t="shared" ca="1" si="277"/>
        <v>-23.914285714285821</v>
      </c>
      <c r="DN184" s="126">
        <f t="shared" ca="1" si="252"/>
        <v>-3</v>
      </c>
      <c r="DO184" s="356">
        <f t="shared" ca="1" si="226"/>
        <v>20.914285714285821</v>
      </c>
      <c r="DP184" s="114"/>
      <c r="DQ184" s="126">
        <f t="shared" ca="1" si="278"/>
        <v>-23.914285714285821</v>
      </c>
      <c r="DR184" s="126">
        <f t="shared" ca="1" si="253"/>
        <v>-6</v>
      </c>
      <c r="DS184" s="356">
        <f t="shared" ca="1" si="227"/>
        <v>17.914285714285821</v>
      </c>
      <c r="DT184" s="114"/>
      <c r="DU184" s="126">
        <f t="shared" ca="1" si="279"/>
        <v>-23.914285714285821</v>
      </c>
      <c r="DV184" s="126">
        <f t="shared" ca="1" si="254"/>
        <v>-5</v>
      </c>
      <c r="DW184" s="356">
        <f t="shared" ca="1" si="228"/>
        <v>18.914285714285821</v>
      </c>
    </row>
    <row r="185" spans="2:127" x14ac:dyDescent="0.25">
      <c r="B185" s="396">
        <v>41183</v>
      </c>
      <c r="C185" s="400">
        <v>41172</v>
      </c>
      <c r="I185" s="136">
        <f t="shared" ca="1" si="305"/>
        <v>42430</v>
      </c>
      <c r="J185" s="131">
        <f t="shared" ca="1" si="230"/>
        <v>42420</v>
      </c>
      <c r="K185" s="106"/>
      <c r="L185" s="133">
        <f t="shared" ca="1" si="293"/>
        <v>116</v>
      </c>
      <c r="M185" s="134">
        <f t="shared" ca="1" si="294"/>
        <v>3</v>
      </c>
      <c r="N185" s="103"/>
      <c r="O185" s="104"/>
      <c r="P185" s="105"/>
      <c r="Q185" s="105"/>
      <c r="R185" s="114">
        <v>23.900000000000105</v>
      </c>
      <c r="S185" s="198">
        <v>0</v>
      </c>
      <c r="T185" s="189">
        <f t="shared" si="233"/>
        <v>23.900000000000105</v>
      </c>
      <c r="U185" s="199"/>
      <c r="V185" s="379"/>
      <c r="W185" s="483">
        <v>0.14569999999999803</v>
      </c>
      <c r="X185" s="166"/>
      <c r="Y185" s="91"/>
      <c r="Z185" s="91"/>
      <c r="AA185" s="91"/>
      <c r="AB185" s="91"/>
      <c r="AC185" s="91"/>
      <c r="AD185" s="91"/>
      <c r="AE185" s="124">
        <v>7.3546833844844006E-2</v>
      </c>
      <c r="AF185" s="191"/>
      <c r="AG185" s="189"/>
      <c r="AH185" s="192"/>
      <c r="AI185" s="192"/>
      <c r="AJ185" s="192"/>
      <c r="AK185" s="192"/>
      <c r="AL185" s="191"/>
      <c r="AM185" s="191"/>
      <c r="AN185" s="191"/>
      <c r="AO185" s="193"/>
      <c r="AP185" s="194"/>
      <c r="AQ185" s="194"/>
      <c r="AR185" s="195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26"/>
      <c r="BC185" s="191"/>
      <c r="BD185" s="191"/>
      <c r="BE185" s="190"/>
      <c r="BF185" s="194"/>
      <c r="BG185" s="194"/>
      <c r="BH185" s="195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301"/>
      <c r="BS185" s="114"/>
      <c r="BT185" s="345">
        <f t="shared" si="237"/>
        <v>0</v>
      </c>
      <c r="BU185" s="345">
        <f t="shared" si="285"/>
        <v>0</v>
      </c>
      <c r="BV185" s="73"/>
      <c r="BW185" s="345">
        <f t="shared" ca="1" si="282"/>
        <v>11.356000000000007</v>
      </c>
      <c r="BX185" s="345">
        <f t="shared" ca="1" si="286"/>
        <v>74.295918367347198</v>
      </c>
      <c r="BY185" s="373">
        <f t="shared" ca="1" si="238"/>
        <v>27.038095238095252</v>
      </c>
      <c r="BZ185" s="114"/>
      <c r="CA185" s="345">
        <f t="shared" si="239"/>
        <v>0</v>
      </c>
      <c r="CB185" s="345">
        <f t="shared" si="287"/>
        <v>0</v>
      </c>
      <c r="CC185" s="345">
        <f t="shared" ca="1" si="283"/>
        <v>7.8980000000000068</v>
      </c>
      <c r="CD185" s="345">
        <f t="shared" ca="1" si="240"/>
        <v>18.804761904761921</v>
      </c>
      <c r="CE185" s="347">
        <f t="shared" ca="1" si="272"/>
        <v>-8.2333333333333307</v>
      </c>
      <c r="CF185" s="114"/>
      <c r="CG185" s="345">
        <f t="shared" si="241"/>
        <v>0</v>
      </c>
      <c r="CH185" s="345">
        <f t="shared" si="242"/>
        <v>0</v>
      </c>
      <c r="CI185" s="73"/>
      <c r="CJ185" s="345">
        <f t="shared" ca="1" si="290"/>
        <v>4.8790000000000013</v>
      </c>
      <c r="CK185" s="345">
        <f t="shared" ca="1" si="284"/>
        <v>70.076870748299569</v>
      </c>
      <c r="CL185" s="345">
        <f t="shared" ca="1" si="243"/>
        <v>11.616666666666671</v>
      </c>
      <c r="CM185" s="114"/>
      <c r="CN185" s="345">
        <f t="shared" si="244"/>
        <v>0</v>
      </c>
      <c r="CO185" s="345">
        <f t="shared" si="245"/>
        <v>0</v>
      </c>
      <c r="CP185" s="345">
        <f t="shared" ca="1" si="292"/>
        <v>3.7659999999999991</v>
      </c>
      <c r="CQ185" s="345">
        <f t="shared" ca="1" si="246"/>
        <v>8.966666666666665</v>
      </c>
      <c r="CR185" s="347">
        <f t="shared" ca="1" si="273"/>
        <v>-2.6500000000000057</v>
      </c>
      <c r="CS185" s="114"/>
      <c r="CT185" s="345">
        <f t="shared" si="247"/>
        <v>0</v>
      </c>
      <c r="CU185" s="345">
        <f t="shared" si="274"/>
        <v>0</v>
      </c>
      <c r="CV185" s="345">
        <f t="shared" ca="1" si="291"/>
        <v>2.6999999999999935</v>
      </c>
      <c r="CW185" s="347">
        <f t="shared" ca="1" si="275"/>
        <v>14.316666666666665</v>
      </c>
      <c r="CX185" s="483"/>
      <c r="CY185" s="190">
        <f t="shared" si="248"/>
        <v>-0.14569999999999803</v>
      </c>
      <c r="CZ185" s="190">
        <f t="shared" ca="1" si="280"/>
        <v>-0.03</v>
      </c>
      <c r="DA185" s="354">
        <f t="shared" ca="1" si="249"/>
        <v>0.11569999999999803</v>
      </c>
      <c r="DB185" s="483"/>
      <c r="DC185" s="190">
        <f t="shared" si="250"/>
        <v>-0.14569999999999803</v>
      </c>
      <c r="DD185" s="190">
        <f t="shared" ca="1" si="281"/>
        <v>0.03</v>
      </c>
      <c r="DE185" s="354">
        <f t="shared" ca="1" si="251"/>
        <v>0.17569999999999802</v>
      </c>
      <c r="DG185" s="341"/>
      <c r="DH185" s="114"/>
      <c r="DI185" s="126">
        <f t="shared" si="276"/>
        <v>0</v>
      </c>
      <c r="DJ185" s="126">
        <f t="shared" ca="1" si="224"/>
        <v>-2</v>
      </c>
      <c r="DK185" s="356">
        <f t="shared" ca="1" si="225"/>
        <v>-2</v>
      </c>
      <c r="DL185" s="114"/>
      <c r="DM185" s="126">
        <f t="shared" si="277"/>
        <v>0</v>
      </c>
      <c r="DN185" s="126">
        <f t="shared" ca="1" si="252"/>
        <v>-3</v>
      </c>
      <c r="DO185" s="356">
        <f t="shared" ca="1" si="226"/>
        <v>-3</v>
      </c>
      <c r="DP185" s="114"/>
      <c r="DQ185" s="126">
        <f t="shared" si="278"/>
        <v>0</v>
      </c>
      <c r="DR185" s="126">
        <f t="shared" ca="1" si="253"/>
        <v>-6</v>
      </c>
      <c r="DS185" s="356">
        <f t="shared" ca="1" si="227"/>
        <v>-6</v>
      </c>
      <c r="DT185" s="114"/>
      <c r="DU185" s="126">
        <f t="shared" si="279"/>
        <v>0</v>
      </c>
      <c r="DV185" s="126">
        <f t="shared" ca="1" si="254"/>
        <v>-5</v>
      </c>
      <c r="DW185" s="356">
        <f t="shared" ca="1" si="228"/>
        <v>-5</v>
      </c>
    </row>
    <row r="186" spans="2:127" ht="13.8" thickBot="1" x14ac:dyDescent="0.3">
      <c r="B186" s="396">
        <v>41214</v>
      </c>
      <c r="C186" s="400">
        <v>41204</v>
      </c>
      <c r="I186" s="200">
        <f t="shared" ca="1" si="305"/>
        <v>42461</v>
      </c>
      <c r="J186" s="201">
        <f t="shared" ca="1" si="230"/>
        <v>42449</v>
      </c>
      <c r="K186" s="207"/>
      <c r="L186" s="202">
        <f t="shared" ca="1" si="293"/>
        <v>116</v>
      </c>
      <c r="M186" s="203">
        <f t="shared" ca="1" si="294"/>
        <v>4</v>
      </c>
      <c r="N186" s="204"/>
      <c r="O186" s="205"/>
      <c r="P186" s="206"/>
      <c r="Q186" s="206"/>
      <c r="R186" s="114">
        <v>23.950000000000106</v>
      </c>
      <c r="S186" s="208">
        <v>0</v>
      </c>
      <c r="T186" s="209">
        <f t="shared" si="233"/>
        <v>23.950000000000106</v>
      </c>
      <c r="U186" s="210"/>
      <c r="V186" s="380"/>
      <c r="W186" s="483">
        <v>0.14529999999999801</v>
      </c>
      <c r="X186" s="166"/>
      <c r="Y186" s="91"/>
      <c r="Z186" s="91"/>
      <c r="AA186" s="91"/>
      <c r="AB186" s="91"/>
      <c r="AC186" s="91"/>
      <c r="AD186" s="91"/>
      <c r="AE186" s="124">
        <v>7.3542872286365024E-2</v>
      </c>
      <c r="AF186" s="191"/>
      <c r="AG186" s="189"/>
      <c r="AH186" s="192"/>
      <c r="AI186" s="192"/>
      <c r="AJ186" s="192"/>
      <c r="AK186" s="192"/>
      <c r="AL186" s="191"/>
      <c r="AM186" s="191"/>
      <c r="AN186" s="191"/>
      <c r="AO186" s="193"/>
      <c r="AP186" s="194"/>
      <c r="AQ186" s="194"/>
      <c r="AR186" s="195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26"/>
      <c r="BC186" s="191"/>
      <c r="BD186" s="191"/>
      <c r="BE186" s="190"/>
      <c r="BF186" s="194"/>
      <c r="BG186" s="194"/>
      <c r="BH186" s="195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301"/>
      <c r="BS186" s="114"/>
      <c r="BT186" s="348">
        <f t="shared" si="237"/>
        <v>0</v>
      </c>
      <c r="BU186" s="348">
        <f t="shared" si="285"/>
        <v>0</v>
      </c>
      <c r="BV186" s="187"/>
      <c r="BW186" s="348">
        <f t="shared" ca="1" si="282"/>
        <v>10.295714285714292</v>
      </c>
      <c r="BX186" s="348">
        <f t="shared" ca="1" si="286"/>
        <v>27.038095238095252</v>
      </c>
      <c r="BY186" s="374">
        <f t="shared" si="238"/>
        <v>0</v>
      </c>
      <c r="BZ186" s="114"/>
      <c r="CA186" s="348">
        <f t="shared" si="239"/>
        <v>0</v>
      </c>
      <c r="CB186" s="348">
        <f t="shared" si="287"/>
        <v>0</v>
      </c>
      <c r="CC186" s="348">
        <f t="shared" ca="1" si="283"/>
        <v>7.6707142857142916</v>
      </c>
      <c r="CD186" s="348">
        <f t="shared" ca="1" si="240"/>
        <v>18.263605442176885</v>
      </c>
      <c r="CE186" s="349">
        <f t="shared" ca="1" si="272"/>
        <v>18.263605442176885</v>
      </c>
      <c r="CF186" s="114"/>
      <c r="CG186" s="348">
        <f t="shared" si="241"/>
        <v>0</v>
      </c>
      <c r="CH186" s="348">
        <f t="shared" si="242"/>
        <v>0</v>
      </c>
      <c r="CI186" s="187"/>
      <c r="CJ186" s="348">
        <f t="shared" ca="1" si="290"/>
        <v>4.3270909090909111</v>
      </c>
      <c r="CK186" s="348">
        <f t="shared" ca="1" si="284"/>
        <v>11.616666666666671</v>
      </c>
      <c r="CL186" s="348">
        <f t="shared" si="243"/>
        <v>0</v>
      </c>
      <c r="CM186" s="114"/>
      <c r="CN186" s="348">
        <f t="shared" si="244"/>
        <v>0</v>
      </c>
      <c r="CO186" s="348">
        <f t="shared" si="245"/>
        <v>0</v>
      </c>
      <c r="CP186" s="348">
        <f t="shared" ca="1" si="292"/>
        <v>3.4030909090909072</v>
      </c>
      <c r="CQ186" s="348">
        <f t="shared" ca="1" si="246"/>
        <v>8.1025974025973984</v>
      </c>
      <c r="CR186" s="349">
        <f t="shared" ca="1" si="273"/>
        <v>8.1025974025973984</v>
      </c>
      <c r="CS186" s="114"/>
      <c r="CT186" s="348">
        <f t="shared" si="247"/>
        <v>0</v>
      </c>
      <c r="CU186" s="348">
        <f t="shared" si="274"/>
        <v>0</v>
      </c>
      <c r="CV186" s="348">
        <f t="shared" ca="1" si="291"/>
        <v>2.6999999999999935</v>
      </c>
      <c r="CW186" s="349">
        <f t="shared" ca="1" si="275"/>
        <v>2.6999999999999935</v>
      </c>
      <c r="CX186" s="483"/>
      <c r="CY186" s="343">
        <f t="shared" si="248"/>
        <v>-0.14529999999999801</v>
      </c>
      <c r="CZ186" s="343">
        <f t="shared" ca="1" si="280"/>
        <v>-0.03</v>
      </c>
      <c r="DA186" s="355">
        <f t="shared" ca="1" si="249"/>
        <v>0.11529999999999802</v>
      </c>
      <c r="DB186" s="483"/>
      <c r="DC186" s="343">
        <f t="shared" si="250"/>
        <v>-0.14529999999999801</v>
      </c>
      <c r="DD186" s="343">
        <f t="shared" ca="1" si="281"/>
        <v>0.03</v>
      </c>
      <c r="DE186" s="355">
        <f t="shared" ca="1" si="251"/>
        <v>0.17529999999999801</v>
      </c>
      <c r="DG186" s="341"/>
      <c r="DH186" s="114"/>
      <c r="DI186" s="342">
        <f t="shared" si="276"/>
        <v>0</v>
      </c>
      <c r="DJ186" s="342">
        <f t="shared" ca="1" si="224"/>
        <v>-2</v>
      </c>
      <c r="DK186" s="357">
        <f t="shared" ca="1" si="225"/>
        <v>-2</v>
      </c>
      <c r="DL186" s="114"/>
      <c r="DM186" s="342">
        <f t="shared" si="277"/>
        <v>0</v>
      </c>
      <c r="DN186" s="342">
        <f t="shared" ca="1" si="252"/>
        <v>-3</v>
      </c>
      <c r="DO186" s="357">
        <f t="shared" ca="1" si="226"/>
        <v>-3</v>
      </c>
      <c r="DP186" s="114"/>
      <c r="DQ186" s="342">
        <f t="shared" si="278"/>
        <v>0</v>
      </c>
      <c r="DR186" s="342">
        <f t="shared" ca="1" si="253"/>
        <v>-6</v>
      </c>
      <c r="DS186" s="357">
        <f t="shared" ca="1" si="227"/>
        <v>-6</v>
      </c>
      <c r="DT186" s="114"/>
      <c r="DU186" s="342">
        <f t="shared" si="279"/>
        <v>0</v>
      </c>
      <c r="DV186" s="342">
        <f t="shared" ca="1" si="254"/>
        <v>-5</v>
      </c>
      <c r="DW186" s="357">
        <f t="shared" ca="1" si="228"/>
        <v>-5</v>
      </c>
    </row>
    <row r="187" spans="2:127" ht="13.8" thickBot="1" x14ac:dyDescent="0.3">
      <c r="B187" s="396">
        <v>41244</v>
      </c>
      <c r="C187" s="400">
        <v>41232</v>
      </c>
      <c r="I187" s="135">
        <f t="shared" ca="1" si="305"/>
        <v>42491</v>
      </c>
      <c r="L187" s="134"/>
      <c r="M187" s="134"/>
      <c r="R187" s="114">
        <v>24.000000000000107</v>
      </c>
      <c r="W187" s="483">
        <v>0.14489999999999803</v>
      </c>
      <c r="AE187" s="124">
        <v>7.3539038520102032E-2</v>
      </c>
      <c r="BS187" s="114"/>
      <c r="BT187" s="114"/>
      <c r="BZ187" s="114"/>
      <c r="CA187" s="114"/>
      <c r="CF187" s="114"/>
      <c r="CG187" s="114"/>
      <c r="CM187" s="114"/>
      <c r="CN187" s="114"/>
      <c r="CS187" s="114"/>
      <c r="CT187" s="114"/>
      <c r="CX187" s="483"/>
      <c r="CY187" s="114"/>
      <c r="CZ187" s="114"/>
      <c r="DA187" s="114"/>
      <c r="DB187" s="483"/>
      <c r="DC187" s="114"/>
      <c r="DD187" s="114"/>
      <c r="DE187" s="114"/>
      <c r="DH187" s="114"/>
      <c r="DI187" s="114"/>
      <c r="DJ187" s="114"/>
      <c r="DK187" s="114"/>
      <c r="DL187" s="114"/>
      <c r="DM187" s="114"/>
      <c r="DN187" s="114"/>
      <c r="DO187" s="114"/>
      <c r="DP187" s="114"/>
      <c r="DQ187" s="114"/>
      <c r="DR187" s="114"/>
      <c r="DS187" s="114"/>
      <c r="DT187" s="114"/>
      <c r="DU187" s="114"/>
      <c r="DV187" s="114"/>
      <c r="DW187" s="114"/>
    </row>
    <row r="188" spans="2:127" x14ac:dyDescent="0.25">
      <c r="B188" s="396">
        <v>41275</v>
      </c>
      <c r="C188" s="400">
        <v>41262</v>
      </c>
      <c r="L188" s="134"/>
      <c r="M188" s="134"/>
      <c r="R188" s="114">
        <v>24.050000000000104</v>
      </c>
      <c r="W188" s="483">
        <v>0.14449999999999802</v>
      </c>
      <c r="AE188" s="124">
        <v>7.3535076961634013E-2</v>
      </c>
      <c r="BS188" s="114"/>
      <c r="BT188" s="114"/>
      <c r="BZ188" s="114"/>
      <c r="CA188" s="114"/>
      <c r="CF188" s="114"/>
      <c r="CG188" s="114"/>
      <c r="CM188" s="114"/>
      <c r="CN188" s="114"/>
      <c r="CS188" s="114"/>
      <c r="CT188" s="114"/>
      <c r="CX188" s="483"/>
      <c r="CY188" s="114"/>
      <c r="CZ188" s="114"/>
      <c r="DA188" s="114"/>
      <c r="DB188" s="483"/>
      <c r="DC188" s="114"/>
      <c r="DD188" s="114"/>
      <c r="DE188" s="114"/>
      <c r="DH188" s="114"/>
      <c r="DI188" s="114"/>
      <c r="DJ188" s="114"/>
      <c r="DK188" s="114"/>
      <c r="DL188" s="114"/>
      <c r="DM188" s="114"/>
      <c r="DN188" s="114"/>
      <c r="DO188" s="114"/>
      <c r="DP188" s="114"/>
      <c r="DQ188" s="114"/>
      <c r="DR188" s="114"/>
      <c r="DS188" s="114"/>
      <c r="DT188" s="114"/>
      <c r="DU188" s="114"/>
      <c r="DV188" s="114"/>
      <c r="DW188" s="114"/>
    </row>
    <row r="189" spans="2:127" x14ac:dyDescent="0.25">
      <c r="B189" s="396">
        <v>41306</v>
      </c>
      <c r="C189" s="400">
        <v>41296</v>
      </c>
      <c r="L189" s="134"/>
      <c r="M189" s="134"/>
      <c r="R189" s="114">
        <v>24.100000000000104</v>
      </c>
      <c r="W189" s="483">
        <v>0.14409999999999804</v>
      </c>
      <c r="AE189" s="124">
        <v>7.3531243195379029E-2</v>
      </c>
      <c r="BS189" s="114"/>
      <c r="BT189" s="114"/>
      <c r="BZ189" s="114"/>
      <c r="CA189" s="114"/>
      <c r="CF189" s="114"/>
      <c r="CG189" s="114"/>
      <c r="CM189" s="114"/>
      <c r="CN189" s="114"/>
      <c r="CS189" s="114"/>
      <c r="CT189" s="114"/>
      <c r="CX189" s="483"/>
      <c r="CY189" s="114"/>
      <c r="CZ189" s="114"/>
      <c r="DA189" s="114"/>
      <c r="DB189" s="483"/>
      <c r="DC189" s="114"/>
      <c r="DD189" s="114"/>
      <c r="DE189" s="114"/>
      <c r="DH189" s="114"/>
      <c r="DI189" s="114"/>
      <c r="DJ189" s="114"/>
      <c r="DK189" s="114"/>
      <c r="DL189" s="114"/>
      <c r="DM189" s="114"/>
      <c r="DN189" s="114"/>
      <c r="DO189" s="114"/>
      <c r="DP189" s="114"/>
      <c r="DQ189" s="114"/>
      <c r="DR189" s="114"/>
      <c r="DS189" s="114"/>
      <c r="DT189" s="114"/>
      <c r="DU189" s="114"/>
      <c r="DV189" s="114"/>
      <c r="DW189" s="114"/>
    </row>
    <row r="190" spans="2:127" x14ac:dyDescent="0.25">
      <c r="B190" s="396">
        <v>41334</v>
      </c>
      <c r="C190" s="400">
        <v>41325</v>
      </c>
      <c r="L190" s="134"/>
      <c r="M190" s="134"/>
      <c r="R190" s="114">
        <v>24.150000000000105</v>
      </c>
      <c r="W190" s="483">
        <v>0.14369999999999802</v>
      </c>
      <c r="AE190" s="124">
        <v>7.3527281636922015E-2</v>
      </c>
      <c r="BS190" s="114"/>
      <c r="BT190" s="114"/>
      <c r="BZ190" s="114"/>
      <c r="CA190" s="114"/>
      <c r="CF190" s="114"/>
      <c r="CG190" s="114"/>
      <c r="CM190" s="114"/>
      <c r="CN190" s="114"/>
      <c r="CS190" s="114"/>
      <c r="CT190" s="114"/>
      <c r="CX190" s="483"/>
      <c r="CY190" s="114"/>
      <c r="CZ190" s="114"/>
      <c r="DA190" s="114"/>
      <c r="DB190" s="483"/>
      <c r="DC190" s="114"/>
      <c r="DD190" s="114"/>
      <c r="DE190" s="114"/>
      <c r="DH190" s="114"/>
      <c r="DI190" s="114"/>
      <c r="DJ190" s="114"/>
      <c r="DK190" s="114"/>
      <c r="DL190" s="114"/>
      <c r="DM190" s="114"/>
      <c r="DN190" s="114"/>
      <c r="DO190" s="114"/>
      <c r="DP190" s="114"/>
      <c r="DQ190" s="114"/>
      <c r="DR190" s="114"/>
      <c r="DS190" s="114"/>
      <c r="DT190" s="114"/>
      <c r="DU190" s="114"/>
      <c r="DV190" s="114"/>
      <c r="DW190" s="114"/>
    </row>
    <row r="191" spans="2:127" x14ac:dyDescent="0.25">
      <c r="B191" s="396">
        <v>41365</v>
      </c>
      <c r="C191" s="400">
        <v>41353</v>
      </c>
      <c r="L191" s="134"/>
      <c r="M191" s="134"/>
      <c r="R191" s="114">
        <v>24.200000000000106</v>
      </c>
      <c r="W191" s="483">
        <v>0.14329999999999804</v>
      </c>
      <c r="AE191" s="124">
        <v>7.3523320078469012E-2</v>
      </c>
      <c r="BS191" s="114"/>
      <c r="BT191" s="114"/>
      <c r="BZ191" s="114"/>
      <c r="CA191" s="114"/>
      <c r="CF191" s="114"/>
      <c r="CG191" s="114"/>
      <c r="CM191" s="114"/>
      <c r="CN191" s="114"/>
      <c r="CS191" s="114"/>
      <c r="CT191" s="114"/>
      <c r="CX191" s="483"/>
      <c r="CY191" s="114"/>
      <c r="CZ191" s="114"/>
      <c r="DA191" s="114"/>
      <c r="DB191" s="483"/>
      <c r="DC191" s="114"/>
      <c r="DD191" s="114"/>
      <c r="DE191" s="114"/>
      <c r="DH191" s="114"/>
      <c r="DI191" s="114"/>
      <c r="DJ191" s="114"/>
      <c r="DK191" s="114"/>
      <c r="DL191" s="114"/>
      <c r="DM191" s="114"/>
      <c r="DN191" s="114"/>
      <c r="DO191" s="114"/>
      <c r="DP191" s="114"/>
      <c r="DQ191" s="114"/>
      <c r="DR191" s="114"/>
      <c r="DS191" s="114"/>
      <c r="DT191" s="114"/>
      <c r="DU191" s="114"/>
      <c r="DV191" s="114"/>
      <c r="DW191" s="114"/>
    </row>
    <row r="192" spans="2:127" x14ac:dyDescent="0.25">
      <c r="B192" s="396">
        <v>41395</v>
      </c>
      <c r="C192" s="400">
        <v>41384</v>
      </c>
      <c r="L192" s="134"/>
      <c r="M192" s="134"/>
      <c r="R192" s="114">
        <v>24.250000000000107</v>
      </c>
      <c r="W192" s="483">
        <v>0.14289999999999803</v>
      </c>
      <c r="AE192" s="124">
        <v>7.3519486312229015E-2</v>
      </c>
      <c r="BS192" s="114"/>
      <c r="BT192" s="114"/>
      <c r="BZ192" s="114"/>
      <c r="CA192" s="114"/>
      <c r="CF192" s="114"/>
      <c r="CG192" s="114"/>
      <c r="CM192" s="114"/>
      <c r="CN192" s="114"/>
      <c r="CS192" s="114"/>
      <c r="CT192" s="114"/>
      <c r="CX192" s="483"/>
      <c r="CY192" s="114"/>
      <c r="CZ192" s="114"/>
      <c r="DA192" s="114"/>
      <c r="DB192" s="483"/>
      <c r="DC192" s="114"/>
      <c r="DD192" s="114"/>
      <c r="DE192" s="114"/>
      <c r="DH192" s="114"/>
      <c r="DI192" s="114"/>
      <c r="DJ192" s="114"/>
      <c r="DK192" s="114"/>
      <c r="DL192" s="114"/>
      <c r="DM192" s="114"/>
      <c r="DN192" s="114"/>
      <c r="DO192" s="114"/>
      <c r="DP192" s="114"/>
      <c r="DQ192" s="114"/>
      <c r="DR192" s="114"/>
      <c r="DS192" s="114"/>
      <c r="DT192" s="114"/>
      <c r="DU192" s="114"/>
      <c r="DV192" s="114"/>
      <c r="DW192" s="114"/>
    </row>
    <row r="193" spans="2:127" x14ac:dyDescent="0.25">
      <c r="B193" s="396">
        <v>41426</v>
      </c>
      <c r="C193" s="400">
        <v>41416</v>
      </c>
      <c r="L193" s="134"/>
      <c r="M193" s="134"/>
      <c r="R193" s="114">
        <v>24.300000000000104</v>
      </c>
      <c r="W193" s="483">
        <v>0.14249999999999804</v>
      </c>
      <c r="AE193" s="124">
        <v>7.3515524753788003E-2</v>
      </c>
      <c r="BS193" s="114"/>
      <c r="BT193" s="114"/>
      <c r="BZ193" s="114"/>
      <c r="CA193" s="114"/>
      <c r="CF193" s="114"/>
      <c r="CG193" s="114"/>
      <c r="CM193" s="114"/>
      <c r="CN193" s="114"/>
      <c r="CS193" s="114"/>
      <c r="CT193" s="114"/>
      <c r="CX193" s="483"/>
      <c r="CY193" s="114"/>
      <c r="CZ193" s="114"/>
      <c r="DA193" s="114"/>
      <c r="DB193" s="483"/>
      <c r="DC193" s="114"/>
      <c r="DD193" s="114"/>
      <c r="DE193" s="114"/>
      <c r="DH193" s="114"/>
      <c r="DI193" s="114"/>
      <c r="DJ193" s="114"/>
      <c r="DK193" s="114"/>
      <c r="DL193" s="114"/>
      <c r="DM193" s="114"/>
      <c r="DN193" s="114"/>
      <c r="DO193" s="114"/>
      <c r="DP193" s="114"/>
      <c r="DQ193" s="114"/>
      <c r="DR193" s="114"/>
      <c r="DS193" s="114"/>
      <c r="DT193" s="114"/>
      <c r="DU193" s="114"/>
      <c r="DV193" s="114"/>
      <c r="DW193" s="114"/>
    </row>
    <row r="194" spans="2:127" x14ac:dyDescent="0.25">
      <c r="B194" s="396">
        <v>41456</v>
      </c>
      <c r="C194" s="400">
        <v>41445</v>
      </c>
      <c r="L194" s="134"/>
      <c r="M194" s="134"/>
      <c r="R194" s="114">
        <v>24.350000000000104</v>
      </c>
      <c r="W194" s="483">
        <v>0.14209999999999803</v>
      </c>
      <c r="AE194" s="124">
        <v>7.3511690987557984E-2</v>
      </c>
      <c r="BS194" s="114"/>
      <c r="BT194" s="114"/>
      <c r="BZ194" s="114"/>
      <c r="CA194" s="114"/>
      <c r="CF194" s="114"/>
      <c r="CG194" s="114"/>
      <c r="CM194" s="114"/>
      <c r="CN194" s="114"/>
      <c r="CS194" s="114"/>
      <c r="CT194" s="114"/>
      <c r="CX194" s="483"/>
      <c r="CY194" s="114"/>
      <c r="CZ194" s="114"/>
      <c r="DA194" s="114"/>
      <c r="DB194" s="483"/>
      <c r="DC194" s="114"/>
      <c r="DD194" s="114"/>
      <c r="DE194" s="114"/>
      <c r="DH194" s="114"/>
      <c r="DI194" s="114"/>
      <c r="DJ194" s="114"/>
      <c r="DK194" s="114"/>
      <c r="DL194" s="114"/>
      <c r="DM194" s="114"/>
      <c r="DN194" s="114"/>
      <c r="DO194" s="114"/>
      <c r="DP194" s="114"/>
      <c r="DQ194" s="114"/>
      <c r="DR194" s="114"/>
      <c r="DS194" s="114"/>
      <c r="DT194" s="114"/>
      <c r="DU194" s="114"/>
      <c r="DV194" s="114"/>
      <c r="DW194" s="114"/>
    </row>
    <row r="195" spans="2:127" x14ac:dyDescent="0.25">
      <c r="B195" s="396">
        <v>41487</v>
      </c>
      <c r="C195" s="400">
        <v>41475</v>
      </c>
      <c r="L195" s="134"/>
      <c r="M195" s="134"/>
      <c r="R195" s="114">
        <v>24.400000000000105</v>
      </c>
      <c r="W195" s="483">
        <v>0.14169999999999802</v>
      </c>
      <c r="AE195" s="124">
        <v>7.3507729429125007E-2</v>
      </c>
      <c r="BS195" s="114"/>
      <c r="BT195" s="114"/>
      <c r="BZ195" s="114"/>
      <c r="CA195" s="114"/>
      <c r="CF195" s="114"/>
      <c r="CG195" s="114"/>
      <c r="CM195" s="114"/>
      <c r="CN195" s="114"/>
      <c r="CS195" s="114"/>
      <c r="CT195" s="114"/>
      <c r="CX195" s="483"/>
      <c r="CY195" s="114"/>
      <c r="CZ195" s="114"/>
      <c r="DA195" s="114"/>
      <c r="DB195" s="483"/>
      <c r="DC195" s="114"/>
      <c r="DD195" s="114"/>
      <c r="DE195" s="114"/>
      <c r="DH195" s="114"/>
      <c r="DI195" s="114"/>
      <c r="DJ195" s="114"/>
      <c r="DK195" s="114"/>
      <c r="DL195" s="114"/>
      <c r="DM195" s="114"/>
      <c r="DN195" s="114"/>
      <c r="DO195" s="114"/>
      <c r="DP195" s="114"/>
      <c r="DQ195" s="114"/>
      <c r="DR195" s="114"/>
      <c r="DS195" s="114"/>
      <c r="DT195" s="114"/>
      <c r="DU195" s="114"/>
      <c r="DV195" s="114"/>
      <c r="DW195" s="114"/>
    </row>
    <row r="196" spans="2:127" x14ac:dyDescent="0.25">
      <c r="B196" s="396">
        <v>41518</v>
      </c>
      <c r="C196" s="400">
        <v>41507</v>
      </c>
      <c r="L196" s="134"/>
      <c r="M196" s="134"/>
      <c r="R196" s="114">
        <v>24.450000000000106</v>
      </c>
      <c r="W196" s="483">
        <v>0.14129999999999801</v>
      </c>
      <c r="AE196" s="124">
        <v>7.3503767870699038E-2</v>
      </c>
      <c r="BS196" s="114"/>
      <c r="BT196" s="114"/>
      <c r="BZ196" s="114"/>
      <c r="CA196" s="114"/>
      <c r="CF196" s="114"/>
      <c r="CG196" s="114"/>
      <c r="CM196" s="114"/>
      <c r="CN196" s="114"/>
      <c r="CS196" s="114"/>
      <c r="CT196" s="114"/>
      <c r="CX196" s="483"/>
      <c r="CY196" s="114"/>
      <c r="CZ196" s="114"/>
      <c r="DA196" s="114"/>
      <c r="DB196" s="483"/>
      <c r="DC196" s="114"/>
      <c r="DD196" s="114"/>
      <c r="DE196" s="114"/>
      <c r="DH196" s="114"/>
      <c r="DI196" s="114"/>
      <c r="DJ196" s="114"/>
      <c r="DK196" s="114"/>
      <c r="DL196" s="114"/>
      <c r="DM196" s="114"/>
      <c r="DN196" s="114"/>
      <c r="DO196" s="114"/>
      <c r="DP196" s="114"/>
      <c r="DQ196" s="114"/>
      <c r="DR196" s="114"/>
      <c r="DS196" s="114"/>
      <c r="DT196" s="114"/>
      <c r="DU196" s="114"/>
      <c r="DV196" s="114"/>
      <c r="DW196" s="114"/>
    </row>
    <row r="197" spans="2:127" x14ac:dyDescent="0.25">
      <c r="B197" s="396">
        <v>41548</v>
      </c>
      <c r="C197" s="400">
        <v>41537</v>
      </c>
      <c r="L197" s="134"/>
      <c r="M197" s="134"/>
      <c r="R197" s="114">
        <v>24.500000000000107</v>
      </c>
      <c r="W197" s="483">
        <v>0.14089999999999803</v>
      </c>
      <c r="AE197" s="124">
        <v>7.3500061896691019E-2</v>
      </c>
      <c r="BS197" s="114"/>
      <c r="BT197" s="114"/>
      <c r="BZ197" s="114"/>
      <c r="CA197" s="114"/>
      <c r="CF197" s="114"/>
      <c r="CG197" s="114"/>
      <c r="CM197" s="114"/>
      <c r="CN197" s="114"/>
      <c r="CS197" s="114"/>
      <c r="CT197" s="114"/>
      <c r="CX197" s="483"/>
      <c r="CY197" s="114"/>
      <c r="CZ197" s="114"/>
      <c r="DA197" s="114"/>
      <c r="DB197" s="483"/>
      <c r="DC197" s="114"/>
      <c r="DD197" s="114"/>
      <c r="DE197" s="114"/>
      <c r="DH197" s="114"/>
      <c r="DI197" s="114"/>
      <c r="DJ197" s="114"/>
      <c r="DK197" s="114"/>
      <c r="DL197" s="114"/>
      <c r="DM197" s="114"/>
      <c r="DN197" s="114"/>
      <c r="DO197" s="114"/>
      <c r="DP197" s="114"/>
      <c r="DQ197" s="114"/>
      <c r="DR197" s="114"/>
      <c r="DS197" s="114"/>
      <c r="DT197" s="114"/>
      <c r="DU197" s="114"/>
      <c r="DV197" s="114"/>
      <c r="DW197" s="114"/>
    </row>
    <row r="198" spans="2:127" x14ac:dyDescent="0.25">
      <c r="B198" s="396">
        <v>41579</v>
      </c>
      <c r="C198" s="400">
        <v>41569</v>
      </c>
      <c r="L198" s="134"/>
      <c r="M198" s="134"/>
      <c r="R198" s="114">
        <v>24.550000000000104</v>
      </c>
      <c r="W198" s="483">
        <v>0.14049999999999802</v>
      </c>
      <c r="AE198" s="124">
        <v>7.3496100338274015E-2</v>
      </c>
      <c r="BS198" s="114"/>
      <c r="BT198" s="114"/>
      <c r="BZ198" s="114"/>
      <c r="CA198" s="114"/>
      <c r="CF198" s="114"/>
      <c r="CG198" s="114"/>
      <c r="CM198" s="114"/>
      <c r="CN198" s="114"/>
      <c r="CS198" s="114"/>
      <c r="CT198" s="114"/>
      <c r="CX198" s="483"/>
      <c r="CY198" s="114"/>
      <c r="CZ198" s="114"/>
      <c r="DA198" s="114"/>
      <c r="DB198" s="483"/>
      <c r="DC198" s="114"/>
      <c r="DD198" s="114"/>
      <c r="DE198" s="114"/>
      <c r="DH198" s="114"/>
      <c r="DI198" s="114"/>
      <c r="DJ198" s="114"/>
      <c r="DK198" s="114"/>
      <c r="DL198" s="114"/>
      <c r="DM198" s="114"/>
      <c r="DN198" s="114"/>
      <c r="DO198" s="114"/>
      <c r="DP198" s="114"/>
      <c r="DQ198" s="114"/>
      <c r="DR198" s="114"/>
      <c r="DS198" s="114"/>
      <c r="DT198" s="114"/>
      <c r="DU198" s="114"/>
      <c r="DV198" s="114"/>
      <c r="DW198" s="114"/>
    </row>
    <row r="199" spans="2:127" x14ac:dyDescent="0.25">
      <c r="B199" s="396">
        <v>41609</v>
      </c>
      <c r="C199" s="400">
        <v>41597</v>
      </c>
      <c r="L199" s="134"/>
      <c r="M199" s="134"/>
      <c r="R199" s="114">
        <v>24.600000000000104</v>
      </c>
      <c r="W199" s="483">
        <v>0.14009999999999803</v>
      </c>
      <c r="AE199" s="124">
        <v>7.3492266572069018E-2</v>
      </c>
      <c r="BS199" s="114"/>
      <c r="BT199" s="114"/>
      <c r="BZ199" s="114"/>
      <c r="CA199" s="114"/>
      <c r="CF199" s="114"/>
      <c r="CG199" s="114"/>
      <c r="CM199" s="114"/>
      <c r="CN199" s="114"/>
      <c r="CS199" s="114"/>
      <c r="CT199" s="114"/>
      <c r="CX199" s="483"/>
      <c r="CY199" s="114"/>
      <c r="CZ199" s="114"/>
      <c r="DA199" s="114"/>
      <c r="DB199" s="483"/>
      <c r="DC199" s="114"/>
      <c r="DD199" s="114"/>
      <c r="DE199" s="114"/>
      <c r="DH199" s="114"/>
      <c r="DI199" s="114"/>
      <c r="DJ199" s="114"/>
      <c r="DK199" s="114"/>
      <c r="DL199" s="114"/>
      <c r="DM199" s="114"/>
      <c r="DN199" s="114"/>
      <c r="DO199" s="114"/>
      <c r="DP199" s="114"/>
      <c r="DQ199" s="114"/>
      <c r="DR199" s="114"/>
      <c r="DS199" s="114"/>
      <c r="DT199" s="114"/>
      <c r="DU199" s="114"/>
      <c r="DV199" s="114"/>
      <c r="DW199" s="114"/>
    </row>
    <row r="200" spans="2:127" x14ac:dyDescent="0.25">
      <c r="B200" s="396">
        <v>41640</v>
      </c>
      <c r="C200" s="400">
        <v>41627</v>
      </c>
      <c r="L200" s="134"/>
      <c r="M200" s="134"/>
      <c r="R200" s="114">
        <v>24.650000000000105</v>
      </c>
      <c r="W200" s="483">
        <v>0.13969999999999802</v>
      </c>
      <c r="AE200" s="124">
        <v>7.348830501366202E-2</v>
      </c>
      <c r="BS200" s="114"/>
      <c r="BT200" s="114"/>
      <c r="BZ200" s="114"/>
      <c r="CA200" s="114"/>
      <c r="CF200" s="114"/>
      <c r="CG200" s="114"/>
      <c r="CM200" s="114"/>
      <c r="CN200" s="114"/>
      <c r="CS200" s="114"/>
      <c r="CT200" s="114"/>
      <c r="CX200" s="483"/>
      <c r="CY200" s="114"/>
      <c r="CZ200" s="114"/>
      <c r="DA200" s="114"/>
      <c r="DB200" s="483"/>
      <c r="DC200" s="114"/>
      <c r="DD200" s="114"/>
      <c r="DE200" s="114"/>
      <c r="DH200" s="114"/>
      <c r="DI200" s="114"/>
      <c r="DJ200" s="114"/>
      <c r="DK200" s="114"/>
      <c r="DL200" s="114"/>
      <c r="DM200" s="114"/>
      <c r="DN200" s="114"/>
      <c r="DO200" s="114"/>
      <c r="DP200" s="114"/>
      <c r="DQ200" s="114"/>
      <c r="DR200" s="114"/>
      <c r="DS200" s="114"/>
      <c r="DT200" s="114"/>
      <c r="DU200" s="114"/>
      <c r="DV200" s="114"/>
      <c r="DW200" s="114"/>
    </row>
    <row r="201" spans="2:127" x14ac:dyDescent="0.25">
      <c r="B201" s="396">
        <v>41671</v>
      </c>
      <c r="C201" s="400">
        <v>41661</v>
      </c>
      <c r="L201" s="134"/>
      <c r="M201" s="134"/>
      <c r="R201" s="114">
        <v>24.700000000000106</v>
      </c>
      <c r="W201" s="483">
        <v>0.13929999999999804</v>
      </c>
      <c r="AE201" s="124">
        <v>7.3484471247467029E-2</v>
      </c>
      <c r="BS201" s="114"/>
      <c r="BT201" s="114"/>
      <c r="BZ201" s="114"/>
      <c r="CA201" s="114"/>
      <c r="CF201" s="114"/>
      <c r="CG201" s="114"/>
      <c r="CM201" s="114"/>
      <c r="CN201" s="114"/>
      <c r="CS201" s="114"/>
      <c r="CT201" s="114"/>
      <c r="CX201" s="483"/>
      <c r="CY201" s="114"/>
      <c r="CZ201" s="114"/>
      <c r="DA201" s="114"/>
      <c r="DB201" s="483"/>
      <c r="DC201" s="114"/>
      <c r="DD201" s="114"/>
      <c r="DE201" s="114"/>
      <c r="DH201" s="114"/>
      <c r="DI201" s="114"/>
      <c r="DJ201" s="114"/>
      <c r="DK201" s="114"/>
      <c r="DL201" s="114"/>
      <c r="DM201" s="114"/>
      <c r="DN201" s="114"/>
      <c r="DO201" s="114"/>
      <c r="DP201" s="114"/>
      <c r="DQ201" s="114"/>
      <c r="DR201" s="114"/>
      <c r="DS201" s="114"/>
      <c r="DT201" s="114"/>
      <c r="DU201" s="114"/>
      <c r="DV201" s="114"/>
      <c r="DW201" s="114"/>
    </row>
    <row r="202" spans="2:127" x14ac:dyDescent="0.25">
      <c r="B202" s="396">
        <v>41699</v>
      </c>
      <c r="C202" s="400">
        <v>41690</v>
      </c>
      <c r="L202" s="134"/>
      <c r="M202" s="134"/>
      <c r="R202" s="114">
        <v>24.750000000000107</v>
      </c>
      <c r="W202" s="483">
        <v>0.13889999999999803</v>
      </c>
      <c r="AE202" s="124">
        <v>7.3480509689070037E-2</v>
      </c>
      <c r="BS202" s="114"/>
      <c r="BT202" s="114"/>
      <c r="BZ202" s="114"/>
      <c r="CA202" s="114"/>
      <c r="CF202" s="114"/>
      <c r="CG202" s="114"/>
      <c r="CM202" s="114"/>
      <c r="CN202" s="114"/>
      <c r="CS202" s="114"/>
      <c r="CT202" s="114"/>
      <c r="CX202" s="483"/>
      <c r="CY202" s="114"/>
      <c r="CZ202" s="114"/>
      <c r="DA202" s="114"/>
      <c r="DB202" s="483"/>
      <c r="DC202" s="114"/>
      <c r="DD202" s="114"/>
      <c r="DE202" s="114"/>
      <c r="DH202" s="114"/>
      <c r="DI202" s="114"/>
      <c r="DJ202" s="114"/>
      <c r="DK202" s="114"/>
      <c r="DL202" s="114"/>
      <c r="DM202" s="114"/>
      <c r="DN202" s="114"/>
      <c r="DO202" s="114"/>
      <c r="DP202" s="114"/>
      <c r="DQ202" s="114"/>
      <c r="DR202" s="114"/>
      <c r="DS202" s="114"/>
      <c r="DT202" s="114"/>
      <c r="DU202" s="114"/>
      <c r="DV202" s="114"/>
      <c r="DW202" s="114"/>
    </row>
    <row r="203" spans="2:127" x14ac:dyDescent="0.25">
      <c r="B203" s="396">
        <v>41730</v>
      </c>
      <c r="C203" s="400">
        <v>41718</v>
      </c>
      <c r="L203" s="134"/>
      <c r="M203" s="134"/>
      <c r="R203" s="114">
        <v>24.800000000000104</v>
      </c>
      <c r="W203" s="483">
        <v>0.13849999999999804</v>
      </c>
      <c r="AE203" s="124">
        <v>7.3476548130679012E-2</v>
      </c>
      <c r="BS203" s="114"/>
      <c r="BT203" s="114"/>
      <c r="BZ203" s="114"/>
      <c r="CA203" s="114"/>
      <c r="CF203" s="114"/>
      <c r="CG203" s="114"/>
      <c r="CM203" s="114"/>
      <c r="CN203" s="114"/>
      <c r="CS203" s="114"/>
      <c r="CT203" s="114"/>
      <c r="CX203" s="483"/>
      <c r="CY203" s="114"/>
      <c r="CZ203" s="114"/>
      <c r="DA203" s="114"/>
      <c r="DB203" s="483"/>
      <c r="DC203" s="114"/>
      <c r="DD203" s="114"/>
      <c r="DE203" s="114"/>
      <c r="DH203" s="114"/>
      <c r="DI203" s="114"/>
      <c r="DJ203" s="114"/>
      <c r="DK203" s="114"/>
      <c r="DL203" s="114"/>
      <c r="DM203" s="114"/>
      <c r="DN203" s="114"/>
      <c r="DO203" s="114"/>
      <c r="DP203" s="114"/>
      <c r="DQ203" s="114"/>
      <c r="DR203" s="114"/>
      <c r="DS203" s="114"/>
      <c r="DT203" s="114"/>
      <c r="DU203" s="114"/>
      <c r="DV203" s="114"/>
      <c r="DW203" s="114"/>
    </row>
    <row r="204" spans="2:127" x14ac:dyDescent="0.25">
      <c r="B204" s="396">
        <v>41760</v>
      </c>
      <c r="C204" s="400">
        <v>41749</v>
      </c>
      <c r="L204" s="134"/>
      <c r="M204" s="134"/>
      <c r="R204" s="114">
        <v>24.850000000000104</v>
      </c>
      <c r="W204" s="483">
        <v>0.13809999999999803</v>
      </c>
      <c r="AE204" s="124">
        <v>7.3472714364499023E-2</v>
      </c>
      <c r="BS204" s="114"/>
      <c r="BT204" s="114"/>
      <c r="BZ204" s="114"/>
      <c r="CA204" s="114"/>
      <c r="CF204" s="114"/>
      <c r="CG204" s="114"/>
      <c r="CM204" s="114"/>
      <c r="CN204" s="114"/>
      <c r="CS204" s="114"/>
      <c r="CT204" s="114"/>
      <c r="CX204" s="483"/>
      <c r="CY204" s="114"/>
      <c r="CZ204" s="114"/>
      <c r="DA204" s="114"/>
      <c r="DB204" s="483"/>
      <c r="DC204" s="114"/>
      <c r="DD204" s="114"/>
      <c r="DE204" s="114"/>
      <c r="DH204" s="114"/>
      <c r="DI204" s="114"/>
      <c r="DJ204" s="114"/>
      <c r="DK204" s="114"/>
      <c r="DL204" s="114"/>
      <c r="DM204" s="114"/>
      <c r="DN204" s="114"/>
      <c r="DO204" s="114"/>
      <c r="DP204" s="114"/>
      <c r="DQ204" s="114"/>
      <c r="DR204" s="114"/>
      <c r="DS204" s="114"/>
      <c r="DT204" s="114"/>
      <c r="DU204" s="114"/>
      <c r="DV204" s="114"/>
      <c r="DW204" s="114"/>
    </row>
    <row r="205" spans="2:127" x14ac:dyDescent="0.25">
      <c r="B205" s="396">
        <v>41791</v>
      </c>
      <c r="C205" s="400">
        <v>41781</v>
      </c>
      <c r="R205" s="114">
        <v>24.900000000000105</v>
      </c>
      <c r="W205" s="483">
        <v>0.13769999999999802</v>
      </c>
      <c r="AE205" s="124">
        <v>7.3468752806118004E-2</v>
      </c>
      <c r="BS205" s="114"/>
      <c r="BT205" s="114"/>
      <c r="BZ205" s="114"/>
      <c r="CA205" s="114"/>
      <c r="CF205" s="114"/>
      <c r="CG205" s="114"/>
      <c r="CM205" s="114"/>
      <c r="CN205" s="114"/>
      <c r="CS205" s="114"/>
      <c r="CT205" s="114"/>
      <c r="CX205" s="483"/>
      <c r="CY205" s="114"/>
      <c r="CZ205" s="114"/>
      <c r="DA205" s="114"/>
      <c r="DB205" s="483"/>
      <c r="DC205" s="114"/>
      <c r="DD205" s="114"/>
      <c r="DE205" s="114"/>
      <c r="DH205" s="114"/>
      <c r="DI205" s="114"/>
      <c r="DJ205" s="114"/>
      <c r="DK205" s="114"/>
      <c r="DL205" s="114"/>
      <c r="DM205" s="114"/>
      <c r="DN205" s="114"/>
      <c r="DO205" s="114"/>
      <c r="DP205" s="114"/>
      <c r="DQ205" s="114"/>
      <c r="DR205" s="114"/>
      <c r="DS205" s="114"/>
      <c r="DT205" s="114"/>
      <c r="DU205" s="114"/>
      <c r="DV205" s="114"/>
      <c r="DW205" s="114"/>
    </row>
    <row r="206" spans="2:127" x14ac:dyDescent="0.25">
      <c r="B206" s="396">
        <v>41821</v>
      </c>
      <c r="C206" s="400">
        <v>41810</v>
      </c>
      <c r="R206" s="114">
        <v>24.950000000000106</v>
      </c>
      <c r="W206" s="483">
        <v>0.13729999999999803</v>
      </c>
      <c r="AE206" s="124">
        <v>7.3464919039947008E-2</v>
      </c>
      <c r="BS206" s="114"/>
      <c r="BT206" s="114"/>
      <c r="BZ206" s="114"/>
      <c r="CA206" s="114"/>
      <c r="CF206" s="114"/>
      <c r="CG206" s="114"/>
      <c r="CM206" s="114"/>
      <c r="CN206" s="114"/>
      <c r="CS206" s="114"/>
      <c r="CT206" s="114"/>
      <c r="CX206" s="483"/>
      <c r="CY206" s="114"/>
      <c r="CZ206" s="114"/>
      <c r="DA206" s="114"/>
      <c r="DB206" s="483"/>
      <c r="DC206" s="114"/>
      <c r="DD206" s="114"/>
      <c r="DE206" s="114"/>
      <c r="DH206" s="114"/>
      <c r="DI206" s="114"/>
      <c r="DJ206" s="114"/>
      <c r="DK206" s="114"/>
      <c r="DL206" s="114"/>
      <c r="DM206" s="114"/>
      <c r="DN206" s="114"/>
      <c r="DO206" s="114"/>
      <c r="DP206" s="114"/>
      <c r="DQ206" s="114"/>
      <c r="DR206" s="114"/>
      <c r="DS206" s="114"/>
      <c r="DT206" s="114"/>
      <c r="DU206" s="114"/>
      <c r="DV206" s="114"/>
      <c r="DW206" s="114"/>
    </row>
    <row r="207" spans="2:127" x14ac:dyDescent="0.25">
      <c r="B207" s="396">
        <v>41852</v>
      </c>
      <c r="C207" s="400">
        <v>41840</v>
      </c>
      <c r="R207" s="114">
        <v>25.000000000000107</v>
      </c>
      <c r="W207" s="483">
        <v>0.13689999999999802</v>
      </c>
      <c r="AE207" s="124">
        <v>7.3460957481575995E-2</v>
      </c>
      <c r="BS207" s="114"/>
      <c r="BT207" s="114"/>
      <c r="BZ207" s="114"/>
      <c r="CA207" s="114"/>
      <c r="CF207" s="114"/>
      <c r="CG207" s="114"/>
      <c r="CM207" s="114"/>
      <c r="CN207" s="114"/>
      <c r="CS207" s="114"/>
      <c r="CT207" s="114"/>
      <c r="CX207" s="483"/>
      <c r="CY207" s="114"/>
      <c r="CZ207" s="114"/>
      <c r="DA207" s="114"/>
      <c r="DB207" s="483"/>
      <c r="DC207" s="114"/>
      <c r="DD207" s="114"/>
      <c r="DE207" s="114"/>
      <c r="DH207" s="114"/>
      <c r="DI207" s="114"/>
      <c r="DJ207" s="114"/>
      <c r="DK207" s="114"/>
      <c r="DL207" s="114"/>
      <c r="DM207" s="114"/>
      <c r="DN207" s="114"/>
      <c r="DO207" s="114"/>
      <c r="DP207" s="114"/>
      <c r="DQ207" s="114"/>
      <c r="DR207" s="114"/>
      <c r="DS207" s="114"/>
      <c r="DT207" s="114"/>
      <c r="DU207" s="114"/>
      <c r="DV207" s="114"/>
      <c r="DW207" s="114"/>
    </row>
    <row r="208" spans="2:127" x14ac:dyDescent="0.25">
      <c r="B208" s="396">
        <v>41883</v>
      </c>
      <c r="C208" s="400">
        <v>41872</v>
      </c>
      <c r="R208" s="114">
        <v>25.050000000000104</v>
      </c>
      <c r="W208" s="483">
        <v>0.13649999999999804</v>
      </c>
      <c r="AE208" s="124">
        <v>7.3456995923210019E-2</v>
      </c>
      <c r="BS208" s="114"/>
      <c r="BT208" s="114"/>
      <c r="BZ208" s="114"/>
      <c r="CA208" s="114"/>
      <c r="CF208" s="114"/>
      <c r="CG208" s="114"/>
      <c r="CM208" s="114"/>
      <c r="CN208" s="114"/>
      <c r="CS208" s="114"/>
      <c r="CT208" s="114"/>
      <c r="CX208" s="483"/>
      <c r="CY208" s="114"/>
      <c r="CZ208" s="114"/>
      <c r="DA208" s="114"/>
      <c r="DB208" s="483"/>
      <c r="DC208" s="114"/>
      <c r="DD208" s="114"/>
      <c r="DE208" s="114"/>
      <c r="DH208" s="114"/>
      <c r="DI208" s="114"/>
      <c r="DJ208" s="114"/>
      <c r="DK208" s="114"/>
      <c r="DL208" s="114"/>
      <c r="DM208" s="114"/>
      <c r="DN208" s="114"/>
      <c r="DO208" s="114"/>
      <c r="DP208" s="114"/>
      <c r="DQ208" s="114"/>
      <c r="DR208" s="114"/>
      <c r="DS208" s="114"/>
      <c r="DT208" s="114"/>
      <c r="DU208" s="114"/>
      <c r="DV208" s="114"/>
      <c r="DW208" s="114"/>
    </row>
    <row r="209" spans="2:127" x14ac:dyDescent="0.25">
      <c r="B209" s="396">
        <v>41913</v>
      </c>
      <c r="C209" s="400">
        <v>41902</v>
      </c>
      <c r="R209" s="114">
        <v>25.100000000000104</v>
      </c>
      <c r="W209" s="483">
        <v>0.13609999999999803</v>
      </c>
      <c r="AE209" s="124">
        <v>7.3453417741465007E-2</v>
      </c>
      <c r="BS209" s="114"/>
      <c r="BT209" s="114"/>
      <c r="BZ209" s="114"/>
      <c r="CA209" s="114"/>
      <c r="CF209" s="114"/>
      <c r="CG209" s="114"/>
      <c r="CM209" s="114"/>
      <c r="CN209" s="114"/>
      <c r="CS209" s="114"/>
      <c r="CT209" s="114"/>
      <c r="CX209" s="483"/>
      <c r="CY209" s="114"/>
      <c r="CZ209" s="114"/>
      <c r="DA209" s="114"/>
      <c r="DB209" s="483"/>
      <c r="DC209" s="114"/>
      <c r="DD209" s="114"/>
      <c r="DE209" s="114"/>
      <c r="DH209" s="114"/>
      <c r="DI209" s="114"/>
      <c r="DJ209" s="114"/>
      <c r="DK209" s="114"/>
      <c r="DL209" s="114"/>
      <c r="DM209" s="114"/>
      <c r="DN209" s="114"/>
      <c r="DO209" s="114"/>
      <c r="DP209" s="114"/>
      <c r="DQ209" s="114"/>
      <c r="DR209" s="114"/>
      <c r="DS209" s="114"/>
      <c r="DT209" s="114"/>
      <c r="DU209" s="114"/>
      <c r="DV209" s="114"/>
      <c r="DW209" s="114"/>
    </row>
    <row r="210" spans="2:127" x14ac:dyDescent="0.25">
      <c r="B210" s="396">
        <v>41944</v>
      </c>
      <c r="C210" s="400">
        <v>41934</v>
      </c>
      <c r="R210" s="114">
        <v>25.150000000000105</v>
      </c>
      <c r="W210" s="483">
        <v>0.13569999999999804</v>
      </c>
      <c r="AE210" s="124">
        <v>7.344945618310901E-2</v>
      </c>
      <c r="BS210" s="114"/>
      <c r="BT210" s="114"/>
      <c r="BZ210" s="114"/>
      <c r="CA210" s="114"/>
      <c r="CF210" s="114"/>
      <c r="CG210" s="114"/>
      <c r="CM210" s="114"/>
      <c r="CN210" s="114"/>
      <c r="CS210" s="114"/>
      <c r="CT210" s="114"/>
      <c r="CX210" s="483"/>
      <c r="CY210" s="114"/>
      <c r="CZ210" s="114"/>
      <c r="DA210" s="114"/>
      <c r="DB210" s="483"/>
      <c r="DC210" s="114"/>
      <c r="DD210" s="114"/>
      <c r="DE210" s="114"/>
      <c r="DH210" s="114"/>
      <c r="DI210" s="114"/>
      <c r="DJ210" s="114"/>
      <c r="DK210" s="114"/>
      <c r="DL210" s="114"/>
      <c r="DM210" s="114"/>
      <c r="DN210" s="114"/>
      <c r="DO210" s="114"/>
      <c r="DP210" s="114"/>
      <c r="DQ210" s="114"/>
      <c r="DR210" s="114"/>
      <c r="DS210" s="114"/>
      <c r="DT210" s="114"/>
      <c r="DU210" s="114"/>
      <c r="DV210" s="114"/>
      <c r="DW210" s="114"/>
    </row>
    <row r="211" spans="2:127" x14ac:dyDescent="0.25">
      <c r="B211" s="396">
        <v>41974</v>
      </c>
      <c r="C211" s="400">
        <v>41962</v>
      </c>
      <c r="R211" s="114">
        <v>25.200000000000106</v>
      </c>
      <c r="W211" s="483">
        <v>0.13529999999999803</v>
      </c>
      <c r="AE211" s="124">
        <v>7.3445622416962994E-2</v>
      </c>
      <c r="BS211" s="114"/>
      <c r="BT211" s="114"/>
      <c r="BZ211" s="114"/>
      <c r="CA211" s="114"/>
      <c r="CF211" s="114"/>
      <c r="CG211" s="114"/>
      <c r="CM211" s="114"/>
      <c r="CN211" s="114"/>
      <c r="CS211" s="114"/>
      <c r="CT211" s="114"/>
      <c r="CX211" s="483"/>
      <c r="CY211" s="114"/>
      <c r="CZ211" s="114"/>
      <c r="DA211" s="114"/>
      <c r="DB211" s="483"/>
      <c r="DC211" s="114"/>
      <c r="DD211" s="114"/>
      <c r="DE211" s="114"/>
      <c r="DH211" s="114"/>
      <c r="DI211" s="114"/>
      <c r="DJ211" s="114"/>
      <c r="DK211" s="114"/>
      <c r="DL211" s="114"/>
      <c r="DM211" s="114"/>
      <c r="DN211" s="114"/>
      <c r="DO211" s="114"/>
      <c r="DP211" s="114"/>
      <c r="DQ211" s="114"/>
      <c r="DR211" s="114"/>
      <c r="DS211" s="114"/>
      <c r="DT211" s="114"/>
      <c r="DU211" s="114"/>
      <c r="DV211" s="114"/>
      <c r="DW211" s="114"/>
    </row>
    <row r="212" spans="2:127" x14ac:dyDescent="0.25">
      <c r="B212" s="396">
        <v>42005</v>
      </c>
      <c r="C212" s="400">
        <v>41992</v>
      </c>
      <c r="R212" s="114">
        <v>25.250000000000107</v>
      </c>
      <c r="W212" s="483">
        <v>0.13489999999999802</v>
      </c>
      <c r="AE212" s="124">
        <v>7.3441660858617003E-2</v>
      </c>
      <c r="BS212" s="114"/>
      <c r="BT212" s="114"/>
      <c r="BZ212" s="114"/>
      <c r="CA212" s="114"/>
      <c r="CF212" s="114"/>
      <c r="CG212" s="114"/>
      <c r="CM212" s="114"/>
      <c r="CN212" s="114"/>
      <c r="CS212" s="114"/>
      <c r="CT212" s="114"/>
      <c r="CX212" s="483"/>
      <c r="CY212" s="114"/>
      <c r="CZ212" s="114"/>
      <c r="DA212" s="114"/>
      <c r="DB212" s="483"/>
      <c r="DC212" s="114"/>
      <c r="DD212" s="114"/>
      <c r="DE212" s="114"/>
      <c r="DH212" s="114"/>
      <c r="DI212" s="114"/>
      <c r="DJ212" s="114"/>
      <c r="DK212" s="114"/>
      <c r="DL212" s="114"/>
      <c r="DM212" s="114"/>
      <c r="DN212" s="114"/>
      <c r="DO212" s="114"/>
      <c r="DP212" s="114"/>
      <c r="DQ212" s="114"/>
      <c r="DR212" s="114"/>
      <c r="DS212" s="114"/>
      <c r="DT212" s="114"/>
      <c r="DU212" s="114"/>
      <c r="DV212" s="114"/>
      <c r="DW212" s="114"/>
    </row>
    <row r="213" spans="2:127" x14ac:dyDescent="0.25">
      <c r="B213" s="396">
        <v>42036</v>
      </c>
      <c r="C213" s="400">
        <v>42026</v>
      </c>
      <c r="R213" s="114">
        <v>25.300000000000104</v>
      </c>
      <c r="W213" s="483">
        <v>0.13449999999999804</v>
      </c>
      <c r="AE213" s="124">
        <v>7.343782709248102E-2</v>
      </c>
      <c r="BS213" s="114"/>
      <c r="BT213" s="114"/>
      <c r="BZ213" s="114"/>
      <c r="CA213" s="114"/>
      <c r="CF213" s="114"/>
      <c r="CG213" s="114"/>
      <c r="CM213" s="114"/>
      <c r="CN213" s="114"/>
      <c r="CS213" s="114"/>
      <c r="CT213" s="114"/>
      <c r="CX213" s="483"/>
      <c r="CY213" s="114"/>
      <c r="CZ213" s="114"/>
      <c r="DA213" s="114"/>
      <c r="DB213" s="483"/>
      <c r="DC213" s="114"/>
      <c r="DD213" s="114"/>
      <c r="DE213" s="114"/>
      <c r="DH213" s="114"/>
      <c r="DI213" s="114"/>
      <c r="DJ213" s="114"/>
      <c r="DK213" s="114"/>
      <c r="DL213" s="114"/>
      <c r="DM213" s="114"/>
      <c r="DN213" s="114"/>
      <c r="DO213" s="114"/>
      <c r="DP213" s="114"/>
      <c r="DQ213" s="114"/>
      <c r="DR213" s="114"/>
      <c r="DS213" s="114"/>
      <c r="DT213" s="114"/>
      <c r="DU213" s="114"/>
      <c r="DV213" s="114"/>
      <c r="DW213" s="114"/>
    </row>
    <row r="214" spans="2:127" x14ac:dyDescent="0.25">
      <c r="B214" s="396">
        <v>42064</v>
      </c>
      <c r="C214" s="400">
        <v>42055</v>
      </c>
      <c r="R214" s="114">
        <v>25.350000000000104</v>
      </c>
      <c r="W214" s="483">
        <v>0.13409999999999803</v>
      </c>
      <c r="AE214" s="124">
        <v>7.343386553414602E-2</v>
      </c>
      <c r="BS214" s="114"/>
      <c r="BT214" s="114"/>
      <c r="BZ214" s="114"/>
      <c r="CA214" s="114"/>
      <c r="CF214" s="114"/>
      <c r="CG214" s="114"/>
      <c r="CM214" s="114"/>
      <c r="CN214" s="114"/>
      <c r="CS214" s="114"/>
      <c r="CT214" s="114"/>
      <c r="CX214" s="483"/>
      <c r="CY214" s="114"/>
      <c r="CZ214" s="114"/>
      <c r="DA214" s="114"/>
      <c r="DB214" s="483"/>
      <c r="DC214" s="114"/>
      <c r="DD214" s="114"/>
      <c r="DE214" s="114"/>
      <c r="DH214" s="114"/>
      <c r="DI214" s="114"/>
      <c r="DJ214" s="114"/>
      <c r="DK214" s="114"/>
      <c r="DL214" s="114"/>
      <c r="DM214" s="114"/>
      <c r="DN214" s="114"/>
      <c r="DO214" s="114"/>
      <c r="DP214" s="114"/>
      <c r="DQ214" s="114"/>
      <c r="DR214" s="114"/>
      <c r="DS214" s="114"/>
      <c r="DT214" s="114"/>
      <c r="DU214" s="114"/>
      <c r="DV214" s="114"/>
      <c r="DW214" s="114"/>
    </row>
    <row r="215" spans="2:127" x14ac:dyDescent="0.25">
      <c r="B215" s="396">
        <v>42095</v>
      </c>
      <c r="C215" s="400">
        <v>42083</v>
      </c>
      <c r="R215" s="114">
        <v>25.400000000000105</v>
      </c>
      <c r="W215" s="483">
        <v>0.13369999999999801</v>
      </c>
      <c r="AE215" s="124">
        <v>7.3429903975815003E-2</v>
      </c>
      <c r="BS215" s="114"/>
      <c r="BT215" s="114"/>
      <c r="BZ215" s="114"/>
      <c r="CA215" s="114"/>
      <c r="CF215" s="114"/>
      <c r="CG215" s="114"/>
      <c r="CM215" s="114"/>
      <c r="CN215" s="114"/>
      <c r="CS215" s="114"/>
      <c r="CT215" s="114"/>
      <c r="CX215" s="483"/>
      <c r="CY215" s="114"/>
      <c r="CZ215" s="114"/>
      <c r="DA215" s="114"/>
      <c r="DB215" s="483"/>
      <c r="DC215" s="114"/>
      <c r="DD215" s="114"/>
      <c r="DE215" s="114"/>
      <c r="DH215" s="114"/>
      <c r="DI215" s="114"/>
      <c r="DJ215" s="114"/>
      <c r="DK215" s="114"/>
      <c r="DL215" s="114"/>
      <c r="DM215" s="114"/>
      <c r="DN215" s="114"/>
      <c r="DO215" s="114"/>
      <c r="DP215" s="114"/>
      <c r="DQ215" s="114"/>
      <c r="DR215" s="114"/>
      <c r="DS215" s="114"/>
      <c r="DT215" s="114"/>
      <c r="DU215" s="114"/>
      <c r="DV215" s="114"/>
      <c r="DW215" s="114"/>
    </row>
    <row r="216" spans="2:127" x14ac:dyDescent="0.25">
      <c r="B216" s="396">
        <v>42125</v>
      </c>
      <c r="C216" s="400">
        <v>42114</v>
      </c>
      <c r="R216" s="114">
        <v>25.450000000000106</v>
      </c>
      <c r="W216" s="483">
        <v>0.13329999999999803</v>
      </c>
      <c r="AE216" s="124">
        <v>7.3426070209694022E-2</v>
      </c>
      <c r="BS216" s="114"/>
      <c r="BT216" s="114"/>
      <c r="BZ216" s="114"/>
      <c r="CA216" s="114"/>
      <c r="CF216" s="114"/>
      <c r="CG216" s="114"/>
      <c r="CM216" s="114"/>
      <c r="CN216" s="114"/>
      <c r="CS216" s="114"/>
      <c r="CT216" s="114"/>
      <c r="CX216" s="483"/>
      <c r="CY216" s="114"/>
      <c r="CZ216" s="114"/>
      <c r="DA216" s="114"/>
      <c r="DB216" s="483"/>
      <c r="DC216" s="114"/>
      <c r="DD216" s="114"/>
      <c r="DE216" s="114"/>
      <c r="DH216" s="114"/>
      <c r="DI216" s="114"/>
      <c r="DJ216" s="114"/>
      <c r="DK216" s="114"/>
      <c r="DL216" s="114"/>
      <c r="DM216" s="114"/>
      <c r="DN216" s="114"/>
      <c r="DO216" s="114"/>
      <c r="DP216" s="114"/>
      <c r="DQ216" s="114"/>
      <c r="DR216" s="114"/>
      <c r="DS216" s="114"/>
      <c r="DT216" s="114"/>
      <c r="DU216" s="114"/>
      <c r="DV216" s="114"/>
      <c r="DW216" s="114"/>
    </row>
    <row r="217" spans="2:127" x14ac:dyDescent="0.25">
      <c r="B217" s="396">
        <v>42156</v>
      </c>
      <c r="C217" s="400">
        <v>42146</v>
      </c>
      <c r="R217" s="114">
        <v>25.500000000000107</v>
      </c>
      <c r="W217" s="483">
        <v>0.13289999999999802</v>
      </c>
      <c r="AE217" s="124">
        <v>7.3422108651373025E-2</v>
      </c>
      <c r="BS217" s="114"/>
      <c r="BT217" s="114"/>
      <c r="BZ217" s="114"/>
      <c r="CA217" s="114"/>
      <c r="CF217" s="114"/>
      <c r="CG217" s="114"/>
      <c r="CM217" s="114"/>
      <c r="CN217" s="114"/>
      <c r="CS217" s="114"/>
      <c r="CT217" s="114"/>
      <c r="CX217" s="483"/>
      <c r="CY217" s="114"/>
      <c r="CZ217" s="114"/>
      <c r="DA217" s="114"/>
      <c r="DB217" s="483"/>
      <c r="DC217" s="114"/>
      <c r="DD217" s="114"/>
      <c r="DE217" s="114"/>
      <c r="DH217" s="114"/>
      <c r="DI217" s="114"/>
      <c r="DJ217" s="114"/>
      <c r="DK217" s="114"/>
      <c r="DL217" s="114"/>
      <c r="DM217" s="114"/>
      <c r="DN217" s="114"/>
      <c r="DO217" s="114"/>
      <c r="DP217" s="114"/>
      <c r="DQ217" s="114"/>
      <c r="DR217" s="114"/>
      <c r="DS217" s="114"/>
      <c r="DT217" s="114"/>
      <c r="DU217" s="114"/>
      <c r="DV217" s="114"/>
      <c r="DW217" s="114"/>
    </row>
    <row r="218" spans="2:127" x14ac:dyDescent="0.25">
      <c r="B218" s="396">
        <v>42186</v>
      </c>
      <c r="C218" s="400">
        <v>42175</v>
      </c>
      <c r="R218" s="114">
        <v>25.550000000000104</v>
      </c>
      <c r="W218" s="483">
        <v>0.13249999999999804</v>
      </c>
      <c r="AE218" s="124">
        <v>7.3418274885262022E-2</v>
      </c>
      <c r="BS218" s="114"/>
      <c r="BT218" s="114"/>
      <c r="BZ218" s="114"/>
      <c r="CA218" s="114"/>
      <c r="CF218" s="114"/>
      <c r="CG218" s="114"/>
      <c r="CM218" s="114"/>
      <c r="CN218" s="114"/>
      <c r="CS218" s="114"/>
      <c r="CT218" s="114"/>
      <c r="CX218" s="483"/>
      <c r="CY218" s="114"/>
      <c r="CZ218" s="114"/>
      <c r="DA218" s="114"/>
      <c r="DB218" s="483"/>
      <c r="DC218" s="114"/>
      <c r="DD218" s="114"/>
      <c r="DE218" s="114"/>
      <c r="DH218" s="114"/>
      <c r="DI218" s="114"/>
      <c r="DJ218" s="114"/>
      <c r="DK218" s="114"/>
      <c r="DL218" s="114"/>
      <c r="DM218" s="114"/>
      <c r="DN218" s="114"/>
      <c r="DO218" s="114"/>
      <c r="DP218" s="114"/>
      <c r="DQ218" s="114"/>
      <c r="DR218" s="114"/>
      <c r="DS218" s="114"/>
      <c r="DT218" s="114"/>
      <c r="DU218" s="114"/>
      <c r="DV218" s="114"/>
      <c r="DW218" s="114"/>
    </row>
    <row r="219" spans="2:127" x14ac:dyDescent="0.25">
      <c r="B219" s="396">
        <v>42217</v>
      </c>
      <c r="C219" s="400">
        <v>42205</v>
      </c>
      <c r="R219" s="114">
        <v>25.600000000000104</v>
      </c>
      <c r="W219" s="483">
        <v>0.13209999999999802</v>
      </c>
      <c r="AE219" s="124">
        <v>7.3414313326952016E-2</v>
      </c>
      <c r="BS219" s="114"/>
      <c r="BT219" s="114"/>
      <c r="BZ219" s="114"/>
      <c r="CA219" s="114"/>
      <c r="CF219" s="114"/>
      <c r="CG219" s="114"/>
      <c r="CM219" s="114"/>
      <c r="CN219" s="114"/>
      <c r="CS219" s="114"/>
      <c r="CT219" s="114"/>
      <c r="CX219" s="483"/>
      <c r="CY219" s="114"/>
      <c r="CZ219" s="114"/>
      <c r="DA219" s="114"/>
      <c r="DB219" s="483"/>
      <c r="DC219" s="114"/>
      <c r="DD219" s="114"/>
      <c r="DE219" s="114"/>
      <c r="DH219" s="114"/>
      <c r="DI219" s="114"/>
      <c r="DJ219" s="114"/>
      <c r="DK219" s="114"/>
      <c r="DL219" s="114"/>
      <c r="DM219" s="114"/>
      <c r="DN219" s="114"/>
      <c r="DO219" s="114"/>
      <c r="DP219" s="114"/>
      <c r="DQ219" s="114"/>
      <c r="DR219" s="114"/>
      <c r="DS219" s="114"/>
      <c r="DT219" s="114"/>
      <c r="DU219" s="114"/>
      <c r="DV219" s="114"/>
      <c r="DW219" s="114"/>
    </row>
    <row r="220" spans="2:127" x14ac:dyDescent="0.25">
      <c r="B220" s="396">
        <v>42248</v>
      </c>
      <c r="C220" s="400">
        <v>42237</v>
      </c>
      <c r="R220" s="114">
        <v>25.650000000000105</v>
      </c>
      <c r="W220" s="483">
        <v>0.13169999999999804</v>
      </c>
      <c r="AE220" s="124">
        <v>7.3410351768647991E-2</v>
      </c>
      <c r="BS220" s="114"/>
      <c r="BT220" s="114"/>
      <c r="BZ220" s="114"/>
      <c r="CA220" s="114"/>
      <c r="CF220" s="114"/>
      <c r="CG220" s="114"/>
      <c r="CM220" s="114"/>
      <c r="CN220" s="114"/>
      <c r="CS220" s="114"/>
      <c r="CT220" s="114"/>
      <c r="CX220" s="483"/>
      <c r="CY220" s="114"/>
      <c r="CZ220" s="114"/>
      <c r="DA220" s="114"/>
      <c r="DB220" s="483"/>
      <c r="DC220" s="114"/>
      <c r="DD220" s="114"/>
      <c r="DE220" s="114"/>
      <c r="DH220" s="114"/>
      <c r="DI220" s="114"/>
      <c r="DJ220" s="114"/>
      <c r="DK220" s="114"/>
      <c r="DL220" s="114"/>
      <c r="DM220" s="114"/>
      <c r="DN220" s="114"/>
      <c r="DO220" s="114"/>
      <c r="DP220" s="114"/>
      <c r="DQ220" s="114"/>
      <c r="DR220" s="114"/>
      <c r="DS220" s="114"/>
      <c r="DT220" s="114"/>
      <c r="DU220" s="114"/>
      <c r="DV220" s="114"/>
      <c r="DW220" s="114"/>
    </row>
    <row r="221" spans="2:127" x14ac:dyDescent="0.25">
      <c r="B221" s="396">
        <v>42278</v>
      </c>
      <c r="C221" s="400">
        <v>42267</v>
      </c>
      <c r="R221" s="114">
        <v>25.700000000000106</v>
      </c>
      <c r="W221" s="483">
        <v>0.13129999999999803</v>
      </c>
      <c r="AE221" s="124">
        <v>7.3406773586957005E-2</v>
      </c>
      <c r="BS221" s="114"/>
      <c r="BT221" s="114"/>
      <c r="BZ221" s="114"/>
      <c r="CA221" s="114"/>
      <c r="CF221" s="114"/>
      <c r="CG221" s="114"/>
      <c r="CM221" s="114"/>
      <c r="CN221" s="114"/>
      <c r="CS221" s="114"/>
      <c r="CT221" s="114"/>
      <c r="CX221" s="483"/>
      <c r="CY221" s="114"/>
      <c r="CZ221" s="114"/>
      <c r="DA221" s="114"/>
      <c r="DB221" s="483"/>
      <c r="DC221" s="114"/>
      <c r="DD221" s="114"/>
      <c r="DE221" s="114"/>
      <c r="DH221" s="114"/>
      <c r="DI221" s="114"/>
      <c r="DJ221" s="114"/>
      <c r="DK221" s="114"/>
      <c r="DL221" s="114"/>
      <c r="DM221" s="114"/>
      <c r="DN221" s="114"/>
      <c r="DO221" s="114"/>
      <c r="DP221" s="114"/>
      <c r="DQ221" s="114"/>
      <c r="DR221" s="114"/>
      <c r="DS221" s="114"/>
      <c r="DT221" s="114"/>
      <c r="DU221" s="114"/>
      <c r="DV221" s="114"/>
      <c r="DW221" s="114"/>
    </row>
    <row r="222" spans="2:127" x14ac:dyDescent="0.25">
      <c r="B222" s="396">
        <v>42309</v>
      </c>
      <c r="C222" s="400">
        <v>42299</v>
      </c>
      <c r="R222" s="114">
        <v>25.750000000000107</v>
      </c>
      <c r="W222" s="483">
        <v>0.13089999999999705</v>
      </c>
      <c r="AE222" s="124">
        <v>7.3402812028662986E-2</v>
      </c>
      <c r="BS222" s="114"/>
      <c r="BT222" s="114"/>
      <c r="BZ222" s="114"/>
      <c r="CA222" s="114"/>
      <c r="CF222" s="114"/>
      <c r="CG222" s="114"/>
      <c r="CM222" s="114"/>
      <c r="CN222" s="114"/>
      <c r="CS222" s="114"/>
      <c r="CT222" s="114"/>
      <c r="CX222" s="483"/>
      <c r="CY222" s="114"/>
      <c r="CZ222" s="114"/>
      <c r="DA222" s="114"/>
      <c r="DB222" s="483"/>
      <c r="DC222" s="114"/>
      <c r="DD222" s="114"/>
      <c r="DE222" s="114"/>
      <c r="DH222" s="114"/>
      <c r="DI222" s="114"/>
      <c r="DJ222" s="114"/>
      <c r="DK222" s="114"/>
      <c r="DL222" s="114"/>
      <c r="DM222" s="114"/>
      <c r="DN222" s="114"/>
      <c r="DO222" s="114"/>
      <c r="DP222" s="114"/>
      <c r="DQ222" s="114"/>
      <c r="DR222" s="114"/>
      <c r="DS222" s="114"/>
      <c r="DT222" s="114"/>
      <c r="DU222" s="114"/>
      <c r="DV222" s="114"/>
      <c r="DW222" s="114"/>
    </row>
    <row r="223" spans="2:127" x14ac:dyDescent="0.25">
      <c r="B223" s="396">
        <v>42339</v>
      </c>
      <c r="C223" s="400">
        <v>42327</v>
      </c>
      <c r="R223" s="114">
        <v>25.800000000000104</v>
      </c>
      <c r="W223" s="483">
        <v>0.13049999999999704</v>
      </c>
      <c r="AE223" s="124">
        <v>7.3398978262574993E-2</v>
      </c>
      <c r="BS223" s="114"/>
      <c r="BT223" s="114"/>
      <c r="BZ223" s="114"/>
      <c r="CA223" s="114"/>
      <c r="CF223" s="114"/>
      <c r="CG223" s="114"/>
      <c r="CM223" s="114"/>
      <c r="CN223" s="114"/>
      <c r="CS223" s="114"/>
      <c r="CT223" s="114"/>
      <c r="CX223" s="483"/>
      <c r="CY223" s="114"/>
      <c r="CZ223" s="114"/>
      <c r="DA223" s="114"/>
      <c r="DB223" s="483"/>
      <c r="DC223" s="114"/>
      <c r="DD223" s="114"/>
      <c r="DE223" s="114"/>
      <c r="DH223" s="114"/>
      <c r="DI223" s="114"/>
      <c r="DJ223" s="114"/>
      <c r="DK223" s="114"/>
      <c r="DL223" s="114"/>
      <c r="DM223" s="114"/>
      <c r="DN223" s="114"/>
      <c r="DO223" s="114"/>
      <c r="DP223" s="114"/>
      <c r="DQ223" s="114"/>
      <c r="DR223" s="114"/>
      <c r="DS223" s="114"/>
      <c r="DT223" s="114"/>
      <c r="DU223" s="114"/>
      <c r="DV223" s="114"/>
      <c r="DW223" s="114"/>
    </row>
    <row r="224" spans="2:127" x14ac:dyDescent="0.25">
      <c r="B224" s="396">
        <v>42370</v>
      </c>
      <c r="C224" s="400">
        <v>42357</v>
      </c>
      <c r="R224" s="114">
        <v>25.850000000000104</v>
      </c>
      <c r="W224" s="483">
        <v>0.13009999999999702</v>
      </c>
      <c r="AE224" s="124">
        <v>7.3395016704290023E-2</v>
      </c>
      <c r="BS224" s="114"/>
      <c r="BT224" s="114"/>
      <c r="BZ224" s="114"/>
      <c r="CA224" s="114"/>
      <c r="CF224" s="114"/>
      <c r="CG224" s="114"/>
      <c r="CM224" s="114"/>
      <c r="CN224" s="114"/>
      <c r="CS224" s="114"/>
      <c r="CT224" s="114"/>
      <c r="CX224" s="483"/>
      <c r="CY224" s="114"/>
      <c r="CZ224" s="114"/>
      <c r="DA224" s="114"/>
      <c r="DB224" s="483"/>
      <c r="DC224" s="114"/>
      <c r="DD224" s="114"/>
      <c r="DE224" s="114"/>
      <c r="DH224" s="114"/>
      <c r="DI224" s="114"/>
      <c r="DJ224" s="114"/>
      <c r="DK224" s="114"/>
      <c r="DL224" s="114"/>
      <c r="DM224" s="114"/>
      <c r="DN224" s="114"/>
      <c r="DO224" s="114"/>
      <c r="DP224" s="114"/>
      <c r="DQ224" s="114"/>
      <c r="DR224" s="114"/>
      <c r="DS224" s="114"/>
      <c r="DT224" s="114"/>
      <c r="DU224" s="114"/>
      <c r="DV224" s="114"/>
      <c r="DW224" s="114"/>
    </row>
    <row r="225" spans="2:127" x14ac:dyDescent="0.25">
      <c r="B225" s="396">
        <v>42401</v>
      </c>
      <c r="C225" s="400">
        <v>42391</v>
      </c>
      <c r="R225" s="114">
        <v>25.900000000000105</v>
      </c>
      <c r="W225" s="483">
        <v>0.12969999999999701</v>
      </c>
      <c r="AE225" s="124">
        <v>7.339118293821302E-2</v>
      </c>
      <c r="BS225" s="114"/>
      <c r="BT225" s="114"/>
      <c r="BZ225" s="114"/>
      <c r="CA225" s="114"/>
      <c r="CF225" s="114"/>
      <c r="CG225" s="114"/>
      <c r="CM225" s="114"/>
      <c r="CN225" s="114"/>
      <c r="CS225" s="114"/>
      <c r="CT225" s="114"/>
      <c r="CX225" s="483"/>
      <c r="CY225" s="114"/>
      <c r="CZ225" s="114"/>
      <c r="DA225" s="114"/>
      <c r="DB225" s="483"/>
      <c r="DC225" s="114"/>
      <c r="DD225" s="114"/>
      <c r="DE225" s="114"/>
      <c r="DH225" s="114"/>
      <c r="DI225" s="114"/>
      <c r="DJ225" s="114"/>
      <c r="DK225" s="114"/>
      <c r="DL225" s="114"/>
      <c r="DM225" s="114"/>
      <c r="DN225" s="114"/>
      <c r="DO225" s="114"/>
      <c r="DP225" s="114"/>
      <c r="DQ225" s="114"/>
      <c r="DR225" s="114"/>
      <c r="DS225" s="114"/>
      <c r="DT225" s="114"/>
      <c r="DU225" s="114"/>
      <c r="DV225" s="114"/>
      <c r="DW225" s="114"/>
    </row>
    <row r="226" spans="2:127" x14ac:dyDescent="0.25">
      <c r="B226" s="396">
        <v>42430</v>
      </c>
      <c r="C226" s="400">
        <v>42420</v>
      </c>
      <c r="R226" s="114">
        <v>25.950000000000106</v>
      </c>
      <c r="W226" s="483">
        <v>0.12929999999999703</v>
      </c>
      <c r="AE226" s="124">
        <v>7.3387221379939013E-2</v>
      </c>
      <c r="BS226" s="114"/>
      <c r="BT226" s="114"/>
      <c r="BZ226" s="114"/>
      <c r="CA226" s="114"/>
      <c r="CF226" s="114"/>
      <c r="CG226" s="114"/>
      <c r="CM226" s="114"/>
      <c r="CN226" s="114"/>
      <c r="CS226" s="114"/>
      <c r="CT226" s="114"/>
      <c r="CX226" s="483"/>
      <c r="CY226" s="114"/>
      <c r="CZ226" s="114"/>
      <c r="DA226" s="114"/>
      <c r="DB226" s="483"/>
      <c r="DC226" s="114"/>
      <c r="DD226" s="114"/>
      <c r="DE226" s="114"/>
      <c r="DH226" s="114"/>
      <c r="DI226" s="114"/>
      <c r="DJ226" s="114"/>
      <c r="DK226" s="114"/>
      <c r="DL226" s="114"/>
      <c r="DM226" s="114"/>
      <c r="DN226" s="114"/>
      <c r="DO226" s="114"/>
      <c r="DP226" s="114"/>
      <c r="DQ226" s="114"/>
      <c r="DR226" s="114"/>
      <c r="DS226" s="114"/>
      <c r="DT226" s="114"/>
      <c r="DU226" s="114"/>
      <c r="DV226" s="114"/>
      <c r="DW226" s="114"/>
    </row>
    <row r="227" spans="2:127" x14ac:dyDescent="0.25">
      <c r="B227" s="396">
        <v>42461</v>
      </c>
      <c r="C227" s="400">
        <v>42449</v>
      </c>
      <c r="R227" s="114">
        <v>26.000000000000107</v>
      </c>
      <c r="W227" s="483">
        <v>0.12889999999999702</v>
      </c>
      <c r="AE227" s="124">
        <v>7.3383259821670002E-2</v>
      </c>
      <c r="BS227" s="114"/>
      <c r="BT227" s="114"/>
      <c r="BZ227" s="114"/>
      <c r="CA227" s="114"/>
      <c r="CF227" s="114"/>
      <c r="CG227" s="114"/>
      <c r="CM227" s="114"/>
      <c r="CN227" s="114"/>
      <c r="CS227" s="114"/>
      <c r="CT227" s="114"/>
      <c r="CX227" s="483"/>
      <c r="CY227" s="114"/>
      <c r="CZ227" s="114"/>
      <c r="DA227" s="114"/>
      <c r="DB227" s="483"/>
      <c r="DC227" s="114"/>
      <c r="DD227" s="114"/>
      <c r="DE227" s="114"/>
      <c r="DH227" s="114"/>
      <c r="DI227" s="114"/>
      <c r="DJ227" s="114"/>
      <c r="DK227" s="114"/>
      <c r="DL227" s="114"/>
      <c r="DM227" s="114"/>
      <c r="DN227" s="114"/>
      <c r="DO227" s="114"/>
      <c r="DP227" s="114"/>
      <c r="DQ227" s="114"/>
      <c r="DR227" s="114"/>
      <c r="DS227" s="114"/>
      <c r="DT227" s="114"/>
      <c r="DU227" s="114"/>
      <c r="DV227" s="114"/>
      <c r="DW227" s="114"/>
    </row>
    <row r="228" spans="2:127" x14ac:dyDescent="0.25">
      <c r="B228" s="396">
        <v>42491</v>
      </c>
      <c r="C228" s="400">
        <v>42480</v>
      </c>
      <c r="R228" s="114">
        <v>26.050000000000104</v>
      </c>
      <c r="W228" s="483">
        <v>0.12849999999999703</v>
      </c>
      <c r="AE228" s="124">
        <v>7.3379426055607017E-2</v>
      </c>
      <c r="BS228" s="114"/>
      <c r="BT228" s="114"/>
      <c r="BZ228" s="114"/>
      <c r="CA228" s="114"/>
      <c r="CF228" s="114"/>
      <c r="CG228" s="114"/>
      <c r="CM228" s="114"/>
      <c r="CN228" s="114"/>
      <c r="CS228" s="114"/>
      <c r="CT228" s="114"/>
      <c r="CX228" s="483"/>
      <c r="CY228" s="114"/>
      <c r="CZ228" s="114"/>
      <c r="DA228" s="114"/>
      <c r="DB228" s="483"/>
      <c r="DC228" s="114"/>
      <c r="DD228" s="114"/>
      <c r="DE228" s="114"/>
      <c r="DH228" s="114"/>
      <c r="DI228" s="114"/>
      <c r="DJ228" s="114"/>
      <c r="DK228" s="114"/>
      <c r="DL228" s="114"/>
      <c r="DM228" s="114"/>
      <c r="DN228" s="114"/>
      <c r="DO228" s="114"/>
      <c r="DP228" s="114"/>
      <c r="DQ228" s="114"/>
      <c r="DR228" s="114"/>
      <c r="DS228" s="114"/>
      <c r="DT228" s="114"/>
      <c r="DU228" s="114"/>
      <c r="DV228" s="114"/>
      <c r="DW228" s="114"/>
    </row>
    <row r="229" spans="2:127" x14ac:dyDescent="0.25">
      <c r="B229" s="396">
        <v>42522</v>
      </c>
      <c r="C229" s="400">
        <v>42512</v>
      </c>
      <c r="R229" s="114">
        <v>26.100000000000104</v>
      </c>
      <c r="W229" s="483">
        <v>0.12809999999999702</v>
      </c>
      <c r="AE229" s="124">
        <v>7.3375464497348025E-2</v>
      </c>
      <c r="BS229" s="114"/>
      <c r="BT229" s="114"/>
      <c r="BZ229" s="114"/>
      <c r="CA229" s="114"/>
      <c r="CF229" s="114"/>
      <c r="CG229" s="114"/>
      <c r="CM229" s="114"/>
      <c r="CN229" s="114"/>
      <c r="CS229" s="114"/>
      <c r="CT229" s="114"/>
      <c r="CX229" s="483"/>
      <c r="CY229" s="114"/>
      <c r="CZ229" s="114"/>
      <c r="DA229" s="114"/>
      <c r="DB229" s="483"/>
      <c r="DC229" s="114"/>
      <c r="DD229" s="114"/>
      <c r="DE229" s="114"/>
      <c r="DH229" s="114"/>
      <c r="DI229" s="114"/>
      <c r="DJ229" s="114"/>
      <c r="DK229" s="114"/>
      <c r="DL229" s="114"/>
      <c r="DM229" s="114"/>
      <c r="DN229" s="114"/>
      <c r="DO229" s="114"/>
      <c r="DP229" s="114"/>
      <c r="DQ229" s="114"/>
      <c r="DR229" s="114"/>
      <c r="DS229" s="114"/>
      <c r="DT229" s="114"/>
      <c r="DU229" s="114"/>
      <c r="DV229" s="114"/>
      <c r="DW229" s="114"/>
    </row>
    <row r="230" spans="2:127" x14ac:dyDescent="0.25">
      <c r="B230" s="396">
        <v>42552</v>
      </c>
      <c r="C230" s="400">
        <v>42541</v>
      </c>
      <c r="R230" s="114">
        <v>26.150000000000105</v>
      </c>
      <c r="W230" s="483">
        <v>0.12769999999999704</v>
      </c>
      <c r="AE230" s="124">
        <v>7.3371630731296017E-2</v>
      </c>
      <c r="BS230" s="114"/>
      <c r="BT230" s="114"/>
      <c r="BZ230" s="114"/>
      <c r="CA230" s="114"/>
      <c r="CF230" s="114"/>
      <c r="CG230" s="114"/>
      <c r="CM230" s="114"/>
      <c r="CN230" s="114"/>
      <c r="CS230" s="114"/>
      <c r="CT230" s="114"/>
      <c r="CX230" s="483"/>
      <c r="CY230" s="114"/>
      <c r="CZ230" s="114"/>
      <c r="DA230" s="114"/>
      <c r="DB230" s="483"/>
      <c r="DC230" s="114"/>
      <c r="DD230" s="114"/>
      <c r="DE230" s="114"/>
      <c r="DH230" s="114"/>
      <c r="DI230" s="114"/>
      <c r="DJ230" s="114"/>
      <c r="DK230" s="114"/>
      <c r="DL230" s="114"/>
      <c r="DM230" s="114"/>
      <c r="DN230" s="114"/>
      <c r="DO230" s="114"/>
      <c r="DP230" s="114"/>
      <c r="DQ230" s="114"/>
      <c r="DR230" s="114"/>
      <c r="DS230" s="114"/>
      <c r="DT230" s="114"/>
      <c r="DU230" s="114"/>
      <c r="DV230" s="114"/>
      <c r="DW230" s="114"/>
    </row>
    <row r="231" spans="2:127" x14ac:dyDescent="0.25">
      <c r="B231" s="396">
        <v>42583</v>
      </c>
      <c r="C231" s="400">
        <v>42571</v>
      </c>
      <c r="R231" s="114">
        <v>26.200000000000106</v>
      </c>
      <c r="W231" s="483">
        <v>0.12729999999999703</v>
      </c>
      <c r="AE231" s="124">
        <v>7.336766917304699E-2</v>
      </c>
      <c r="BS231" s="114"/>
      <c r="BT231" s="114"/>
      <c r="BZ231" s="114"/>
      <c r="CA231" s="114"/>
      <c r="CF231" s="114"/>
      <c r="CG231" s="114"/>
      <c r="CM231" s="114"/>
      <c r="CN231" s="114"/>
      <c r="CS231" s="114"/>
      <c r="CT231" s="114"/>
      <c r="CX231" s="483"/>
      <c r="CY231" s="114"/>
      <c r="CZ231" s="114"/>
      <c r="DA231" s="114"/>
      <c r="DB231" s="483"/>
      <c r="DC231" s="114"/>
      <c r="DD231" s="114"/>
      <c r="DE231" s="114"/>
      <c r="DH231" s="114"/>
      <c r="DI231" s="114"/>
      <c r="DJ231" s="114"/>
      <c r="DK231" s="114"/>
      <c r="DL231" s="114"/>
      <c r="DM231" s="114"/>
      <c r="DN231" s="114"/>
      <c r="DO231" s="114"/>
      <c r="DP231" s="114"/>
      <c r="DQ231" s="114"/>
      <c r="DR231" s="114"/>
      <c r="DS231" s="114"/>
      <c r="DT231" s="114"/>
      <c r="DU231" s="114"/>
      <c r="DV231" s="114"/>
      <c r="DW231" s="114"/>
    </row>
    <row r="232" spans="2:127" x14ac:dyDescent="0.25">
      <c r="B232" s="396">
        <v>42614</v>
      </c>
      <c r="C232" s="400">
        <v>42603</v>
      </c>
      <c r="R232" s="114">
        <v>26.250000000000099</v>
      </c>
      <c r="W232" s="483">
        <v>0.12689999999999704</v>
      </c>
      <c r="AE232" s="124">
        <v>7.3363707614803014E-2</v>
      </c>
      <c r="BS232" s="114"/>
      <c r="BT232" s="114"/>
      <c r="BZ232" s="114"/>
      <c r="CA232" s="114"/>
      <c r="CF232" s="114"/>
      <c r="CG232" s="114"/>
      <c r="CM232" s="114"/>
      <c r="CN232" s="114"/>
      <c r="CS232" s="114"/>
      <c r="CT232" s="114"/>
      <c r="CX232" s="483"/>
      <c r="CY232" s="114"/>
      <c r="CZ232" s="114"/>
      <c r="DA232" s="114"/>
      <c r="DB232" s="483"/>
      <c r="DC232" s="114"/>
      <c r="DD232" s="114"/>
      <c r="DE232" s="114"/>
      <c r="DH232" s="114"/>
      <c r="DI232" s="114"/>
      <c r="DJ232" s="114"/>
      <c r="DK232" s="114"/>
      <c r="DL232" s="114"/>
      <c r="DM232" s="114"/>
      <c r="DN232" s="114"/>
      <c r="DO232" s="114"/>
      <c r="DP232" s="114"/>
      <c r="DQ232" s="114"/>
      <c r="DR232" s="114"/>
      <c r="DS232" s="114"/>
      <c r="DT232" s="114"/>
      <c r="DU232" s="114"/>
      <c r="DV232" s="114"/>
      <c r="DW232" s="114"/>
    </row>
    <row r="233" spans="2:127" x14ac:dyDescent="0.25">
      <c r="B233" s="396">
        <v>42644</v>
      </c>
      <c r="C233" s="400">
        <v>42633</v>
      </c>
      <c r="R233" s="114">
        <v>26.3000000000001</v>
      </c>
      <c r="W233" s="483">
        <v>0.12649999999999703</v>
      </c>
      <c r="AE233" s="124">
        <v>7.3360129433168025E-2</v>
      </c>
      <c r="BS233" s="114"/>
      <c r="BT233" s="114"/>
      <c r="BZ233" s="114"/>
      <c r="CA233" s="114"/>
      <c r="CF233" s="114"/>
      <c r="CG233" s="114"/>
      <c r="CM233" s="114"/>
      <c r="CN233" s="114"/>
      <c r="CS233" s="114"/>
      <c r="CT233" s="114"/>
      <c r="CX233" s="483"/>
      <c r="CY233" s="114"/>
      <c r="CZ233" s="114"/>
      <c r="DA233" s="114"/>
      <c r="DB233" s="483"/>
      <c r="DC233" s="114"/>
      <c r="DD233" s="114"/>
      <c r="DE233" s="114"/>
      <c r="DH233" s="114"/>
      <c r="DI233" s="114"/>
      <c r="DJ233" s="114"/>
      <c r="DK233" s="114"/>
      <c r="DL233" s="114"/>
      <c r="DM233" s="114"/>
      <c r="DN233" s="114"/>
      <c r="DO233" s="114"/>
      <c r="DP233" s="114"/>
      <c r="DQ233" s="114"/>
      <c r="DR233" s="114"/>
      <c r="DS233" s="114"/>
      <c r="DT233" s="114"/>
      <c r="DU233" s="114"/>
      <c r="DV233" s="114"/>
      <c r="DW233" s="114"/>
    </row>
    <row r="234" spans="2:127" x14ac:dyDescent="0.25">
      <c r="B234" s="396">
        <v>42675</v>
      </c>
      <c r="C234" s="400">
        <v>42665</v>
      </c>
      <c r="R234" s="114">
        <v>26.350000000000101</v>
      </c>
      <c r="W234" s="483">
        <v>0.12609999999999702</v>
      </c>
      <c r="AE234" s="124">
        <v>7.3356167874934014E-2</v>
      </c>
      <c r="BS234" s="114"/>
      <c r="BT234" s="114"/>
      <c r="BZ234" s="114"/>
      <c r="CA234" s="114"/>
      <c r="CF234" s="114"/>
      <c r="CG234" s="114"/>
      <c r="CM234" s="114"/>
      <c r="CN234" s="114"/>
      <c r="CS234" s="114"/>
      <c r="CT234" s="114"/>
      <c r="CX234" s="483"/>
      <c r="CY234" s="114"/>
      <c r="CZ234" s="114"/>
      <c r="DA234" s="114"/>
      <c r="DB234" s="483"/>
      <c r="DC234" s="114"/>
      <c r="DD234" s="114"/>
      <c r="DE234" s="114"/>
      <c r="DH234" s="114"/>
      <c r="DI234" s="114"/>
      <c r="DJ234" s="114"/>
      <c r="DK234" s="114"/>
      <c r="DL234" s="114"/>
      <c r="DM234" s="114"/>
      <c r="DN234" s="114"/>
      <c r="DO234" s="114"/>
      <c r="DP234" s="114"/>
      <c r="DQ234" s="114"/>
      <c r="DR234" s="114"/>
      <c r="DS234" s="114"/>
      <c r="DT234" s="114"/>
      <c r="DU234" s="114"/>
      <c r="DV234" s="114"/>
      <c r="DW234" s="114"/>
    </row>
    <row r="235" spans="2:127" x14ac:dyDescent="0.25">
      <c r="B235" s="396">
        <v>42705</v>
      </c>
      <c r="C235" s="400">
        <v>42693</v>
      </c>
      <c r="R235" s="114">
        <v>26.400000000000102</v>
      </c>
      <c r="W235" s="483">
        <v>0.12569999999999701</v>
      </c>
      <c r="AE235" s="124">
        <v>7.3352334108906028E-2</v>
      </c>
      <c r="BS235" s="114"/>
      <c r="BT235" s="114"/>
      <c r="BZ235" s="114"/>
      <c r="CA235" s="114"/>
      <c r="CF235" s="114"/>
      <c r="CG235" s="114"/>
      <c r="CM235" s="114"/>
      <c r="CN235" s="114"/>
      <c r="CS235" s="114"/>
      <c r="CT235" s="114"/>
      <c r="CX235" s="483"/>
      <c r="CY235" s="114"/>
      <c r="CZ235" s="114"/>
      <c r="DA235" s="114"/>
      <c r="DB235" s="483"/>
      <c r="DC235" s="114"/>
      <c r="DD235" s="114"/>
      <c r="DE235" s="114"/>
      <c r="DH235" s="114"/>
      <c r="DI235" s="114"/>
      <c r="DJ235" s="114"/>
      <c r="DK235" s="114"/>
      <c r="DL235" s="114"/>
      <c r="DM235" s="114"/>
      <c r="DN235" s="114"/>
      <c r="DO235" s="114"/>
      <c r="DP235" s="114"/>
      <c r="DQ235" s="114"/>
      <c r="DR235" s="114"/>
      <c r="DS235" s="114"/>
      <c r="DT235" s="114"/>
      <c r="DU235" s="114"/>
      <c r="DV235" s="114"/>
      <c r="DW235" s="114"/>
    </row>
    <row r="236" spans="2:127" x14ac:dyDescent="0.25">
      <c r="B236" s="396">
        <v>42736</v>
      </c>
      <c r="C236" s="400">
        <v>42723</v>
      </c>
      <c r="R236" s="114">
        <v>26.450000000000102</v>
      </c>
      <c r="W236" s="483">
        <v>0.12529999999999702</v>
      </c>
      <c r="AE236" s="124">
        <v>7.3348372550682009E-2</v>
      </c>
      <c r="BS236" s="114"/>
      <c r="BT236" s="114"/>
      <c r="BZ236" s="114"/>
      <c r="CA236" s="114"/>
      <c r="CF236" s="114"/>
      <c r="CG236" s="114"/>
      <c r="CM236" s="114"/>
      <c r="CN236" s="114"/>
      <c r="CS236" s="114"/>
      <c r="CT236" s="114"/>
      <c r="CX236" s="483"/>
      <c r="CY236" s="114"/>
      <c r="CZ236" s="114"/>
      <c r="DA236" s="114"/>
      <c r="DB236" s="483"/>
      <c r="DC236" s="114"/>
      <c r="DD236" s="114"/>
      <c r="DE236" s="114"/>
      <c r="DH236" s="114"/>
      <c r="DI236" s="114"/>
      <c r="DJ236" s="114"/>
      <c r="DK236" s="114"/>
      <c r="DL236" s="114"/>
      <c r="DM236" s="114"/>
      <c r="DN236" s="114"/>
      <c r="DO236" s="114"/>
      <c r="DP236" s="114"/>
      <c r="DQ236" s="114"/>
      <c r="DR236" s="114"/>
      <c r="DS236" s="114"/>
      <c r="DT236" s="114"/>
      <c r="DU236" s="114"/>
      <c r="DV236" s="114"/>
      <c r="DW236" s="114"/>
    </row>
    <row r="237" spans="2:127" x14ac:dyDescent="0.25">
      <c r="B237" s="396">
        <v>42767</v>
      </c>
      <c r="C237" s="400">
        <v>42757</v>
      </c>
      <c r="R237" s="114">
        <v>26.500000000000099</v>
      </c>
      <c r="W237" s="483">
        <v>0.12489999999999703</v>
      </c>
      <c r="AE237" s="124">
        <v>7.3344538784665028E-2</v>
      </c>
      <c r="BS237" s="114"/>
      <c r="BT237" s="114"/>
      <c r="BZ237" s="114"/>
      <c r="CA237" s="114"/>
      <c r="CF237" s="114"/>
      <c r="CG237" s="114"/>
      <c r="CM237" s="114"/>
      <c r="CN237" s="114"/>
      <c r="CS237" s="114"/>
      <c r="CT237" s="114"/>
      <c r="CX237" s="483"/>
      <c r="CY237" s="114"/>
      <c r="CZ237" s="114"/>
      <c r="DA237" s="114"/>
      <c r="DB237" s="483"/>
      <c r="DC237" s="114"/>
      <c r="DD237" s="114"/>
      <c r="DE237" s="114"/>
      <c r="DH237" s="114"/>
      <c r="DI237" s="114"/>
      <c r="DJ237" s="114"/>
      <c r="DK237" s="114"/>
      <c r="DL237" s="114"/>
      <c r="DM237" s="114"/>
      <c r="DN237" s="114"/>
      <c r="DO237" s="114"/>
      <c r="DP237" s="114"/>
      <c r="DQ237" s="114"/>
      <c r="DR237" s="114"/>
      <c r="DS237" s="114"/>
      <c r="DT237" s="114"/>
      <c r="DU237" s="114"/>
      <c r="DV237" s="114"/>
      <c r="DW237" s="114"/>
    </row>
    <row r="238" spans="2:127" x14ac:dyDescent="0.25">
      <c r="B238" s="396">
        <v>42795</v>
      </c>
      <c r="C238" s="400">
        <v>42786</v>
      </c>
      <c r="R238" s="114">
        <v>26.5500000000001</v>
      </c>
      <c r="W238" s="483">
        <v>0.12449999999999703</v>
      </c>
      <c r="AE238" s="124">
        <v>7.3340577226451001E-2</v>
      </c>
      <c r="BS238" s="114"/>
      <c r="BT238" s="114"/>
      <c r="BZ238" s="114"/>
      <c r="CA238" s="114"/>
      <c r="CF238" s="114"/>
      <c r="CG238" s="114"/>
      <c r="CM238" s="114"/>
      <c r="CN238" s="114"/>
      <c r="CS238" s="114"/>
      <c r="CT238" s="114"/>
      <c r="CX238" s="483"/>
      <c r="CY238" s="114"/>
      <c r="CZ238" s="114"/>
      <c r="DA238" s="114"/>
      <c r="DB238" s="483"/>
      <c r="DC238" s="114"/>
      <c r="DD238" s="114"/>
      <c r="DE238" s="114"/>
      <c r="DH238" s="114"/>
      <c r="DI238" s="114"/>
      <c r="DJ238" s="114"/>
      <c r="DK238" s="114"/>
      <c r="DL238" s="114"/>
      <c r="DM238" s="114"/>
      <c r="DN238" s="114"/>
      <c r="DO238" s="114"/>
      <c r="DP238" s="114"/>
      <c r="DQ238" s="114"/>
      <c r="DR238" s="114"/>
      <c r="DS238" s="114"/>
      <c r="DT238" s="114"/>
      <c r="DU238" s="114"/>
      <c r="DV238" s="114"/>
      <c r="DW238" s="114"/>
    </row>
    <row r="239" spans="2:127" x14ac:dyDescent="0.25">
      <c r="B239" s="396">
        <v>42826</v>
      </c>
      <c r="C239" s="400">
        <v>42814</v>
      </c>
      <c r="R239" s="114">
        <v>26.600000000000101</v>
      </c>
      <c r="W239" s="483">
        <v>0.12409999999999702</v>
      </c>
      <c r="AE239" s="124">
        <v>7.3336615668242025E-2</v>
      </c>
      <c r="BS239" s="114"/>
      <c r="BT239" s="114"/>
      <c r="BZ239" s="114"/>
      <c r="CA239" s="114"/>
      <c r="CF239" s="114"/>
      <c r="CG239" s="114"/>
      <c r="CM239" s="114"/>
      <c r="CN239" s="114"/>
      <c r="CS239" s="114"/>
      <c r="CT239" s="114"/>
      <c r="CX239" s="483"/>
      <c r="CY239" s="114"/>
      <c r="CZ239" s="114"/>
      <c r="DA239" s="114"/>
      <c r="DB239" s="483"/>
      <c r="DC239" s="114"/>
      <c r="DD239" s="114"/>
      <c r="DE239" s="114"/>
      <c r="DH239" s="114"/>
      <c r="DI239" s="114"/>
      <c r="DJ239" s="114"/>
      <c r="DK239" s="114"/>
      <c r="DL239" s="114"/>
      <c r="DM239" s="114"/>
      <c r="DN239" s="114"/>
      <c r="DO239" s="114"/>
      <c r="DP239" s="114"/>
      <c r="DQ239" s="114"/>
      <c r="DR239" s="114"/>
      <c r="DS239" s="114"/>
      <c r="DT239" s="114"/>
      <c r="DU239" s="114"/>
      <c r="DV239" s="114"/>
      <c r="DW239" s="114"/>
    </row>
    <row r="240" spans="2:127" x14ac:dyDescent="0.25">
      <c r="B240" s="396">
        <v>42856</v>
      </c>
      <c r="C240" s="400">
        <v>42845</v>
      </c>
      <c r="R240" s="114">
        <v>26.650000000000102</v>
      </c>
      <c r="W240" s="483">
        <v>0.12369999999999703</v>
      </c>
      <c r="AE240" s="124">
        <v>7.3332781902239005E-2</v>
      </c>
      <c r="BS240" s="114"/>
      <c r="BT240" s="114"/>
      <c r="BZ240" s="114"/>
      <c r="CA240" s="114"/>
      <c r="CF240" s="114"/>
      <c r="CG240" s="114"/>
      <c r="CM240" s="114"/>
      <c r="CN240" s="114"/>
      <c r="CS240" s="114"/>
      <c r="CT240" s="114"/>
      <c r="CX240" s="483"/>
      <c r="CY240" s="114"/>
      <c r="CZ240" s="114"/>
      <c r="DA240" s="114"/>
      <c r="DB240" s="483"/>
      <c r="DC240" s="114"/>
      <c r="DD240" s="114"/>
      <c r="DE240" s="114"/>
      <c r="DH240" s="114"/>
      <c r="DI240" s="114"/>
      <c r="DJ240" s="114"/>
      <c r="DK240" s="114"/>
      <c r="DL240" s="114"/>
      <c r="DM240" s="114"/>
      <c r="DN240" s="114"/>
      <c r="DO240" s="114"/>
      <c r="DP240" s="114"/>
      <c r="DQ240" s="114"/>
      <c r="DR240" s="114"/>
      <c r="DS240" s="114"/>
      <c r="DT240" s="114"/>
      <c r="DU240" s="114"/>
      <c r="DV240" s="114"/>
      <c r="DW240" s="114"/>
    </row>
    <row r="241" spans="2:127" x14ac:dyDescent="0.25">
      <c r="B241" s="396">
        <v>42887</v>
      </c>
      <c r="C241" s="400">
        <v>42877</v>
      </c>
      <c r="R241" s="114">
        <v>26.700000000000102</v>
      </c>
      <c r="W241" s="483">
        <v>0.12329999999999702</v>
      </c>
      <c r="AE241" s="124">
        <v>7.3328820344041007E-2</v>
      </c>
      <c r="BS241" s="114"/>
      <c r="BT241" s="114"/>
      <c r="BZ241" s="114"/>
      <c r="CA241" s="114"/>
      <c r="CF241" s="114"/>
      <c r="CG241" s="114"/>
      <c r="CM241" s="114"/>
      <c r="CN241" s="114"/>
      <c r="CS241" s="114"/>
      <c r="CT241" s="114"/>
      <c r="CX241" s="483"/>
      <c r="CY241" s="114"/>
      <c r="CZ241" s="114"/>
      <c r="DA241" s="114"/>
      <c r="DB241" s="483"/>
      <c r="DC241" s="114"/>
      <c r="DD241" s="114"/>
      <c r="DE241" s="114"/>
      <c r="DH241" s="114"/>
      <c r="DI241" s="114"/>
      <c r="DJ241" s="114"/>
      <c r="DK241" s="114"/>
      <c r="DL241" s="114"/>
      <c r="DM241" s="114"/>
      <c r="DN241" s="114"/>
      <c r="DO241" s="114"/>
      <c r="DP241" s="114"/>
      <c r="DQ241" s="114"/>
      <c r="DR241" s="114"/>
      <c r="DS241" s="114"/>
      <c r="DT241" s="114"/>
      <c r="DU241" s="114"/>
      <c r="DV241" s="114"/>
      <c r="DW241" s="114"/>
    </row>
    <row r="242" spans="2:127" x14ac:dyDescent="0.25">
      <c r="B242" s="396">
        <v>42917</v>
      </c>
      <c r="C242" s="400">
        <v>42906</v>
      </c>
      <c r="R242" s="114">
        <v>26.750000000000099</v>
      </c>
      <c r="W242" s="483">
        <v>0.12289999999999703</v>
      </c>
      <c r="AE242" s="124">
        <v>7.3324986578048007E-2</v>
      </c>
      <c r="BS242" s="114"/>
      <c r="BT242" s="114"/>
      <c r="BZ242" s="114"/>
      <c r="CA242" s="114"/>
      <c r="CF242" s="114"/>
      <c r="CG242" s="114"/>
      <c r="CM242" s="114"/>
      <c r="CN242" s="114"/>
      <c r="CS242" s="114"/>
      <c r="CT242" s="114"/>
      <c r="CX242" s="483"/>
      <c r="CY242" s="114"/>
      <c r="CZ242" s="114"/>
      <c r="DA242" s="114"/>
      <c r="DB242" s="483"/>
      <c r="DC242" s="114"/>
      <c r="DD242" s="114"/>
      <c r="DE242" s="114"/>
      <c r="DH242" s="114"/>
      <c r="DI242" s="114"/>
      <c r="DJ242" s="114"/>
      <c r="DK242" s="114"/>
      <c r="DL242" s="114"/>
      <c r="DM242" s="114"/>
      <c r="DN242" s="114"/>
      <c r="DO242" s="114"/>
      <c r="DP242" s="114"/>
      <c r="DQ242" s="114"/>
      <c r="DR242" s="114"/>
      <c r="DS242" s="114"/>
      <c r="DT242" s="114"/>
      <c r="DU242" s="114"/>
      <c r="DV242" s="114"/>
      <c r="DW242" s="114"/>
    </row>
    <row r="243" spans="2:127" x14ac:dyDescent="0.25">
      <c r="B243" s="396">
        <v>42948</v>
      </c>
      <c r="C243" s="400">
        <v>42936</v>
      </c>
      <c r="R243" s="114">
        <v>26.8000000000001</v>
      </c>
      <c r="W243" s="483">
        <v>0.12249999999999701</v>
      </c>
      <c r="AE243" s="124">
        <v>7.3321025019859015E-2</v>
      </c>
      <c r="BS243" s="114"/>
      <c r="BT243" s="114"/>
      <c r="BZ243" s="114"/>
      <c r="CA243" s="114"/>
      <c r="CF243" s="114"/>
      <c r="CG243" s="114"/>
      <c r="CM243" s="114"/>
      <c r="CN243" s="114"/>
      <c r="CS243" s="114"/>
      <c r="CT243" s="114"/>
      <c r="CX243" s="483"/>
      <c r="CY243" s="114"/>
      <c r="CZ243" s="114"/>
      <c r="DA243" s="114"/>
      <c r="DB243" s="483"/>
      <c r="DC243" s="114"/>
      <c r="DD243" s="114"/>
      <c r="DE243" s="114"/>
      <c r="DH243" s="114"/>
      <c r="DI243" s="114"/>
      <c r="DJ243" s="114"/>
      <c r="DK243" s="114"/>
      <c r="DL243" s="114"/>
      <c r="DM243" s="114"/>
      <c r="DN243" s="114"/>
      <c r="DO243" s="114"/>
      <c r="DP243" s="114"/>
      <c r="DQ243" s="114"/>
      <c r="DR243" s="114"/>
      <c r="DS243" s="114"/>
      <c r="DT243" s="114"/>
      <c r="DU243" s="114"/>
      <c r="DV243" s="114"/>
      <c r="DW243" s="114"/>
    </row>
    <row r="244" spans="2:127" x14ac:dyDescent="0.25">
      <c r="B244" s="396">
        <v>42979</v>
      </c>
      <c r="C244" s="400">
        <v>42968</v>
      </c>
      <c r="R244" s="114">
        <v>26.850000000000101</v>
      </c>
      <c r="W244" s="483">
        <v>0.12269999999999703</v>
      </c>
      <c r="AE244" s="124">
        <v>7.3317063461677018E-2</v>
      </c>
      <c r="BS244" s="114"/>
      <c r="BT244" s="114"/>
      <c r="BZ244" s="114"/>
      <c r="CA244" s="114"/>
      <c r="CF244" s="114"/>
      <c r="CG244" s="114"/>
      <c r="CM244" s="114"/>
      <c r="CN244" s="114"/>
      <c r="CS244" s="114"/>
      <c r="CT244" s="114"/>
      <c r="CX244" s="483"/>
      <c r="CY244" s="114"/>
      <c r="CZ244" s="114"/>
      <c r="DA244" s="114"/>
      <c r="DB244" s="483"/>
      <c r="DC244" s="114"/>
      <c r="DD244" s="114"/>
      <c r="DE244" s="114"/>
      <c r="DH244" s="114"/>
      <c r="DI244" s="114"/>
      <c r="DJ244" s="114"/>
      <c r="DK244" s="114"/>
      <c r="DL244" s="114"/>
      <c r="DM244" s="114"/>
      <c r="DN244" s="114"/>
      <c r="DO244" s="114"/>
      <c r="DP244" s="114"/>
      <c r="DQ244" s="114"/>
      <c r="DR244" s="114"/>
      <c r="DS244" s="114"/>
      <c r="DT244" s="114"/>
      <c r="DU244" s="114"/>
      <c r="DV244" s="114"/>
      <c r="DW244" s="114"/>
    </row>
    <row r="245" spans="2:127" x14ac:dyDescent="0.25">
      <c r="B245" s="396">
        <v>43009</v>
      </c>
      <c r="C245" s="400">
        <v>42998</v>
      </c>
      <c r="R245" s="114"/>
      <c r="W245" s="483"/>
      <c r="AE245" s="124">
        <v>7.3313357487898009E-2</v>
      </c>
      <c r="BS245" s="114"/>
      <c r="BT245" s="114"/>
      <c r="BZ245" s="114"/>
      <c r="CA245" s="114"/>
      <c r="CF245" s="114"/>
      <c r="CG245" s="114"/>
      <c r="CM245" s="114"/>
      <c r="CN245" s="114"/>
      <c r="CS245" s="114"/>
      <c r="CT245" s="114"/>
      <c r="CX245" s="483"/>
      <c r="CY245" s="114"/>
      <c r="CZ245" s="114"/>
      <c r="DA245" s="114"/>
      <c r="DB245" s="483"/>
      <c r="DC245" s="114"/>
      <c r="DD245" s="114"/>
      <c r="DE245" s="114"/>
      <c r="DH245" s="114"/>
      <c r="DI245" s="114"/>
      <c r="DJ245" s="114"/>
      <c r="DK245" s="114"/>
      <c r="DL245" s="114"/>
      <c r="DM245" s="114"/>
      <c r="DN245" s="114"/>
      <c r="DO245" s="114"/>
      <c r="DP245" s="114"/>
      <c r="DQ245" s="114"/>
      <c r="DR245" s="114"/>
      <c r="DS245" s="114"/>
      <c r="DT245" s="114"/>
      <c r="DU245" s="114"/>
      <c r="DV245" s="114"/>
      <c r="DW245" s="114"/>
    </row>
    <row r="246" spans="2:127" x14ac:dyDescent="0.25">
      <c r="B246" s="396">
        <v>43040</v>
      </c>
      <c r="C246" s="400">
        <v>43030</v>
      </c>
      <c r="R246" s="114"/>
      <c r="W246" s="483"/>
      <c r="AE246" s="124">
        <v>7.3307430571668011E-2</v>
      </c>
      <c r="BS246" s="114"/>
      <c r="BT246" s="114"/>
      <c r="BZ246" s="114"/>
      <c r="CA246" s="114"/>
      <c r="CF246" s="114"/>
      <c r="CG246" s="114"/>
      <c r="CM246" s="114"/>
      <c r="CN246" s="114"/>
      <c r="CS246" s="114"/>
      <c r="CT246" s="114"/>
      <c r="CX246" s="483"/>
      <c r="CY246" s="114"/>
      <c r="CZ246" s="114"/>
      <c r="DA246" s="114"/>
      <c r="DB246" s="483"/>
      <c r="DC246" s="114"/>
      <c r="DD246" s="114"/>
      <c r="DE246" s="114"/>
      <c r="DH246" s="114"/>
      <c r="DI246" s="114"/>
      <c r="DJ246" s="114"/>
      <c r="DK246" s="114"/>
      <c r="DL246" s="114"/>
      <c r="DM246" s="114"/>
      <c r="DN246" s="114"/>
      <c r="DO246" s="114"/>
      <c r="DP246" s="114"/>
      <c r="DQ246" s="114"/>
      <c r="DR246" s="114"/>
      <c r="DS246" s="114"/>
      <c r="DT246" s="114"/>
      <c r="DU246" s="114"/>
      <c r="DV246" s="114"/>
      <c r="DW246" s="114"/>
    </row>
    <row r="247" spans="2:127" x14ac:dyDescent="0.25">
      <c r="B247" s="396">
        <v>43070</v>
      </c>
      <c r="C247" s="400">
        <v>43058</v>
      </c>
      <c r="R247" s="114"/>
      <c r="W247" s="483"/>
      <c r="AE247" s="124">
        <v>7.329868341057201E-2</v>
      </c>
      <c r="BS247" s="114"/>
      <c r="BT247" s="114"/>
      <c r="BZ247" s="114"/>
      <c r="CA247" s="114"/>
      <c r="CF247" s="114"/>
      <c r="CG247" s="114"/>
      <c r="CM247" s="114"/>
      <c r="CN247" s="114"/>
      <c r="CS247" s="114"/>
      <c r="CT247" s="114"/>
      <c r="CX247" s="483"/>
      <c r="CY247" s="114"/>
      <c r="CZ247" s="114"/>
      <c r="DA247" s="114"/>
      <c r="DB247" s="483"/>
      <c r="DC247" s="114"/>
      <c r="DD247" s="114"/>
      <c r="DE247" s="114"/>
      <c r="DH247" s="114"/>
      <c r="DI247" s="114"/>
      <c r="DJ247" s="114"/>
      <c r="DK247" s="114"/>
      <c r="DL247" s="114"/>
      <c r="DM247" s="114"/>
      <c r="DN247" s="114"/>
      <c r="DO247" s="114"/>
      <c r="DP247" s="114"/>
      <c r="DQ247" s="114"/>
      <c r="DR247" s="114"/>
      <c r="DS247" s="114"/>
      <c r="DT247" s="114"/>
      <c r="DU247" s="114"/>
      <c r="DV247" s="114"/>
      <c r="DW247" s="114"/>
    </row>
    <row r="248" spans="2:127" x14ac:dyDescent="0.25">
      <c r="B248" s="396">
        <v>43101</v>
      </c>
      <c r="C248" s="400">
        <v>43088</v>
      </c>
      <c r="R248" s="114"/>
      <c r="W248" s="483"/>
      <c r="AE248" s="124">
        <v>7.3289644677466001E-2</v>
      </c>
      <c r="BS248" s="114"/>
      <c r="BT248" s="114"/>
      <c r="BZ248" s="114"/>
      <c r="CA248" s="114"/>
      <c r="CF248" s="114"/>
      <c r="CG248" s="114"/>
      <c r="CM248" s="114"/>
      <c r="CN248" s="114"/>
      <c r="CS248" s="114"/>
      <c r="CT248" s="114"/>
      <c r="CX248" s="483"/>
      <c r="CY248" s="114"/>
      <c r="CZ248" s="114"/>
      <c r="DA248" s="114"/>
      <c r="DB248" s="483"/>
      <c r="DC248" s="114"/>
      <c r="DD248" s="114"/>
      <c r="DE248" s="114"/>
      <c r="DH248" s="114"/>
      <c r="DI248" s="114"/>
      <c r="DJ248" s="114"/>
      <c r="DK248" s="114"/>
      <c r="DL248" s="114"/>
      <c r="DM248" s="114"/>
      <c r="DN248" s="114"/>
      <c r="DO248" s="114"/>
      <c r="DP248" s="114"/>
      <c r="DQ248" s="114"/>
      <c r="DR248" s="114"/>
      <c r="DS248" s="114"/>
      <c r="DT248" s="114"/>
      <c r="DU248" s="114"/>
      <c r="DV248" s="114"/>
      <c r="DW248" s="114"/>
    </row>
    <row r="249" spans="2:127" x14ac:dyDescent="0.25">
      <c r="B249" s="396">
        <v>43132</v>
      </c>
      <c r="C249" s="400">
        <v>43122</v>
      </c>
      <c r="R249" s="114"/>
      <c r="W249" s="483"/>
      <c r="AE249" s="124">
        <v>7.3280897516422E-2</v>
      </c>
      <c r="BS249" s="114"/>
      <c r="BT249" s="114"/>
      <c r="BZ249" s="114"/>
      <c r="CA249" s="114"/>
      <c r="CF249" s="114"/>
      <c r="CG249" s="114"/>
      <c r="CM249" s="114"/>
      <c r="CN249" s="114"/>
      <c r="CS249" s="114"/>
      <c r="CT249" s="114"/>
      <c r="CX249" s="483"/>
      <c r="CY249" s="114"/>
      <c r="CZ249" s="114"/>
      <c r="DA249" s="114"/>
      <c r="DB249" s="483"/>
      <c r="DC249" s="114"/>
      <c r="DD249" s="114"/>
      <c r="DE249" s="114"/>
      <c r="DH249" s="114"/>
      <c r="DI249" s="114"/>
      <c r="DJ249" s="114"/>
      <c r="DK249" s="114"/>
      <c r="DL249" s="114"/>
      <c r="DM249" s="114"/>
      <c r="DN249" s="114"/>
      <c r="DO249" s="114"/>
      <c r="DP249" s="114"/>
      <c r="DQ249" s="114"/>
      <c r="DR249" s="114"/>
      <c r="DS249" s="114"/>
      <c r="DT249" s="114"/>
      <c r="DU249" s="114"/>
      <c r="DV249" s="114"/>
      <c r="DW249" s="114"/>
    </row>
    <row r="250" spans="2:127" x14ac:dyDescent="0.25">
      <c r="B250" s="396">
        <v>43160</v>
      </c>
      <c r="C250" s="400">
        <v>43151</v>
      </c>
      <c r="R250" s="114"/>
      <c r="W250" s="483"/>
      <c r="AE250" s="124">
        <v>7.3271858783369018E-2</v>
      </c>
      <c r="BS250" s="114"/>
      <c r="BT250" s="114"/>
      <c r="BZ250" s="114"/>
      <c r="CA250" s="114"/>
      <c r="CF250" s="114"/>
      <c r="CG250" s="114"/>
      <c r="CM250" s="114"/>
      <c r="CN250" s="114"/>
      <c r="CS250" s="114"/>
      <c r="CT250" s="114"/>
      <c r="CX250" s="483"/>
      <c r="CY250" s="114"/>
      <c r="CZ250" s="114"/>
      <c r="DA250" s="114"/>
      <c r="DB250" s="483"/>
      <c r="DC250" s="114"/>
      <c r="DD250" s="114"/>
      <c r="DE250" s="114"/>
      <c r="DH250" s="114"/>
      <c r="DI250" s="114"/>
      <c r="DJ250" s="114"/>
      <c r="DK250" s="114"/>
      <c r="DL250" s="114"/>
      <c r="DM250" s="114"/>
      <c r="DN250" s="114"/>
      <c r="DO250" s="114"/>
      <c r="DP250" s="114"/>
      <c r="DQ250" s="114"/>
      <c r="DR250" s="114"/>
      <c r="DS250" s="114"/>
      <c r="DT250" s="114"/>
      <c r="DU250" s="114"/>
      <c r="DV250" s="114"/>
      <c r="DW250" s="114"/>
    </row>
    <row r="251" spans="2:127" x14ac:dyDescent="0.25">
      <c r="B251" s="396">
        <v>43191</v>
      </c>
      <c r="C251" s="400">
        <v>43179</v>
      </c>
      <c r="R251" s="114"/>
      <c r="W251" s="483"/>
      <c r="AE251" s="124">
        <v>7.3262820050343014E-2</v>
      </c>
      <c r="BS251" s="114"/>
      <c r="BT251" s="114"/>
      <c r="BZ251" s="114"/>
      <c r="CA251" s="114"/>
      <c r="CF251" s="114"/>
      <c r="CG251" s="114"/>
      <c r="CM251" s="114"/>
      <c r="CN251" s="114"/>
      <c r="CS251" s="114"/>
      <c r="CT251" s="114"/>
      <c r="CX251" s="483"/>
      <c r="CY251" s="114"/>
      <c r="CZ251" s="114"/>
      <c r="DA251" s="114"/>
      <c r="DB251" s="483"/>
      <c r="DC251" s="114"/>
      <c r="DD251" s="114"/>
      <c r="DE251" s="114"/>
      <c r="DH251" s="114"/>
      <c r="DI251" s="114"/>
      <c r="DJ251" s="114"/>
      <c r="DK251" s="114"/>
      <c r="DL251" s="114"/>
      <c r="DM251" s="114"/>
      <c r="DN251" s="114"/>
      <c r="DO251" s="114"/>
      <c r="DP251" s="114"/>
      <c r="DQ251" s="114"/>
      <c r="DR251" s="114"/>
      <c r="DS251" s="114"/>
      <c r="DT251" s="114"/>
      <c r="DU251" s="114"/>
      <c r="DV251" s="114"/>
      <c r="DW251" s="114"/>
    </row>
    <row r="252" spans="2:127" x14ac:dyDescent="0.25">
      <c r="B252" s="396">
        <v>43221</v>
      </c>
      <c r="C252" s="400">
        <v>43210</v>
      </c>
      <c r="R252" s="114"/>
      <c r="W252" s="483"/>
      <c r="AE252" s="124">
        <v>7.3254072889376021E-2</v>
      </c>
      <c r="BS252" s="114"/>
      <c r="BT252" s="114"/>
      <c r="BZ252" s="114"/>
      <c r="CA252" s="114"/>
      <c r="CF252" s="114"/>
      <c r="CG252" s="114"/>
      <c r="CM252" s="114"/>
      <c r="CN252" s="114"/>
      <c r="CS252" s="114"/>
      <c r="CT252" s="114"/>
      <c r="CX252" s="483"/>
      <c r="CY252" s="114"/>
      <c r="CZ252" s="114"/>
      <c r="DA252" s="114"/>
      <c r="DB252" s="483"/>
      <c r="DC252" s="114"/>
      <c r="DD252" s="114"/>
      <c r="DE252" s="114"/>
      <c r="DH252" s="114"/>
      <c r="DI252" s="114"/>
      <c r="DJ252" s="114"/>
      <c r="DK252" s="114"/>
      <c r="DL252" s="114"/>
      <c r="DM252" s="114"/>
      <c r="DN252" s="114"/>
      <c r="DO252" s="114"/>
      <c r="DP252" s="114"/>
      <c r="DQ252" s="114"/>
      <c r="DR252" s="114"/>
      <c r="DS252" s="114"/>
      <c r="DT252" s="114"/>
      <c r="DU252" s="114"/>
      <c r="DV252" s="114"/>
      <c r="DW252" s="114"/>
    </row>
    <row r="253" spans="2:127" x14ac:dyDescent="0.25">
      <c r="B253" s="396">
        <v>43252</v>
      </c>
      <c r="C253" s="400">
        <v>43242</v>
      </c>
      <c r="R253" s="114"/>
      <c r="W253" s="483"/>
      <c r="AE253" s="124">
        <v>7.3245034156403016E-2</v>
      </c>
      <c r="BS253" s="114"/>
      <c r="BT253" s="114"/>
      <c r="BZ253" s="114"/>
      <c r="CA253" s="114"/>
      <c r="CF253" s="114"/>
      <c r="CG253" s="114"/>
      <c r="CM253" s="114"/>
      <c r="CN253" s="114"/>
      <c r="CS253" s="114"/>
      <c r="CT253" s="114"/>
      <c r="CX253" s="483"/>
      <c r="CY253" s="114"/>
      <c r="CZ253" s="114"/>
      <c r="DA253" s="114"/>
      <c r="DB253" s="483"/>
      <c r="DC253" s="114"/>
      <c r="DD253" s="114"/>
      <c r="DE253" s="114"/>
      <c r="DH253" s="114"/>
      <c r="DI253" s="114"/>
      <c r="DJ253" s="114"/>
      <c r="DK253" s="114"/>
      <c r="DL253" s="114"/>
      <c r="DM253" s="114"/>
      <c r="DN253" s="114"/>
      <c r="DO253" s="114"/>
      <c r="DP253" s="114"/>
      <c r="DQ253" s="114"/>
      <c r="DR253" s="114"/>
      <c r="DS253" s="114"/>
      <c r="DT253" s="114"/>
      <c r="DU253" s="114"/>
      <c r="DV253" s="114"/>
      <c r="DW253" s="114"/>
    </row>
    <row r="254" spans="2:127" x14ac:dyDescent="0.25">
      <c r="B254" s="396">
        <v>43282</v>
      </c>
      <c r="C254" s="400">
        <v>43271</v>
      </c>
      <c r="R254" s="114"/>
      <c r="W254" s="483"/>
      <c r="AE254" s="124">
        <v>7.3236286995488009E-2</v>
      </c>
      <c r="BS254" s="114"/>
      <c r="BT254" s="114"/>
      <c r="BZ254" s="114"/>
      <c r="CA254" s="114"/>
      <c r="CF254" s="114"/>
      <c r="CG254" s="114"/>
      <c r="CM254" s="114"/>
      <c r="CN254" s="114"/>
      <c r="CS254" s="114"/>
      <c r="CT254" s="114"/>
      <c r="CX254" s="483"/>
      <c r="CY254" s="114"/>
      <c r="CZ254" s="114"/>
      <c r="DA254" s="114"/>
      <c r="DB254" s="483"/>
      <c r="DC254" s="114"/>
      <c r="DD254" s="114"/>
      <c r="DE254" s="114"/>
      <c r="DH254" s="114"/>
      <c r="DI254" s="114"/>
      <c r="DJ254" s="114"/>
      <c r="DK254" s="114"/>
      <c r="DL254" s="114"/>
      <c r="DM254" s="114"/>
      <c r="DN254" s="114"/>
      <c r="DO254" s="114"/>
      <c r="DP254" s="114"/>
      <c r="DQ254" s="114"/>
      <c r="DR254" s="114"/>
      <c r="DS254" s="114"/>
      <c r="DT254" s="114"/>
      <c r="DU254" s="114"/>
      <c r="DV254" s="114"/>
      <c r="DW254" s="114"/>
    </row>
    <row r="255" spans="2:127" x14ac:dyDescent="0.25">
      <c r="B255" s="396">
        <v>43313</v>
      </c>
      <c r="C255" s="400">
        <v>43301</v>
      </c>
      <c r="R255" s="114"/>
      <c r="W255" s="483"/>
      <c r="AE255" s="124">
        <v>7.3227248262568004E-2</v>
      </c>
      <c r="BS255" s="114"/>
      <c r="BT255" s="114"/>
      <c r="BZ255" s="114"/>
      <c r="CA255" s="114"/>
      <c r="CF255" s="114"/>
      <c r="CG255" s="114"/>
      <c r="CM255" s="114"/>
      <c r="CN255" s="114"/>
      <c r="CS255" s="114"/>
      <c r="CT255" s="114"/>
      <c r="CX255" s="483"/>
      <c r="CY255" s="114"/>
      <c r="CZ255" s="114"/>
      <c r="DA255" s="114"/>
      <c r="DB255" s="483"/>
      <c r="DC255" s="114"/>
      <c r="DD255" s="114"/>
      <c r="DE255" s="114"/>
      <c r="DH255" s="114"/>
      <c r="DI255" s="114"/>
      <c r="DJ255" s="114"/>
      <c r="DK255" s="114"/>
      <c r="DL255" s="114"/>
      <c r="DM255" s="114"/>
      <c r="DN255" s="114"/>
      <c r="DO255" s="114"/>
      <c r="DP255" s="114"/>
      <c r="DQ255" s="114"/>
      <c r="DR255" s="114"/>
      <c r="DS255" s="114"/>
      <c r="DT255" s="114"/>
      <c r="DU255" s="114"/>
      <c r="DV255" s="114"/>
      <c r="DW255" s="114"/>
    </row>
    <row r="256" spans="2:127" x14ac:dyDescent="0.25">
      <c r="B256" s="396">
        <v>43344</v>
      </c>
      <c r="C256" s="400">
        <v>43333</v>
      </c>
      <c r="R256" s="114"/>
      <c r="W256" s="483"/>
      <c r="AE256" s="124">
        <v>7.3218209529676004E-2</v>
      </c>
      <c r="BS256" s="114"/>
      <c r="BT256" s="114"/>
      <c r="BZ256" s="114"/>
      <c r="CA256" s="114"/>
      <c r="CF256" s="114"/>
      <c r="CG256" s="114"/>
      <c r="CM256" s="114"/>
      <c r="CN256" s="114"/>
      <c r="CS256" s="114"/>
      <c r="CT256" s="114"/>
      <c r="CX256" s="483"/>
      <c r="CY256" s="114"/>
      <c r="CZ256" s="114"/>
      <c r="DA256" s="114"/>
      <c r="DB256" s="483"/>
      <c r="DC256" s="114"/>
      <c r="DD256" s="114"/>
      <c r="DE256" s="114"/>
      <c r="DH256" s="114"/>
      <c r="DI256" s="114"/>
      <c r="DJ256" s="114"/>
      <c r="DK256" s="114"/>
      <c r="DL256" s="114"/>
      <c r="DM256" s="114"/>
      <c r="DN256" s="114"/>
      <c r="DO256" s="114"/>
      <c r="DP256" s="114"/>
      <c r="DQ256" s="114"/>
      <c r="DR256" s="114"/>
      <c r="DS256" s="114"/>
      <c r="DT256" s="114"/>
      <c r="DU256" s="114"/>
      <c r="DV256" s="114"/>
      <c r="DW256" s="114"/>
    </row>
    <row r="257" spans="2:127" x14ac:dyDescent="0.25">
      <c r="B257" s="396">
        <v>43374</v>
      </c>
      <c r="C257" s="400">
        <v>43363</v>
      </c>
      <c r="R257" s="114"/>
      <c r="W257" s="483"/>
      <c r="AE257" s="124">
        <v>7.3210045512891994E-2</v>
      </c>
      <c r="BS257" s="114"/>
      <c r="BT257" s="114"/>
      <c r="BZ257" s="114"/>
      <c r="CA257" s="114"/>
      <c r="CF257" s="114"/>
      <c r="CG257" s="114"/>
      <c r="CM257" s="114"/>
      <c r="CN257" s="114"/>
      <c r="CS257" s="114"/>
      <c r="CT257" s="114"/>
      <c r="CX257" s="483"/>
      <c r="CY257" s="114"/>
      <c r="CZ257" s="114"/>
      <c r="DA257" s="114"/>
      <c r="DB257" s="483"/>
      <c r="DC257" s="114"/>
      <c r="DD257" s="114"/>
      <c r="DE257" s="114"/>
      <c r="DH257" s="114"/>
      <c r="DI257" s="114"/>
      <c r="DJ257" s="114"/>
      <c r="DK257" s="114"/>
      <c r="DL257" s="114"/>
      <c r="DM257" s="114"/>
      <c r="DN257" s="114"/>
      <c r="DO257" s="114"/>
      <c r="DP257" s="114"/>
      <c r="DQ257" s="114"/>
      <c r="DR257" s="114"/>
      <c r="DS257" s="114"/>
      <c r="DT257" s="114"/>
      <c r="DU257" s="114"/>
      <c r="DV257" s="114"/>
      <c r="DW257" s="114"/>
    </row>
    <row r="258" spans="2:127" x14ac:dyDescent="0.25">
      <c r="B258" s="396">
        <v>43405</v>
      </c>
      <c r="C258" s="400">
        <v>43395</v>
      </c>
      <c r="R258" s="114"/>
      <c r="W258" s="483"/>
      <c r="AE258" s="124">
        <v>7.3201006780051037E-2</v>
      </c>
      <c r="BS258" s="114"/>
      <c r="BT258" s="114"/>
      <c r="BZ258" s="114"/>
      <c r="CA258" s="114"/>
      <c r="CF258" s="114"/>
      <c r="CG258" s="114"/>
      <c r="CM258" s="114"/>
      <c r="CN258" s="114"/>
      <c r="CS258" s="114"/>
      <c r="CT258" s="114"/>
      <c r="CX258" s="483"/>
      <c r="CY258" s="114"/>
      <c r="CZ258" s="114"/>
      <c r="DA258" s="114"/>
      <c r="DB258" s="483"/>
      <c r="DC258" s="114"/>
      <c r="DD258" s="114"/>
      <c r="DE258" s="114"/>
      <c r="DH258" s="114"/>
      <c r="DI258" s="114"/>
      <c r="DJ258" s="114"/>
      <c r="DK258" s="114"/>
      <c r="DL258" s="114"/>
      <c r="DM258" s="114"/>
      <c r="DN258" s="114"/>
      <c r="DO258" s="114"/>
      <c r="DP258" s="114"/>
      <c r="DQ258" s="114"/>
      <c r="DR258" s="114"/>
      <c r="DS258" s="114"/>
      <c r="DT258" s="114"/>
      <c r="DU258" s="114"/>
      <c r="DV258" s="114"/>
      <c r="DW258" s="114"/>
    </row>
    <row r="259" spans="2:127" x14ac:dyDescent="0.25">
      <c r="B259" s="396">
        <v>43435</v>
      </c>
      <c r="C259" s="400">
        <v>43423</v>
      </c>
      <c r="R259" s="114"/>
      <c r="W259" s="483"/>
      <c r="AE259" s="124">
        <v>7.3192259619263011E-2</v>
      </c>
      <c r="BS259" s="114"/>
      <c r="BT259" s="114"/>
      <c r="BZ259" s="114"/>
      <c r="CA259" s="114"/>
      <c r="CF259" s="114"/>
      <c r="CG259" s="114"/>
      <c r="CM259" s="114"/>
      <c r="CN259" s="114"/>
      <c r="CS259" s="114"/>
      <c r="CT259" s="114"/>
      <c r="CX259" s="483"/>
      <c r="CY259" s="114"/>
      <c r="CZ259" s="114"/>
      <c r="DA259" s="114"/>
      <c r="DB259" s="483"/>
      <c r="DC259" s="114"/>
      <c r="DD259" s="114"/>
      <c r="DE259" s="114"/>
      <c r="DH259" s="114"/>
      <c r="DI259" s="114"/>
      <c r="DJ259" s="114"/>
      <c r="DK259" s="114"/>
      <c r="DL259" s="114"/>
      <c r="DM259" s="114"/>
      <c r="DN259" s="114"/>
      <c r="DO259" s="114"/>
      <c r="DP259" s="114"/>
      <c r="DQ259" s="114"/>
      <c r="DR259" s="114"/>
      <c r="DS259" s="114"/>
      <c r="DT259" s="114"/>
      <c r="DU259" s="114"/>
      <c r="DV259" s="114"/>
      <c r="DW259" s="114"/>
    </row>
    <row r="260" spans="2:127" x14ac:dyDescent="0.25">
      <c r="B260" s="396">
        <v>43466</v>
      </c>
      <c r="C260" s="400">
        <v>43453</v>
      </c>
      <c r="R260" s="114"/>
      <c r="W260" s="483"/>
      <c r="AE260" s="124">
        <v>7.3183220886473999E-2</v>
      </c>
      <c r="BS260" s="114"/>
      <c r="BT260" s="114"/>
      <c r="BZ260" s="114"/>
      <c r="CA260" s="114"/>
      <c r="CF260" s="114"/>
      <c r="CG260" s="114"/>
      <c r="CM260" s="114"/>
      <c r="CN260" s="114"/>
      <c r="CS260" s="114"/>
      <c r="CT260" s="114"/>
      <c r="CX260" s="483"/>
      <c r="CY260" s="114"/>
      <c r="CZ260" s="114"/>
      <c r="DA260" s="114"/>
      <c r="DB260" s="483"/>
      <c r="DC260" s="114"/>
      <c r="DD260" s="114"/>
      <c r="DE260" s="114"/>
      <c r="DH260" s="114"/>
      <c r="DI260" s="114"/>
      <c r="DJ260" s="114"/>
      <c r="DK260" s="114"/>
      <c r="DL260" s="114"/>
      <c r="DM260" s="114"/>
      <c r="DN260" s="114"/>
      <c r="DO260" s="114"/>
      <c r="DP260" s="114"/>
      <c r="DQ260" s="114"/>
      <c r="DR260" s="114"/>
      <c r="DS260" s="114"/>
      <c r="DT260" s="114"/>
      <c r="DU260" s="114"/>
      <c r="DV260" s="114"/>
      <c r="DW260" s="114"/>
    </row>
    <row r="261" spans="2:127" x14ac:dyDescent="0.25">
      <c r="B261" s="396">
        <v>43497</v>
      </c>
      <c r="C261" s="400">
        <v>43487</v>
      </c>
      <c r="R261" s="114"/>
      <c r="W261" s="483"/>
      <c r="AE261" s="124">
        <v>7.3174473725737002E-2</v>
      </c>
      <c r="BS261" s="114"/>
      <c r="BT261" s="114"/>
      <c r="BZ261" s="114"/>
      <c r="CA261" s="114"/>
      <c r="CF261" s="114"/>
      <c r="CG261" s="114"/>
      <c r="CM261" s="114"/>
      <c r="CN261" s="114"/>
      <c r="CS261" s="114"/>
      <c r="CT261" s="114"/>
      <c r="CX261" s="483"/>
      <c r="CY261" s="114"/>
      <c r="CZ261" s="114"/>
      <c r="DA261" s="114"/>
      <c r="DB261" s="483"/>
      <c r="DC261" s="114"/>
      <c r="DD261" s="114"/>
      <c r="DE261" s="114"/>
      <c r="DH261" s="114"/>
      <c r="DI261" s="114"/>
      <c r="DJ261" s="114"/>
      <c r="DK261" s="114"/>
      <c r="DL261" s="114"/>
      <c r="DM261" s="114"/>
      <c r="DN261" s="114"/>
      <c r="DO261" s="114"/>
      <c r="DP261" s="114"/>
      <c r="DQ261" s="114"/>
      <c r="DR261" s="114"/>
      <c r="DS261" s="114"/>
      <c r="DT261" s="114"/>
      <c r="DU261" s="114"/>
      <c r="DV261" s="114"/>
      <c r="DW261" s="114"/>
    </row>
    <row r="262" spans="2:127" x14ac:dyDescent="0.25">
      <c r="B262" s="396">
        <v>43525</v>
      </c>
      <c r="C262" s="400">
        <v>43516</v>
      </c>
      <c r="R262" s="114"/>
      <c r="W262" s="483"/>
      <c r="AE262" s="124">
        <v>7.3165434993002001E-2</v>
      </c>
      <c r="BS262" s="114"/>
      <c r="BT262" s="114"/>
      <c r="BZ262" s="114"/>
      <c r="CA262" s="114"/>
      <c r="CF262" s="114"/>
      <c r="CG262" s="114"/>
      <c r="CM262" s="114"/>
      <c r="CN262" s="114"/>
      <c r="CS262" s="114"/>
      <c r="CT262" s="114"/>
      <c r="CX262" s="483"/>
      <c r="CY262" s="114"/>
      <c r="CZ262" s="114"/>
      <c r="DA262" s="114"/>
      <c r="DB262" s="483"/>
      <c r="DC262" s="114"/>
      <c r="DD262" s="114"/>
      <c r="DE262" s="114"/>
      <c r="DH262" s="114"/>
      <c r="DI262" s="114"/>
      <c r="DJ262" s="114"/>
      <c r="DK262" s="114"/>
      <c r="DL262" s="114"/>
      <c r="DM262" s="114"/>
      <c r="DN262" s="114"/>
      <c r="DO262" s="114"/>
      <c r="DP262" s="114"/>
      <c r="DQ262" s="114"/>
      <c r="DR262" s="114"/>
      <c r="DS262" s="114"/>
      <c r="DT262" s="114"/>
      <c r="DU262" s="114"/>
      <c r="DV262" s="114"/>
      <c r="DW262" s="114"/>
    </row>
    <row r="263" spans="2:127" x14ac:dyDescent="0.25">
      <c r="B263" s="396">
        <v>43556</v>
      </c>
      <c r="C263" s="400">
        <v>43544</v>
      </c>
      <c r="R263" s="114"/>
      <c r="W263" s="483"/>
      <c r="AE263" s="124">
        <v>7.3156396260293008E-2</v>
      </c>
      <c r="BS263" s="114"/>
      <c r="BT263" s="114"/>
      <c r="BZ263" s="114"/>
      <c r="CA263" s="114"/>
      <c r="CF263" s="114"/>
      <c r="CG263" s="114"/>
      <c r="CM263" s="114"/>
      <c r="CN263" s="114"/>
      <c r="CS263" s="114"/>
      <c r="CT263" s="114"/>
      <c r="CX263" s="483"/>
      <c r="CY263" s="114"/>
      <c r="CZ263" s="114"/>
      <c r="DA263" s="114"/>
      <c r="DB263" s="483"/>
      <c r="DC263" s="114"/>
      <c r="DD263" s="114"/>
      <c r="DE263" s="114"/>
      <c r="DH263" s="114"/>
      <c r="DI263" s="114"/>
      <c r="DJ263" s="114"/>
      <c r="DK263" s="114"/>
      <c r="DL263" s="114"/>
      <c r="DM263" s="114"/>
      <c r="DN263" s="114"/>
      <c r="DO263" s="114"/>
      <c r="DP263" s="114"/>
      <c r="DQ263" s="114"/>
      <c r="DR263" s="114"/>
      <c r="DS263" s="114"/>
      <c r="DT263" s="114"/>
      <c r="DU263" s="114"/>
      <c r="DV263" s="114"/>
      <c r="DW263" s="114"/>
    </row>
    <row r="264" spans="2:127" x14ac:dyDescent="0.25">
      <c r="B264" s="396">
        <v>43586</v>
      </c>
      <c r="C264" s="400">
        <v>43575</v>
      </c>
      <c r="R264" s="114"/>
      <c r="W264" s="483"/>
      <c r="AE264" s="124">
        <v>7.3147649099634005E-2</v>
      </c>
      <c r="BS264" s="114"/>
      <c r="BT264" s="114"/>
      <c r="BZ264" s="114"/>
      <c r="CA264" s="114"/>
      <c r="CF264" s="114"/>
      <c r="CG264" s="114"/>
      <c r="CM264" s="114"/>
      <c r="CN264" s="114"/>
      <c r="CS264" s="114"/>
      <c r="CT264" s="114"/>
      <c r="CX264" s="483"/>
      <c r="CY264" s="114"/>
      <c r="CZ264" s="114"/>
      <c r="DA264" s="114"/>
      <c r="DB264" s="483"/>
      <c r="DC264" s="114"/>
      <c r="DD264" s="114"/>
      <c r="DE264" s="114"/>
      <c r="DH264" s="114"/>
      <c r="DI264" s="114"/>
      <c r="DJ264" s="114"/>
      <c r="DK264" s="114"/>
      <c r="DL264" s="114"/>
      <c r="DM264" s="114"/>
      <c r="DN264" s="114"/>
      <c r="DO264" s="114"/>
      <c r="DP264" s="114"/>
      <c r="DQ264" s="114"/>
      <c r="DR264" s="114"/>
      <c r="DS264" s="114"/>
      <c r="DT264" s="114"/>
      <c r="DU264" s="114"/>
      <c r="DV264" s="114"/>
      <c r="DW264" s="114"/>
    </row>
    <row r="265" spans="2:127" x14ac:dyDescent="0.25">
      <c r="B265" s="396">
        <v>43617</v>
      </c>
      <c r="C265" s="400">
        <v>43607</v>
      </c>
      <c r="R265" s="114"/>
      <c r="W265" s="483"/>
      <c r="AE265" s="124">
        <v>7.3138610366979023E-2</v>
      </c>
      <c r="BS265" s="114"/>
      <c r="BT265" s="114"/>
      <c r="BZ265" s="114"/>
      <c r="CA265" s="114"/>
      <c r="CF265" s="114"/>
      <c r="CG265" s="114"/>
      <c r="CM265" s="114"/>
      <c r="CN265" s="114"/>
      <c r="CS265" s="114"/>
      <c r="CT265" s="114"/>
      <c r="CX265" s="483"/>
      <c r="CY265" s="114"/>
      <c r="CZ265" s="114"/>
      <c r="DA265" s="114"/>
      <c r="DB265" s="483"/>
      <c r="DC265" s="114"/>
      <c r="DD265" s="114"/>
      <c r="DE265" s="114"/>
      <c r="DH265" s="114"/>
      <c r="DI265" s="114"/>
      <c r="DJ265" s="114"/>
      <c r="DK265" s="114"/>
      <c r="DL265" s="114"/>
      <c r="DM265" s="114"/>
      <c r="DN265" s="114"/>
      <c r="DO265" s="114"/>
      <c r="DP265" s="114"/>
      <c r="DQ265" s="114"/>
      <c r="DR265" s="114"/>
      <c r="DS265" s="114"/>
      <c r="DT265" s="114"/>
      <c r="DU265" s="114"/>
      <c r="DV265" s="114"/>
      <c r="DW265" s="114"/>
    </row>
    <row r="266" spans="2:127" x14ac:dyDescent="0.25">
      <c r="B266" s="396">
        <v>43647</v>
      </c>
      <c r="C266" s="400">
        <v>43636</v>
      </c>
      <c r="R266" s="114"/>
      <c r="W266" s="483"/>
      <c r="AE266" s="124">
        <v>7.3129863206370008E-2</v>
      </c>
      <c r="BS266" s="114"/>
      <c r="BT266" s="114"/>
      <c r="BZ266" s="114"/>
      <c r="CA266" s="114"/>
      <c r="CF266" s="114"/>
      <c r="CG266" s="114"/>
      <c r="CM266" s="114"/>
      <c r="CN266" s="114"/>
      <c r="CS266" s="114"/>
      <c r="CT266" s="114"/>
      <c r="CX266" s="483"/>
      <c r="CY266" s="114"/>
      <c r="CZ266" s="114"/>
      <c r="DA266" s="114"/>
      <c r="DB266" s="483"/>
      <c r="DC266" s="114"/>
      <c r="DD266" s="114"/>
      <c r="DE266" s="114"/>
      <c r="DH266" s="114"/>
      <c r="DI266" s="114"/>
      <c r="DJ266" s="114"/>
      <c r="DK266" s="114"/>
      <c r="DL266" s="114"/>
      <c r="DM266" s="114"/>
      <c r="DN266" s="114"/>
      <c r="DO266" s="114"/>
      <c r="DP266" s="114"/>
      <c r="DQ266" s="114"/>
      <c r="DR266" s="114"/>
      <c r="DS266" s="114"/>
      <c r="DT266" s="114"/>
      <c r="DU266" s="114"/>
      <c r="DV266" s="114"/>
      <c r="DW266" s="114"/>
    </row>
    <row r="267" spans="2:127" x14ac:dyDescent="0.25">
      <c r="B267" s="396">
        <v>43678</v>
      </c>
      <c r="C267" s="400">
        <v>43666</v>
      </c>
      <c r="R267" s="114"/>
      <c r="W267" s="483"/>
      <c r="AE267" s="124">
        <v>7.3120824473768012E-2</v>
      </c>
      <c r="BS267" s="114"/>
      <c r="BT267" s="114"/>
      <c r="BZ267" s="114"/>
      <c r="CA267" s="114"/>
      <c r="CF267" s="114"/>
      <c r="CG267" s="114"/>
      <c r="CM267" s="114"/>
      <c r="CN267" s="114"/>
      <c r="CS267" s="114"/>
      <c r="CT267" s="114"/>
      <c r="CX267" s="483"/>
      <c r="CY267" s="114"/>
      <c r="CZ267" s="114"/>
      <c r="DA267" s="114"/>
      <c r="DB267" s="483"/>
      <c r="DC267" s="114"/>
      <c r="DD267" s="114"/>
      <c r="DE267" s="114"/>
      <c r="DH267" s="114"/>
      <c r="DI267" s="114"/>
      <c r="DJ267" s="114"/>
      <c r="DK267" s="114"/>
      <c r="DL267" s="114"/>
      <c r="DM267" s="114"/>
      <c r="DN267" s="114"/>
      <c r="DO267" s="114"/>
      <c r="DP267" s="114"/>
      <c r="DQ267" s="114"/>
      <c r="DR267" s="114"/>
      <c r="DS267" s="114"/>
      <c r="DT267" s="114"/>
      <c r="DU267" s="114"/>
      <c r="DV267" s="114"/>
      <c r="DW267" s="114"/>
    </row>
    <row r="268" spans="2:127" x14ac:dyDescent="0.25">
      <c r="B268" s="396">
        <v>43709</v>
      </c>
      <c r="C268" s="400">
        <v>43698</v>
      </c>
      <c r="R268" s="114"/>
      <c r="W268" s="483"/>
      <c r="AE268" s="124">
        <v>7.3111785741193008E-2</v>
      </c>
      <c r="BS268" s="114"/>
      <c r="BT268" s="114"/>
      <c r="BZ268" s="114"/>
      <c r="CA268" s="114"/>
      <c r="CF268" s="114"/>
      <c r="CG268" s="114"/>
      <c r="CM268" s="114"/>
      <c r="CN268" s="114"/>
      <c r="CS268" s="114"/>
      <c r="CT268" s="114"/>
      <c r="CX268" s="483"/>
      <c r="CY268" s="114"/>
      <c r="CZ268" s="114"/>
      <c r="DA268" s="114"/>
      <c r="DB268" s="483"/>
      <c r="DC268" s="114"/>
      <c r="DD268" s="114"/>
      <c r="DE268" s="114"/>
      <c r="DH268" s="114"/>
      <c r="DI268" s="114"/>
      <c r="DJ268" s="114"/>
      <c r="DK268" s="114"/>
      <c r="DL268" s="114"/>
      <c r="DM268" s="114"/>
      <c r="DN268" s="114"/>
      <c r="DO268" s="114"/>
      <c r="DP268" s="114"/>
      <c r="DQ268" s="114"/>
      <c r="DR268" s="114"/>
      <c r="DS268" s="114"/>
      <c r="DT268" s="114"/>
      <c r="DU268" s="114"/>
      <c r="DV268" s="114"/>
      <c r="DW268" s="114"/>
    </row>
    <row r="269" spans="2:127" x14ac:dyDescent="0.25">
      <c r="B269" s="396">
        <v>43739</v>
      </c>
      <c r="C269" s="400">
        <v>43728</v>
      </c>
      <c r="R269" s="114"/>
      <c r="W269" s="483"/>
      <c r="AE269" s="124">
        <v>7.3103621724697018E-2</v>
      </c>
      <c r="BS269" s="114"/>
      <c r="BT269" s="114"/>
      <c r="BZ269" s="114"/>
      <c r="CA269" s="114"/>
      <c r="CF269" s="114"/>
      <c r="CG269" s="114"/>
      <c r="CM269" s="114"/>
      <c r="CN269" s="114"/>
      <c r="CS269" s="114"/>
      <c r="CT269" s="114"/>
      <c r="CX269" s="483"/>
      <c r="CY269" s="114"/>
      <c r="CZ269" s="114"/>
      <c r="DA269" s="114"/>
      <c r="DB269" s="483"/>
      <c r="DC269" s="114"/>
      <c r="DD269" s="114"/>
      <c r="DE269" s="114"/>
      <c r="DH269" s="114"/>
      <c r="DI269" s="114"/>
      <c r="DJ269" s="114"/>
      <c r="DK269" s="114"/>
      <c r="DL269" s="114"/>
      <c r="DM269" s="114"/>
      <c r="DN269" s="114"/>
      <c r="DO269" s="114"/>
      <c r="DP269" s="114"/>
      <c r="DQ269" s="114"/>
      <c r="DR269" s="114"/>
      <c r="DS269" s="114"/>
      <c r="DT269" s="114"/>
      <c r="DU269" s="114"/>
      <c r="DV269" s="114"/>
      <c r="DW269" s="114"/>
    </row>
    <row r="270" spans="2:127" x14ac:dyDescent="0.25">
      <c r="B270" s="396">
        <v>43770</v>
      </c>
      <c r="C270" s="400">
        <v>43760</v>
      </c>
      <c r="R270" s="114"/>
      <c r="W270" s="483"/>
      <c r="AE270" s="124">
        <v>7.3094582992173002E-2</v>
      </c>
      <c r="BS270" s="114"/>
      <c r="BT270" s="114"/>
      <c r="BZ270" s="114"/>
      <c r="CA270" s="114"/>
      <c r="CF270" s="114"/>
      <c r="CG270" s="114"/>
      <c r="CM270" s="114"/>
      <c r="CN270" s="114"/>
      <c r="CS270" s="114"/>
      <c r="CT270" s="114"/>
      <c r="CX270" s="483"/>
      <c r="CY270" s="114"/>
      <c r="CZ270" s="114"/>
      <c r="DA270" s="114"/>
      <c r="DB270" s="483"/>
      <c r="DC270" s="114"/>
      <c r="DD270" s="114"/>
      <c r="DE270" s="114"/>
      <c r="DH270" s="114"/>
      <c r="DI270" s="114"/>
      <c r="DJ270" s="114"/>
      <c r="DK270" s="114"/>
      <c r="DL270" s="114"/>
      <c r="DM270" s="114"/>
      <c r="DN270" s="114"/>
      <c r="DO270" s="114"/>
      <c r="DP270" s="114"/>
      <c r="DQ270" s="114"/>
      <c r="DR270" s="114"/>
      <c r="DS270" s="114"/>
      <c r="DT270" s="114"/>
      <c r="DU270" s="114"/>
      <c r="DV270" s="114"/>
      <c r="DW270" s="114"/>
    </row>
    <row r="271" spans="2:127" x14ac:dyDescent="0.25">
      <c r="B271" s="396">
        <v>43800</v>
      </c>
      <c r="C271" s="400">
        <v>43788</v>
      </c>
      <c r="R271" s="114"/>
      <c r="W271" s="483"/>
      <c r="AE271" s="124">
        <v>7.3085835831692023E-2</v>
      </c>
      <c r="BS271" s="114"/>
      <c r="BT271" s="114"/>
      <c r="BZ271" s="114"/>
      <c r="CA271" s="114"/>
      <c r="CF271" s="114"/>
      <c r="CG271" s="114"/>
      <c r="CM271" s="114"/>
      <c r="CN271" s="114"/>
      <c r="CS271" s="114"/>
      <c r="CT271" s="114"/>
      <c r="CX271" s="483"/>
      <c r="CY271" s="114"/>
      <c r="CZ271" s="114"/>
      <c r="DA271" s="114"/>
      <c r="DB271" s="483"/>
      <c r="DC271" s="114"/>
      <c r="DD271" s="114"/>
      <c r="DE271" s="114"/>
      <c r="DH271" s="114"/>
      <c r="DI271" s="114"/>
      <c r="DJ271" s="114"/>
      <c r="DK271" s="114"/>
      <c r="DL271" s="114"/>
      <c r="DM271" s="114"/>
      <c r="DN271" s="114"/>
      <c r="DO271" s="114"/>
      <c r="DP271" s="114"/>
      <c r="DQ271" s="114"/>
      <c r="DR271" s="114"/>
      <c r="DS271" s="114"/>
      <c r="DT271" s="114"/>
      <c r="DU271" s="114"/>
      <c r="DV271" s="114"/>
      <c r="DW271" s="114"/>
    </row>
    <row r="272" spans="2:127" x14ac:dyDescent="0.25">
      <c r="B272" s="396">
        <v>43831</v>
      </c>
      <c r="C272" s="400">
        <v>43818</v>
      </c>
      <c r="R272" s="114"/>
      <c r="W272" s="483"/>
      <c r="AE272" s="124">
        <v>7.3076797099221019E-2</v>
      </c>
      <c r="BS272" s="114"/>
      <c r="BT272" s="114"/>
      <c r="BZ272" s="114"/>
      <c r="CA272" s="114"/>
      <c r="CF272" s="114"/>
      <c r="CG272" s="114"/>
      <c r="CM272" s="114"/>
      <c r="CN272" s="114"/>
      <c r="CS272" s="114"/>
      <c r="CT272" s="114"/>
      <c r="CX272" s="483"/>
      <c r="CY272" s="114"/>
      <c r="CZ272" s="114"/>
      <c r="DA272" s="114"/>
      <c r="DB272" s="483"/>
      <c r="DC272" s="114"/>
      <c r="DD272" s="114"/>
      <c r="DE272" s="114"/>
      <c r="DH272" s="114"/>
      <c r="DI272" s="114"/>
      <c r="DJ272" s="114"/>
      <c r="DK272" s="114"/>
      <c r="DL272" s="114"/>
      <c r="DM272" s="114"/>
      <c r="DN272" s="114"/>
      <c r="DO272" s="114"/>
      <c r="DP272" s="114"/>
      <c r="DQ272" s="114"/>
      <c r="DR272" s="114"/>
      <c r="DS272" s="114"/>
      <c r="DT272" s="114"/>
      <c r="DU272" s="114"/>
      <c r="DV272" s="114"/>
      <c r="DW272" s="114"/>
    </row>
    <row r="273" spans="2:127" x14ac:dyDescent="0.25">
      <c r="B273" s="396">
        <v>43862</v>
      </c>
      <c r="C273" s="400">
        <v>43852</v>
      </c>
      <c r="R273" s="114"/>
      <c r="W273" s="483"/>
      <c r="AE273" s="124">
        <v>7.3068049938791013E-2</v>
      </c>
      <c r="BS273" s="114"/>
      <c r="BT273" s="114"/>
      <c r="BZ273" s="114"/>
      <c r="CA273" s="114"/>
      <c r="CF273" s="114"/>
      <c r="CG273" s="114"/>
      <c r="CM273" s="114"/>
      <c r="CN273" s="114"/>
      <c r="CS273" s="114"/>
      <c r="CT273" s="114"/>
      <c r="CX273" s="483"/>
      <c r="CY273" s="114"/>
      <c r="CZ273" s="114"/>
      <c r="DA273" s="114"/>
      <c r="DB273" s="483"/>
      <c r="DC273" s="114"/>
      <c r="DD273" s="114"/>
      <c r="DE273" s="114"/>
      <c r="DH273" s="114"/>
      <c r="DI273" s="114"/>
      <c r="DJ273" s="114"/>
      <c r="DK273" s="114"/>
      <c r="DL273" s="114"/>
      <c r="DM273" s="114"/>
      <c r="DN273" s="114"/>
      <c r="DO273" s="114"/>
      <c r="DP273" s="114"/>
      <c r="DQ273" s="114"/>
      <c r="DR273" s="114"/>
      <c r="DS273" s="114"/>
      <c r="DT273" s="114"/>
      <c r="DU273" s="114"/>
      <c r="DV273" s="114"/>
      <c r="DW273" s="114"/>
    </row>
    <row r="274" spans="2:127" x14ac:dyDescent="0.25">
      <c r="B274" s="396">
        <v>43891</v>
      </c>
      <c r="C274" s="400">
        <v>43881</v>
      </c>
      <c r="R274" s="114"/>
      <c r="W274" s="483"/>
      <c r="AE274" s="124">
        <v>7.3059011206373023E-2</v>
      </c>
      <c r="BS274" s="114"/>
      <c r="BT274" s="114"/>
      <c r="BZ274" s="114"/>
      <c r="CA274" s="114"/>
      <c r="CF274" s="114"/>
      <c r="CG274" s="114"/>
      <c r="CM274" s="114"/>
      <c r="CN274" s="114"/>
      <c r="CS274" s="114"/>
      <c r="CT274" s="114"/>
      <c r="CX274" s="483"/>
      <c r="CY274" s="114"/>
      <c r="CZ274" s="114"/>
      <c r="DA274" s="114"/>
      <c r="DB274" s="483"/>
      <c r="DC274" s="114"/>
      <c r="DD274" s="114"/>
      <c r="DE274" s="114"/>
      <c r="DH274" s="114"/>
      <c r="DI274" s="114"/>
      <c r="DJ274" s="114"/>
      <c r="DK274" s="114"/>
      <c r="DL274" s="114"/>
      <c r="DM274" s="114"/>
      <c r="DN274" s="114"/>
      <c r="DO274" s="114"/>
      <c r="DP274" s="114"/>
      <c r="DQ274" s="114"/>
      <c r="DR274" s="114"/>
      <c r="DS274" s="114"/>
      <c r="DT274" s="114"/>
      <c r="DU274" s="114"/>
      <c r="DV274" s="114"/>
      <c r="DW274" s="114"/>
    </row>
    <row r="275" spans="2:127" x14ac:dyDescent="0.25">
      <c r="B275" s="396">
        <v>43922</v>
      </c>
      <c r="C275" s="400">
        <v>43910</v>
      </c>
      <c r="R275" s="114"/>
      <c r="W275" s="483"/>
      <c r="AE275" s="124">
        <v>7.3049972473982996E-2</v>
      </c>
      <c r="BS275" s="114"/>
      <c r="BT275" s="114"/>
      <c r="BZ275" s="114"/>
      <c r="CA275" s="114"/>
      <c r="CF275" s="114"/>
      <c r="CG275" s="114"/>
      <c r="CM275" s="114"/>
      <c r="CN275" s="114"/>
      <c r="CS275" s="114"/>
      <c r="CT275" s="114"/>
      <c r="CX275" s="483"/>
      <c r="CY275" s="114"/>
      <c r="CZ275" s="114"/>
      <c r="DA275" s="114"/>
      <c r="DB275" s="483"/>
      <c r="DC275" s="114"/>
      <c r="DD275" s="114"/>
      <c r="DE275" s="114"/>
      <c r="DH275" s="114"/>
      <c r="DI275" s="114"/>
      <c r="DJ275" s="114"/>
      <c r="DK275" s="114"/>
      <c r="DL275" s="114"/>
      <c r="DM275" s="114"/>
      <c r="DN275" s="114"/>
      <c r="DO275" s="114"/>
      <c r="DP275" s="114"/>
      <c r="DQ275" s="114"/>
      <c r="DR275" s="114"/>
      <c r="DS275" s="114"/>
      <c r="DT275" s="114"/>
      <c r="DU275" s="114"/>
      <c r="DV275" s="114"/>
      <c r="DW275" s="114"/>
    </row>
    <row r="276" spans="2:127" x14ac:dyDescent="0.25">
      <c r="B276" s="396">
        <v>43952</v>
      </c>
      <c r="C276" s="400">
        <v>43941</v>
      </c>
      <c r="R276" s="114"/>
      <c r="W276" s="483"/>
      <c r="AE276" s="124">
        <v>7.3041225313630012E-2</v>
      </c>
      <c r="BS276" s="114"/>
      <c r="BT276" s="114"/>
      <c r="BZ276" s="114"/>
      <c r="CA276" s="114"/>
      <c r="CF276" s="114"/>
      <c r="CG276" s="114"/>
      <c r="CM276" s="114"/>
      <c r="CN276" s="114"/>
      <c r="CS276" s="114"/>
      <c r="CT276" s="114"/>
      <c r="CX276" s="483"/>
      <c r="CY276" s="114"/>
      <c r="CZ276" s="114"/>
      <c r="DA276" s="114"/>
      <c r="DB276" s="483"/>
      <c r="DC276" s="114"/>
      <c r="DD276" s="114"/>
      <c r="DE276" s="114"/>
      <c r="DH276" s="114"/>
      <c r="DI276" s="114"/>
      <c r="DJ276" s="114"/>
      <c r="DK276" s="114"/>
      <c r="DL276" s="114"/>
      <c r="DM276" s="114"/>
      <c r="DN276" s="114"/>
      <c r="DO276" s="114"/>
      <c r="DP276" s="114"/>
      <c r="DQ276" s="114"/>
      <c r="DR276" s="114"/>
      <c r="DS276" s="114"/>
      <c r="DT276" s="114"/>
      <c r="DU276" s="114"/>
      <c r="DV276" s="114"/>
      <c r="DW276" s="114"/>
    </row>
    <row r="277" spans="2:127" x14ac:dyDescent="0.25">
      <c r="B277" s="396">
        <v>43983</v>
      </c>
      <c r="C277" s="400">
        <v>43973</v>
      </c>
      <c r="R277" s="114"/>
      <c r="W277" s="483"/>
      <c r="AE277" s="124">
        <v>7.3032186581293013E-2</v>
      </c>
      <c r="BS277" s="114"/>
      <c r="BT277" s="114"/>
      <c r="BZ277" s="114"/>
      <c r="CA277" s="114"/>
      <c r="CF277" s="114"/>
      <c r="CG277" s="114"/>
      <c r="CM277" s="114"/>
      <c r="CN277" s="114"/>
      <c r="CS277" s="114"/>
      <c r="CT277" s="114"/>
      <c r="CX277" s="483"/>
      <c r="CY277" s="114"/>
      <c r="CZ277" s="114"/>
      <c r="DA277" s="114"/>
      <c r="DB277" s="483"/>
      <c r="DC277" s="114"/>
      <c r="DD277" s="114"/>
      <c r="DE277" s="114"/>
      <c r="DH277" s="114"/>
      <c r="DI277" s="114"/>
      <c r="DJ277" s="114"/>
      <c r="DK277" s="114"/>
      <c r="DL277" s="114"/>
      <c r="DM277" s="114"/>
      <c r="DN277" s="114"/>
      <c r="DO277" s="114"/>
      <c r="DP277" s="114"/>
      <c r="DQ277" s="114"/>
      <c r="DR277" s="114"/>
      <c r="DS277" s="114"/>
      <c r="DT277" s="114"/>
      <c r="DU277" s="114"/>
      <c r="DV277" s="114"/>
      <c r="DW277" s="114"/>
    </row>
    <row r="278" spans="2:127" x14ac:dyDescent="0.25">
      <c r="B278" s="396">
        <v>44013</v>
      </c>
      <c r="C278" s="400">
        <v>44002</v>
      </c>
      <c r="R278" s="114"/>
      <c r="W278" s="483"/>
      <c r="AE278" s="124">
        <v>7.3023439421000008E-2</v>
      </c>
      <c r="BS278" s="114"/>
      <c r="BT278" s="114"/>
      <c r="BZ278" s="114"/>
      <c r="CA278" s="114"/>
      <c r="CF278" s="114"/>
      <c r="CG278" s="114"/>
      <c r="CM278" s="114"/>
      <c r="CN278" s="114"/>
      <c r="CS278" s="114"/>
      <c r="CT278" s="114"/>
      <c r="CX278" s="483"/>
      <c r="CY278" s="114"/>
      <c r="CZ278" s="114"/>
      <c r="DA278" s="114"/>
      <c r="DB278" s="483"/>
      <c r="DC278" s="114"/>
      <c r="DD278" s="114"/>
      <c r="DE278" s="114"/>
      <c r="DH278" s="114"/>
      <c r="DI278" s="114"/>
      <c r="DJ278" s="114"/>
      <c r="DK278" s="114"/>
      <c r="DL278" s="114"/>
      <c r="DM278" s="114"/>
      <c r="DN278" s="114"/>
      <c r="DO278" s="114"/>
      <c r="DP278" s="114"/>
      <c r="DQ278" s="114"/>
      <c r="DR278" s="114"/>
      <c r="DS278" s="114"/>
      <c r="DT278" s="114"/>
      <c r="DU278" s="114"/>
      <c r="DV278" s="114"/>
      <c r="DW278" s="114"/>
    </row>
    <row r="279" spans="2:127" x14ac:dyDescent="0.25">
      <c r="B279" s="396">
        <v>44044</v>
      </c>
      <c r="C279" s="400">
        <v>44032</v>
      </c>
      <c r="R279" s="114"/>
      <c r="W279" s="483"/>
      <c r="AE279" s="124">
        <v>7.3014400688708014E-2</v>
      </c>
      <c r="BS279" s="114"/>
      <c r="BT279" s="114"/>
      <c r="BZ279" s="114"/>
      <c r="CA279" s="114"/>
      <c r="CF279" s="114"/>
      <c r="CG279" s="114"/>
      <c r="CM279" s="114"/>
      <c r="CN279" s="114"/>
      <c r="CS279" s="114"/>
      <c r="CT279" s="114"/>
      <c r="CX279" s="483"/>
      <c r="CY279" s="114"/>
      <c r="CZ279" s="114"/>
      <c r="DA279" s="114"/>
      <c r="DB279" s="483"/>
      <c r="DC279" s="114"/>
      <c r="DD279" s="114"/>
      <c r="DE279" s="114"/>
      <c r="DH279" s="114"/>
      <c r="DI279" s="114"/>
      <c r="DJ279" s="114"/>
      <c r="DK279" s="114"/>
      <c r="DL279" s="114"/>
      <c r="DM279" s="114"/>
      <c r="DN279" s="114"/>
      <c r="DO279" s="114"/>
      <c r="DP279" s="114"/>
      <c r="DQ279" s="114"/>
      <c r="DR279" s="114"/>
      <c r="DS279" s="114"/>
      <c r="DT279" s="114"/>
      <c r="DU279" s="114"/>
      <c r="DV279" s="114"/>
      <c r="DW279" s="114"/>
    </row>
    <row r="280" spans="2:127" x14ac:dyDescent="0.25">
      <c r="B280" s="396">
        <v>44075</v>
      </c>
      <c r="C280" s="400">
        <v>44064</v>
      </c>
      <c r="R280" s="114"/>
      <c r="W280" s="483"/>
      <c r="AE280" s="124">
        <v>7.3005361956450007E-2</v>
      </c>
      <c r="BS280" s="114"/>
      <c r="BT280" s="114"/>
      <c r="BZ280" s="114"/>
      <c r="CA280" s="114"/>
      <c r="CF280" s="114"/>
      <c r="CG280" s="114"/>
      <c r="CM280" s="114"/>
      <c r="CN280" s="114"/>
      <c r="CS280" s="114"/>
      <c r="CT280" s="114"/>
      <c r="CX280" s="483"/>
      <c r="CY280" s="114"/>
      <c r="CZ280" s="114"/>
      <c r="DA280" s="114"/>
      <c r="DB280" s="483"/>
      <c r="DC280" s="114"/>
      <c r="DD280" s="114"/>
      <c r="DE280" s="114"/>
      <c r="DH280" s="114"/>
      <c r="DI280" s="114"/>
      <c r="DJ280" s="114"/>
      <c r="DK280" s="114"/>
      <c r="DL280" s="114"/>
      <c r="DM280" s="114"/>
      <c r="DN280" s="114"/>
      <c r="DO280" s="114"/>
      <c r="DP280" s="114"/>
      <c r="DQ280" s="114"/>
      <c r="DR280" s="114"/>
      <c r="DS280" s="114"/>
      <c r="DT280" s="114"/>
      <c r="DU280" s="114"/>
      <c r="DV280" s="114"/>
      <c r="DW280" s="114"/>
    </row>
    <row r="281" spans="2:127" x14ac:dyDescent="0.25">
      <c r="B281" s="396">
        <v>44105</v>
      </c>
      <c r="C281" s="400">
        <v>44094</v>
      </c>
      <c r="R281" s="114"/>
      <c r="W281" s="483"/>
      <c r="AE281" s="124">
        <v>7.2997197940241038E-2</v>
      </c>
      <c r="BS281" s="114"/>
      <c r="BT281" s="114"/>
      <c r="BZ281" s="114"/>
      <c r="CA281" s="114"/>
      <c r="CF281" s="114"/>
      <c r="CG281" s="114"/>
      <c r="CM281" s="114"/>
      <c r="CN281" s="114"/>
      <c r="CS281" s="114"/>
      <c r="CT281" s="114"/>
      <c r="CX281" s="483"/>
      <c r="CY281" s="114"/>
      <c r="CZ281" s="114"/>
      <c r="DA281" s="114"/>
      <c r="DB281" s="483"/>
      <c r="DC281" s="114"/>
      <c r="DD281" s="114"/>
      <c r="DE281" s="114"/>
      <c r="DH281" s="114"/>
      <c r="DI281" s="114"/>
      <c r="DJ281" s="114"/>
      <c r="DK281" s="114"/>
      <c r="DL281" s="114"/>
      <c r="DM281" s="114"/>
      <c r="DN281" s="114"/>
      <c r="DO281" s="114"/>
      <c r="DP281" s="114"/>
      <c r="DQ281" s="114"/>
      <c r="DR281" s="114"/>
      <c r="DS281" s="114"/>
      <c r="DT281" s="114"/>
      <c r="DU281" s="114"/>
      <c r="DV281" s="114"/>
      <c r="DW281" s="114"/>
    </row>
    <row r="282" spans="2:127" x14ac:dyDescent="0.25">
      <c r="B282" s="396">
        <v>44136</v>
      </c>
      <c r="C282" s="400">
        <v>44126</v>
      </c>
      <c r="R282" s="114"/>
      <c r="W282" s="483"/>
      <c r="AE282" s="124">
        <v>7.2988159208034017E-2</v>
      </c>
      <c r="BS282" s="114"/>
      <c r="BT282" s="114"/>
      <c r="BZ282" s="114"/>
      <c r="CA282" s="114"/>
      <c r="CF282" s="114"/>
      <c r="CG282" s="114"/>
      <c r="CM282" s="114"/>
      <c r="CN282" s="114"/>
      <c r="CS282" s="114"/>
      <c r="CT282" s="114"/>
      <c r="CX282" s="483"/>
      <c r="CY282" s="114"/>
      <c r="CZ282" s="114"/>
      <c r="DA282" s="114"/>
      <c r="DB282" s="483"/>
      <c r="DC282" s="114"/>
      <c r="DD282" s="114"/>
      <c r="DE282" s="114"/>
      <c r="DH282" s="114"/>
      <c r="DI282" s="114"/>
      <c r="DJ282" s="114"/>
      <c r="DK282" s="114"/>
      <c r="DL282" s="114"/>
      <c r="DM282" s="114"/>
      <c r="DN282" s="114"/>
      <c r="DO282" s="114"/>
      <c r="DP282" s="114"/>
      <c r="DQ282" s="114"/>
      <c r="DR282" s="114"/>
      <c r="DS282" s="114"/>
      <c r="DT282" s="114"/>
      <c r="DU282" s="114"/>
      <c r="DV282" s="114"/>
      <c r="DW282" s="114"/>
    </row>
    <row r="283" spans="2:127" x14ac:dyDescent="0.25">
      <c r="B283" s="396">
        <v>44166</v>
      </c>
      <c r="C283" s="400">
        <v>44154</v>
      </c>
      <c r="R283" s="114"/>
      <c r="W283" s="483"/>
      <c r="AE283" s="124">
        <v>7.2979412047861014E-2</v>
      </c>
      <c r="BS283" s="114"/>
      <c r="BT283" s="114"/>
      <c r="BZ283" s="114"/>
      <c r="CA283" s="114"/>
      <c r="CF283" s="114"/>
      <c r="CG283" s="114"/>
      <c r="CM283" s="114"/>
      <c r="CN283" s="114"/>
      <c r="CS283" s="114"/>
      <c r="CT283" s="114"/>
      <c r="CX283" s="483"/>
      <c r="CY283" s="114"/>
      <c r="CZ283" s="114"/>
      <c r="DA283" s="114"/>
      <c r="DB283" s="483"/>
      <c r="DC283" s="114"/>
      <c r="DD283" s="114"/>
      <c r="DE283" s="114"/>
      <c r="DH283" s="114"/>
      <c r="DI283" s="114"/>
      <c r="DJ283" s="114"/>
      <c r="DK283" s="114"/>
      <c r="DL283" s="114"/>
      <c r="DM283" s="114"/>
      <c r="DN283" s="114"/>
      <c r="DO283" s="114"/>
      <c r="DP283" s="114"/>
      <c r="DQ283" s="114"/>
      <c r="DR283" s="114"/>
      <c r="DS283" s="114"/>
      <c r="DT283" s="114"/>
      <c r="DU283" s="114"/>
      <c r="DV283" s="114"/>
      <c r="DW283" s="114"/>
    </row>
    <row r="284" spans="2:127" x14ac:dyDescent="0.25">
      <c r="B284" s="396">
        <v>44197</v>
      </c>
      <c r="C284" s="400">
        <v>44184</v>
      </c>
      <c r="R284" s="114"/>
      <c r="W284" s="483"/>
      <c r="AE284" s="124">
        <v>7.2970373315707007E-2</v>
      </c>
      <c r="BS284" s="114"/>
      <c r="BT284" s="114"/>
      <c r="BZ284" s="114"/>
      <c r="CA284" s="114"/>
      <c r="CF284" s="114"/>
      <c r="CG284" s="114"/>
      <c r="CM284" s="114"/>
      <c r="CN284" s="114"/>
      <c r="CS284" s="114"/>
      <c r="CT284" s="114"/>
      <c r="CX284" s="483"/>
      <c r="CY284" s="114"/>
      <c r="CZ284" s="114"/>
      <c r="DA284" s="114"/>
      <c r="DB284" s="483"/>
      <c r="DC284" s="114"/>
      <c r="DD284" s="114"/>
      <c r="DE284" s="114"/>
      <c r="DH284" s="114"/>
      <c r="DI284" s="114"/>
      <c r="DJ284" s="114"/>
      <c r="DK284" s="114"/>
      <c r="DL284" s="114"/>
      <c r="DM284" s="114"/>
      <c r="DN284" s="114"/>
      <c r="DO284" s="114"/>
      <c r="DP284" s="114"/>
      <c r="DQ284" s="114"/>
      <c r="DR284" s="114"/>
      <c r="DS284" s="114"/>
      <c r="DT284" s="114"/>
      <c r="DU284" s="114"/>
      <c r="DV284" s="114"/>
      <c r="DW284" s="114"/>
    </row>
    <row r="285" spans="2:127" x14ac:dyDescent="0.25">
      <c r="B285" s="396">
        <v>44228</v>
      </c>
      <c r="C285" s="400">
        <v>44218</v>
      </c>
      <c r="R285" s="114"/>
      <c r="W285" s="483"/>
      <c r="AE285" s="124">
        <v>7.2961626155585005E-2</v>
      </c>
      <c r="BS285" s="114"/>
      <c r="BT285" s="114"/>
      <c r="BZ285" s="114"/>
      <c r="CA285" s="114"/>
      <c r="CF285" s="114"/>
      <c r="CG285" s="114"/>
      <c r="CM285" s="114"/>
      <c r="CN285" s="114"/>
      <c r="CS285" s="114"/>
      <c r="CT285" s="114"/>
      <c r="CX285" s="483"/>
      <c r="CY285" s="114"/>
      <c r="CZ285" s="114"/>
      <c r="DA285" s="114"/>
      <c r="DB285" s="483"/>
      <c r="DC285" s="114"/>
      <c r="DD285" s="114"/>
      <c r="DE285" s="114"/>
      <c r="DH285" s="114"/>
      <c r="DI285" s="114"/>
      <c r="DJ285" s="114"/>
      <c r="DK285" s="114"/>
      <c r="DL285" s="114"/>
      <c r="DM285" s="114"/>
      <c r="DN285" s="114"/>
      <c r="DO285" s="114"/>
      <c r="DP285" s="114"/>
      <c r="DQ285" s="114"/>
      <c r="DR285" s="114"/>
      <c r="DS285" s="114"/>
      <c r="DT285" s="114"/>
      <c r="DU285" s="114"/>
      <c r="DV285" s="114"/>
      <c r="DW285" s="114"/>
    </row>
    <row r="286" spans="2:127" x14ac:dyDescent="0.25">
      <c r="B286" s="396">
        <v>44256</v>
      </c>
      <c r="C286" s="400">
        <v>44247</v>
      </c>
      <c r="R286" s="114"/>
      <c r="W286" s="483"/>
      <c r="AE286" s="124">
        <v>7.295258742348501E-2</v>
      </c>
      <c r="BS286" s="114"/>
      <c r="BT286" s="114"/>
      <c r="BZ286" s="114"/>
      <c r="CA286" s="114"/>
      <c r="CF286" s="114"/>
      <c r="CG286" s="114"/>
      <c r="CM286" s="114"/>
      <c r="CN286" s="114"/>
      <c r="CS286" s="114"/>
      <c r="CT286" s="114"/>
      <c r="CX286" s="483"/>
      <c r="CY286" s="114"/>
      <c r="CZ286" s="114"/>
      <c r="DA286" s="114"/>
      <c r="DB286" s="483"/>
      <c r="DC286" s="114"/>
      <c r="DD286" s="114"/>
      <c r="DE286" s="114"/>
      <c r="DH286" s="114"/>
      <c r="DI286" s="114"/>
      <c r="DJ286" s="114"/>
      <c r="DK286" s="114"/>
      <c r="DL286" s="114"/>
      <c r="DM286" s="114"/>
      <c r="DN286" s="114"/>
      <c r="DO286" s="114"/>
      <c r="DP286" s="114"/>
      <c r="DQ286" s="114"/>
      <c r="DR286" s="114"/>
      <c r="DS286" s="114"/>
      <c r="DT286" s="114"/>
      <c r="DU286" s="114"/>
      <c r="DV286" s="114"/>
      <c r="DW286" s="114"/>
    </row>
    <row r="287" spans="2:127" x14ac:dyDescent="0.25">
      <c r="B287" s="396">
        <v>44287</v>
      </c>
      <c r="C287" s="400">
        <v>44275</v>
      </c>
      <c r="R287" s="114"/>
      <c r="W287" s="483"/>
      <c r="AE287" s="124">
        <v>7.2943548691412022E-2</v>
      </c>
      <c r="BS287" s="114"/>
      <c r="BT287" s="114"/>
      <c r="BZ287" s="114"/>
      <c r="CA287" s="114"/>
      <c r="CF287" s="114"/>
      <c r="CG287" s="114"/>
      <c r="CM287" s="114"/>
      <c r="CN287" s="114"/>
      <c r="CS287" s="114"/>
      <c r="CT287" s="114"/>
      <c r="CX287" s="483"/>
      <c r="CY287" s="114"/>
      <c r="CZ287" s="114"/>
      <c r="DA287" s="114"/>
      <c r="DB287" s="483"/>
      <c r="DC287" s="114"/>
      <c r="DD287" s="114"/>
      <c r="DE287" s="114"/>
      <c r="DH287" s="114"/>
      <c r="DI287" s="114"/>
      <c r="DJ287" s="114"/>
      <c r="DK287" s="114"/>
      <c r="DL287" s="114"/>
      <c r="DM287" s="114"/>
      <c r="DN287" s="114"/>
      <c r="DO287" s="114"/>
      <c r="DP287" s="114"/>
      <c r="DQ287" s="114"/>
      <c r="DR287" s="114"/>
      <c r="DS287" s="114"/>
      <c r="DT287" s="114"/>
      <c r="DU287" s="114"/>
      <c r="DV287" s="114"/>
      <c r="DW287" s="114"/>
    </row>
    <row r="288" spans="2:127" x14ac:dyDescent="0.25">
      <c r="B288" s="396">
        <v>44317</v>
      </c>
      <c r="C288" s="400">
        <v>44306</v>
      </c>
      <c r="R288" s="114"/>
      <c r="W288" s="483"/>
      <c r="AE288" s="124">
        <v>7.2934801531367013E-2</v>
      </c>
      <c r="BS288" s="114"/>
      <c r="BT288" s="114"/>
      <c r="BZ288" s="114"/>
      <c r="CA288" s="114"/>
      <c r="CF288" s="114"/>
      <c r="CG288" s="114"/>
      <c r="CM288" s="114"/>
      <c r="CN288" s="114"/>
      <c r="CS288" s="114"/>
      <c r="CT288" s="114"/>
      <c r="CX288" s="483"/>
      <c r="CY288" s="114"/>
      <c r="CZ288" s="114"/>
      <c r="DA288" s="114"/>
      <c r="DB288" s="483"/>
      <c r="DC288" s="114"/>
      <c r="DD288" s="114"/>
      <c r="DE288" s="114"/>
      <c r="DH288" s="114"/>
      <c r="DI288" s="114"/>
      <c r="DJ288" s="114"/>
      <c r="DK288" s="114"/>
      <c r="DL288" s="114"/>
      <c r="DM288" s="114"/>
      <c r="DN288" s="114"/>
      <c r="DO288" s="114"/>
      <c r="DP288" s="114"/>
      <c r="DQ288" s="114"/>
      <c r="DR288" s="114"/>
      <c r="DS288" s="114"/>
      <c r="DT288" s="114"/>
      <c r="DU288" s="114"/>
      <c r="DV288" s="114"/>
      <c r="DW288" s="114"/>
    </row>
    <row r="289" spans="2:127" x14ac:dyDescent="0.25">
      <c r="B289" s="396">
        <v>44348</v>
      </c>
      <c r="C289" s="400">
        <v>44338</v>
      </c>
      <c r="R289" s="114"/>
      <c r="W289" s="483"/>
      <c r="AE289" s="124">
        <v>7.2925762799347024E-2</v>
      </c>
      <c r="BS289" s="114"/>
      <c r="BT289" s="114"/>
      <c r="BZ289" s="114"/>
      <c r="CA289" s="114"/>
      <c r="CF289" s="114"/>
      <c r="CG289" s="114"/>
      <c r="CM289" s="114"/>
      <c r="CN289" s="114"/>
      <c r="CS289" s="114"/>
      <c r="CT289" s="114"/>
      <c r="CX289" s="483"/>
      <c r="CY289" s="114"/>
      <c r="CZ289" s="114"/>
      <c r="DA289" s="114"/>
      <c r="DB289" s="483"/>
      <c r="DC289" s="114"/>
      <c r="DD289" s="114"/>
      <c r="DE289" s="114"/>
      <c r="DH289" s="114"/>
      <c r="DI289" s="114"/>
      <c r="DJ289" s="114"/>
      <c r="DK289" s="114"/>
      <c r="DL289" s="114"/>
      <c r="DM289" s="114"/>
      <c r="DN289" s="114"/>
      <c r="DO289" s="114"/>
      <c r="DP289" s="114"/>
      <c r="DQ289" s="114"/>
      <c r="DR289" s="114"/>
      <c r="DS289" s="114"/>
      <c r="DT289" s="114"/>
      <c r="DU289" s="114"/>
      <c r="DV289" s="114"/>
      <c r="DW289" s="114"/>
    </row>
    <row r="290" spans="2:127" x14ac:dyDescent="0.25">
      <c r="B290" s="396">
        <v>44378</v>
      </c>
      <c r="C290" s="400">
        <v>44367</v>
      </c>
      <c r="R290" s="114"/>
      <c r="W290" s="483"/>
      <c r="AE290" s="124">
        <v>7.2917015639353017E-2</v>
      </c>
      <c r="BS290" s="114"/>
      <c r="BT290" s="114"/>
      <c r="BZ290" s="114"/>
      <c r="CA290" s="114"/>
      <c r="CF290" s="114"/>
      <c r="CG290" s="114"/>
      <c r="CM290" s="114"/>
      <c r="CN290" s="114"/>
      <c r="CS290" s="114"/>
      <c r="CT290" s="114"/>
      <c r="CX290" s="483"/>
      <c r="CY290" s="114"/>
      <c r="CZ290" s="114"/>
      <c r="DA290" s="114"/>
      <c r="DB290" s="483"/>
      <c r="DC290" s="114"/>
      <c r="DD290" s="114"/>
      <c r="DE290" s="114"/>
      <c r="DH290" s="114"/>
      <c r="DI290" s="114"/>
      <c r="DJ290" s="114"/>
      <c r="DK290" s="114"/>
      <c r="DL290" s="114"/>
      <c r="DM290" s="114"/>
      <c r="DN290" s="114"/>
      <c r="DO290" s="114"/>
      <c r="DP290" s="114"/>
      <c r="DQ290" s="114"/>
      <c r="DR290" s="114"/>
      <c r="DS290" s="114"/>
      <c r="DT290" s="114"/>
      <c r="DU290" s="114"/>
      <c r="DV290" s="114"/>
      <c r="DW290" s="114"/>
    </row>
    <row r="291" spans="2:127" x14ac:dyDescent="0.25">
      <c r="B291" s="396">
        <v>44409</v>
      </c>
      <c r="C291" s="400">
        <v>44397</v>
      </c>
      <c r="R291" s="114"/>
      <c r="W291" s="483"/>
      <c r="AE291" s="124">
        <v>7.2907976907386013E-2</v>
      </c>
      <c r="BS291" s="114"/>
      <c r="BT291" s="114"/>
      <c r="BZ291" s="114"/>
      <c r="CA291" s="114"/>
      <c r="CF291" s="114"/>
      <c r="CG291" s="114"/>
      <c r="CM291" s="114"/>
      <c r="CN291" s="114"/>
      <c r="CS291" s="114"/>
      <c r="CT291" s="114"/>
      <c r="CX291" s="483"/>
      <c r="CY291" s="114"/>
      <c r="CZ291" s="114"/>
      <c r="DA291" s="114"/>
      <c r="DB291" s="483"/>
      <c r="DC291" s="114"/>
      <c r="DD291" s="114"/>
      <c r="DE291" s="114"/>
      <c r="DH291" s="114"/>
      <c r="DI291" s="114"/>
      <c r="DJ291" s="114"/>
      <c r="DK291" s="114"/>
      <c r="DL291" s="114"/>
      <c r="DM291" s="114"/>
      <c r="DN291" s="114"/>
      <c r="DO291" s="114"/>
      <c r="DP291" s="114"/>
      <c r="DQ291" s="114"/>
      <c r="DR291" s="114"/>
      <c r="DS291" s="114"/>
      <c r="DT291" s="114"/>
      <c r="DU291" s="114"/>
      <c r="DV291" s="114"/>
      <c r="DW291" s="114"/>
    </row>
    <row r="292" spans="2:127" x14ac:dyDescent="0.25">
      <c r="B292" s="396">
        <v>44440</v>
      </c>
      <c r="C292" s="400">
        <v>44429</v>
      </c>
      <c r="R292" s="114"/>
      <c r="W292" s="483"/>
      <c r="AE292" s="124">
        <v>7.2898938175446015E-2</v>
      </c>
      <c r="BS292" s="114"/>
      <c r="BT292" s="114"/>
      <c r="BZ292" s="114"/>
      <c r="CA292" s="114"/>
      <c r="CF292" s="114"/>
      <c r="CG292" s="114"/>
      <c r="CM292" s="114"/>
      <c r="CN292" s="114"/>
      <c r="CS292" s="114"/>
      <c r="CT292" s="114"/>
      <c r="CX292" s="483"/>
      <c r="CY292" s="114"/>
      <c r="CZ292" s="114"/>
      <c r="DA292" s="114"/>
      <c r="DB292" s="483"/>
      <c r="DC292" s="114"/>
      <c r="DD292" s="114"/>
      <c r="DE292" s="114"/>
      <c r="DH292" s="114"/>
      <c r="DI292" s="114"/>
      <c r="DJ292" s="114"/>
      <c r="DK292" s="114"/>
      <c r="DL292" s="114"/>
      <c r="DM292" s="114"/>
      <c r="DN292" s="114"/>
      <c r="DO292" s="114"/>
      <c r="DP292" s="114"/>
      <c r="DQ292" s="114"/>
      <c r="DR292" s="114"/>
      <c r="DS292" s="114"/>
      <c r="DT292" s="114"/>
      <c r="DU292" s="114"/>
      <c r="DV292" s="114"/>
      <c r="DW292" s="114"/>
    </row>
    <row r="293" spans="2:127" x14ac:dyDescent="0.25">
      <c r="B293" s="396">
        <v>44470</v>
      </c>
      <c r="C293" s="400">
        <v>44459</v>
      </c>
      <c r="R293" s="114"/>
      <c r="W293" s="483"/>
      <c r="AE293" s="124">
        <v>7.289048258752702E-2</v>
      </c>
      <c r="BS293" s="114"/>
      <c r="BT293" s="114"/>
      <c r="BZ293" s="114"/>
      <c r="CA293" s="114"/>
      <c r="CF293" s="114"/>
      <c r="CG293" s="114"/>
      <c r="CM293" s="114"/>
      <c r="CN293" s="114"/>
      <c r="CS293" s="114"/>
      <c r="CT293" s="114"/>
      <c r="CX293" s="483"/>
      <c r="CY293" s="114"/>
      <c r="CZ293" s="114"/>
      <c r="DA293" s="114"/>
      <c r="DB293" s="483"/>
      <c r="DC293" s="114"/>
      <c r="DD293" s="114"/>
      <c r="DE293" s="114"/>
      <c r="DH293" s="114"/>
      <c r="DI293" s="114"/>
      <c r="DJ293" s="114"/>
      <c r="DK293" s="114"/>
      <c r="DL293" s="114"/>
      <c r="DM293" s="114"/>
      <c r="DN293" s="114"/>
      <c r="DO293" s="114"/>
      <c r="DP293" s="114"/>
      <c r="DQ293" s="114"/>
      <c r="DR293" s="114"/>
      <c r="DS293" s="114"/>
      <c r="DT293" s="114"/>
      <c r="DU293" s="114"/>
      <c r="DV293" s="114"/>
      <c r="DW293" s="114"/>
    </row>
    <row r="294" spans="2:127" x14ac:dyDescent="0.25">
      <c r="B294" s="396">
        <v>44501</v>
      </c>
      <c r="C294" s="400">
        <v>44491</v>
      </c>
      <c r="R294" s="114"/>
      <c r="W294" s="483"/>
      <c r="AE294" s="124">
        <v>7.2881443855639008E-2</v>
      </c>
      <c r="BS294" s="114"/>
      <c r="BT294" s="114"/>
      <c r="BZ294" s="114"/>
      <c r="CA294" s="114"/>
      <c r="CF294" s="114"/>
      <c r="CG294" s="114"/>
      <c r="CM294" s="114"/>
      <c r="CN294" s="114"/>
      <c r="CS294" s="114"/>
      <c r="CT294" s="114"/>
      <c r="CX294" s="483"/>
      <c r="CY294" s="114"/>
      <c r="CZ294" s="114"/>
      <c r="DA294" s="114"/>
      <c r="DB294" s="483"/>
      <c r="DC294" s="114"/>
      <c r="DD294" s="114"/>
      <c r="DE294" s="114"/>
      <c r="DH294" s="114"/>
      <c r="DI294" s="114"/>
      <c r="DJ294" s="114"/>
      <c r="DK294" s="114"/>
      <c r="DL294" s="114"/>
      <c r="DM294" s="114"/>
      <c r="DN294" s="114"/>
      <c r="DO294" s="114"/>
      <c r="DP294" s="114"/>
      <c r="DQ294" s="114"/>
      <c r="DR294" s="114"/>
      <c r="DS294" s="114"/>
      <c r="DT294" s="114"/>
      <c r="DU294" s="114"/>
      <c r="DV294" s="114"/>
      <c r="DW294" s="114"/>
    </row>
    <row r="295" spans="2:127" x14ac:dyDescent="0.25">
      <c r="B295" s="396">
        <v>44531</v>
      </c>
      <c r="C295" s="400">
        <v>44519</v>
      </c>
      <c r="R295" s="114"/>
      <c r="W295" s="483"/>
      <c r="AE295" s="124">
        <v>7.2872696695774009E-2</v>
      </c>
      <c r="BS295" s="114"/>
      <c r="BT295" s="114"/>
      <c r="BZ295" s="114"/>
      <c r="CA295" s="114"/>
      <c r="CF295" s="114"/>
      <c r="CG295" s="114"/>
      <c r="CM295" s="114"/>
      <c r="CN295" s="114"/>
      <c r="CS295" s="114"/>
      <c r="CT295" s="114"/>
      <c r="CX295" s="483"/>
      <c r="CY295" s="114"/>
      <c r="CZ295" s="114"/>
      <c r="DA295" s="114"/>
      <c r="DB295" s="483"/>
      <c r="DC295" s="114"/>
      <c r="DD295" s="114"/>
      <c r="DE295" s="114"/>
      <c r="DH295" s="114"/>
      <c r="DI295" s="114"/>
      <c r="DJ295" s="114"/>
      <c r="DK295" s="114"/>
      <c r="DL295" s="114"/>
      <c r="DM295" s="114"/>
      <c r="DN295" s="114"/>
      <c r="DO295" s="114"/>
      <c r="DP295" s="114"/>
      <c r="DQ295" s="114"/>
      <c r="DR295" s="114"/>
      <c r="DS295" s="114"/>
      <c r="DT295" s="114"/>
      <c r="DU295" s="114"/>
      <c r="DV295" s="114"/>
      <c r="DW295" s="114"/>
    </row>
    <row r="296" spans="2:127" x14ac:dyDescent="0.25">
      <c r="B296" s="396">
        <v>44562</v>
      </c>
      <c r="C296" s="400">
        <v>44549</v>
      </c>
      <c r="R296" s="114"/>
      <c r="W296" s="483"/>
      <c r="AE296" s="124">
        <v>7.286365796393901E-2</v>
      </c>
      <c r="BS296" s="114"/>
      <c r="BT296" s="114"/>
      <c r="BZ296" s="114"/>
      <c r="CA296" s="114"/>
      <c r="CF296" s="114"/>
      <c r="CG296" s="114"/>
      <c r="CM296" s="114"/>
      <c r="CN296" s="114"/>
      <c r="CS296" s="114"/>
      <c r="CT296" s="114"/>
      <c r="CX296" s="483"/>
      <c r="CY296" s="114"/>
      <c r="CZ296" s="114"/>
      <c r="DA296" s="114"/>
      <c r="DB296" s="483"/>
      <c r="DC296" s="114"/>
      <c r="DD296" s="114"/>
      <c r="DE296" s="114"/>
      <c r="DH296" s="114"/>
      <c r="DI296" s="114"/>
      <c r="DJ296" s="114"/>
      <c r="DK296" s="114"/>
      <c r="DL296" s="114"/>
      <c r="DM296" s="114"/>
      <c r="DN296" s="114"/>
      <c r="DO296" s="114"/>
      <c r="DP296" s="114"/>
      <c r="DQ296" s="114"/>
      <c r="DR296" s="114"/>
      <c r="DS296" s="114"/>
      <c r="DT296" s="114"/>
      <c r="DU296" s="114"/>
      <c r="DV296" s="114"/>
      <c r="DW296" s="114"/>
    </row>
    <row r="297" spans="2:127" x14ac:dyDescent="0.25">
      <c r="B297" s="396">
        <v>44593</v>
      </c>
      <c r="C297" s="400">
        <v>44583</v>
      </c>
      <c r="R297" s="114"/>
      <c r="W297" s="483"/>
      <c r="AE297" s="124">
        <v>7.2854910804125012E-2</v>
      </c>
      <c r="BS297" s="114"/>
      <c r="BT297" s="114"/>
      <c r="BZ297" s="114"/>
      <c r="CA297" s="114"/>
      <c r="CF297" s="114"/>
      <c r="CG297" s="114"/>
      <c r="CM297" s="114"/>
      <c r="CN297" s="114"/>
      <c r="CS297" s="114"/>
      <c r="CT297" s="114"/>
      <c r="CX297" s="483"/>
      <c r="CY297" s="114"/>
      <c r="CZ297" s="114"/>
      <c r="DA297" s="114"/>
      <c r="DB297" s="483"/>
      <c r="DC297" s="114"/>
      <c r="DD297" s="114"/>
      <c r="DE297" s="114"/>
      <c r="DH297" s="114"/>
      <c r="DI297" s="114"/>
      <c r="DJ297" s="114"/>
      <c r="DK297" s="114"/>
      <c r="DL297" s="114"/>
      <c r="DM297" s="114"/>
      <c r="DN297" s="114"/>
      <c r="DO297" s="114"/>
      <c r="DP297" s="114"/>
      <c r="DQ297" s="114"/>
      <c r="DR297" s="114"/>
      <c r="DS297" s="114"/>
      <c r="DT297" s="114"/>
      <c r="DU297" s="114"/>
      <c r="DV297" s="114"/>
      <c r="DW297" s="114"/>
    </row>
    <row r="298" spans="2:127" x14ac:dyDescent="0.25">
      <c r="B298" s="396">
        <v>44621</v>
      </c>
      <c r="C298" s="400">
        <v>44612</v>
      </c>
      <c r="R298" s="114"/>
      <c r="W298" s="483"/>
      <c r="AE298" s="124">
        <v>7.2845872072344012E-2</v>
      </c>
      <c r="BS298" s="114"/>
      <c r="BT298" s="114"/>
      <c r="BZ298" s="114"/>
      <c r="CA298" s="114"/>
      <c r="CF298" s="114"/>
      <c r="CG298" s="114"/>
      <c r="CM298" s="114"/>
      <c r="CN298" s="114"/>
      <c r="CS298" s="114"/>
      <c r="CT298" s="114"/>
      <c r="CX298" s="483"/>
      <c r="CY298" s="114"/>
      <c r="CZ298" s="114"/>
      <c r="DA298" s="114"/>
      <c r="DB298" s="483"/>
      <c r="DC298" s="114"/>
      <c r="DD298" s="114"/>
      <c r="DE298" s="114"/>
      <c r="DH298" s="114"/>
      <c r="DI298" s="114"/>
      <c r="DJ298" s="114"/>
      <c r="DK298" s="114"/>
      <c r="DL298" s="114"/>
      <c r="DM298" s="114"/>
      <c r="DN298" s="114"/>
      <c r="DO298" s="114"/>
      <c r="DP298" s="114"/>
      <c r="DQ298" s="114"/>
      <c r="DR298" s="114"/>
      <c r="DS298" s="114"/>
      <c r="DT298" s="114"/>
      <c r="DU298" s="114"/>
      <c r="DV298" s="114"/>
      <c r="DW298" s="114"/>
    </row>
    <row r="299" spans="2:127" x14ac:dyDescent="0.25">
      <c r="B299" s="396">
        <v>44652</v>
      </c>
      <c r="C299" s="400">
        <v>44640</v>
      </c>
      <c r="R299" s="114"/>
      <c r="W299" s="483"/>
      <c r="AE299" s="124">
        <v>7.2836833340589019E-2</v>
      </c>
      <c r="BS299" s="114"/>
      <c r="BT299" s="114"/>
      <c r="BZ299" s="114"/>
      <c r="CA299" s="114"/>
      <c r="CF299" s="114"/>
      <c r="CG299" s="114"/>
      <c r="CM299" s="114"/>
      <c r="CN299" s="114"/>
      <c r="CS299" s="114"/>
      <c r="CT299" s="114"/>
      <c r="CX299" s="483"/>
      <c r="CY299" s="114"/>
      <c r="CZ299" s="114"/>
      <c r="DA299" s="114"/>
      <c r="DB299" s="483"/>
      <c r="DC299" s="114"/>
      <c r="DD299" s="114"/>
      <c r="DE299" s="114"/>
      <c r="DH299" s="114"/>
      <c r="DI299" s="114"/>
      <c r="DJ299" s="114"/>
      <c r="DK299" s="114"/>
      <c r="DL299" s="114"/>
      <c r="DM299" s="114"/>
      <c r="DN299" s="114"/>
      <c r="DO299" s="114"/>
      <c r="DP299" s="114"/>
      <c r="DQ299" s="114"/>
      <c r="DR299" s="114"/>
      <c r="DS299" s="114"/>
      <c r="DT299" s="114"/>
      <c r="DU299" s="114"/>
      <c r="DV299" s="114"/>
      <c r="DW299" s="114"/>
    </row>
    <row r="300" spans="2:127" x14ac:dyDescent="0.25">
      <c r="B300" s="396">
        <v>44682</v>
      </c>
      <c r="C300" s="400">
        <v>44671</v>
      </c>
      <c r="R300" s="114"/>
      <c r="W300" s="483"/>
      <c r="AE300" s="124">
        <v>7.2828086180852014E-2</v>
      </c>
      <c r="BS300" s="114"/>
      <c r="BT300" s="114"/>
      <c r="BZ300" s="114"/>
      <c r="CA300" s="114"/>
      <c r="CF300" s="114"/>
      <c r="CG300" s="114"/>
      <c r="CM300" s="114"/>
      <c r="CN300" s="114"/>
      <c r="CS300" s="114"/>
      <c r="CT300" s="114"/>
      <c r="CX300" s="483"/>
      <c r="CY300" s="114"/>
      <c r="CZ300" s="114"/>
      <c r="DA300" s="114"/>
      <c r="DB300" s="483"/>
      <c r="DC300" s="114"/>
      <c r="DD300" s="114"/>
      <c r="DE300" s="114"/>
      <c r="DH300" s="114"/>
      <c r="DI300" s="114"/>
      <c r="DJ300" s="114"/>
      <c r="DK300" s="114"/>
      <c r="DL300" s="114"/>
      <c r="DM300" s="114"/>
      <c r="DN300" s="114"/>
      <c r="DO300" s="114"/>
      <c r="DP300" s="114"/>
      <c r="DQ300" s="114"/>
      <c r="DR300" s="114"/>
      <c r="DS300" s="114"/>
      <c r="DT300" s="114"/>
      <c r="DU300" s="114"/>
      <c r="DV300" s="114"/>
      <c r="DW300" s="114"/>
    </row>
    <row r="301" spans="2:127" x14ac:dyDescent="0.25">
      <c r="B301" s="396">
        <v>44713</v>
      </c>
      <c r="C301" s="400">
        <v>44703</v>
      </c>
      <c r="R301" s="114"/>
      <c r="W301" s="483"/>
      <c r="AE301" s="124">
        <v>7.281904744915102E-2</v>
      </c>
      <c r="BS301" s="114"/>
      <c r="BT301" s="114"/>
      <c r="BZ301" s="114"/>
      <c r="CA301" s="114"/>
      <c r="CF301" s="114"/>
      <c r="CG301" s="114"/>
      <c r="CM301" s="114"/>
      <c r="CN301" s="114"/>
      <c r="CS301" s="114"/>
      <c r="CT301" s="114"/>
      <c r="CX301" s="483"/>
      <c r="CY301" s="114"/>
      <c r="CZ301" s="114"/>
      <c r="DA301" s="114"/>
      <c r="DB301" s="483"/>
      <c r="DC301" s="114"/>
      <c r="DD301" s="114"/>
      <c r="DE301" s="114"/>
      <c r="DH301" s="114"/>
      <c r="DI301" s="114"/>
      <c r="DJ301" s="114"/>
      <c r="DK301" s="114"/>
      <c r="DL301" s="114"/>
      <c r="DM301" s="114"/>
      <c r="DN301" s="114"/>
      <c r="DO301" s="114"/>
      <c r="DP301" s="114"/>
      <c r="DQ301" s="114"/>
      <c r="DR301" s="114"/>
      <c r="DS301" s="114"/>
      <c r="DT301" s="114"/>
      <c r="DU301" s="114"/>
      <c r="DV301" s="114"/>
      <c r="DW301" s="114"/>
    </row>
    <row r="302" spans="2:127" x14ac:dyDescent="0.25">
      <c r="B302" s="396">
        <v>44743</v>
      </c>
      <c r="C302" s="400">
        <v>44732</v>
      </c>
      <c r="R302" s="114"/>
      <c r="W302" s="483"/>
      <c r="AE302" s="124">
        <v>7.2810300289465002E-2</v>
      </c>
      <c r="BS302" s="114"/>
      <c r="BT302" s="114"/>
      <c r="BZ302" s="114"/>
      <c r="CA302" s="114"/>
      <c r="CF302" s="114"/>
      <c r="CG302" s="114"/>
      <c r="CM302" s="114"/>
      <c r="CN302" s="114"/>
      <c r="CS302" s="114"/>
      <c r="CT302" s="114"/>
      <c r="CX302" s="483"/>
      <c r="CY302" s="114"/>
      <c r="CZ302" s="114"/>
      <c r="DA302" s="114"/>
      <c r="DB302" s="483"/>
      <c r="DC302" s="114"/>
      <c r="DD302" s="114"/>
      <c r="DE302" s="114"/>
      <c r="DH302" s="114"/>
      <c r="DI302" s="114"/>
      <c r="DJ302" s="114"/>
      <c r="DK302" s="114"/>
      <c r="DL302" s="114"/>
      <c r="DM302" s="114"/>
      <c r="DN302" s="114"/>
      <c r="DO302" s="114"/>
      <c r="DP302" s="114"/>
      <c r="DQ302" s="114"/>
      <c r="DR302" s="114"/>
      <c r="DS302" s="114"/>
      <c r="DT302" s="114"/>
      <c r="DU302" s="114"/>
      <c r="DV302" s="114"/>
      <c r="DW302" s="114"/>
    </row>
    <row r="303" spans="2:127" x14ac:dyDescent="0.25">
      <c r="B303" s="396">
        <v>44774</v>
      </c>
      <c r="C303" s="400">
        <v>44762</v>
      </c>
      <c r="R303" s="114"/>
      <c r="W303" s="483"/>
      <c r="AE303" s="124">
        <v>7.2801261557817021E-2</v>
      </c>
      <c r="BS303" s="114"/>
      <c r="BT303" s="114"/>
      <c r="BZ303" s="114"/>
      <c r="CA303" s="114"/>
      <c r="CF303" s="114"/>
      <c r="CG303" s="114"/>
      <c r="CM303" s="114"/>
      <c r="CN303" s="114"/>
      <c r="CS303" s="114"/>
      <c r="CT303" s="114"/>
      <c r="CX303" s="483"/>
      <c r="CY303" s="114"/>
      <c r="CZ303" s="114"/>
      <c r="DA303" s="114"/>
      <c r="DB303" s="483"/>
      <c r="DC303" s="114"/>
      <c r="DD303" s="114"/>
      <c r="DE303" s="114"/>
      <c r="DH303" s="114"/>
      <c r="DI303" s="114"/>
      <c r="DJ303" s="114"/>
      <c r="DK303" s="114"/>
      <c r="DL303" s="114"/>
      <c r="DM303" s="114"/>
      <c r="DN303" s="114"/>
      <c r="DO303" s="114"/>
      <c r="DP303" s="114"/>
      <c r="DQ303" s="114"/>
      <c r="DR303" s="114"/>
      <c r="DS303" s="114"/>
      <c r="DT303" s="114"/>
      <c r="DU303" s="114"/>
      <c r="DV303" s="114"/>
      <c r="DW303" s="114"/>
    </row>
    <row r="304" spans="2:127" x14ac:dyDescent="0.25">
      <c r="B304" s="396">
        <v>44805</v>
      </c>
      <c r="C304" s="400">
        <v>44794</v>
      </c>
      <c r="R304" s="114"/>
      <c r="W304" s="483"/>
      <c r="AE304" s="124">
        <v>7.2792222826195019E-2</v>
      </c>
      <c r="BS304" s="114"/>
      <c r="BT304" s="114"/>
      <c r="BZ304" s="114"/>
      <c r="CA304" s="114"/>
      <c r="CF304" s="114"/>
      <c r="CG304" s="114"/>
      <c r="CM304" s="114"/>
      <c r="CN304" s="114"/>
      <c r="CS304" s="114"/>
      <c r="CT304" s="114"/>
      <c r="CX304" s="483"/>
      <c r="CY304" s="114"/>
      <c r="CZ304" s="114"/>
      <c r="DA304" s="114"/>
      <c r="DB304" s="483"/>
      <c r="DC304" s="114"/>
      <c r="DD304" s="114"/>
      <c r="DE304" s="114"/>
      <c r="DH304" s="114"/>
      <c r="DI304" s="114"/>
      <c r="DJ304" s="114"/>
      <c r="DK304" s="114"/>
      <c r="DL304" s="114"/>
      <c r="DM304" s="114"/>
      <c r="DN304" s="114"/>
      <c r="DO304" s="114"/>
      <c r="DP304" s="114"/>
      <c r="DQ304" s="114"/>
      <c r="DR304" s="114"/>
      <c r="DS304" s="114"/>
      <c r="DT304" s="114"/>
      <c r="DU304" s="114"/>
      <c r="DV304" s="114"/>
      <c r="DW304" s="114"/>
    </row>
    <row r="305" spans="2:127" x14ac:dyDescent="0.25">
      <c r="B305" s="396">
        <v>44835</v>
      </c>
      <c r="C305" s="400">
        <v>44824</v>
      </c>
      <c r="R305" s="114"/>
      <c r="W305" s="483"/>
      <c r="AE305" s="124">
        <v>7.278405881056102E-2</v>
      </c>
      <c r="BS305" s="114"/>
      <c r="BT305" s="114"/>
      <c r="BZ305" s="114"/>
      <c r="CA305" s="114"/>
      <c r="CF305" s="114"/>
      <c r="CG305" s="114"/>
      <c r="CM305" s="114"/>
      <c r="CN305" s="114"/>
      <c r="CS305" s="114"/>
      <c r="CT305" s="114"/>
      <c r="CX305" s="483"/>
      <c r="CY305" s="114"/>
      <c r="CZ305" s="114"/>
      <c r="DA305" s="114"/>
      <c r="DB305" s="483"/>
      <c r="DC305" s="114"/>
      <c r="DD305" s="114"/>
      <c r="DE305" s="114"/>
      <c r="DH305" s="114"/>
      <c r="DI305" s="114"/>
      <c r="DJ305" s="114"/>
      <c r="DK305" s="114"/>
      <c r="DL305" s="114"/>
      <c r="DM305" s="114"/>
      <c r="DN305" s="114"/>
      <c r="DO305" s="114"/>
      <c r="DP305" s="114"/>
      <c r="DQ305" s="114"/>
      <c r="DR305" s="114"/>
      <c r="DS305" s="114"/>
      <c r="DT305" s="114"/>
      <c r="DU305" s="114"/>
      <c r="DV305" s="114"/>
      <c r="DW305" s="114"/>
    </row>
    <row r="306" spans="2:127" x14ac:dyDescent="0.25">
      <c r="B306" s="396">
        <v>44866</v>
      </c>
      <c r="C306" s="400">
        <v>44856</v>
      </c>
      <c r="R306" s="114"/>
      <c r="W306" s="483"/>
      <c r="AE306" s="124">
        <v>7.2775020078999997E-2</v>
      </c>
      <c r="BS306" s="114"/>
      <c r="BT306" s="114"/>
      <c r="BZ306" s="114"/>
      <c r="CA306" s="114"/>
      <c r="CF306" s="114"/>
      <c r="CG306" s="114"/>
      <c r="CM306" s="114"/>
      <c r="CN306" s="114"/>
      <c r="CS306" s="114"/>
      <c r="CT306" s="114"/>
      <c r="CX306" s="483"/>
      <c r="CY306" s="114"/>
      <c r="CZ306" s="114"/>
      <c r="DA306" s="114"/>
      <c r="DB306" s="483"/>
      <c r="DC306" s="114"/>
      <c r="DD306" s="114"/>
      <c r="DE306" s="114"/>
      <c r="DH306" s="114"/>
      <c r="DI306" s="114"/>
      <c r="DJ306" s="114"/>
      <c r="DK306" s="114"/>
      <c r="DL306" s="114"/>
      <c r="DM306" s="114"/>
      <c r="DN306" s="114"/>
      <c r="DO306" s="114"/>
      <c r="DP306" s="114"/>
      <c r="DQ306" s="114"/>
      <c r="DR306" s="114"/>
      <c r="DS306" s="114"/>
      <c r="DT306" s="114"/>
      <c r="DU306" s="114"/>
      <c r="DV306" s="114"/>
      <c r="DW306" s="114"/>
    </row>
    <row r="307" spans="2:127" x14ac:dyDescent="0.25">
      <c r="B307" s="396">
        <v>44896</v>
      </c>
      <c r="C307" s="400">
        <v>44884</v>
      </c>
      <c r="R307" s="114"/>
      <c r="W307" s="483"/>
      <c r="AE307" s="124">
        <v>7.2766272919432023E-2</v>
      </c>
      <c r="BS307" s="114"/>
      <c r="BT307" s="114"/>
      <c r="BZ307" s="114"/>
      <c r="CA307" s="114"/>
      <c r="CF307" s="114"/>
      <c r="CG307" s="114"/>
      <c r="CM307" s="114"/>
      <c r="CN307" s="114"/>
      <c r="CS307" s="114"/>
      <c r="CT307" s="114"/>
      <c r="CX307" s="483"/>
      <c r="CY307" s="114"/>
      <c r="CZ307" s="114"/>
      <c r="DA307" s="114"/>
      <c r="DB307" s="483"/>
      <c r="DC307" s="114"/>
      <c r="DD307" s="114"/>
      <c r="DE307" s="114"/>
      <c r="DH307" s="114"/>
      <c r="DI307" s="114"/>
      <c r="DJ307" s="114"/>
      <c r="DK307" s="114"/>
      <c r="DL307" s="114"/>
      <c r="DM307" s="114"/>
      <c r="DN307" s="114"/>
      <c r="DO307" s="114"/>
      <c r="DP307" s="114"/>
      <c r="DQ307" s="114"/>
      <c r="DR307" s="114"/>
      <c r="DS307" s="114"/>
      <c r="DT307" s="114"/>
      <c r="DU307" s="114"/>
      <c r="DV307" s="114"/>
      <c r="DW307" s="114"/>
    </row>
    <row r="308" spans="2:127" x14ac:dyDescent="0.25">
      <c r="B308" s="396">
        <v>44927</v>
      </c>
      <c r="C308" s="400">
        <v>44914</v>
      </c>
      <c r="R308" s="114"/>
      <c r="W308" s="483"/>
      <c r="AE308" s="124">
        <v>7.2757234187915035E-2</v>
      </c>
      <c r="BS308" s="114"/>
      <c r="BT308" s="114"/>
      <c r="BZ308" s="114"/>
      <c r="CA308" s="114"/>
      <c r="CF308" s="114"/>
      <c r="CG308" s="114"/>
      <c r="CM308" s="114"/>
      <c r="CN308" s="114"/>
      <c r="CS308" s="114"/>
      <c r="CT308" s="114"/>
      <c r="CX308" s="483"/>
      <c r="CY308" s="114"/>
      <c r="CZ308" s="114"/>
      <c r="DA308" s="114"/>
      <c r="DB308" s="483"/>
      <c r="DC308" s="114"/>
      <c r="DD308" s="114"/>
      <c r="DE308" s="114"/>
      <c r="DH308" s="114"/>
      <c r="DI308" s="114"/>
      <c r="DJ308" s="114"/>
      <c r="DK308" s="114"/>
      <c r="DL308" s="114"/>
      <c r="DM308" s="114"/>
      <c r="DN308" s="114"/>
      <c r="DO308" s="114"/>
      <c r="DP308" s="114"/>
      <c r="DQ308" s="114"/>
      <c r="DR308" s="114"/>
      <c r="DS308" s="114"/>
      <c r="DT308" s="114"/>
      <c r="DU308" s="114"/>
      <c r="DV308" s="114"/>
      <c r="DW308" s="114"/>
    </row>
    <row r="309" spans="2:127" x14ac:dyDescent="0.25">
      <c r="B309" s="396">
        <v>44958</v>
      </c>
      <c r="C309" s="400">
        <v>44948</v>
      </c>
      <c r="R309" s="114"/>
      <c r="W309" s="483"/>
      <c r="AE309" s="124">
        <v>7.2748487028408013E-2</v>
      </c>
      <c r="BS309" s="114"/>
      <c r="BT309" s="114"/>
      <c r="BZ309" s="114"/>
      <c r="CA309" s="114"/>
      <c r="CF309" s="114"/>
      <c r="CG309" s="114"/>
      <c r="CM309" s="114"/>
      <c r="CN309" s="114"/>
      <c r="CS309" s="114"/>
      <c r="CT309" s="114"/>
      <c r="CX309" s="483"/>
      <c r="CY309" s="114"/>
      <c r="CZ309" s="114"/>
      <c r="DA309" s="114"/>
      <c r="DB309" s="483"/>
      <c r="DC309" s="114"/>
      <c r="DD309" s="114"/>
      <c r="DE309" s="114"/>
      <c r="DH309" s="114"/>
      <c r="DI309" s="114"/>
      <c r="DJ309" s="114"/>
      <c r="DK309" s="114"/>
      <c r="DL309" s="114"/>
      <c r="DM309" s="114"/>
      <c r="DN309" s="114"/>
      <c r="DO309" s="114"/>
      <c r="DP309" s="114"/>
      <c r="DQ309" s="114"/>
      <c r="DR309" s="114"/>
      <c r="DS309" s="114"/>
      <c r="DT309" s="114"/>
      <c r="DU309" s="114"/>
      <c r="DV309" s="114"/>
      <c r="DW309" s="114"/>
    </row>
    <row r="310" spans="2:127" x14ac:dyDescent="0.25">
      <c r="B310" s="396">
        <v>44986</v>
      </c>
      <c r="C310" s="400">
        <v>44977</v>
      </c>
      <c r="R310" s="114"/>
      <c r="W310" s="483"/>
      <c r="AE310" s="124">
        <v>7.2739448296945022E-2</v>
      </c>
      <c r="BS310" s="114"/>
      <c r="BT310" s="114"/>
      <c r="BZ310" s="114"/>
      <c r="CA310" s="114"/>
      <c r="CF310" s="114"/>
      <c r="CG310" s="114"/>
      <c r="CM310" s="114"/>
      <c r="CN310" s="114"/>
      <c r="CS310" s="114"/>
      <c r="CT310" s="114"/>
      <c r="CX310" s="483"/>
      <c r="CY310" s="114"/>
      <c r="CZ310" s="114"/>
      <c r="DA310" s="114"/>
      <c r="DB310" s="483"/>
      <c r="DC310" s="114"/>
      <c r="DD310" s="114"/>
      <c r="DE310" s="114"/>
      <c r="DH310" s="114"/>
      <c r="DI310" s="114"/>
      <c r="DJ310" s="114"/>
      <c r="DK310" s="114"/>
      <c r="DL310" s="114"/>
      <c r="DM310" s="114"/>
      <c r="DN310" s="114"/>
      <c r="DO310" s="114"/>
      <c r="DP310" s="114"/>
      <c r="DQ310" s="114"/>
      <c r="DR310" s="114"/>
      <c r="DS310" s="114"/>
      <c r="DT310" s="114"/>
      <c r="DU310" s="114"/>
      <c r="DV310" s="114"/>
      <c r="DW310" s="114"/>
    </row>
    <row r="311" spans="2:127" x14ac:dyDescent="0.25">
      <c r="B311" s="396">
        <v>45017</v>
      </c>
      <c r="C311" s="400">
        <v>45005</v>
      </c>
      <c r="R311" s="114"/>
      <c r="W311" s="483"/>
      <c r="AE311" s="124">
        <v>7.2730409565508011E-2</v>
      </c>
      <c r="BS311" s="114"/>
      <c r="BT311" s="114"/>
      <c r="BZ311" s="114"/>
      <c r="CA311" s="114"/>
      <c r="CF311" s="114"/>
      <c r="CG311" s="114"/>
      <c r="CM311" s="114"/>
      <c r="CN311" s="114"/>
      <c r="CS311" s="114"/>
      <c r="CT311" s="114"/>
      <c r="CX311" s="483"/>
      <c r="CY311" s="114"/>
      <c r="CZ311" s="114"/>
      <c r="DA311" s="114"/>
      <c r="DB311" s="483"/>
      <c r="DC311" s="114"/>
      <c r="DD311" s="114"/>
      <c r="DE311" s="114"/>
      <c r="DH311" s="114"/>
      <c r="DI311" s="114"/>
      <c r="DJ311" s="114"/>
      <c r="DK311" s="114"/>
      <c r="DL311" s="114"/>
      <c r="DM311" s="114"/>
      <c r="DN311" s="114"/>
      <c r="DO311" s="114"/>
      <c r="DP311" s="114"/>
      <c r="DQ311" s="114"/>
      <c r="DR311" s="114"/>
      <c r="DS311" s="114"/>
      <c r="DT311" s="114"/>
      <c r="DU311" s="114"/>
      <c r="DV311" s="114"/>
      <c r="DW311" s="114"/>
    </row>
    <row r="312" spans="2:127" x14ac:dyDescent="0.25">
      <c r="B312" s="396">
        <v>45047</v>
      </c>
      <c r="C312" s="400">
        <v>45036</v>
      </c>
      <c r="R312" s="114"/>
      <c r="W312" s="483"/>
      <c r="AE312" s="124">
        <v>7.2721662406078025E-2</v>
      </c>
      <c r="BS312" s="114"/>
      <c r="BT312" s="114"/>
      <c r="BZ312" s="114"/>
      <c r="CA312" s="114"/>
      <c r="CF312" s="114"/>
      <c r="CG312" s="114"/>
      <c r="CM312" s="114"/>
      <c r="CN312" s="114"/>
      <c r="CS312" s="114"/>
      <c r="CT312" s="114"/>
      <c r="CX312" s="483"/>
      <c r="CY312" s="114"/>
      <c r="CZ312" s="114"/>
      <c r="DA312" s="114"/>
      <c r="DB312" s="483"/>
      <c r="DC312" s="114"/>
      <c r="DD312" s="114"/>
      <c r="DE312" s="114"/>
      <c r="DH312" s="114"/>
      <c r="DI312" s="114"/>
      <c r="DJ312" s="114"/>
      <c r="DK312" s="114"/>
      <c r="DL312" s="114"/>
      <c r="DM312" s="114"/>
      <c r="DN312" s="114"/>
      <c r="DO312" s="114"/>
      <c r="DP312" s="114"/>
      <c r="DQ312" s="114"/>
      <c r="DR312" s="114"/>
      <c r="DS312" s="114"/>
      <c r="DT312" s="114"/>
      <c r="DU312" s="114"/>
      <c r="DV312" s="114"/>
      <c r="DW312" s="114"/>
    </row>
    <row r="313" spans="2:127" x14ac:dyDescent="0.25">
      <c r="B313" s="396">
        <v>45078</v>
      </c>
      <c r="C313" s="400">
        <v>45068</v>
      </c>
      <c r="R313" s="114"/>
      <c r="W313" s="483"/>
      <c r="AE313" s="124">
        <v>7.2712623674695026E-2</v>
      </c>
      <c r="BS313" s="114"/>
      <c r="BT313" s="114"/>
      <c r="BZ313" s="114"/>
      <c r="CA313" s="114"/>
      <c r="CF313" s="114"/>
      <c r="CG313" s="114"/>
      <c r="CM313" s="114"/>
      <c r="CN313" s="114"/>
      <c r="CS313" s="114"/>
      <c r="CT313" s="114"/>
      <c r="CX313" s="483"/>
      <c r="CY313" s="114"/>
      <c r="CZ313" s="114"/>
      <c r="DA313" s="114"/>
      <c r="DB313" s="483"/>
      <c r="DC313" s="114"/>
      <c r="DD313" s="114"/>
      <c r="DE313" s="114"/>
      <c r="DH313" s="114"/>
      <c r="DI313" s="114"/>
      <c r="DJ313" s="114"/>
      <c r="DK313" s="114"/>
      <c r="DL313" s="114"/>
      <c r="DM313" s="114"/>
      <c r="DN313" s="114"/>
      <c r="DO313" s="114"/>
      <c r="DP313" s="114"/>
      <c r="DQ313" s="114"/>
      <c r="DR313" s="114"/>
      <c r="DS313" s="114"/>
      <c r="DT313" s="114"/>
      <c r="DU313" s="114"/>
      <c r="DV313" s="114"/>
      <c r="DW313" s="114"/>
    </row>
    <row r="314" spans="2:127" x14ac:dyDescent="0.25">
      <c r="B314" s="396">
        <v>45108</v>
      </c>
      <c r="C314" s="400">
        <v>45097</v>
      </c>
      <c r="R314" s="114"/>
      <c r="W314" s="483"/>
      <c r="AE314" s="124">
        <v>7.2703876515316998E-2</v>
      </c>
      <c r="BS314" s="114"/>
      <c r="BT314" s="114"/>
      <c r="BZ314" s="114"/>
      <c r="CA314" s="114"/>
      <c r="CF314" s="114"/>
      <c r="CG314" s="114"/>
      <c r="CM314" s="114"/>
      <c r="CN314" s="114"/>
      <c r="CS314" s="114"/>
      <c r="CT314" s="114"/>
      <c r="CX314" s="483"/>
      <c r="CY314" s="114"/>
      <c r="CZ314" s="114"/>
      <c r="DA314" s="114"/>
      <c r="DB314" s="483"/>
      <c r="DC314" s="114"/>
      <c r="DD314" s="114"/>
      <c r="DE314" s="114"/>
      <c r="DH314" s="114"/>
      <c r="DI314" s="114"/>
      <c r="DJ314" s="114"/>
      <c r="DK314" s="114"/>
      <c r="DL314" s="114"/>
      <c r="DM314" s="114"/>
      <c r="DN314" s="114"/>
      <c r="DO314" s="114"/>
      <c r="DP314" s="114"/>
      <c r="DQ314" s="114"/>
      <c r="DR314" s="114"/>
      <c r="DS314" s="114"/>
      <c r="DT314" s="114"/>
      <c r="DU314" s="114"/>
      <c r="DV314" s="114"/>
      <c r="DW314" s="114"/>
    </row>
    <row r="315" spans="2:127" x14ac:dyDescent="0.25">
      <c r="B315" s="396">
        <v>45139</v>
      </c>
      <c r="C315" s="400">
        <v>45127</v>
      </c>
      <c r="R315" s="114"/>
      <c r="W315" s="483"/>
      <c r="AE315" s="124">
        <v>7.2694837783986013E-2</v>
      </c>
      <c r="BS315" s="114"/>
      <c r="BT315" s="114"/>
      <c r="BZ315" s="114"/>
      <c r="CA315" s="114"/>
      <c r="CF315" s="114"/>
      <c r="CG315" s="114"/>
      <c r="CM315" s="114"/>
      <c r="CN315" s="114"/>
      <c r="CS315" s="114"/>
      <c r="CT315" s="114"/>
      <c r="CX315" s="483"/>
      <c r="CY315" s="114"/>
      <c r="CZ315" s="114"/>
      <c r="DA315" s="114"/>
      <c r="DB315" s="483"/>
      <c r="DC315" s="114"/>
      <c r="DD315" s="114"/>
      <c r="DE315" s="114"/>
      <c r="DH315" s="114"/>
      <c r="DI315" s="114"/>
      <c r="DJ315" s="114"/>
      <c r="DK315" s="114"/>
      <c r="DL315" s="114"/>
      <c r="DM315" s="114"/>
      <c r="DN315" s="114"/>
      <c r="DO315" s="114"/>
      <c r="DP315" s="114"/>
      <c r="DQ315" s="114"/>
      <c r="DR315" s="114"/>
      <c r="DS315" s="114"/>
      <c r="DT315" s="114"/>
      <c r="DU315" s="114"/>
      <c r="DV315" s="114"/>
      <c r="DW315" s="114"/>
    </row>
    <row r="316" spans="2:127" x14ac:dyDescent="0.25">
      <c r="B316" s="396">
        <v>45170</v>
      </c>
      <c r="C316" s="400">
        <v>45159</v>
      </c>
      <c r="R316" s="114"/>
      <c r="W316" s="483"/>
      <c r="AE316" s="124">
        <v>7.2685799052682021E-2</v>
      </c>
      <c r="BS316" s="114"/>
      <c r="BT316" s="114"/>
      <c r="BZ316" s="114"/>
      <c r="CA316" s="114"/>
      <c r="CF316" s="114"/>
      <c r="CG316" s="114"/>
      <c r="CM316" s="114"/>
      <c r="CN316" s="114"/>
      <c r="CS316" s="114"/>
      <c r="CT316" s="114"/>
      <c r="CX316" s="483"/>
      <c r="CY316" s="114"/>
      <c r="CZ316" s="114"/>
      <c r="DA316" s="114"/>
      <c r="DB316" s="483"/>
      <c r="DC316" s="114"/>
      <c r="DD316" s="114"/>
      <c r="DE316" s="114"/>
      <c r="DH316" s="114"/>
      <c r="DI316" s="114"/>
      <c r="DJ316" s="114"/>
      <c r="DK316" s="114"/>
      <c r="DL316" s="114"/>
      <c r="DM316" s="114"/>
      <c r="DN316" s="114"/>
      <c r="DO316" s="114"/>
      <c r="DP316" s="114"/>
      <c r="DQ316" s="114"/>
      <c r="DR316" s="114"/>
      <c r="DS316" s="114"/>
      <c r="DT316" s="114"/>
      <c r="DU316" s="114"/>
      <c r="DV316" s="114"/>
      <c r="DW316" s="114"/>
    </row>
    <row r="317" spans="2:127" x14ac:dyDescent="0.25">
      <c r="B317" s="396">
        <v>45200</v>
      </c>
      <c r="C317" s="400">
        <v>45189</v>
      </c>
      <c r="R317" s="114"/>
      <c r="W317" s="483"/>
      <c r="AE317" s="124">
        <v>7.2677635037334029E-2</v>
      </c>
      <c r="BS317" s="114"/>
      <c r="BT317" s="114"/>
      <c r="BZ317" s="114"/>
      <c r="CA317" s="114"/>
      <c r="CF317" s="114"/>
      <c r="CG317" s="114"/>
      <c r="CM317" s="114"/>
      <c r="CN317" s="114"/>
      <c r="CS317" s="114"/>
      <c r="CT317" s="114"/>
      <c r="CX317" s="483"/>
      <c r="CY317" s="114"/>
      <c r="CZ317" s="114"/>
      <c r="DA317" s="114"/>
      <c r="DB317" s="483"/>
      <c r="DC317" s="114"/>
      <c r="DD317" s="114"/>
      <c r="DE317" s="114"/>
      <c r="DH317" s="114"/>
      <c r="DI317" s="114"/>
      <c r="DJ317" s="114"/>
      <c r="DK317" s="114"/>
      <c r="DL317" s="114"/>
      <c r="DM317" s="114"/>
      <c r="DN317" s="114"/>
      <c r="DO317" s="114"/>
      <c r="DP317" s="114"/>
      <c r="DQ317" s="114"/>
      <c r="DR317" s="114"/>
      <c r="DS317" s="114"/>
      <c r="DT317" s="114"/>
      <c r="DU317" s="114"/>
      <c r="DV317" s="114"/>
      <c r="DW317" s="114"/>
    </row>
    <row r="318" spans="2:127" x14ac:dyDescent="0.25">
      <c r="B318" s="396">
        <v>45231</v>
      </c>
      <c r="C318" s="400">
        <v>45221</v>
      </c>
      <c r="R318" s="114"/>
      <c r="W318" s="483"/>
      <c r="AE318" s="124">
        <v>7.2668596306082009E-2</v>
      </c>
      <c r="BS318" s="114"/>
      <c r="BT318" s="114"/>
      <c r="BZ318" s="114"/>
      <c r="CA318" s="114"/>
      <c r="CF318" s="114"/>
      <c r="CG318" s="114"/>
      <c r="CM318" s="114"/>
      <c r="CN318" s="114"/>
      <c r="CS318" s="114"/>
      <c r="CT318" s="114"/>
      <c r="CX318" s="483"/>
      <c r="CY318" s="114"/>
      <c r="CZ318" s="114"/>
      <c r="DA318" s="114"/>
      <c r="DB318" s="483"/>
      <c r="DC318" s="114"/>
      <c r="DD318" s="114"/>
      <c r="DE318" s="114"/>
      <c r="DH318" s="114"/>
      <c r="DI318" s="114"/>
      <c r="DJ318" s="114"/>
      <c r="DK318" s="114"/>
      <c r="DL318" s="114"/>
      <c r="DM318" s="114"/>
      <c r="DN318" s="114"/>
      <c r="DO318" s="114"/>
      <c r="DP318" s="114"/>
      <c r="DQ318" s="114"/>
      <c r="DR318" s="114"/>
      <c r="DS318" s="114"/>
      <c r="DT318" s="114"/>
      <c r="DU318" s="114"/>
      <c r="DV318" s="114"/>
      <c r="DW318" s="114"/>
    </row>
    <row r="319" spans="2:127" x14ac:dyDescent="0.25">
      <c r="B319" s="396">
        <v>45261</v>
      </c>
      <c r="C319" s="400">
        <v>45249</v>
      </c>
      <c r="R319" s="114"/>
      <c r="W319" s="483"/>
      <c r="AE319" s="124">
        <v>7.2659849146831032E-2</v>
      </c>
      <c r="BS319" s="114"/>
      <c r="BT319" s="114"/>
      <c r="BZ319" s="114"/>
      <c r="CA319" s="114"/>
      <c r="CF319" s="114"/>
      <c r="CG319" s="114"/>
      <c r="CM319" s="114"/>
      <c r="CN319" s="114"/>
      <c r="CS319" s="114"/>
      <c r="CT319" s="114"/>
      <c r="CX319" s="483"/>
      <c r="CY319" s="114"/>
      <c r="CZ319" s="114"/>
      <c r="DA319" s="114"/>
      <c r="DB319" s="483"/>
      <c r="DC319" s="114"/>
      <c r="DD319" s="114"/>
      <c r="DE319" s="114"/>
      <c r="DH319" s="114"/>
      <c r="DI319" s="114"/>
      <c r="DJ319" s="114"/>
      <c r="DK319" s="114"/>
      <c r="DL319" s="114"/>
      <c r="DM319" s="114"/>
      <c r="DN319" s="114"/>
      <c r="DO319" s="114"/>
      <c r="DP319" s="114"/>
      <c r="DQ319" s="114"/>
      <c r="DR319" s="114"/>
      <c r="DS319" s="114"/>
      <c r="DT319" s="114"/>
      <c r="DU319" s="114"/>
      <c r="DV319" s="114"/>
      <c r="DW319" s="114"/>
    </row>
    <row r="320" spans="2:127" x14ac:dyDescent="0.25">
      <c r="B320" s="396">
        <v>45292</v>
      </c>
      <c r="C320" s="400">
        <v>45279</v>
      </c>
      <c r="R320" s="114"/>
      <c r="W320" s="483"/>
      <c r="AE320" s="124">
        <v>7.2650810415632011E-2</v>
      </c>
      <c r="BS320" s="114"/>
      <c r="BT320" s="114"/>
      <c r="BZ320" s="114"/>
      <c r="CA320" s="114"/>
      <c r="CF320" s="114"/>
      <c r="CG320" s="114"/>
      <c r="CM320" s="114"/>
      <c r="CN320" s="114"/>
      <c r="CS320" s="114"/>
      <c r="CT320" s="114"/>
      <c r="CX320" s="483"/>
      <c r="CY320" s="114"/>
      <c r="CZ320" s="114"/>
      <c r="DA320" s="114"/>
      <c r="DB320" s="483"/>
      <c r="DC320" s="114"/>
      <c r="DD320" s="114"/>
      <c r="DE320" s="114"/>
      <c r="DH320" s="114"/>
      <c r="DI320" s="114"/>
      <c r="DJ320" s="114"/>
      <c r="DK320" s="114"/>
      <c r="DL320" s="114"/>
      <c r="DM320" s="114"/>
      <c r="DN320" s="114"/>
      <c r="DO320" s="114"/>
      <c r="DP320" s="114"/>
      <c r="DQ320" s="114"/>
      <c r="DR320" s="114"/>
      <c r="DS320" s="114"/>
      <c r="DT320" s="114"/>
      <c r="DU320" s="114"/>
      <c r="DV320" s="114"/>
      <c r="DW320" s="114"/>
    </row>
    <row r="321" spans="2:127" x14ac:dyDescent="0.25">
      <c r="B321" s="396">
        <v>45323</v>
      </c>
      <c r="C321" s="400">
        <v>45313</v>
      </c>
      <c r="R321" s="114"/>
      <c r="W321" s="483"/>
      <c r="AE321" s="124">
        <v>7.2642063256432021E-2</v>
      </c>
      <c r="BS321" s="114"/>
      <c r="BT321" s="114"/>
      <c r="BZ321" s="114"/>
      <c r="CA321" s="114"/>
      <c r="CF321" s="114"/>
      <c r="CG321" s="114"/>
      <c r="CM321" s="114"/>
      <c r="CN321" s="114"/>
      <c r="CS321" s="114"/>
      <c r="CT321" s="114"/>
      <c r="CX321" s="483"/>
      <c r="CY321" s="114"/>
      <c r="CZ321" s="114"/>
      <c r="DA321" s="114"/>
      <c r="DB321" s="483"/>
      <c r="DC321" s="114"/>
      <c r="DD321" s="114"/>
      <c r="DE321" s="114"/>
      <c r="DH321" s="114"/>
      <c r="DI321" s="114"/>
      <c r="DJ321" s="114"/>
      <c r="DK321" s="114"/>
      <c r="DL321" s="114"/>
      <c r="DM321" s="114"/>
      <c r="DN321" s="114"/>
      <c r="DO321" s="114"/>
      <c r="DP321" s="114"/>
      <c r="DQ321" s="114"/>
      <c r="DR321" s="114"/>
      <c r="DS321" s="114"/>
      <c r="DT321" s="114"/>
      <c r="DU321" s="114"/>
      <c r="DV321" s="114"/>
      <c r="DW321" s="114"/>
    </row>
    <row r="322" spans="2:127" x14ac:dyDescent="0.25">
      <c r="B322" s="396">
        <v>45352</v>
      </c>
      <c r="C322" s="400">
        <v>45342</v>
      </c>
      <c r="R322" s="114"/>
      <c r="W322" s="483"/>
      <c r="AE322" s="124">
        <v>7.2633024525286013E-2</v>
      </c>
      <c r="BS322" s="114"/>
      <c r="BT322" s="114"/>
      <c r="BZ322" s="114"/>
      <c r="CA322" s="114"/>
      <c r="CF322" s="114"/>
      <c r="CG322" s="114"/>
      <c r="CM322" s="114"/>
      <c r="CN322" s="114"/>
      <c r="CS322" s="114"/>
      <c r="CT322" s="114"/>
      <c r="CX322" s="483"/>
      <c r="CY322" s="114"/>
      <c r="CZ322" s="114"/>
      <c r="DA322" s="114"/>
      <c r="DB322" s="483"/>
      <c r="DC322" s="114"/>
      <c r="DD322" s="114"/>
      <c r="DE322" s="114"/>
      <c r="DH322" s="114"/>
      <c r="DI322" s="114"/>
      <c r="DJ322" s="114"/>
      <c r="DK322" s="114"/>
      <c r="DL322" s="114"/>
      <c r="DM322" s="114"/>
      <c r="DN322" s="114"/>
      <c r="DO322" s="114"/>
      <c r="DP322" s="114"/>
      <c r="DQ322" s="114"/>
      <c r="DR322" s="114"/>
      <c r="DS322" s="114"/>
      <c r="DT322" s="114"/>
      <c r="DU322" s="114"/>
      <c r="DV322" s="114"/>
      <c r="DW322" s="114"/>
    </row>
    <row r="323" spans="2:127" x14ac:dyDescent="0.25">
      <c r="B323" s="396">
        <v>45383</v>
      </c>
      <c r="C323" s="400">
        <v>45370</v>
      </c>
      <c r="R323" s="114"/>
      <c r="W323" s="483"/>
      <c r="AE323" s="124">
        <v>7.2623985794167012E-2</v>
      </c>
      <c r="BS323" s="114"/>
      <c r="BT323" s="114"/>
      <c r="BZ323" s="114"/>
      <c r="CA323" s="114"/>
      <c r="CF323" s="114"/>
      <c r="CG323" s="114"/>
      <c r="CM323" s="114"/>
      <c r="CN323" s="114"/>
      <c r="CS323" s="114"/>
      <c r="CT323" s="114"/>
      <c r="CX323" s="483"/>
      <c r="CY323" s="114"/>
      <c r="CZ323" s="114"/>
      <c r="DA323" s="114"/>
      <c r="DB323" s="483"/>
      <c r="DC323" s="114"/>
      <c r="DD323" s="114"/>
      <c r="DE323" s="114"/>
      <c r="DH323" s="114"/>
      <c r="DI323" s="114"/>
      <c r="DJ323" s="114"/>
      <c r="DK323" s="114"/>
      <c r="DL323" s="114"/>
      <c r="DM323" s="114"/>
      <c r="DN323" s="114"/>
      <c r="DO323" s="114"/>
      <c r="DP323" s="114"/>
      <c r="DQ323" s="114"/>
      <c r="DR323" s="114"/>
      <c r="DS323" s="114"/>
      <c r="DT323" s="114"/>
      <c r="DU323" s="114"/>
      <c r="DV323" s="114"/>
      <c r="DW323" s="114"/>
    </row>
    <row r="324" spans="2:127" x14ac:dyDescent="0.25">
      <c r="B324" s="396">
        <v>45413</v>
      </c>
      <c r="C324" s="400">
        <v>45401</v>
      </c>
      <c r="R324" s="114"/>
      <c r="W324" s="483"/>
      <c r="AE324" s="124">
        <v>7.2615238635045001E-2</v>
      </c>
      <c r="BS324" s="114"/>
      <c r="BT324" s="114"/>
      <c r="BZ324" s="114"/>
      <c r="CA324" s="114"/>
      <c r="CF324" s="114"/>
      <c r="CG324" s="114"/>
      <c r="CM324" s="114"/>
      <c r="CN324" s="114"/>
      <c r="CS324" s="114"/>
      <c r="CT324" s="114"/>
      <c r="CX324" s="483"/>
      <c r="CY324" s="114"/>
      <c r="CZ324" s="114"/>
      <c r="DA324" s="114"/>
      <c r="DB324" s="483"/>
      <c r="DC324" s="114"/>
      <c r="DD324" s="114"/>
      <c r="DE324" s="114"/>
      <c r="DH324" s="114"/>
      <c r="DI324" s="114"/>
      <c r="DJ324" s="114"/>
      <c r="DK324" s="114"/>
      <c r="DL324" s="114"/>
      <c r="DM324" s="114"/>
      <c r="DN324" s="114"/>
      <c r="DO324" s="114"/>
      <c r="DP324" s="114"/>
      <c r="DQ324" s="114"/>
      <c r="DR324" s="114"/>
      <c r="DS324" s="114"/>
      <c r="DT324" s="114"/>
      <c r="DU324" s="114"/>
      <c r="DV324" s="114"/>
      <c r="DW324" s="114"/>
    </row>
    <row r="325" spans="2:127" x14ac:dyDescent="0.25">
      <c r="B325" s="396">
        <v>45444</v>
      </c>
      <c r="C325" s="400">
        <v>45433</v>
      </c>
      <c r="R325" s="114"/>
      <c r="W325" s="483"/>
      <c r="AE325" s="124">
        <v>7.2606199903979013E-2</v>
      </c>
      <c r="BS325" s="114"/>
      <c r="BT325" s="114"/>
      <c r="BZ325" s="114"/>
      <c r="CA325" s="114"/>
      <c r="CF325" s="114"/>
      <c r="CG325" s="114"/>
      <c r="CM325" s="114"/>
      <c r="CN325" s="114"/>
      <c r="CS325" s="114"/>
      <c r="CT325" s="114"/>
      <c r="CX325" s="483"/>
      <c r="CY325" s="114"/>
      <c r="CZ325" s="114"/>
      <c r="DA325" s="114"/>
      <c r="DB325" s="483"/>
      <c r="DC325" s="114"/>
      <c r="DD325" s="114"/>
      <c r="DE325" s="114"/>
      <c r="DH325" s="114"/>
      <c r="DI325" s="114"/>
      <c r="DJ325" s="114"/>
      <c r="DK325" s="114"/>
      <c r="DL325" s="114"/>
      <c r="DM325" s="114"/>
      <c r="DN325" s="114"/>
      <c r="DO325" s="114"/>
      <c r="DP325" s="114"/>
      <c r="DQ325" s="114"/>
      <c r="DR325" s="114"/>
      <c r="DS325" s="114"/>
      <c r="DT325" s="114"/>
      <c r="DU325" s="114"/>
      <c r="DV325" s="114"/>
      <c r="DW325" s="114"/>
    </row>
    <row r="326" spans="2:127" x14ac:dyDescent="0.25">
      <c r="B326" s="396">
        <v>45474</v>
      </c>
      <c r="C326" s="400">
        <v>45462</v>
      </c>
      <c r="R326" s="114"/>
      <c r="W326" s="483"/>
      <c r="AE326" s="124">
        <v>7.2597452744908031E-2</v>
      </c>
      <c r="BS326" s="114"/>
      <c r="BT326" s="114"/>
      <c r="BZ326" s="114"/>
      <c r="CA326" s="114"/>
      <c r="CF326" s="114"/>
      <c r="CG326" s="114"/>
      <c r="CM326" s="114"/>
      <c r="CN326" s="114"/>
      <c r="CS326" s="114"/>
      <c r="CT326" s="114"/>
      <c r="CX326" s="483"/>
      <c r="CY326" s="114"/>
      <c r="CZ326" s="114"/>
      <c r="DA326" s="114"/>
      <c r="DB326" s="483"/>
      <c r="DC326" s="114"/>
      <c r="DD326" s="114"/>
      <c r="DE326" s="114"/>
      <c r="DH326" s="114"/>
      <c r="DI326" s="114"/>
      <c r="DJ326" s="114"/>
      <c r="DK326" s="114"/>
      <c r="DL326" s="114"/>
      <c r="DM326" s="114"/>
      <c r="DN326" s="114"/>
      <c r="DO326" s="114"/>
      <c r="DP326" s="114"/>
      <c r="DQ326" s="114"/>
      <c r="DR326" s="114"/>
      <c r="DS326" s="114"/>
      <c r="DT326" s="114"/>
      <c r="DU326" s="114"/>
      <c r="DV326" s="114"/>
      <c r="DW326" s="114"/>
    </row>
    <row r="327" spans="2:127" x14ac:dyDescent="0.25">
      <c r="B327" s="396">
        <v>45505</v>
      </c>
      <c r="C327" s="400">
        <v>45492</v>
      </c>
      <c r="R327" s="114"/>
      <c r="W327" s="483"/>
      <c r="AE327" s="124">
        <v>7.2588414013895028E-2</v>
      </c>
      <c r="BS327" s="114"/>
      <c r="BT327" s="114"/>
      <c r="BZ327" s="114"/>
      <c r="CA327" s="114"/>
      <c r="CF327" s="114"/>
      <c r="CG327" s="114"/>
      <c r="CM327" s="114"/>
      <c r="CN327" s="114"/>
      <c r="CS327" s="114"/>
      <c r="CT327" s="114"/>
      <c r="CX327" s="483"/>
      <c r="CY327" s="114"/>
      <c r="CZ327" s="114"/>
      <c r="DA327" s="114"/>
      <c r="DB327" s="483"/>
      <c r="DC327" s="114"/>
      <c r="DD327" s="114"/>
      <c r="DE327" s="114"/>
      <c r="DH327" s="114"/>
      <c r="DI327" s="114"/>
      <c r="DJ327" s="114"/>
      <c r="DK327" s="114"/>
      <c r="DL327" s="114"/>
      <c r="DM327" s="114"/>
      <c r="DN327" s="114"/>
      <c r="DO327" s="114"/>
      <c r="DP327" s="114"/>
      <c r="DQ327" s="114"/>
      <c r="DR327" s="114"/>
      <c r="DS327" s="114"/>
      <c r="DT327" s="114"/>
      <c r="DU327" s="114"/>
      <c r="DV327" s="114"/>
      <c r="DW327" s="114"/>
    </row>
    <row r="328" spans="2:127" x14ac:dyDescent="0.25">
      <c r="B328" s="396">
        <v>45536</v>
      </c>
      <c r="C328" s="400">
        <v>45524</v>
      </c>
      <c r="R328" s="114"/>
      <c r="W328" s="483"/>
      <c r="AE328" s="124">
        <v>7.2579375282909017E-2</v>
      </c>
      <c r="BS328" s="114"/>
      <c r="BT328" s="114"/>
      <c r="BZ328" s="114"/>
      <c r="CA328" s="114"/>
      <c r="CF328" s="114"/>
      <c r="CG328" s="114"/>
      <c r="CM328" s="114"/>
      <c r="CN328" s="114"/>
      <c r="CS328" s="114"/>
      <c r="CT328" s="114"/>
      <c r="CX328" s="483"/>
      <c r="CY328" s="114"/>
      <c r="CZ328" s="114"/>
      <c r="DA328" s="114"/>
      <c r="DB328" s="483"/>
      <c r="DC328" s="114"/>
      <c r="DD328" s="114"/>
      <c r="DE328" s="114"/>
      <c r="DH328" s="114"/>
      <c r="DI328" s="114"/>
      <c r="DJ328" s="114"/>
      <c r="DK328" s="114"/>
      <c r="DL328" s="114"/>
      <c r="DM328" s="114"/>
      <c r="DN328" s="114"/>
      <c r="DO328" s="114"/>
      <c r="DP328" s="114"/>
      <c r="DQ328" s="114"/>
      <c r="DR328" s="114"/>
      <c r="DS328" s="114"/>
      <c r="DT328" s="114"/>
      <c r="DU328" s="114"/>
      <c r="DV328" s="114"/>
      <c r="DW328" s="114"/>
    </row>
    <row r="329" spans="2:127" x14ac:dyDescent="0.25">
      <c r="B329" s="396">
        <v>45566</v>
      </c>
      <c r="C329" s="400">
        <v>45554</v>
      </c>
      <c r="R329" s="114"/>
      <c r="W329" s="483"/>
      <c r="AE329" s="124">
        <v>7.2571211267848004E-2</v>
      </c>
      <c r="BS329" s="114"/>
      <c r="BT329" s="114"/>
      <c r="BZ329" s="114"/>
      <c r="CA329" s="114"/>
      <c r="CF329" s="114"/>
      <c r="CG329" s="114"/>
      <c r="CM329" s="114"/>
      <c r="CN329" s="114"/>
      <c r="CS329" s="114"/>
      <c r="CT329" s="114"/>
      <c r="CX329" s="483"/>
      <c r="CY329" s="114"/>
      <c r="CZ329" s="114"/>
      <c r="DA329" s="114"/>
      <c r="DB329" s="483"/>
      <c r="DC329" s="114"/>
      <c r="DD329" s="114"/>
      <c r="DE329" s="114"/>
      <c r="DH329" s="114"/>
      <c r="DI329" s="114"/>
      <c r="DJ329" s="114"/>
      <c r="DK329" s="114"/>
      <c r="DL329" s="114"/>
      <c r="DM329" s="114"/>
      <c r="DN329" s="114"/>
      <c r="DO329" s="114"/>
      <c r="DP329" s="114"/>
      <c r="DQ329" s="114"/>
      <c r="DR329" s="114"/>
      <c r="DS329" s="114"/>
      <c r="DT329" s="114"/>
      <c r="DU329" s="114"/>
      <c r="DV329" s="114"/>
      <c r="DW329" s="114"/>
    </row>
    <row r="330" spans="2:127" x14ac:dyDescent="0.25">
      <c r="B330" s="396">
        <v>45597</v>
      </c>
      <c r="C330" s="400">
        <v>45586</v>
      </c>
      <c r="R330" s="114"/>
      <c r="W330" s="483"/>
      <c r="AE330" s="124">
        <v>7.2562172536913008E-2</v>
      </c>
      <c r="BS330" s="114"/>
      <c r="BT330" s="114"/>
      <c r="BZ330" s="114"/>
      <c r="CA330" s="114"/>
      <c r="CF330" s="114"/>
      <c r="CG330" s="114"/>
      <c r="CM330" s="114"/>
      <c r="CN330" s="114"/>
      <c r="CS330" s="114"/>
      <c r="CT330" s="114"/>
      <c r="CX330" s="483"/>
      <c r="CY330" s="114"/>
      <c r="CZ330" s="114"/>
      <c r="DA330" s="114"/>
      <c r="DB330" s="483"/>
      <c r="DC330" s="114"/>
      <c r="DD330" s="114"/>
      <c r="DE330" s="114"/>
      <c r="DH330" s="114"/>
      <c r="DI330" s="114"/>
      <c r="DJ330" s="114"/>
      <c r="DK330" s="114"/>
      <c r="DL330" s="114"/>
      <c r="DM330" s="114"/>
      <c r="DN330" s="114"/>
      <c r="DO330" s="114"/>
      <c r="DP330" s="114"/>
      <c r="DQ330" s="114"/>
      <c r="DR330" s="114"/>
      <c r="DS330" s="114"/>
      <c r="DT330" s="114"/>
      <c r="DU330" s="114"/>
      <c r="DV330" s="114"/>
      <c r="DW330" s="114"/>
    </row>
    <row r="331" spans="2:127" x14ac:dyDescent="0.25">
      <c r="B331" s="396">
        <v>45627</v>
      </c>
      <c r="C331" s="400">
        <v>45614</v>
      </c>
      <c r="R331" s="114"/>
      <c r="W331" s="483"/>
      <c r="AE331" s="124">
        <v>7.2553425377970007E-2</v>
      </c>
      <c r="BS331" s="114"/>
      <c r="BT331" s="114"/>
      <c r="BZ331" s="114"/>
      <c r="CA331" s="114"/>
      <c r="CF331" s="114"/>
      <c r="CG331" s="114"/>
      <c r="CM331" s="114"/>
      <c r="CN331" s="114"/>
      <c r="CS331" s="114"/>
      <c r="CT331" s="114"/>
      <c r="CX331" s="483"/>
      <c r="CY331" s="114"/>
      <c r="CZ331" s="114"/>
      <c r="DA331" s="114"/>
      <c r="DB331" s="483"/>
      <c r="DC331" s="114"/>
      <c r="DD331" s="114"/>
      <c r="DE331" s="114"/>
      <c r="DH331" s="114"/>
      <c r="DI331" s="114"/>
      <c r="DJ331" s="114"/>
      <c r="DK331" s="114"/>
      <c r="DL331" s="114"/>
      <c r="DM331" s="114"/>
      <c r="DN331" s="114"/>
      <c r="DO331" s="114"/>
      <c r="DP331" s="114"/>
      <c r="DQ331" s="114"/>
      <c r="DR331" s="114"/>
      <c r="DS331" s="114"/>
      <c r="DT331" s="114"/>
      <c r="DU331" s="114"/>
      <c r="DV331" s="114"/>
      <c r="DW331" s="114"/>
    </row>
    <row r="332" spans="2:127" ht="13.8" thickBot="1" x14ac:dyDescent="0.3">
      <c r="B332" s="397">
        <v>45658</v>
      </c>
      <c r="C332" s="401">
        <v>45644</v>
      </c>
      <c r="R332" s="114"/>
      <c r="W332" s="483"/>
      <c r="AE332" s="124">
        <v>7.2544386647088011E-2</v>
      </c>
      <c r="BS332" s="114"/>
      <c r="BT332" s="114"/>
      <c r="BZ332" s="114"/>
      <c r="CA332" s="114"/>
      <c r="CF332" s="114"/>
      <c r="CG332" s="114"/>
      <c r="CM332" s="114"/>
      <c r="CN332" s="114"/>
      <c r="CS332" s="114"/>
      <c r="CT332" s="114"/>
      <c r="CX332" s="483"/>
      <c r="CY332" s="114"/>
      <c r="CZ332" s="114"/>
      <c r="DA332" s="114"/>
      <c r="DB332" s="483"/>
      <c r="DC332" s="114"/>
      <c r="DD332" s="114"/>
      <c r="DE332" s="114"/>
      <c r="DH332" s="114"/>
      <c r="DI332" s="114"/>
      <c r="DJ332" s="114"/>
      <c r="DK332" s="114"/>
      <c r="DL332" s="114"/>
      <c r="DM332" s="114"/>
      <c r="DN332" s="114"/>
      <c r="DO332" s="114"/>
      <c r="DP332" s="114"/>
      <c r="DQ332" s="114"/>
      <c r="DR332" s="114"/>
      <c r="DS332" s="114"/>
      <c r="DT332" s="114"/>
      <c r="DU332" s="114"/>
      <c r="DV332" s="114"/>
      <c r="DW332" s="114"/>
    </row>
    <row r="333" spans="2:127" x14ac:dyDescent="0.25">
      <c r="R333" s="114"/>
      <c r="W333" s="483"/>
      <c r="AE333" s="124">
        <v>7.253563948819601E-2</v>
      </c>
      <c r="BS333" s="114"/>
      <c r="BT333" s="114"/>
      <c r="BZ333" s="114"/>
      <c r="CA333" s="114"/>
      <c r="CF333" s="114"/>
      <c r="CG333" s="114"/>
      <c r="CM333" s="114"/>
      <c r="CN333" s="114"/>
      <c r="CS333" s="114"/>
      <c r="CT333" s="114"/>
      <c r="CX333" s="483"/>
      <c r="CY333" s="114"/>
      <c r="CZ333" s="114"/>
      <c r="DA333" s="114"/>
      <c r="DB333" s="483"/>
      <c r="DC333" s="114"/>
      <c r="DD333" s="114"/>
      <c r="DE333" s="114"/>
      <c r="DH333" s="114"/>
      <c r="DI333" s="114"/>
      <c r="DJ333" s="114"/>
      <c r="DK333" s="114"/>
      <c r="DL333" s="114"/>
      <c r="DM333" s="114"/>
      <c r="DN333" s="114"/>
      <c r="DO333" s="114"/>
      <c r="DP333" s="114"/>
      <c r="DQ333" s="114"/>
      <c r="DR333" s="114"/>
      <c r="DS333" s="114"/>
      <c r="DT333" s="114"/>
      <c r="DU333" s="114"/>
      <c r="DV333" s="114"/>
      <c r="DW333" s="114"/>
    </row>
    <row r="334" spans="2:127" x14ac:dyDescent="0.25">
      <c r="R334" s="114"/>
      <c r="W334" s="483"/>
      <c r="AE334" s="124">
        <v>7.2526600757367998E-2</v>
      </c>
      <c r="BS334" s="114"/>
      <c r="BT334" s="114"/>
      <c r="BZ334" s="114"/>
      <c r="CA334" s="114"/>
      <c r="CF334" s="114"/>
      <c r="CG334" s="114"/>
      <c r="CM334" s="114"/>
      <c r="CN334" s="114"/>
      <c r="CS334" s="114"/>
      <c r="CT334" s="114"/>
      <c r="CX334" s="483"/>
      <c r="CY334" s="114"/>
      <c r="CZ334" s="114"/>
      <c r="DA334" s="114"/>
      <c r="DB334" s="483"/>
      <c r="DC334" s="114"/>
      <c r="DD334" s="114"/>
      <c r="DE334" s="114"/>
      <c r="DH334" s="114"/>
      <c r="DI334" s="114"/>
      <c r="DJ334" s="114"/>
      <c r="DK334" s="114"/>
      <c r="DL334" s="114"/>
      <c r="DM334" s="114"/>
      <c r="DN334" s="114"/>
      <c r="DO334" s="114"/>
      <c r="DP334" s="114"/>
      <c r="DQ334" s="114"/>
      <c r="DR334" s="114"/>
      <c r="DS334" s="114"/>
      <c r="DT334" s="114"/>
      <c r="DU334" s="114"/>
      <c r="DV334" s="114"/>
      <c r="DW334" s="114"/>
    </row>
    <row r="335" spans="2:127" x14ac:dyDescent="0.25">
      <c r="R335" s="114"/>
      <c r="W335" s="483"/>
      <c r="AE335" s="124">
        <v>7.251756202656702E-2</v>
      </c>
      <c r="BS335" s="114"/>
      <c r="BT335" s="114"/>
      <c r="BZ335" s="114"/>
      <c r="CA335" s="114"/>
      <c r="CF335" s="114"/>
      <c r="CG335" s="114"/>
      <c r="CM335" s="114"/>
      <c r="CN335" s="114"/>
      <c r="CS335" s="114"/>
      <c r="CT335" s="114"/>
      <c r="CX335" s="483"/>
      <c r="CY335" s="114"/>
      <c r="CZ335" s="114"/>
      <c r="DA335" s="114"/>
      <c r="DB335" s="483"/>
      <c r="DC335" s="114"/>
      <c r="DD335" s="114"/>
      <c r="DE335" s="114"/>
      <c r="DH335" s="114"/>
      <c r="DI335" s="114"/>
      <c r="DJ335" s="114"/>
      <c r="DK335" s="114"/>
      <c r="DL335" s="114"/>
      <c r="DM335" s="114"/>
      <c r="DN335" s="114"/>
      <c r="DO335" s="114"/>
      <c r="DP335" s="114"/>
      <c r="DQ335" s="114"/>
      <c r="DR335" s="114"/>
      <c r="DS335" s="114"/>
      <c r="DT335" s="114"/>
      <c r="DU335" s="114"/>
      <c r="DV335" s="114"/>
      <c r="DW335" s="114"/>
    </row>
    <row r="336" spans="2:127" x14ac:dyDescent="0.25">
      <c r="R336" s="114"/>
      <c r="W336" s="483"/>
      <c r="AE336" s="124">
        <v>7.2508814867752E-2</v>
      </c>
      <c r="BS336" s="114"/>
      <c r="BT336" s="114"/>
      <c r="BZ336" s="114"/>
      <c r="CA336" s="114"/>
      <c r="CF336" s="114"/>
      <c r="CG336" s="114"/>
      <c r="CM336" s="114"/>
      <c r="CN336" s="114"/>
      <c r="CS336" s="114"/>
      <c r="CT336" s="114"/>
      <c r="CX336" s="483"/>
      <c r="CY336" s="114"/>
      <c r="CZ336" s="114"/>
      <c r="DA336" s="114"/>
      <c r="DB336" s="483"/>
      <c r="DC336" s="114"/>
      <c r="DD336" s="114"/>
      <c r="DE336" s="114"/>
      <c r="DH336" s="114"/>
      <c r="DI336" s="114"/>
      <c r="DJ336" s="114"/>
      <c r="DK336" s="114"/>
      <c r="DL336" s="114"/>
      <c r="DM336" s="114"/>
      <c r="DN336" s="114"/>
      <c r="DO336" s="114"/>
      <c r="DP336" s="114"/>
      <c r="DQ336" s="114"/>
      <c r="DR336" s="114"/>
      <c r="DS336" s="114"/>
      <c r="DT336" s="114"/>
      <c r="DU336" s="114"/>
      <c r="DV336" s="114"/>
      <c r="DW336" s="114"/>
    </row>
    <row r="337" spans="18:127" x14ac:dyDescent="0.25">
      <c r="R337" s="114"/>
      <c r="W337" s="483"/>
      <c r="AE337" s="124">
        <v>7.2499776137003008E-2</v>
      </c>
      <c r="BS337" s="114"/>
      <c r="BT337" s="114"/>
      <c r="BZ337" s="114"/>
      <c r="CA337" s="114"/>
      <c r="CF337" s="114"/>
      <c r="CG337" s="114"/>
      <c r="CM337" s="114"/>
      <c r="CN337" s="114"/>
      <c r="CS337" s="114"/>
      <c r="CT337" s="114"/>
      <c r="CX337" s="483"/>
      <c r="CY337" s="114"/>
      <c r="CZ337" s="114"/>
      <c r="DA337" s="114"/>
      <c r="DB337" s="483"/>
      <c r="DC337" s="114"/>
      <c r="DD337" s="114"/>
      <c r="DE337" s="114"/>
      <c r="DH337" s="114"/>
      <c r="DI337" s="114"/>
      <c r="DJ337" s="114"/>
      <c r="DK337" s="114"/>
      <c r="DL337" s="114"/>
      <c r="DM337" s="114"/>
      <c r="DN337" s="114"/>
      <c r="DO337" s="114"/>
      <c r="DP337" s="114"/>
      <c r="DQ337" s="114"/>
      <c r="DR337" s="114"/>
      <c r="DS337" s="114"/>
      <c r="DT337" s="114"/>
      <c r="DU337" s="114"/>
      <c r="DV337" s="114"/>
      <c r="DW337" s="114"/>
    </row>
    <row r="338" spans="18:127" x14ac:dyDescent="0.25">
      <c r="R338" s="114"/>
      <c r="W338" s="483"/>
      <c r="AE338" s="124">
        <v>7.2491028978240016E-2</v>
      </c>
      <c r="BS338" s="114"/>
      <c r="BT338" s="114"/>
      <c r="BZ338" s="114"/>
      <c r="CA338" s="114"/>
      <c r="CF338" s="114"/>
      <c r="CG338" s="114"/>
      <c r="CM338" s="114"/>
      <c r="CN338" s="114"/>
      <c r="CS338" s="114"/>
      <c r="CT338" s="114"/>
      <c r="CX338" s="483"/>
      <c r="CY338" s="114"/>
      <c r="CZ338" s="114"/>
      <c r="DA338" s="114"/>
      <c r="DB338" s="483"/>
      <c r="DC338" s="114"/>
      <c r="DD338" s="114"/>
      <c r="DE338" s="114"/>
      <c r="DH338" s="114"/>
      <c r="DI338" s="114"/>
      <c r="DJ338" s="114"/>
      <c r="DK338" s="114"/>
      <c r="DL338" s="114"/>
      <c r="DM338" s="114"/>
      <c r="DN338" s="114"/>
      <c r="DO338" s="114"/>
      <c r="DP338" s="114"/>
      <c r="DQ338" s="114"/>
      <c r="DR338" s="114"/>
      <c r="DS338" s="114"/>
      <c r="DT338" s="114"/>
      <c r="DU338" s="114"/>
      <c r="DV338" s="114"/>
      <c r="DW338" s="114"/>
    </row>
    <row r="339" spans="18:127" x14ac:dyDescent="0.25">
      <c r="R339" s="114"/>
      <c r="W339" s="483"/>
      <c r="AE339" s="124">
        <v>7.2481990247545008E-2</v>
      </c>
      <c r="BS339" s="114"/>
      <c r="BT339" s="114"/>
      <c r="BZ339" s="114"/>
      <c r="CA339" s="114"/>
      <c r="CF339" s="114"/>
      <c r="CG339" s="114"/>
      <c r="CM339" s="114"/>
      <c r="CN339" s="114"/>
      <c r="CS339" s="114"/>
      <c r="CT339" s="114"/>
      <c r="CX339" s="483"/>
      <c r="CY339" s="114"/>
      <c r="CZ339" s="114"/>
      <c r="DA339" s="114"/>
      <c r="DB339" s="483"/>
      <c r="DC339" s="114"/>
      <c r="DD339" s="114"/>
      <c r="DE339" s="114"/>
      <c r="DH339" s="114"/>
      <c r="DI339" s="114"/>
      <c r="DJ339" s="114"/>
      <c r="DK339" s="114"/>
      <c r="DL339" s="114"/>
      <c r="DM339" s="114"/>
      <c r="DN339" s="114"/>
      <c r="DO339" s="114"/>
      <c r="DP339" s="114"/>
      <c r="DQ339" s="114"/>
      <c r="DR339" s="114"/>
      <c r="DS339" s="114"/>
      <c r="DT339" s="114"/>
      <c r="DU339" s="114"/>
      <c r="DV339" s="114"/>
      <c r="DW339" s="114"/>
    </row>
    <row r="340" spans="18:127" x14ac:dyDescent="0.25">
      <c r="R340" s="114"/>
      <c r="W340" s="483"/>
      <c r="AE340" s="124">
        <v>7.2472951516876022E-2</v>
      </c>
      <c r="BS340" s="114"/>
      <c r="BT340" s="114"/>
      <c r="BZ340" s="114"/>
      <c r="CA340" s="114"/>
      <c r="CF340" s="114"/>
      <c r="CG340" s="114"/>
      <c r="CM340" s="114"/>
      <c r="CN340" s="114"/>
      <c r="CS340" s="114"/>
      <c r="CT340" s="114"/>
      <c r="CX340" s="483"/>
      <c r="CY340" s="114"/>
      <c r="CZ340" s="114"/>
      <c r="DA340" s="114"/>
      <c r="DB340" s="483"/>
      <c r="DC340" s="114"/>
      <c r="DD340" s="114"/>
      <c r="DE340" s="114"/>
      <c r="DH340" s="114"/>
      <c r="DI340" s="114"/>
      <c r="DJ340" s="114"/>
      <c r="DK340" s="114"/>
      <c r="DL340" s="114"/>
      <c r="DM340" s="114"/>
      <c r="DN340" s="114"/>
      <c r="DO340" s="114"/>
      <c r="DP340" s="114"/>
      <c r="DQ340" s="114"/>
      <c r="DR340" s="114"/>
      <c r="DS340" s="114"/>
      <c r="DT340" s="114"/>
      <c r="DU340" s="114"/>
      <c r="DV340" s="114"/>
      <c r="DW340" s="114"/>
    </row>
    <row r="341" spans="18:127" x14ac:dyDescent="0.25">
      <c r="R341" s="114"/>
      <c r="W341" s="483"/>
      <c r="AE341" s="124">
        <v>7.246449593014602E-2</v>
      </c>
      <c r="BS341" s="114"/>
      <c r="BT341" s="114"/>
      <c r="BZ341" s="114"/>
      <c r="CA341" s="114"/>
      <c r="CF341" s="114"/>
      <c r="CG341" s="114"/>
      <c r="CM341" s="114"/>
      <c r="CN341" s="114"/>
      <c r="CS341" s="114"/>
      <c r="CT341" s="114"/>
      <c r="CX341" s="483"/>
      <c r="CY341" s="114"/>
      <c r="CZ341" s="114"/>
      <c r="DA341" s="114"/>
      <c r="DB341" s="483"/>
      <c r="DC341" s="114"/>
      <c r="DD341" s="114"/>
      <c r="DE341" s="114"/>
      <c r="DH341" s="114"/>
      <c r="DI341" s="114"/>
      <c r="DJ341" s="114"/>
      <c r="DK341" s="114"/>
      <c r="DL341" s="114"/>
      <c r="DM341" s="114"/>
      <c r="DN341" s="114"/>
      <c r="DO341" s="114"/>
      <c r="DP341" s="114"/>
      <c r="DQ341" s="114"/>
      <c r="DR341" s="114"/>
      <c r="DS341" s="114"/>
      <c r="DT341" s="114"/>
      <c r="DU341" s="114"/>
      <c r="DV341" s="114"/>
      <c r="DW341" s="114"/>
    </row>
    <row r="342" spans="18:127" x14ac:dyDescent="0.25">
      <c r="R342" s="114"/>
      <c r="W342" s="483"/>
      <c r="AE342" s="124">
        <v>7.2455457199530018E-2</v>
      </c>
      <c r="BS342" s="114"/>
      <c r="BT342" s="114"/>
      <c r="BZ342" s="114"/>
      <c r="CA342" s="114"/>
      <c r="CF342" s="114"/>
      <c r="CG342" s="114"/>
      <c r="CM342" s="114"/>
      <c r="CN342" s="114"/>
      <c r="CS342" s="114"/>
      <c r="CT342" s="114"/>
      <c r="CX342" s="483"/>
      <c r="CY342" s="114"/>
      <c r="CZ342" s="114"/>
      <c r="DA342" s="114"/>
      <c r="DB342" s="483"/>
      <c r="DC342" s="114"/>
      <c r="DD342" s="114"/>
      <c r="DE342" s="114"/>
      <c r="DH342" s="114"/>
      <c r="DI342" s="114"/>
      <c r="DJ342" s="114"/>
      <c r="DK342" s="114"/>
      <c r="DL342" s="114"/>
      <c r="DM342" s="114"/>
      <c r="DN342" s="114"/>
      <c r="DO342" s="114"/>
      <c r="DP342" s="114"/>
      <c r="DQ342" s="114"/>
      <c r="DR342" s="114"/>
      <c r="DS342" s="114"/>
      <c r="DT342" s="114"/>
      <c r="DU342" s="114"/>
      <c r="DV342" s="114"/>
      <c r="DW342" s="114"/>
    </row>
    <row r="343" spans="18:127" x14ac:dyDescent="0.25">
      <c r="R343" s="114"/>
      <c r="W343" s="483"/>
      <c r="AE343" s="124">
        <v>7.2446710040895007E-2</v>
      </c>
      <c r="BS343" s="114"/>
      <c r="BT343" s="114"/>
      <c r="BZ343" s="114"/>
      <c r="CA343" s="114"/>
      <c r="CF343" s="114"/>
      <c r="CG343" s="114"/>
      <c r="CM343" s="114"/>
      <c r="CN343" s="114"/>
      <c r="CS343" s="114"/>
      <c r="CT343" s="114"/>
      <c r="CX343" s="483"/>
      <c r="CY343" s="114"/>
      <c r="CZ343" s="114"/>
      <c r="DA343" s="114"/>
      <c r="DB343" s="483"/>
      <c r="DC343" s="114"/>
      <c r="DD343" s="114"/>
      <c r="DE343" s="114"/>
      <c r="DH343" s="114"/>
      <c r="DI343" s="114"/>
      <c r="DJ343" s="114"/>
      <c r="DK343" s="114"/>
      <c r="DL343" s="114"/>
      <c r="DM343" s="114"/>
      <c r="DN343" s="114"/>
      <c r="DO343" s="114"/>
      <c r="DP343" s="114"/>
      <c r="DQ343" s="114"/>
      <c r="DR343" s="114"/>
      <c r="DS343" s="114"/>
      <c r="DT343" s="114"/>
      <c r="DU343" s="114"/>
      <c r="DV343" s="114"/>
      <c r="DW343" s="114"/>
    </row>
    <row r="344" spans="18:127" x14ac:dyDescent="0.25">
      <c r="R344" s="114"/>
      <c r="W344" s="483"/>
      <c r="AE344" s="124">
        <v>7.2437671310332019E-2</v>
      </c>
      <c r="BS344" s="114"/>
      <c r="BT344" s="114"/>
      <c r="BZ344" s="114"/>
      <c r="CA344" s="114"/>
      <c r="CF344" s="114"/>
      <c r="CG344" s="114"/>
      <c r="CM344" s="114"/>
      <c r="CN344" s="114"/>
      <c r="CS344" s="114"/>
      <c r="CT344" s="114"/>
      <c r="CX344" s="483"/>
      <c r="CY344" s="114"/>
      <c r="CZ344" s="114"/>
      <c r="DA344" s="114"/>
      <c r="DB344" s="483"/>
      <c r="DC344" s="114"/>
      <c r="DD344" s="114"/>
      <c r="DE344" s="114"/>
      <c r="DH344" s="114"/>
      <c r="DI344" s="114"/>
      <c r="DJ344" s="114"/>
      <c r="DK344" s="114"/>
      <c r="DL344" s="114"/>
      <c r="DM344" s="114"/>
      <c r="DN344" s="114"/>
      <c r="DO344" s="114"/>
      <c r="DP344" s="114"/>
      <c r="DQ344" s="114"/>
      <c r="DR344" s="114"/>
      <c r="DS344" s="114"/>
      <c r="DT344" s="114"/>
      <c r="DU344" s="114"/>
      <c r="DV344" s="114"/>
      <c r="DW344" s="114"/>
    </row>
    <row r="345" spans="18:127" x14ac:dyDescent="0.25">
      <c r="R345" s="114"/>
      <c r="W345" s="483"/>
      <c r="AE345" s="124">
        <v>7.2428924151748009E-2</v>
      </c>
      <c r="BS345" s="114"/>
      <c r="BT345" s="114"/>
      <c r="BZ345" s="114"/>
      <c r="CA345" s="114"/>
      <c r="CF345" s="114"/>
      <c r="CG345" s="114"/>
      <c r="CM345" s="114"/>
      <c r="CN345" s="114"/>
      <c r="CS345" s="114"/>
      <c r="CT345" s="114"/>
      <c r="CX345" s="483"/>
      <c r="CY345" s="114"/>
      <c r="CZ345" s="114"/>
      <c r="DA345" s="114"/>
      <c r="DB345" s="483"/>
      <c r="DC345" s="114"/>
      <c r="DD345" s="114"/>
      <c r="DE345" s="114"/>
      <c r="DH345" s="114"/>
      <c r="DI345" s="114"/>
      <c r="DJ345" s="114"/>
      <c r="DK345" s="114"/>
      <c r="DL345" s="114"/>
      <c r="DM345" s="114"/>
      <c r="DN345" s="114"/>
      <c r="DO345" s="114"/>
      <c r="DP345" s="114"/>
      <c r="DQ345" s="114"/>
      <c r="DR345" s="114"/>
      <c r="DS345" s="114"/>
      <c r="DT345" s="114"/>
      <c r="DU345" s="114"/>
      <c r="DV345" s="114"/>
      <c r="DW345" s="114"/>
    </row>
    <row r="346" spans="18:127" x14ac:dyDescent="0.25">
      <c r="R346" s="114"/>
      <c r="W346" s="483"/>
      <c r="AE346" s="124">
        <v>7.2419885421238006E-2</v>
      </c>
      <c r="BS346" s="114"/>
      <c r="BT346" s="114"/>
      <c r="BZ346" s="114"/>
      <c r="CA346" s="114"/>
      <c r="CF346" s="114"/>
      <c r="CG346" s="114"/>
      <c r="CM346" s="114"/>
      <c r="CN346" s="114"/>
      <c r="CS346" s="114"/>
      <c r="CT346" s="114"/>
      <c r="CX346" s="483"/>
      <c r="CY346" s="114"/>
      <c r="CZ346" s="114"/>
      <c r="DA346" s="114"/>
      <c r="DB346" s="483"/>
      <c r="DC346" s="114"/>
      <c r="DD346" s="114"/>
      <c r="DE346" s="114"/>
      <c r="DH346" s="114"/>
      <c r="DI346" s="114"/>
      <c r="DJ346" s="114"/>
      <c r="DK346" s="114"/>
      <c r="DL346" s="114"/>
      <c r="DM346" s="114"/>
      <c r="DN346" s="114"/>
      <c r="DO346" s="114"/>
      <c r="DP346" s="114"/>
      <c r="DQ346" s="114"/>
      <c r="DR346" s="114"/>
      <c r="DS346" s="114"/>
      <c r="DT346" s="114"/>
      <c r="DU346" s="114"/>
      <c r="DV346" s="114"/>
      <c r="DW346" s="114"/>
    </row>
    <row r="347" spans="18:127" x14ac:dyDescent="0.25">
      <c r="R347" s="114"/>
      <c r="W347" s="483"/>
      <c r="AE347" s="124">
        <v>7.2410846690755024E-2</v>
      </c>
      <c r="BS347" s="114"/>
      <c r="BT347" s="114"/>
      <c r="BZ347" s="114"/>
      <c r="CA347" s="114"/>
      <c r="CF347" s="114"/>
      <c r="CG347" s="114"/>
      <c r="CM347" s="114"/>
      <c r="CN347" s="114"/>
      <c r="CS347" s="114"/>
      <c r="CT347" s="114"/>
      <c r="CX347" s="483"/>
      <c r="CY347" s="114"/>
      <c r="CZ347" s="114"/>
      <c r="DA347" s="114"/>
      <c r="DB347" s="483"/>
      <c r="DC347" s="114"/>
      <c r="DD347" s="114"/>
      <c r="DE347" s="114"/>
      <c r="DH347" s="114"/>
      <c r="DI347" s="114"/>
      <c r="DJ347" s="114"/>
      <c r="DK347" s="114"/>
      <c r="DL347" s="114"/>
      <c r="DM347" s="114"/>
      <c r="DN347" s="114"/>
      <c r="DO347" s="114"/>
      <c r="DP347" s="114"/>
      <c r="DQ347" s="114"/>
      <c r="DR347" s="114"/>
      <c r="DS347" s="114"/>
      <c r="DT347" s="114"/>
      <c r="DU347" s="114"/>
      <c r="DV347" s="114"/>
      <c r="DW347" s="114"/>
    </row>
    <row r="348" spans="18:127" x14ac:dyDescent="0.25">
      <c r="R348" s="114"/>
      <c r="W348" s="483"/>
      <c r="AE348" s="124">
        <v>7.240209953224902E-2</v>
      </c>
      <c r="BS348" s="114"/>
      <c r="BT348" s="114"/>
      <c r="BZ348" s="114"/>
      <c r="CA348" s="114"/>
      <c r="CF348" s="114"/>
      <c r="CG348" s="114"/>
      <c r="CM348" s="114"/>
      <c r="CN348" s="114"/>
      <c r="CS348" s="114"/>
      <c r="CT348" s="114"/>
      <c r="CX348" s="483"/>
      <c r="CY348" s="114"/>
      <c r="CZ348" s="114"/>
      <c r="DA348" s="114"/>
      <c r="DB348" s="483"/>
      <c r="DC348" s="114"/>
      <c r="DD348" s="114"/>
      <c r="DE348" s="114"/>
      <c r="DH348" s="114"/>
      <c r="DI348" s="114"/>
      <c r="DJ348" s="114"/>
      <c r="DK348" s="114"/>
      <c r="DL348" s="114"/>
      <c r="DM348" s="114"/>
      <c r="DN348" s="114"/>
      <c r="DO348" s="114"/>
      <c r="DP348" s="114"/>
      <c r="DQ348" s="114"/>
      <c r="DR348" s="114"/>
      <c r="DS348" s="114"/>
      <c r="DT348" s="114"/>
      <c r="DU348" s="114"/>
      <c r="DV348" s="114"/>
      <c r="DW348" s="114"/>
    </row>
    <row r="349" spans="18:127" x14ac:dyDescent="0.25">
      <c r="R349" s="114"/>
      <c r="W349" s="483"/>
      <c r="AE349" s="124">
        <v>7.2393060801819009E-2</v>
      </c>
      <c r="BS349" s="114"/>
      <c r="BT349" s="114"/>
      <c r="BZ349" s="114"/>
      <c r="CA349" s="114"/>
      <c r="CF349" s="114"/>
      <c r="CG349" s="114"/>
      <c r="CM349" s="114"/>
      <c r="CN349" s="114"/>
      <c r="CS349" s="114"/>
      <c r="CT349" s="114"/>
      <c r="CX349" s="483"/>
      <c r="CY349" s="114"/>
      <c r="CZ349" s="114"/>
      <c r="DA349" s="114"/>
      <c r="DB349" s="483"/>
      <c r="DC349" s="114"/>
      <c r="DD349" s="114"/>
      <c r="DE349" s="114"/>
      <c r="DH349" s="114"/>
      <c r="DI349" s="114"/>
      <c r="DJ349" s="114"/>
      <c r="DK349" s="114"/>
      <c r="DL349" s="114"/>
      <c r="DM349" s="114"/>
      <c r="DN349" s="114"/>
      <c r="DO349" s="114"/>
      <c r="DP349" s="114"/>
      <c r="DQ349" s="114"/>
      <c r="DR349" s="114"/>
      <c r="DS349" s="114"/>
      <c r="DT349" s="114"/>
      <c r="DU349" s="114"/>
      <c r="DV349" s="114"/>
      <c r="DW349" s="114"/>
    </row>
    <row r="350" spans="18:127" x14ac:dyDescent="0.25">
      <c r="R350" s="114"/>
      <c r="W350" s="483"/>
      <c r="AE350" s="124">
        <v>7.2384313643364021E-2</v>
      </c>
      <c r="BS350" s="114"/>
      <c r="BT350" s="114"/>
      <c r="BZ350" s="114"/>
      <c r="CA350" s="114"/>
      <c r="CF350" s="114"/>
      <c r="CG350" s="114"/>
      <c r="CM350" s="114"/>
      <c r="CN350" s="114"/>
      <c r="CS350" s="114"/>
      <c r="CT350" s="114"/>
      <c r="CX350" s="483"/>
      <c r="CY350" s="114"/>
      <c r="CZ350" s="114"/>
      <c r="DA350" s="114"/>
      <c r="DB350" s="483"/>
      <c r="DC350" s="114"/>
      <c r="DD350" s="114"/>
      <c r="DE350" s="114"/>
      <c r="DH350" s="114"/>
      <c r="DI350" s="114"/>
      <c r="DJ350" s="114"/>
      <c r="DK350" s="114"/>
      <c r="DL350" s="114"/>
      <c r="DM350" s="114"/>
      <c r="DN350" s="114"/>
      <c r="DO350" s="114"/>
      <c r="DP350" s="114"/>
      <c r="DQ350" s="114"/>
      <c r="DR350" s="114"/>
      <c r="DS350" s="114"/>
      <c r="DT350" s="114"/>
      <c r="DU350" s="114"/>
      <c r="DV350" s="114"/>
      <c r="DW350" s="114"/>
    </row>
    <row r="351" spans="18:127" x14ac:dyDescent="0.25">
      <c r="R351" s="114"/>
      <c r="W351" s="483"/>
      <c r="AE351" s="124">
        <v>7.2375274912987009E-2</v>
      </c>
      <c r="BS351" s="114"/>
      <c r="BT351" s="114"/>
      <c r="BZ351" s="114"/>
      <c r="CA351" s="114"/>
      <c r="CF351" s="114"/>
      <c r="CG351" s="114"/>
      <c r="CM351" s="114"/>
      <c r="CN351" s="114"/>
      <c r="CS351" s="114"/>
      <c r="CT351" s="114"/>
      <c r="CX351" s="483"/>
      <c r="CY351" s="114"/>
      <c r="CZ351" s="114"/>
      <c r="DA351" s="114"/>
      <c r="DB351" s="483"/>
      <c r="DC351" s="114"/>
      <c r="DD351" s="114"/>
      <c r="DE351" s="114"/>
      <c r="DH351" s="114"/>
      <c r="DI351" s="114"/>
      <c r="DJ351" s="114"/>
      <c r="DK351" s="114"/>
      <c r="DL351" s="114"/>
      <c r="DM351" s="114"/>
      <c r="DN351" s="114"/>
      <c r="DO351" s="114"/>
      <c r="DP351" s="114"/>
      <c r="DQ351" s="114"/>
      <c r="DR351" s="114"/>
      <c r="DS351" s="114"/>
      <c r="DT351" s="114"/>
      <c r="DU351" s="114"/>
      <c r="DV351" s="114"/>
      <c r="DW351" s="114"/>
    </row>
    <row r="352" spans="18:127" x14ac:dyDescent="0.25">
      <c r="R352" s="114"/>
      <c r="W352" s="483"/>
      <c r="AE352" s="124">
        <v>7.2366236182638016E-2</v>
      </c>
      <c r="BS352" s="114"/>
      <c r="BT352" s="114"/>
      <c r="BZ352" s="114"/>
      <c r="CA352" s="114"/>
      <c r="CF352" s="114"/>
      <c r="CG352" s="114"/>
      <c r="CM352" s="114"/>
      <c r="CN352" s="114"/>
      <c r="CS352" s="114"/>
      <c r="CT352" s="114"/>
      <c r="CX352" s="483"/>
      <c r="CY352" s="114"/>
      <c r="CZ352" s="114"/>
      <c r="DA352" s="114"/>
      <c r="DB352" s="483"/>
      <c r="DC352" s="114"/>
      <c r="DD352" s="114"/>
      <c r="DE352" s="114"/>
      <c r="DH352" s="114"/>
      <c r="DI352" s="114"/>
      <c r="DJ352" s="114"/>
      <c r="DK352" s="114"/>
      <c r="DL352" s="114"/>
      <c r="DM352" s="114"/>
      <c r="DN352" s="114"/>
      <c r="DO352" s="114"/>
      <c r="DP352" s="114"/>
      <c r="DQ352" s="114"/>
      <c r="DR352" s="114"/>
      <c r="DS352" s="114"/>
      <c r="DT352" s="114"/>
      <c r="DU352" s="114"/>
      <c r="DV352" s="114"/>
      <c r="DW352" s="114"/>
    </row>
    <row r="353" spans="18:127" x14ac:dyDescent="0.25">
      <c r="R353" s="114"/>
      <c r="W353" s="483"/>
      <c r="AE353" s="124">
        <v>7.2358072168151003E-2</v>
      </c>
      <c r="BS353" s="114"/>
      <c r="BT353" s="114"/>
      <c r="BZ353" s="114"/>
      <c r="CA353" s="114"/>
      <c r="CF353" s="114"/>
      <c r="CG353" s="114"/>
      <c r="CM353" s="114"/>
      <c r="CN353" s="114"/>
      <c r="CS353" s="114"/>
      <c r="CT353" s="114"/>
      <c r="CX353" s="483"/>
      <c r="CY353" s="114"/>
      <c r="CZ353" s="114"/>
      <c r="DA353" s="114"/>
      <c r="DB353" s="483"/>
      <c r="DC353" s="114"/>
      <c r="DD353" s="114"/>
      <c r="DE353" s="114"/>
      <c r="DH353" s="114"/>
      <c r="DI353" s="114"/>
      <c r="DJ353" s="114"/>
      <c r="DK353" s="114"/>
      <c r="DL353" s="114"/>
      <c r="DM353" s="114"/>
      <c r="DN353" s="114"/>
      <c r="DO353" s="114"/>
      <c r="DP353" s="114"/>
      <c r="DQ353" s="114"/>
      <c r="DR353" s="114"/>
      <c r="DS353" s="114"/>
      <c r="DT353" s="114"/>
      <c r="DU353" s="114"/>
      <c r="DV353" s="114"/>
      <c r="DW353" s="114"/>
    </row>
    <row r="354" spans="18:127" x14ac:dyDescent="0.25">
      <c r="R354" s="114"/>
      <c r="W354" s="483"/>
      <c r="AE354" s="124">
        <v>7.2349033437853011E-2</v>
      </c>
      <c r="BS354" s="114"/>
      <c r="BT354" s="114"/>
      <c r="BZ354" s="114"/>
      <c r="CA354" s="114"/>
      <c r="CF354" s="114"/>
      <c r="CG354" s="114"/>
      <c r="CM354" s="114"/>
      <c r="CN354" s="114"/>
      <c r="CS354" s="114"/>
      <c r="CT354" s="114"/>
      <c r="CX354" s="483"/>
      <c r="CY354" s="114"/>
      <c r="CZ354" s="114"/>
      <c r="DA354" s="114"/>
      <c r="DB354" s="483"/>
      <c r="DC354" s="114"/>
      <c r="DD354" s="114"/>
      <c r="DE354" s="114"/>
      <c r="DH354" s="114"/>
      <c r="DI354" s="114"/>
      <c r="DJ354" s="114"/>
      <c r="DK354" s="114"/>
      <c r="DL354" s="114"/>
      <c r="DM354" s="114"/>
      <c r="DN354" s="114"/>
      <c r="DO354" s="114"/>
      <c r="DP354" s="114"/>
      <c r="DQ354" s="114"/>
      <c r="DR354" s="114"/>
      <c r="DS354" s="114"/>
      <c r="DT354" s="114"/>
      <c r="DU354" s="114"/>
      <c r="DV354" s="114"/>
      <c r="DW354" s="114"/>
    </row>
    <row r="355" spans="18:127" x14ac:dyDescent="0.25">
      <c r="R355" s="114"/>
      <c r="W355" s="483"/>
      <c r="AE355" s="124">
        <v>7.2340286279525004E-2</v>
      </c>
      <c r="BS355" s="114"/>
      <c r="BT355" s="114"/>
      <c r="BZ355" s="114"/>
      <c r="CA355" s="114"/>
      <c r="CF355" s="114"/>
      <c r="CG355" s="114"/>
      <c r="CM355" s="114"/>
      <c r="CN355" s="114"/>
      <c r="CS355" s="114"/>
      <c r="CT355" s="114"/>
      <c r="CX355" s="483"/>
      <c r="CY355" s="114"/>
      <c r="CZ355" s="114"/>
      <c r="DA355" s="114"/>
      <c r="DB355" s="483"/>
      <c r="DC355" s="114"/>
      <c r="DD355" s="114"/>
      <c r="DE355" s="114"/>
      <c r="DH355" s="114"/>
      <c r="DI355" s="114"/>
      <c r="DJ355" s="114"/>
      <c r="DK355" s="114"/>
      <c r="DL355" s="114"/>
      <c r="DM355" s="114"/>
      <c r="DN355" s="114"/>
      <c r="DO355" s="114"/>
      <c r="DP355" s="114"/>
      <c r="DQ355" s="114"/>
      <c r="DR355" s="114"/>
      <c r="DS355" s="114"/>
      <c r="DT355" s="114"/>
      <c r="DU355" s="114"/>
      <c r="DV355" s="114"/>
      <c r="DW355" s="114"/>
    </row>
    <row r="356" spans="18:127" x14ac:dyDescent="0.25">
      <c r="R356" s="114"/>
      <c r="W356" s="483"/>
      <c r="AE356" s="124">
        <v>7.2331247549279998E-2</v>
      </c>
      <c r="BS356" s="114"/>
      <c r="BT356" s="114"/>
      <c r="BZ356" s="114"/>
      <c r="CA356" s="114"/>
      <c r="CF356" s="114"/>
      <c r="CG356" s="114"/>
      <c r="CM356" s="114"/>
      <c r="CN356" s="114"/>
      <c r="CS356" s="114"/>
      <c r="CT356" s="114"/>
      <c r="CX356" s="483"/>
      <c r="CY356" s="114"/>
      <c r="CZ356" s="114"/>
      <c r="DA356" s="114"/>
      <c r="DB356" s="483"/>
      <c r="DC356" s="114"/>
      <c r="DD356" s="114"/>
      <c r="DE356" s="114"/>
      <c r="DH356" s="114"/>
      <c r="DI356" s="114"/>
      <c r="DJ356" s="114"/>
      <c r="DK356" s="114"/>
      <c r="DL356" s="114"/>
      <c r="DM356" s="114"/>
      <c r="DN356" s="114"/>
      <c r="DO356" s="114"/>
      <c r="DP356" s="114"/>
      <c r="DQ356" s="114"/>
      <c r="DR356" s="114"/>
      <c r="DS356" s="114"/>
      <c r="DT356" s="114"/>
      <c r="DU356" s="114"/>
      <c r="DV356" s="114"/>
      <c r="DW356" s="114"/>
    </row>
    <row r="357" spans="18:127" x14ac:dyDescent="0.25">
      <c r="R357" s="114"/>
      <c r="W357" s="483"/>
      <c r="AE357" s="124">
        <v>7.2322500391004005E-2</v>
      </c>
      <c r="BS357" s="114"/>
      <c r="BT357" s="114"/>
      <c r="BZ357" s="114"/>
      <c r="CA357" s="114"/>
      <c r="CF357" s="114"/>
      <c r="CG357" s="114"/>
      <c r="CM357" s="114"/>
      <c r="CN357" s="114"/>
      <c r="CS357" s="114"/>
      <c r="CT357" s="114"/>
      <c r="CX357" s="483"/>
      <c r="CY357" s="114"/>
      <c r="CZ357" s="114"/>
      <c r="DA357" s="114"/>
      <c r="DB357" s="483"/>
      <c r="DC357" s="114"/>
      <c r="DD357" s="114"/>
      <c r="DE357" s="114"/>
      <c r="DH357" s="114"/>
      <c r="DI357" s="114"/>
      <c r="DJ357" s="114"/>
      <c r="DK357" s="114"/>
      <c r="DL357" s="114"/>
      <c r="DM357" s="114"/>
      <c r="DN357" s="114"/>
      <c r="DO357" s="114"/>
      <c r="DP357" s="114"/>
      <c r="DQ357" s="114"/>
      <c r="DR357" s="114"/>
      <c r="DS357" s="114"/>
      <c r="DT357" s="114"/>
      <c r="DU357" s="114"/>
      <c r="DV357" s="114"/>
      <c r="DW357" s="114"/>
    </row>
    <row r="358" spans="18:127" x14ac:dyDescent="0.25">
      <c r="R358" s="114"/>
      <c r="W358" s="483"/>
      <c r="AE358" s="124">
        <v>7.2313461660811026E-2</v>
      </c>
      <c r="BS358" s="114"/>
      <c r="BT358" s="114"/>
      <c r="BZ358" s="114"/>
      <c r="CA358" s="114"/>
      <c r="CF358" s="114"/>
      <c r="CG358" s="114"/>
      <c r="CM358" s="114"/>
      <c r="CN358" s="114"/>
      <c r="CS358" s="114"/>
      <c r="CT358" s="114"/>
      <c r="CX358" s="483"/>
      <c r="CY358" s="114"/>
      <c r="CZ358" s="114"/>
      <c r="DA358" s="114"/>
      <c r="DB358" s="483"/>
      <c r="DC358" s="114"/>
      <c r="DD358" s="114"/>
      <c r="DE358" s="114"/>
      <c r="DH358" s="114"/>
      <c r="DI358" s="114"/>
      <c r="DJ358" s="114"/>
      <c r="DK358" s="114"/>
      <c r="DL358" s="114"/>
      <c r="DM358" s="114"/>
      <c r="DN358" s="114"/>
      <c r="DO358" s="114"/>
      <c r="DP358" s="114"/>
      <c r="DQ358" s="114"/>
      <c r="DR358" s="114"/>
      <c r="DS358" s="114"/>
      <c r="DT358" s="114"/>
      <c r="DU358" s="114"/>
      <c r="DV358" s="114"/>
      <c r="DW358" s="114"/>
    </row>
    <row r="359" spans="18:127" x14ac:dyDescent="0.25">
      <c r="R359" s="114"/>
      <c r="W359" s="483"/>
      <c r="AE359" s="124">
        <v>7.2304422930646026E-2</v>
      </c>
      <c r="BS359" s="114"/>
      <c r="BT359" s="114"/>
      <c r="BZ359" s="114"/>
      <c r="CA359" s="114"/>
      <c r="CF359" s="114"/>
      <c r="CG359" s="114"/>
      <c r="CM359" s="114"/>
      <c r="CN359" s="114"/>
      <c r="CS359" s="114"/>
      <c r="CT359" s="114"/>
      <c r="CX359" s="483"/>
      <c r="CY359" s="114"/>
      <c r="CZ359" s="114"/>
      <c r="DA359" s="114"/>
      <c r="DB359" s="483"/>
      <c r="DC359" s="114"/>
      <c r="DD359" s="114"/>
      <c r="DE359" s="114"/>
      <c r="DH359" s="114"/>
      <c r="DI359" s="114"/>
      <c r="DJ359" s="114"/>
      <c r="DK359" s="114"/>
      <c r="DL359" s="114"/>
      <c r="DM359" s="114"/>
      <c r="DN359" s="114"/>
      <c r="DO359" s="114"/>
      <c r="DP359" s="114"/>
      <c r="DQ359" s="114"/>
      <c r="DR359" s="114"/>
      <c r="DS359" s="114"/>
      <c r="DT359" s="114"/>
      <c r="DU359" s="114"/>
      <c r="DV359" s="114"/>
      <c r="DW359" s="114"/>
    </row>
    <row r="360" spans="18:127" x14ac:dyDescent="0.25">
      <c r="R360" s="114"/>
      <c r="W360" s="483"/>
      <c r="AE360" s="124">
        <v>7.2295675772447013E-2</v>
      </c>
      <c r="BS360" s="114"/>
      <c r="BT360" s="114"/>
      <c r="BZ360" s="114"/>
      <c r="CA360" s="114"/>
      <c r="CF360" s="114"/>
      <c r="CG360" s="114"/>
      <c r="CM360" s="114"/>
      <c r="CN360" s="114"/>
      <c r="CS360" s="114"/>
      <c r="CT360" s="114"/>
      <c r="CX360" s="483"/>
      <c r="CY360" s="114"/>
      <c r="CZ360" s="114"/>
      <c r="DA360" s="114"/>
      <c r="DB360" s="483"/>
      <c r="DC360" s="114"/>
      <c r="DD360" s="114"/>
      <c r="DE360" s="114"/>
      <c r="DH360" s="114"/>
      <c r="DI360" s="114"/>
      <c r="DJ360" s="114"/>
      <c r="DK360" s="114"/>
      <c r="DL360" s="114"/>
      <c r="DM360" s="114"/>
      <c r="DN360" s="114"/>
      <c r="DO360" s="114"/>
      <c r="DP360" s="114"/>
      <c r="DQ360" s="114"/>
      <c r="DR360" s="114"/>
      <c r="DS360" s="114"/>
      <c r="DT360" s="114"/>
      <c r="DU360" s="114"/>
      <c r="DV360" s="114"/>
      <c r="DW360" s="114"/>
    </row>
    <row r="361" spans="18:127" x14ac:dyDescent="0.25">
      <c r="R361" s="114"/>
      <c r="W361" s="483"/>
      <c r="AE361" s="124">
        <v>7.2286637042335025E-2</v>
      </c>
      <c r="BS361" s="114"/>
      <c r="BT361" s="114"/>
      <c r="BZ361" s="114"/>
      <c r="CA361" s="114"/>
      <c r="CF361" s="114"/>
      <c r="CG361" s="114"/>
      <c r="CM361" s="114"/>
      <c r="CN361" s="114"/>
      <c r="CS361" s="114"/>
      <c r="CT361" s="114"/>
      <c r="CX361" s="483"/>
      <c r="CY361" s="114"/>
      <c r="CZ361" s="114"/>
      <c r="DA361" s="114"/>
      <c r="DB361" s="483"/>
      <c r="DC361" s="114"/>
      <c r="DD361" s="114"/>
      <c r="DE361" s="114"/>
      <c r="DH361" s="114"/>
      <c r="DI361" s="114"/>
      <c r="DJ361" s="114"/>
      <c r="DK361" s="114"/>
      <c r="DL361" s="114"/>
      <c r="DM361" s="114"/>
      <c r="DN361" s="114"/>
      <c r="DO361" s="114"/>
      <c r="DP361" s="114"/>
      <c r="DQ361" s="114"/>
      <c r="DR361" s="114"/>
      <c r="DS361" s="114"/>
      <c r="DT361" s="114"/>
      <c r="DU361" s="114"/>
      <c r="DV361" s="114"/>
      <c r="DW361" s="114"/>
    </row>
    <row r="362" spans="18:127" x14ac:dyDescent="0.25">
      <c r="R362" s="114"/>
      <c r="W362" s="483"/>
      <c r="AE362" s="124">
        <v>7.2277889884186999E-2</v>
      </c>
      <c r="BS362" s="114"/>
      <c r="BT362" s="114"/>
      <c r="BZ362" s="114"/>
      <c r="CA362" s="114"/>
      <c r="CF362" s="114"/>
      <c r="CG362" s="114"/>
      <c r="CM362" s="114"/>
      <c r="CN362" s="114"/>
      <c r="CS362" s="114"/>
      <c r="CT362" s="114"/>
      <c r="CX362" s="483"/>
      <c r="CY362" s="114"/>
      <c r="CZ362" s="114"/>
      <c r="DA362" s="114"/>
      <c r="DB362" s="483"/>
      <c r="DC362" s="114"/>
      <c r="DD362" s="114"/>
      <c r="DE362" s="114"/>
      <c r="DH362" s="114"/>
      <c r="DI362" s="114"/>
      <c r="DJ362" s="114"/>
      <c r="DK362" s="114"/>
      <c r="DL362" s="114"/>
      <c r="DM362" s="114"/>
      <c r="DN362" s="114"/>
      <c r="DO362" s="114"/>
      <c r="DP362" s="114"/>
      <c r="DQ362" s="114"/>
      <c r="DR362" s="114"/>
      <c r="DS362" s="114"/>
      <c r="DT362" s="114"/>
      <c r="DU362" s="114"/>
      <c r="DV362" s="114"/>
      <c r="DW362" s="114"/>
    </row>
    <row r="363" spans="18:127" x14ac:dyDescent="0.25">
      <c r="R363" s="114"/>
      <c r="W363" s="483"/>
      <c r="AE363" s="124">
        <v>7.226885115412901E-2</v>
      </c>
      <c r="BS363" s="114"/>
      <c r="BT363" s="114"/>
      <c r="BZ363" s="114"/>
      <c r="CA363" s="114"/>
      <c r="CF363" s="114"/>
      <c r="CG363" s="114"/>
      <c r="CM363" s="114"/>
      <c r="CN363" s="114"/>
      <c r="CS363" s="114"/>
      <c r="CT363" s="114"/>
      <c r="CX363" s="483"/>
      <c r="CY363" s="114"/>
      <c r="CZ363" s="114"/>
      <c r="DA363" s="114"/>
      <c r="DB363" s="483"/>
      <c r="DC363" s="114"/>
      <c r="DD363" s="114"/>
      <c r="DE363" s="114"/>
      <c r="DH363" s="114"/>
      <c r="DI363" s="114"/>
      <c r="DJ363" s="114"/>
      <c r="DK363" s="114"/>
      <c r="DL363" s="114"/>
      <c r="DM363" s="114"/>
      <c r="DN363" s="114"/>
      <c r="DO363" s="114"/>
      <c r="DP363" s="114"/>
      <c r="DQ363" s="114"/>
      <c r="DR363" s="114"/>
      <c r="DS363" s="114"/>
      <c r="DT363" s="114"/>
      <c r="DU363" s="114"/>
      <c r="DV363" s="114"/>
      <c r="DW363" s="114"/>
    </row>
    <row r="364" spans="18:127" x14ac:dyDescent="0.25">
      <c r="R364" s="114"/>
      <c r="W364" s="483"/>
      <c r="AE364" s="124">
        <v>7.2259812424097E-2</v>
      </c>
      <c r="BS364" s="114"/>
      <c r="BT364" s="114"/>
      <c r="BZ364" s="114"/>
      <c r="CA364" s="114"/>
      <c r="CF364" s="114"/>
      <c r="CG364" s="114"/>
      <c r="CM364" s="114"/>
      <c r="CN364" s="114"/>
      <c r="CS364" s="114"/>
      <c r="CT364" s="114"/>
      <c r="CX364" s="483"/>
      <c r="CY364" s="114"/>
      <c r="CZ364" s="114"/>
      <c r="DA364" s="114"/>
      <c r="DB364" s="483"/>
      <c r="DC364" s="114"/>
      <c r="DD364" s="114"/>
      <c r="DE364" s="114"/>
      <c r="DH364" s="114"/>
      <c r="DI364" s="114"/>
      <c r="DJ364" s="114"/>
      <c r="DK364" s="114"/>
      <c r="DL364" s="114"/>
      <c r="DM364" s="114"/>
      <c r="DN364" s="114"/>
      <c r="DO364" s="114"/>
      <c r="DP364" s="114"/>
      <c r="DQ364" s="114"/>
      <c r="DR364" s="114"/>
      <c r="DS364" s="114"/>
      <c r="DT364" s="114"/>
      <c r="DU364" s="114"/>
      <c r="DV364" s="114"/>
      <c r="DW364" s="114"/>
    </row>
    <row r="365" spans="18:127" x14ac:dyDescent="0.25">
      <c r="R365" s="114"/>
      <c r="W365" s="483"/>
      <c r="AE365" s="124">
        <v>7.2251648409897007E-2</v>
      </c>
      <c r="BS365" s="114"/>
      <c r="BT365" s="114"/>
      <c r="BZ365" s="114"/>
      <c r="CA365" s="114"/>
      <c r="CF365" s="114"/>
      <c r="CG365" s="114"/>
      <c r="CM365" s="114"/>
      <c r="CN365" s="114"/>
      <c r="CS365" s="114"/>
      <c r="CT365" s="114"/>
      <c r="CX365" s="483"/>
      <c r="CY365" s="114"/>
      <c r="CZ365" s="114"/>
      <c r="DA365" s="114"/>
      <c r="DB365" s="483"/>
      <c r="DC365" s="114"/>
      <c r="DD365" s="114"/>
      <c r="DE365" s="114"/>
      <c r="DH365" s="114"/>
      <c r="DI365" s="114"/>
      <c r="DJ365" s="114"/>
      <c r="DK365" s="114"/>
      <c r="DL365" s="114"/>
      <c r="DM365" s="114"/>
      <c r="DN365" s="114"/>
      <c r="DO365" s="114"/>
      <c r="DP365" s="114"/>
      <c r="DQ365" s="114"/>
      <c r="DR365" s="114"/>
      <c r="DS365" s="114"/>
      <c r="DT365" s="114"/>
      <c r="DU365" s="114"/>
      <c r="DV365" s="114"/>
      <c r="DW365" s="114"/>
    </row>
    <row r="366" spans="18:127" x14ac:dyDescent="0.25">
      <c r="R366" s="114"/>
      <c r="W366" s="483"/>
      <c r="AE366" s="124"/>
      <c r="BS366" s="114"/>
      <c r="BT366" s="114"/>
      <c r="BZ366" s="114"/>
      <c r="CA366" s="114"/>
      <c r="CF366" s="114"/>
      <c r="CG366" s="114"/>
      <c r="CM366" s="114"/>
      <c r="CN366" s="114"/>
      <c r="CS366" s="114"/>
      <c r="CT366" s="114"/>
      <c r="CX366" s="483"/>
      <c r="CY366" s="114"/>
      <c r="CZ366" s="114"/>
      <c r="DA366" s="114"/>
      <c r="DB366" s="483"/>
      <c r="DC366" s="114"/>
      <c r="DD366" s="114"/>
      <c r="DE366" s="114"/>
      <c r="DH366" s="114"/>
      <c r="DI366" s="114"/>
      <c r="DJ366" s="114"/>
      <c r="DK366" s="114"/>
      <c r="DL366" s="114"/>
      <c r="DM366" s="114"/>
      <c r="DN366" s="114"/>
      <c r="DO366" s="114"/>
      <c r="DP366" s="114"/>
      <c r="DQ366" s="114"/>
      <c r="DR366" s="114"/>
      <c r="DS366" s="114"/>
      <c r="DT366" s="114"/>
      <c r="DU366" s="114"/>
      <c r="DV366" s="114"/>
      <c r="DW366" s="114"/>
    </row>
    <row r="367" spans="18:127" x14ac:dyDescent="0.25">
      <c r="R367" s="114"/>
      <c r="W367" s="483"/>
      <c r="AE367" s="124"/>
      <c r="BS367" s="114"/>
      <c r="BT367" s="114"/>
      <c r="BZ367" s="114"/>
      <c r="CA367" s="114"/>
      <c r="CF367" s="114"/>
      <c r="CG367" s="114"/>
      <c r="CM367" s="114"/>
      <c r="CN367" s="114"/>
      <c r="CS367" s="114"/>
      <c r="CT367" s="114"/>
      <c r="CX367" s="483"/>
      <c r="CY367" s="114"/>
      <c r="CZ367" s="114"/>
      <c r="DA367" s="114"/>
      <c r="DB367" s="483"/>
      <c r="DC367" s="114"/>
      <c r="DD367" s="114"/>
      <c r="DE367" s="114"/>
      <c r="DH367" s="114"/>
      <c r="DI367" s="114"/>
      <c r="DJ367" s="114"/>
      <c r="DK367" s="114"/>
      <c r="DL367" s="114"/>
      <c r="DM367" s="114"/>
      <c r="DN367" s="114"/>
      <c r="DO367" s="114"/>
      <c r="DP367" s="114"/>
      <c r="DQ367" s="114"/>
      <c r="DR367" s="114"/>
      <c r="DS367" s="114"/>
      <c r="DT367" s="114"/>
      <c r="DU367" s="114"/>
      <c r="DV367" s="114"/>
      <c r="DW367" s="114"/>
    </row>
    <row r="368" spans="18:127" x14ac:dyDescent="0.25">
      <c r="R368" s="114"/>
      <c r="W368" s="483"/>
      <c r="AE368" s="124"/>
      <c r="BS368" s="114"/>
      <c r="BT368" s="114"/>
      <c r="BZ368" s="114"/>
      <c r="CA368" s="114"/>
      <c r="CF368" s="114"/>
      <c r="CG368" s="114"/>
      <c r="CM368" s="114"/>
      <c r="CN368" s="114"/>
      <c r="CS368" s="114"/>
      <c r="CT368" s="114"/>
      <c r="CX368" s="483"/>
      <c r="CY368" s="114"/>
      <c r="CZ368" s="114"/>
      <c r="DA368" s="114"/>
      <c r="DB368" s="483"/>
      <c r="DC368" s="114"/>
      <c r="DD368" s="114"/>
      <c r="DE368" s="114"/>
      <c r="DH368" s="114"/>
      <c r="DI368" s="114"/>
      <c r="DJ368" s="114"/>
      <c r="DK368" s="114"/>
      <c r="DL368" s="114"/>
      <c r="DM368" s="114"/>
      <c r="DN368" s="114"/>
      <c r="DO368" s="114"/>
      <c r="DP368" s="114"/>
      <c r="DQ368" s="114"/>
      <c r="DR368" s="114"/>
      <c r="DS368" s="114"/>
      <c r="DT368" s="114"/>
      <c r="DU368" s="114"/>
      <c r="DV368" s="114"/>
      <c r="DW368" s="114"/>
    </row>
    <row r="369" spans="18:127" x14ac:dyDescent="0.25">
      <c r="R369" s="114"/>
      <c r="W369" s="483"/>
      <c r="AE369" s="124"/>
      <c r="BS369" s="114"/>
      <c r="BT369" s="114"/>
      <c r="BZ369" s="114"/>
      <c r="CA369" s="114"/>
      <c r="CF369" s="114"/>
      <c r="CG369" s="114"/>
      <c r="CM369" s="114"/>
      <c r="CN369" s="114"/>
      <c r="CS369" s="114"/>
      <c r="CT369" s="114"/>
      <c r="CX369" s="483"/>
      <c r="CY369" s="114"/>
      <c r="CZ369" s="114"/>
      <c r="DA369" s="114"/>
      <c r="DB369" s="483"/>
      <c r="DC369" s="114"/>
      <c r="DD369" s="114"/>
      <c r="DE369" s="114"/>
      <c r="DH369" s="114"/>
      <c r="DI369" s="114"/>
      <c r="DJ369" s="114"/>
      <c r="DK369" s="114"/>
      <c r="DL369" s="114"/>
      <c r="DM369" s="114"/>
      <c r="DN369" s="114"/>
      <c r="DO369" s="114"/>
      <c r="DP369" s="114"/>
      <c r="DQ369" s="114"/>
      <c r="DR369" s="114"/>
      <c r="DS369" s="114"/>
      <c r="DT369" s="114"/>
      <c r="DU369" s="114"/>
      <c r="DV369" s="114"/>
      <c r="DW369" s="114"/>
    </row>
    <row r="370" spans="18:127" x14ac:dyDescent="0.25">
      <c r="R370" s="114"/>
      <c r="W370" s="483"/>
      <c r="AE370" s="124"/>
      <c r="BS370" s="114"/>
      <c r="BT370" s="114"/>
      <c r="BZ370" s="114"/>
      <c r="CA370" s="114"/>
      <c r="CF370" s="114"/>
      <c r="CG370" s="114"/>
      <c r="CM370" s="114"/>
      <c r="CN370" s="114"/>
      <c r="CS370" s="114"/>
      <c r="CT370" s="114"/>
      <c r="CX370" s="483"/>
      <c r="CY370" s="114"/>
      <c r="CZ370" s="114"/>
      <c r="DA370" s="114"/>
      <c r="DB370" s="483"/>
      <c r="DC370" s="114"/>
      <c r="DD370" s="114"/>
      <c r="DE370" s="114"/>
      <c r="DH370" s="114"/>
      <c r="DI370" s="114"/>
      <c r="DJ370" s="114"/>
      <c r="DK370" s="114"/>
      <c r="DL370" s="114"/>
      <c r="DM370" s="114"/>
      <c r="DN370" s="114"/>
      <c r="DO370" s="114"/>
      <c r="DP370" s="114"/>
      <c r="DQ370" s="114"/>
      <c r="DR370" s="114"/>
      <c r="DS370" s="114"/>
      <c r="DT370" s="114"/>
      <c r="DU370" s="114"/>
      <c r="DV370" s="114"/>
      <c r="DW370" s="114"/>
    </row>
    <row r="371" spans="18:127" x14ac:dyDescent="0.25">
      <c r="R371" s="114"/>
      <c r="W371" s="483"/>
      <c r="AE371" s="124"/>
      <c r="BS371" s="114"/>
      <c r="BT371" s="114"/>
      <c r="BZ371" s="114"/>
      <c r="CA371" s="114"/>
      <c r="CF371" s="114"/>
      <c r="CG371" s="114"/>
      <c r="CM371" s="114"/>
      <c r="CN371" s="114"/>
      <c r="CS371" s="114"/>
      <c r="CT371" s="114"/>
      <c r="CX371" s="483"/>
      <c r="CY371" s="114"/>
      <c r="CZ371" s="114"/>
      <c r="DA371" s="114"/>
      <c r="DB371" s="483"/>
      <c r="DC371" s="114"/>
      <c r="DD371" s="114"/>
      <c r="DE371" s="114"/>
      <c r="DH371" s="114"/>
      <c r="DI371" s="114"/>
      <c r="DJ371" s="114"/>
      <c r="DK371" s="114"/>
      <c r="DL371" s="114"/>
      <c r="DM371" s="114"/>
      <c r="DN371" s="114"/>
      <c r="DO371" s="114"/>
      <c r="DP371" s="114"/>
      <c r="DQ371" s="114"/>
      <c r="DR371" s="114"/>
      <c r="DS371" s="114"/>
      <c r="DT371" s="114"/>
      <c r="DU371" s="114"/>
      <c r="DV371" s="114"/>
      <c r="DW371" s="114"/>
    </row>
    <row r="372" spans="18:127" x14ac:dyDescent="0.25">
      <c r="R372" s="114"/>
      <c r="W372" s="483"/>
      <c r="AE372" s="124"/>
      <c r="BS372" s="114"/>
      <c r="BT372" s="114"/>
      <c r="BZ372" s="114"/>
      <c r="CA372" s="114"/>
      <c r="CF372" s="114"/>
      <c r="CG372" s="114"/>
      <c r="CM372" s="114"/>
      <c r="CN372" s="114"/>
      <c r="CS372" s="114"/>
      <c r="CT372" s="114"/>
      <c r="CX372" s="483"/>
      <c r="CY372" s="114"/>
      <c r="CZ372" s="114"/>
      <c r="DA372" s="114"/>
      <c r="DB372" s="483"/>
      <c r="DC372" s="114"/>
      <c r="DD372" s="114"/>
      <c r="DE372" s="114"/>
      <c r="DH372" s="114"/>
      <c r="DI372" s="114"/>
      <c r="DJ372" s="114"/>
      <c r="DK372" s="114"/>
      <c r="DL372" s="114"/>
      <c r="DM372" s="114"/>
      <c r="DN372" s="114"/>
      <c r="DO372" s="114"/>
      <c r="DP372" s="114"/>
      <c r="DQ372" s="114"/>
      <c r="DR372" s="114"/>
      <c r="DS372" s="114"/>
      <c r="DT372" s="114"/>
      <c r="DU372" s="114"/>
      <c r="DV372" s="114"/>
      <c r="DW372" s="114"/>
    </row>
    <row r="373" spans="18:127" x14ac:dyDescent="0.25">
      <c r="R373" s="114"/>
      <c r="W373" s="483"/>
      <c r="AE373" s="124"/>
      <c r="BS373" s="114"/>
      <c r="BT373" s="114"/>
      <c r="BZ373" s="114"/>
      <c r="CA373" s="114"/>
      <c r="CF373" s="114"/>
      <c r="CG373" s="114"/>
      <c r="CM373" s="114"/>
      <c r="CN373" s="114"/>
      <c r="CS373" s="114"/>
      <c r="CT373" s="114"/>
      <c r="CX373" s="483"/>
      <c r="CY373" s="114"/>
      <c r="CZ373" s="114"/>
      <c r="DA373" s="114"/>
      <c r="DB373" s="483"/>
      <c r="DC373" s="114"/>
      <c r="DD373" s="114"/>
      <c r="DE373" s="114"/>
      <c r="DH373" s="114"/>
      <c r="DI373" s="114"/>
      <c r="DJ373" s="114"/>
      <c r="DK373" s="114"/>
      <c r="DL373" s="114"/>
      <c r="DM373" s="114"/>
      <c r="DN373" s="114"/>
      <c r="DO373" s="114"/>
      <c r="DP373" s="114"/>
      <c r="DQ373" s="114"/>
      <c r="DR373" s="114"/>
      <c r="DS373" s="114"/>
      <c r="DT373" s="114"/>
      <c r="DU373" s="114"/>
      <c r="DV373" s="114"/>
      <c r="DW373" s="114"/>
    </row>
    <row r="374" spans="18:127" x14ac:dyDescent="0.25">
      <c r="R374" s="114"/>
      <c r="W374" s="483"/>
      <c r="AE374" s="124"/>
      <c r="BS374" s="114"/>
      <c r="BT374" s="114"/>
      <c r="BZ374" s="114"/>
      <c r="CA374" s="114"/>
      <c r="CF374" s="114"/>
      <c r="CG374" s="114"/>
      <c r="CM374" s="114"/>
      <c r="CN374" s="114"/>
      <c r="CS374" s="114"/>
      <c r="CT374" s="114"/>
      <c r="CX374" s="483"/>
      <c r="CY374" s="114"/>
      <c r="CZ374" s="114"/>
      <c r="DA374" s="114"/>
      <c r="DB374" s="483"/>
      <c r="DC374" s="114"/>
      <c r="DD374" s="114"/>
      <c r="DE374" s="114"/>
      <c r="DH374" s="114"/>
      <c r="DI374" s="114"/>
      <c r="DJ374" s="114"/>
      <c r="DK374" s="114"/>
      <c r="DL374" s="114"/>
      <c r="DM374" s="114"/>
      <c r="DN374" s="114"/>
      <c r="DO374" s="114"/>
      <c r="DP374" s="114"/>
      <c r="DQ374" s="114"/>
      <c r="DR374" s="114"/>
      <c r="DS374" s="114"/>
      <c r="DT374" s="114"/>
      <c r="DU374" s="114"/>
      <c r="DV374" s="114"/>
      <c r="DW374" s="114"/>
    </row>
    <row r="375" spans="18:127" x14ac:dyDescent="0.25">
      <c r="R375" s="114"/>
      <c r="W375" s="483"/>
      <c r="AE375" s="124"/>
      <c r="BS375" s="114"/>
      <c r="BT375" s="114"/>
      <c r="BZ375" s="114"/>
      <c r="CA375" s="114"/>
      <c r="CF375" s="114"/>
      <c r="CG375" s="114"/>
      <c r="CM375" s="114"/>
      <c r="CN375" s="114"/>
      <c r="CS375" s="114"/>
      <c r="CT375" s="114"/>
      <c r="CX375" s="483"/>
      <c r="CY375" s="114"/>
      <c r="CZ375" s="114"/>
      <c r="DA375" s="114"/>
      <c r="DB375" s="483"/>
      <c r="DC375" s="114"/>
      <c r="DD375" s="114"/>
      <c r="DE375" s="114"/>
      <c r="DH375" s="114"/>
      <c r="DI375" s="114"/>
      <c r="DJ375" s="114"/>
      <c r="DK375" s="114"/>
      <c r="DL375" s="114"/>
      <c r="DM375" s="114"/>
      <c r="DN375" s="114"/>
      <c r="DO375" s="114"/>
      <c r="DP375" s="114"/>
      <c r="DQ375" s="114"/>
      <c r="DR375" s="114"/>
      <c r="DS375" s="114"/>
      <c r="DT375" s="114"/>
      <c r="DU375" s="114"/>
      <c r="DV375" s="114"/>
      <c r="DW375" s="114"/>
    </row>
    <row r="376" spans="18:127" x14ac:dyDescent="0.25">
      <c r="R376" s="114"/>
      <c r="W376" s="483"/>
      <c r="AE376" s="124"/>
      <c r="BS376" s="114"/>
      <c r="BT376" s="114"/>
      <c r="BZ376" s="114"/>
      <c r="CA376" s="114"/>
      <c r="CF376" s="114"/>
      <c r="CG376" s="114"/>
      <c r="CM376" s="114"/>
      <c r="CN376" s="114"/>
      <c r="CS376" s="114"/>
      <c r="CT376" s="114"/>
      <c r="CX376" s="483"/>
      <c r="CY376" s="114"/>
      <c r="CZ376" s="114"/>
      <c r="DA376" s="114"/>
      <c r="DB376" s="483"/>
      <c r="DC376" s="114"/>
      <c r="DD376" s="114"/>
      <c r="DE376" s="114"/>
      <c r="DH376" s="114"/>
      <c r="DI376" s="114"/>
      <c r="DJ376" s="114"/>
      <c r="DK376" s="114"/>
      <c r="DL376" s="114"/>
      <c r="DM376" s="114"/>
      <c r="DN376" s="114"/>
      <c r="DO376" s="114"/>
      <c r="DP376" s="114"/>
      <c r="DQ376" s="114"/>
      <c r="DR376" s="114"/>
      <c r="DS376" s="114"/>
      <c r="DT376" s="114"/>
      <c r="DU376" s="114"/>
      <c r="DV376" s="114"/>
      <c r="DW376" s="114"/>
    </row>
    <row r="377" spans="18:127" x14ac:dyDescent="0.25">
      <c r="R377" s="114"/>
      <c r="W377" s="483"/>
      <c r="AE377" s="124"/>
      <c r="BS377" s="114"/>
      <c r="BT377" s="114"/>
      <c r="BZ377" s="114"/>
      <c r="CA377" s="114"/>
      <c r="CF377" s="114"/>
      <c r="CG377" s="114"/>
      <c r="CM377" s="114"/>
      <c r="CN377" s="114"/>
      <c r="CS377" s="114"/>
      <c r="CT377" s="114"/>
      <c r="CX377" s="483"/>
      <c r="CY377" s="114"/>
      <c r="CZ377" s="114"/>
      <c r="DA377" s="114"/>
      <c r="DB377" s="483"/>
      <c r="DC377" s="114"/>
      <c r="DD377" s="114"/>
      <c r="DE377" s="114"/>
      <c r="DH377" s="114"/>
      <c r="DI377" s="114"/>
      <c r="DJ377" s="114"/>
      <c r="DK377" s="114"/>
      <c r="DL377" s="114"/>
      <c r="DM377" s="114"/>
      <c r="DN377" s="114"/>
      <c r="DO377" s="114"/>
      <c r="DP377" s="114"/>
      <c r="DQ377" s="114"/>
      <c r="DR377" s="114"/>
      <c r="DS377" s="114"/>
      <c r="DT377" s="114"/>
      <c r="DU377" s="114"/>
      <c r="DV377" s="114"/>
      <c r="DW377" s="114"/>
    </row>
    <row r="378" spans="18:127" x14ac:dyDescent="0.25">
      <c r="R378" s="114"/>
      <c r="W378" s="483"/>
      <c r="AE378" s="124"/>
      <c r="BS378" s="114"/>
      <c r="BT378" s="114"/>
      <c r="BZ378" s="114"/>
      <c r="CA378" s="114"/>
      <c r="CF378" s="114"/>
      <c r="CG378" s="114"/>
      <c r="CM378" s="114"/>
      <c r="CN378" s="114"/>
      <c r="CS378" s="114"/>
      <c r="CT378" s="114"/>
      <c r="CX378" s="483"/>
      <c r="CY378" s="114"/>
      <c r="CZ378" s="114"/>
      <c r="DA378" s="114"/>
      <c r="DB378" s="483"/>
      <c r="DC378" s="114"/>
      <c r="DD378" s="114"/>
      <c r="DE378" s="114"/>
      <c r="DH378" s="114"/>
      <c r="DI378" s="114"/>
      <c r="DJ378" s="114"/>
      <c r="DK378" s="114"/>
      <c r="DL378" s="114"/>
      <c r="DM378" s="114"/>
      <c r="DN378" s="114"/>
      <c r="DO378" s="114"/>
      <c r="DP378" s="114"/>
      <c r="DQ378" s="114"/>
      <c r="DR378" s="114"/>
      <c r="DS378" s="114"/>
      <c r="DT378" s="114"/>
      <c r="DU378" s="114"/>
      <c r="DV378" s="114"/>
      <c r="DW378" s="114"/>
    </row>
    <row r="379" spans="18:127" x14ac:dyDescent="0.25">
      <c r="R379" s="114"/>
      <c r="W379" s="483"/>
      <c r="AE379" s="124"/>
      <c r="BS379" s="114"/>
      <c r="BT379" s="114"/>
      <c r="BZ379" s="114"/>
      <c r="CA379" s="114"/>
      <c r="CF379" s="114"/>
      <c r="CG379" s="114"/>
      <c r="CM379" s="114"/>
      <c r="CN379" s="114"/>
      <c r="CS379" s="114"/>
      <c r="CT379" s="114"/>
      <c r="CX379" s="483"/>
      <c r="CY379" s="114"/>
      <c r="CZ379" s="114"/>
      <c r="DA379" s="114"/>
      <c r="DB379" s="483"/>
      <c r="DC379" s="114"/>
      <c r="DD379" s="114"/>
      <c r="DE379" s="114"/>
      <c r="DH379" s="114"/>
      <c r="DI379" s="114"/>
      <c r="DJ379" s="114"/>
      <c r="DK379" s="114"/>
      <c r="DL379" s="114"/>
      <c r="DM379" s="114"/>
      <c r="DN379" s="114"/>
      <c r="DO379" s="114"/>
      <c r="DP379" s="114"/>
      <c r="DQ379" s="114"/>
      <c r="DR379" s="114"/>
      <c r="DS379" s="114"/>
      <c r="DT379" s="114"/>
      <c r="DU379" s="114"/>
      <c r="DV379" s="114"/>
      <c r="DW379" s="114"/>
    </row>
    <row r="380" spans="18:127" x14ac:dyDescent="0.25">
      <c r="R380" s="114"/>
      <c r="W380" s="483"/>
      <c r="AE380" s="124"/>
      <c r="BS380" s="114"/>
      <c r="BT380" s="114"/>
      <c r="BZ380" s="114"/>
      <c r="CA380" s="114"/>
      <c r="CF380" s="114"/>
      <c r="CG380" s="114"/>
      <c r="CM380" s="114"/>
      <c r="CN380" s="114"/>
      <c r="CS380" s="114"/>
      <c r="CT380" s="114"/>
      <c r="CX380" s="483"/>
      <c r="CY380" s="114"/>
      <c r="CZ380" s="114"/>
      <c r="DA380" s="114"/>
      <c r="DB380" s="483"/>
      <c r="DC380" s="114"/>
      <c r="DD380" s="114"/>
      <c r="DE380" s="114"/>
      <c r="DH380" s="114"/>
      <c r="DI380" s="114"/>
      <c r="DJ380" s="114"/>
      <c r="DK380" s="114"/>
      <c r="DL380" s="114"/>
      <c r="DM380" s="114"/>
      <c r="DN380" s="114"/>
      <c r="DO380" s="114"/>
      <c r="DP380" s="114"/>
      <c r="DQ380" s="114"/>
      <c r="DR380" s="114"/>
      <c r="DS380" s="114"/>
      <c r="DT380" s="114"/>
      <c r="DU380" s="114"/>
      <c r="DV380" s="114"/>
      <c r="DW380" s="114"/>
    </row>
    <row r="381" spans="18:127" x14ac:dyDescent="0.25">
      <c r="R381" s="114"/>
      <c r="W381" s="483"/>
      <c r="AE381" s="124"/>
      <c r="BS381" s="114"/>
      <c r="BT381" s="114"/>
      <c r="BZ381" s="114"/>
      <c r="CA381" s="114"/>
      <c r="CF381" s="114"/>
      <c r="CG381" s="114"/>
      <c r="CM381" s="114"/>
      <c r="CN381" s="114"/>
      <c r="CS381" s="114"/>
      <c r="CT381" s="114"/>
      <c r="CX381" s="483"/>
      <c r="CY381" s="114"/>
      <c r="CZ381" s="114"/>
      <c r="DA381" s="114"/>
      <c r="DB381" s="483"/>
      <c r="DC381" s="114"/>
      <c r="DD381" s="114"/>
      <c r="DE381" s="114"/>
      <c r="DH381" s="114"/>
      <c r="DI381" s="114"/>
      <c r="DJ381" s="114"/>
      <c r="DK381" s="114"/>
      <c r="DL381" s="114"/>
      <c r="DM381" s="114"/>
      <c r="DN381" s="114"/>
      <c r="DO381" s="114"/>
      <c r="DP381" s="114"/>
      <c r="DQ381" s="114"/>
      <c r="DR381" s="114"/>
      <c r="DS381" s="114"/>
      <c r="DT381" s="114"/>
      <c r="DU381" s="114"/>
      <c r="DV381" s="114"/>
      <c r="DW381" s="114"/>
    </row>
    <row r="382" spans="18:127" x14ac:dyDescent="0.25">
      <c r="R382" s="114"/>
      <c r="W382" s="483"/>
      <c r="AE382" s="124"/>
      <c r="BS382" s="114"/>
      <c r="BT382" s="114"/>
      <c r="BZ382" s="114"/>
      <c r="CA382" s="114"/>
      <c r="CF382" s="114"/>
      <c r="CG382" s="114"/>
      <c r="CM382" s="114"/>
      <c r="CN382" s="114"/>
      <c r="CS382" s="114"/>
      <c r="CT382" s="114"/>
      <c r="CX382" s="483"/>
      <c r="CY382" s="114"/>
      <c r="CZ382" s="114"/>
      <c r="DA382" s="114"/>
      <c r="DB382" s="483"/>
      <c r="DC382" s="114"/>
      <c r="DD382" s="114"/>
      <c r="DE382" s="114"/>
      <c r="DH382" s="114"/>
      <c r="DI382" s="114"/>
      <c r="DJ382" s="114"/>
      <c r="DK382" s="114"/>
      <c r="DL382" s="114"/>
      <c r="DM382" s="114"/>
      <c r="DN382" s="114"/>
      <c r="DO382" s="114"/>
      <c r="DP382" s="114"/>
      <c r="DQ382" s="114"/>
      <c r="DR382" s="114"/>
      <c r="DS382" s="114"/>
      <c r="DT382" s="114"/>
      <c r="DU382" s="114"/>
      <c r="DV382" s="114"/>
      <c r="DW382" s="114"/>
    </row>
    <row r="383" spans="18:127" x14ac:dyDescent="0.25">
      <c r="R383" s="114"/>
      <c r="W383" s="483"/>
      <c r="AE383" s="124"/>
      <c r="BS383" s="114"/>
      <c r="BT383" s="114"/>
      <c r="BZ383" s="114"/>
      <c r="CA383" s="114"/>
      <c r="CF383" s="114"/>
      <c r="CG383" s="114"/>
      <c r="CM383" s="114"/>
      <c r="CN383" s="114"/>
      <c r="CS383" s="114"/>
      <c r="CT383" s="114"/>
      <c r="CX383" s="483"/>
      <c r="CY383" s="114"/>
      <c r="CZ383" s="114"/>
      <c r="DA383" s="114"/>
      <c r="DB383" s="483"/>
      <c r="DC383" s="114"/>
      <c r="DD383" s="114"/>
      <c r="DE383" s="114"/>
      <c r="DH383" s="114"/>
      <c r="DI383" s="114"/>
      <c r="DJ383" s="114"/>
      <c r="DK383" s="114"/>
      <c r="DL383" s="114"/>
      <c r="DM383" s="114"/>
      <c r="DN383" s="114"/>
      <c r="DO383" s="114"/>
      <c r="DP383" s="114"/>
      <c r="DQ383" s="114"/>
      <c r="DR383" s="114"/>
      <c r="DS383" s="114"/>
      <c r="DT383" s="114"/>
      <c r="DU383" s="114"/>
      <c r="DV383" s="114"/>
      <c r="DW383" s="114"/>
    </row>
    <row r="384" spans="18:127" x14ac:dyDescent="0.25">
      <c r="R384" s="114"/>
      <c r="W384" s="483"/>
      <c r="AE384" s="124"/>
      <c r="BS384" s="114"/>
      <c r="BT384" s="114"/>
      <c r="BZ384" s="114"/>
      <c r="CA384" s="114"/>
      <c r="CF384" s="114"/>
      <c r="CG384" s="114"/>
      <c r="CM384" s="114"/>
      <c r="CN384" s="114"/>
      <c r="CS384" s="114"/>
      <c r="CT384" s="114"/>
      <c r="CX384" s="483"/>
      <c r="CY384" s="114"/>
      <c r="CZ384" s="114"/>
      <c r="DA384" s="114"/>
      <c r="DB384" s="483"/>
      <c r="DC384" s="114"/>
      <c r="DD384" s="114"/>
      <c r="DE384" s="114"/>
      <c r="DH384" s="114"/>
      <c r="DI384" s="114"/>
      <c r="DJ384" s="114"/>
      <c r="DK384" s="114"/>
      <c r="DL384" s="114"/>
      <c r="DM384" s="114"/>
      <c r="DN384" s="114"/>
      <c r="DO384" s="114"/>
      <c r="DP384" s="114"/>
      <c r="DQ384" s="114"/>
      <c r="DR384" s="114"/>
      <c r="DS384" s="114"/>
      <c r="DT384" s="114"/>
      <c r="DU384" s="114"/>
      <c r="DV384" s="114"/>
      <c r="DW384" s="114"/>
    </row>
    <row r="385" spans="18:127" x14ac:dyDescent="0.25">
      <c r="R385" s="114"/>
      <c r="W385" s="483"/>
      <c r="AE385" s="124"/>
      <c r="BS385" s="114"/>
      <c r="BT385" s="114"/>
      <c r="BZ385" s="114"/>
      <c r="CA385" s="114"/>
      <c r="CF385" s="114"/>
      <c r="CG385" s="114"/>
      <c r="CM385" s="114"/>
      <c r="CN385" s="114"/>
      <c r="CS385" s="114"/>
      <c r="CT385" s="114"/>
      <c r="CX385" s="483"/>
      <c r="CY385" s="114"/>
      <c r="CZ385" s="114"/>
      <c r="DA385" s="114"/>
      <c r="DB385" s="483"/>
      <c r="DC385" s="114"/>
      <c r="DD385" s="114"/>
      <c r="DE385" s="114"/>
      <c r="DH385" s="114"/>
      <c r="DI385" s="114"/>
      <c r="DJ385" s="114"/>
      <c r="DK385" s="114"/>
      <c r="DL385" s="114"/>
      <c r="DM385" s="114"/>
      <c r="DN385" s="114"/>
      <c r="DO385" s="114"/>
      <c r="DP385" s="114"/>
      <c r="DQ385" s="114"/>
      <c r="DR385" s="114"/>
      <c r="DS385" s="114"/>
      <c r="DT385" s="114"/>
      <c r="DU385" s="114"/>
      <c r="DV385" s="114"/>
      <c r="DW385" s="114"/>
    </row>
    <row r="386" spans="18:127" x14ac:dyDescent="0.25">
      <c r="R386" s="114"/>
      <c r="W386" s="483"/>
      <c r="AE386" s="124"/>
      <c r="BS386" s="114"/>
      <c r="BT386" s="114"/>
      <c r="BZ386" s="114"/>
      <c r="CA386" s="114"/>
      <c r="CF386" s="114"/>
      <c r="CG386" s="114"/>
      <c r="CM386" s="114"/>
      <c r="CN386" s="114"/>
      <c r="CS386" s="114"/>
      <c r="CT386" s="114"/>
      <c r="CX386" s="483"/>
      <c r="CY386" s="114"/>
      <c r="CZ386" s="114"/>
      <c r="DA386" s="114"/>
      <c r="DB386" s="483"/>
      <c r="DC386" s="114"/>
      <c r="DD386" s="114"/>
      <c r="DE386" s="114"/>
      <c r="DH386" s="114"/>
      <c r="DI386" s="114"/>
      <c r="DJ386" s="114"/>
      <c r="DK386" s="114"/>
      <c r="DL386" s="114"/>
      <c r="DM386" s="114"/>
      <c r="DN386" s="114"/>
      <c r="DO386" s="114"/>
      <c r="DP386" s="114"/>
      <c r="DQ386" s="114"/>
      <c r="DR386" s="114"/>
      <c r="DS386" s="114"/>
      <c r="DT386" s="114"/>
      <c r="DU386" s="114"/>
      <c r="DV386" s="114"/>
      <c r="DW386" s="114"/>
    </row>
    <row r="387" spans="18:127" x14ac:dyDescent="0.25">
      <c r="R387" s="114"/>
      <c r="W387" s="483"/>
      <c r="AE387" s="124"/>
      <c r="BS387" s="114"/>
      <c r="BT387" s="114"/>
      <c r="BZ387" s="114"/>
      <c r="CA387" s="114"/>
      <c r="CF387" s="114"/>
      <c r="CG387" s="114"/>
      <c r="CM387" s="114"/>
      <c r="CN387" s="114"/>
      <c r="CS387" s="114"/>
      <c r="CT387" s="114"/>
      <c r="CX387" s="483"/>
      <c r="CY387" s="114"/>
      <c r="CZ387" s="114"/>
      <c r="DA387" s="114"/>
      <c r="DB387" s="483"/>
      <c r="DC387" s="114"/>
      <c r="DD387" s="114"/>
      <c r="DE387" s="114"/>
      <c r="DH387" s="114"/>
      <c r="DI387" s="114"/>
      <c r="DJ387" s="114"/>
      <c r="DK387" s="114"/>
      <c r="DL387" s="114"/>
      <c r="DM387" s="114"/>
      <c r="DN387" s="114"/>
      <c r="DO387" s="114"/>
      <c r="DP387" s="114"/>
      <c r="DQ387" s="114"/>
      <c r="DR387" s="114"/>
      <c r="DS387" s="114"/>
      <c r="DT387" s="114"/>
      <c r="DU387" s="114"/>
      <c r="DV387" s="114"/>
      <c r="DW387" s="114"/>
    </row>
    <row r="388" spans="18:127" x14ac:dyDescent="0.25">
      <c r="R388" s="114"/>
      <c r="W388" s="483"/>
      <c r="AE388" s="124"/>
      <c r="BS388" s="114"/>
      <c r="BT388" s="114"/>
      <c r="BZ388" s="114"/>
      <c r="CA388" s="114"/>
      <c r="CF388" s="114"/>
      <c r="CG388" s="114"/>
      <c r="CM388" s="114"/>
      <c r="CN388" s="114"/>
      <c r="CS388" s="114"/>
      <c r="CT388" s="114"/>
      <c r="CX388" s="483"/>
      <c r="CY388" s="114"/>
      <c r="CZ388" s="114"/>
      <c r="DA388" s="114"/>
      <c r="DB388" s="483"/>
      <c r="DC388" s="114"/>
      <c r="DD388" s="114"/>
      <c r="DE388" s="114"/>
      <c r="DH388" s="114"/>
      <c r="DI388" s="114"/>
      <c r="DJ388" s="114"/>
      <c r="DK388" s="114"/>
      <c r="DL388" s="114"/>
      <c r="DM388" s="114"/>
      <c r="DN388" s="114"/>
      <c r="DO388" s="114"/>
      <c r="DP388" s="114"/>
      <c r="DQ388" s="114"/>
      <c r="DR388" s="114"/>
      <c r="DS388" s="114"/>
      <c r="DT388" s="114"/>
      <c r="DU388" s="114"/>
      <c r="DV388" s="114"/>
      <c r="DW388" s="114"/>
    </row>
    <row r="389" spans="18:127" x14ac:dyDescent="0.25">
      <c r="R389" s="114"/>
      <c r="W389" s="483"/>
      <c r="AE389" s="124"/>
      <c r="BS389" s="114"/>
      <c r="BT389" s="114"/>
      <c r="BZ389" s="114"/>
      <c r="CA389" s="114"/>
      <c r="CF389" s="114"/>
      <c r="CG389" s="114"/>
      <c r="CM389" s="114"/>
      <c r="CN389" s="114"/>
      <c r="CS389" s="114"/>
      <c r="CT389" s="114"/>
      <c r="CX389" s="483"/>
      <c r="CY389" s="114"/>
      <c r="CZ389" s="114"/>
      <c r="DA389" s="114"/>
      <c r="DB389" s="483"/>
      <c r="DC389" s="114"/>
      <c r="DD389" s="114"/>
      <c r="DE389" s="114"/>
      <c r="DH389" s="114"/>
      <c r="DI389" s="114"/>
      <c r="DJ389" s="114"/>
      <c r="DK389" s="114"/>
      <c r="DL389" s="114"/>
      <c r="DM389" s="114"/>
      <c r="DN389" s="114"/>
      <c r="DO389" s="114"/>
      <c r="DP389" s="114"/>
      <c r="DQ389" s="114"/>
      <c r="DR389" s="114"/>
      <c r="DS389" s="114"/>
      <c r="DT389" s="114"/>
      <c r="DU389" s="114"/>
      <c r="DV389" s="114"/>
      <c r="DW389" s="114"/>
    </row>
    <row r="390" spans="18:127" x14ac:dyDescent="0.25">
      <c r="R390" s="114"/>
      <c r="W390" s="483"/>
      <c r="AE390" s="124"/>
      <c r="BS390" s="114"/>
      <c r="BT390" s="114"/>
      <c r="BZ390" s="114"/>
      <c r="CA390" s="114"/>
      <c r="CF390" s="114"/>
      <c r="CG390" s="114"/>
      <c r="CM390" s="114"/>
      <c r="CN390" s="114"/>
      <c r="CS390" s="114"/>
      <c r="CT390" s="114"/>
      <c r="CX390" s="483"/>
      <c r="CY390" s="114"/>
      <c r="CZ390" s="114"/>
      <c r="DA390" s="114"/>
      <c r="DB390" s="483"/>
      <c r="DC390" s="114"/>
      <c r="DD390" s="114"/>
      <c r="DE390" s="114"/>
      <c r="DH390" s="114"/>
      <c r="DI390" s="114"/>
      <c r="DJ390" s="114"/>
      <c r="DK390" s="114"/>
      <c r="DL390" s="114"/>
      <c r="DM390" s="114"/>
      <c r="DN390" s="114"/>
      <c r="DO390" s="114"/>
      <c r="DP390" s="114"/>
      <c r="DQ390" s="114"/>
      <c r="DR390" s="114"/>
      <c r="DS390" s="114"/>
      <c r="DT390" s="114"/>
      <c r="DU390" s="114"/>
      <c r="DV390" s="114"/>
      <c r="DW390" s="114"/>
    </row>
    <row r="391" spans="18:127" x14ac:dyDescent="0.25">
      <c r="R391" s="114"/>
      <c r="W391" s="483"/>
      <c r="AE391" s="124"/>
      <c r="BS391" s="114"/>
      <c r="BT391" s="114"/>
      <c r="BZ391" s="114"/>
      <c r="CA391" s="114"/>
      <c r="CF391" s="114"/>
      <c r="CG391" s="114"/>
      <c r="CM391" s="114"/>
      <c r="CN391" s="114"/>
      <c r="CS391" s="114"/>
      <c r="CT391" s="114"/>
      <c r="CX391" s="483"/>
      <c r="CY391" s="114"/>
      <c r="CZ391" s="114"/>
      <c r="DA391" s="114"/>
      <c r="DB391" s="483"/>
      <c r="DC391" s="114"/>
      <c r="DD391" s="114"/>
      <c r="DE391" s="114"/>
      <c r="DH391" s="114"/>
      <c r="DI391" s="114"/>
      <c r="DJ391" s="114"/>
      <c r="DK391" s="114"/>
      <c r="DL391" s="114"/>
      <c r="DM391" s="114"/>
      <c r="DN391" s="114"/>
      <c r="DO391" s="114"/>
      <c r="DP391" s="114"/>
      <c r="DQ391" s="114"/>
      <c r="DR391" s="114"/>
      <c r="DS391" s="114"/>
      <c r="DT391" s="114"/>
      <c r="DU391" s="114"/>
      <c r="DV391" s="114"/>
      <c r="DW391" s="114"/>
    </row>
    <row r="392" spans="18:127" x14ac:dyDescent="0.25">
      <c r="R392" s="114"/>
      <c r="W392" s="483"/>
      <c r="AE392" s="124"/>
      <c r="BS392" s="114"/>
      <c r="BT392" s="114"/>
      <c r="BZ392" s="114"/>
      <c r="CA392" s="114"/>
      <c r="CF392" s="114"/>
      <c r="CG392" s="114"/>
      <c r="CM392" s="114"/>
      <c r="CN392" s="114"/>
      <c r="CS392" s="114"/>
      <c r="CT392" s="114"/>
      <c r="CX392" s="483"/>
      <c r="CY392" s="114"/>
      <c r="CZ392" s="114"/>
      <c r="DA392" s="114"/>
      <c r="DB392" s="483"/>
      <c r="DC392" s="114"/>
      <c r="DD392" s="114"/>
      <c r="DE392" s="114"/>
      <c r="DH392" s="114"/>
      <c r="DI392" s="114"/>
      <c r="DJ392" s="114"/>
      <c r="DK392" s="114"/>
      <c r="DL392" s="114"/>
      <c r="DM392" s="114"/>
      <c r="DN392" s="114"/>
      <c r="DO392" s="114"/>
      <c r="DP392" s="114"/>
      <c r="DQ392" s="114"/>
      <c r="DR392" s="114"/>
      <c r="DS392" s="114"/>
      <c r="DT392" s="114"/>
      <c r="DU392" s="114"/>
      <c r="DV392" s="114"/>
      <c r="DW392" s="114"/>
    </row>
    <row r="393" spans="18:127" x14ac:dyDescent="0.25">
      <c r="R393" s="114"/>
      <c r="W393" s="483"/>
      <c r="AE393" s="124"/>
      <c r="BS393" s="114"/>
      <c r="BT393" s="114"/>
      <c r="BZ393" s="114"/>
      <c r="CA393" s="114"/>
      <c r="CF393" s="114"/>
      <c r="CG393" s="114"/>
      <c r="CM393" s="114"/>
      <c r="CN393" s="114"/>
      <c r="CS393" s="114"/>
      <c r="CT393" s="114"/>
      <c r="CX393" s="483"/>
      <c r="CY393" s="114"/>
      <c r="CZ393" s="114"/>
      <c r="DA393" s="114"/>
      <c r="DB393" s="483"/>
      <c r="DC393" s="114"/>
      <c r="DD393" s="114"/>
      <c r="DE393" s="114"/>
      <c r="DH393" s="114"/>
      <c r="DI393" s="114"/>
      <c r="DJ393" s="114"/>
      <c r="DK393" s="114"/>
      <c r="DL393" s="114"/>
      <c r="DM393" s="114"/>
      <c r="DN393" s="114"/>
      <c r="DO393" s="114"/>
      <c r="DP393" s="114"/>
      <c r="DQ393" s="114"/>
      <c r="DR393" s="114"/>
      <c r="DS393" s="114"/>
      <c r="DT393" s="114"/>
      <c r="DU393" s="114"/>
      <c r="DV393" s="114"/>
      <c r="DW393" s="114"/>
    </row>
    <row r="394" spans="18:127" x14ac:dyDescent="0.25">
      <c r="R394" s="114"/>
      <c r="W394" s="483"/>
      <c r="AE394" s="124"/>
      <c r="BS394" s="114"/>
      <c r="BT394" s="114"/>
      <c r="BZ394" s="114"/>
      <c r="CA394" s="114"/>
      <c r="CF394" s="114"/>
      <c r="CG394" s="114"/>
      <c r="CM394" s="114"/>
      <c r="CN394" s="114"/>
      <c r="CS394" s="114"/>
      <c r="CT394" s="114"/>
      <c r="CX394" s="483"/>
      <c r="CY394" s="114"/>
      <c r="CZ394" s="114"/>
      <c r="DA394" s="114"/>
      <c r="DB394" s="483"/>
      <c r="DC394" s="114"/>
      <c r="DD394" s="114"/>
      <c r="DE394" s="114"/>
      <c r="DH394" s="114"/>
      <c r="DI394" s="114"/>
      <c r="DJ394" s="114"/>
      <c r="DK394" s="114"/>
      <c r="DL394" s="114"/>
      <c r="DM394" s="114"/>
      <c r="DN394" s="114"/>
      <c r="DO394" s="114"/>
      <c r="DP394" s="114"/>
      <c r="DQ394" s="114"/>
      <c r="DR394" s="114"/>
      <c r="DS394" s="114"/>
      <c r="DT394" s="114"/>
      <c r="DU394" s="114"/>
      <c r="DV394" s="114"/>
      <c r="DW394" s="114"/>
    </row>
    <row r="395" spans="18:127" x14ac:dyDescent="0.25">
      <c r="R395" s="114"/>
      <c r="W395" s="483"/>
      <c r="AE395" s="124"/>
      <c r="BS395" s="114"/>
      <c r="BT395" s="114"/>
      <c r="BZ395" s="114"/>
      <c r="CA395" s="114"/>
      <c r="CF395" s="114"/>
      <c r="CG395" s="114"/>
      <c r="CM395" s="114"/>
      <c r="CN395" s="114"/>
      <c r="CS395" s="114"/>
      <c r="CT395" s="114"/>
      <c r="CX395" s="483"/>
      <c r="CY395" s="114"/>
      <c r="CZ395" s="114"/>
      <c r="DA395" s="114"/>
      <c r="DB395" s="483"/>
      <c r="DC395" s="114"/>
      <c r="DD395" s="114"/>
      <c r="DE395" s="114"/>
      <c r="DH395" s="114"/>
      <c r="DI395" s="114"/>
      <c r="DJ395" s="114"/>
      <c r="DK395" s="114"/>
      <c r="DL395" s="114"/>
      <c r="DM395" s="114"/>
      <c r="DN395" s="114"/>
      <c r="DO395" s="114"/>
      <c r="DP395" s="114"/>
      <c r="DQ395" s="114"/>
      <c r="DR395" s="114"/>
      <c r="DS395" s="114"/>
      <c r="DT395" s="114"/>
      <c r="DU395" s="114"/>
      <c r="DV395" s="114"/>
      <c r="DW395" s="114"/>
    </row>
    <row r="396" spans="18:127" x14ac:dyDescent="0.25">
      <c r="R396" s="114"/>
      <c r="W396" s="483"/>
      <c r="AE396" s="124"/>
      <c r="BS396" s="114"/>
      <c r="BT396" s="114"/>
      <c r="BZ396" s="114"/>
      <c r="CA396" s="114"/>
      <c r="CF396" s="114"/>
      <c r="CG396" s="114"/>
      <c r="CM396" s="114"/>
      <c r="CN396" s="114"/>
      <c r="CS396" s="114"/>
      <c r="CT396" s="114"/>
      <c r="CX396" s="483"/>
      <c r="CY396" s="114"/>
      <c r="CZ396" s="114"/>
      <c r="DA396" s="114"/>
      <c r="DB396" s="483"/>
      <c r="DC396" s="114"/>
      <c r="DD396" s="114"/>
      <c r="DE396" s="114"/>
      <c r="DH396" s="114"/>
      <c r="DI396" s="114"/>
      <c r="DJ396" s="114"/>
      <c r="DK396" s="114"/>
      <c r="DL396" s="114"/>
      <c r="DM396" s="114"/>
      <c r="DN396" s="114"/>
      <c r="DO396" s="114"/>
      <c r="DP396" s="114"/>
      <c r="DQ396" s="114"/>
      <c r="DR396" s="114"/>
      <c r="DS396" s="114"/>
      <c r="DT396" s="114"/>
      <c r="DU396" s="114"/>
      <c r="DV396" s="114"/>
      <c r="DW396" s="114"/>
    </row>
    <row r="397" spans="18:127" x14ac:dyDescent="0.25">
      <c r="R397" s="114"/>
      <c r="W397" s="483"/>
      <c r="AE397" s="124"/>
      <c r="BS397" s="114"/>
      <c r="BT397" s="114"/>
      <c r="BZ397" s="114"/>
      <c r="CA397" s="114"/>
      <c r="CF397" s="114"/>
      <c r="CG397" s="114"/>
      <c r="CM397" s="114"/>
      <c r="CN397" s="114"/>
      <c r="CS397" s="114"/>
      <c r="CT397" s="114"/>
      <c r="CX397" s="483"/>
      <c r="CY397" s="114"/>
      <c r="CZ397" s="114"/>
      <c r="DA397" s="114"/>
      <c r="DB397" s="483"/>
      <c r="DC397" s="114"/>
      <c r="DD397" s="114"/>
      <c r="DE397" s="114"/>
      <c r="DH397" s="114"/>
      <c r="DI397" s="114"/>
      <c r="DJ397" s="114"/>
      <c r="DK397" s="114"/>
      <c r="DL397" s="114"/>
      <c r="DM397" s="114"/>
      <c r="DN397" s="114"/>
      <c r="DO397" s="114"/>
      <c r="DP397" s="114"/>
      <c r="DQ397" s="114"/>
      <c r="DR397" s="114"/>
      <c r="DS397" s="114"/>
      <c r="DT397" s="114"/>
      <c r="DU397" s="114"/>
      <c r="DV397" s="114"/>
      <c r="DW397" s="114"/>
    </row>
    <row r="398" spans="18:127" x14ac:dyDescent="0.25">
      <c r="R398" s="114"/>
      <c r="W398" s="483"/>
      <c r="AE398" s="124"/>
      <c r="BS398" s="114"/>
      <c r="BT398" s="114"/>
      <c r="BZ398" s="114"/>
      <c r="CA398" s="114"/>
      <c r="CF398" s="114"/>
      <c r="CG398" s="114"/>
      <c r="CM398" s="114"/>
      <c r="CN398" s="114"/>
      <c r="CS398" s="114"/>
      <c r="CT398" s="114"/>
      <c r="CX398" s="483"/>
      <c r="CY398" s="114"/>
      <c r="CZ398" s="114"/>
      <c r="DA398" s="114"/>
      <c r="DB398" s="483"/>
      <c r="DC398" s="114"/>
      <c r="DD398" s="114"/>
      <c r="DE398" s="114"/>
      <c r="DH398" s="114"/>
      <c r="DI398" s="114"/>
      <c r="DJ398" s="114"/>
      <c r="DK398" s="114"/>
      <c r="DL398" s="114"/>
      <c r="DM398" s="114"/>
      <c r="DN398" s="114"/>
      <c r="DO398" s="114"/>
      <c r="DP398" s="114"/>
      <c r="DQ398" s="114"/>
      <c r="DR398" s="114"/>
      <c r="DS398" s="114"/>
      <c r="DT398" s="114"/>
      <c r="DU398" s="114"/>
      <c r="DV398" s="114"/>
      <c r="DW398" s="114"/>
    </row>
    <row r="399" spans="18:127" x14ac:dyDescent="0.25">
      <c r="R399" s="114"/>
      <c r="W399" s="483"/>
      <c r="AE399" s="124"/>
      <c r="BS399" s="114"/>
      <c r="BT399" s="114"/>
      <c r="BZ399" s="114"/>
      <c r="CA399" s="114"/>
      <c r="CF399" s="114"/>
      <c r="CG399" s="114"/>
      <c r="CM399" s="114"/>
      <c r="CN399" s="114"/>
      <c r="CS399" s="114"/>
      <c r="CT399" s="114"/>
      <c r="CX399" s="483"/>
      <c r="CY399" s="114"/>
      <c r="CZ399" s="114"/>
      <c r="DA399" s="114"/>
      <c r="DB399" s="483"/>
      <c r="DC399" s="114"/>
      <c r="DD399" s="114"/>
      <c r="DE399" s="114"/>
      <c r="DH399" s="114"/>
      <c r="DI399" s="114"/>
      <c r="DJ399" s="114"/>
      <c r="DK399" s="114"/>
      <c r="DL399" s="114"/>
      <c r="DM399" s="114"/>
      <c r="DN399" s="114"/>
      <c r="DO399" s="114"/>
      <c r="DP399" s="114"/>
      <c r="DQ399" s="114"/>
      <c r="DR399" s="114"/>
      <c r="DS399" s="114"/>
      <c r="DT399" s="114"/>
      <c r="DU399" s="114"/>
      <c r="DV399" s="114"/>
      <c r="DW399" s="114"/>
    </row>
    <row r="400" spans="18:127" x14ac:dyDescent="0.25">
      <c r="R400" s="114"/>
      <c r="W400" s="483"/>
      <c r="AE400" s="124"/>
      <c r="BS400" s="114"/>
      <c r="BT400" s="114"/>
      <c r="BZ400" s="114"/>
      <c r="CA400" s="114"/>
      <c r="CF400" s="114"/>
      <c r="CG400" s="114"/>
      <c r="CM400" s="114"/>
      <c r="CN400" s="114"/>
      <c r="CS400" s="114"/>
      <c r="CT400" s="114"/>
      <c r="CX400" s="483"/>
      <c r="CY400" s="114"/>
      <c r="CZ400" s="114"/>
      <c r="DA400" s="114"/>
      <c r="DB400" s="483"/>
      <c r="DC400" s="114"/>
      <c r="DD400" s="114"/>
      <c r="DE400" s="114"/>
      <c r="DH400" s="114"/>
      <c r="DI400" s="114"/>
      <c r="DJ400" s="114"/>
      <c r="DK400" s="114"/>
      <c r="DL400" s="114"/>
      <c r="DM400" s="114"/>
      <c r="DN400" s="114"/>
      <c r="DO400" s="114"/>
      <c r="DP400" s="114"/>
      <c r="DQ400" s="114"/>
      <c r="DR400" s="114"/>
      <c r="DS400" s="114"/>
      <c r="DT400" s="114"/>
      <c r="DU400" s="114"/>
      <c r="DV400" s="114"/>
      <c r="DW400" s="114"/>
    </row>
    <row r="401" spans="18:127" x14ac:dyDescent="0.25">
      <c r="R401" s="114"/>
      <c r="W401" s="483"/>
      <c r="AE401" s="124"/>
      <c r="BS401" s="114"/>
      <c r="BT401" s="114"/>
      <c r="BZ401" s="114"/>
      <c r="CA401" s="114"/>
      <c r="CF401" s="114"/>
      <c r="CG401" s="114"/>
      <c r="CM401" s="114"/>
      <c r="CN401" s="114"/>
      <c r="CS401" s="114"/>
      <c r="CT401" s="114"/>
      <c r="CX401" s="483"/>
      <c r="CY401" s="114"/>
      <c r="CZ401" s="114"/>
      <c r="DA401" s="114"/>
      <c r="DB401" s="483"/>
      <c r="DC401" s="114"/>
      <c r="DD401" s="114"/>
      <c r="DE401" s="114"/>
      <c r="DH401" s="114"/>
      <c r="DI401" s="114"/>
      <c r="DJ401" s="114"/>
      <c r="DK401" s="114"/>
      <c r="DL401" s="114"/>
      <c r="DM401" s="114"/>
      <c r="DN401" s="114"/>
      <c r="DO401" s="114"/>
      <c r="DP401" s="114"/>
      <c r="DQ401" s="114"/>
      <c r="DR401" s="114"/>
      <c r="DS401" s="114"/>
      <c r="DT401" s="114"/>
      <c r="DU401" s="114"/>
      <c r="DV401" s="114"/>
      <c r="DW401" s="114"/>
    </row>
    <row r="402" spans="18:127" x14ac:dyDescent="0.25">
      <c r="R402" s="114"/>
      <c r="W402" s="483"/>
      <c r="AE402" s="124"/>
      <c r="BS402" s="114"/>
      <c r="BT402" s="114"/>
      <c r="BZ402" s="114"/>
      <c r="CA402" s="114"/>
      <c r="CF402" s="114"/>
      <c r="CG402" s="114"/>
      <c r="CM402" s="114"/>
      <c r="CN402" s="114"/>
      <c r="CS402" s="114"/>
      <c r="CT402" s="114"/>
      <c r="CX402" s="483"/>
      <c r="CY402" s="114"/>
      <c r="CZ402" s="114"/>
      <c r="DA402" s="114"/>
      <c r="DB402" s="483"/>
      <c r="DC402" s="114"/>
      <c r="DD402" s="114"/>
      <c r="DE402" s="114"/>
      <c r="DH402" s="114"/>
      <c r="DI402" s="114"/>
      <c r="DJ402" s="114"/>
      <c r="DK402" s="114"/>
      <c r="DL402" s="114"/>
      <c r="DM402" s="114"/>
      <c r="DN402" s="114"/>
      <c r="DO402" s="114"/>
      <c r="DP402" s="114"/>
      <c r="DQ402" s="114"/>
      <c r="DR402" s="114"/>
      <c r="DS402" s="114"/>
      <c r="DT402" s="114"/>
      <c r="DU402" s="114"/>
      <c r="DV402" s="114"/>
      <c r="DW402" s="114"/>
    </row>
    <row r="403" spans="18:127" x14ac:dyDescent="0.25">
      <c r="R403" s="114"/>
      <c r="W403" s="483"/>
      <c r="AE403" s="124"/>
      <c r="BS403" s="114"/>
      <c r="BT403" s="114"/>
      <c r="BZ403" s="114"/>
      <c r="CA403" s="114"/>
      <c r="CF403" s="114"/>
      <c r="CG403" s="114"/>
      <c r="CM403" s="114"/>
      <c r="CN403" s="114"/>
      <c r="CS403" s="114"/>
      <c r="CT403" s="114"/>
      <c r="CX403" s="483"/>
      <c r="CY403" s="114"/>
      <c r="CZ403" s="114"/>
      <c r="DA403" s="114"/>
      <c r="DB403" s="483"/>
      <c r="DC403" s="114"/>
      <c r="DD403" s="114"/>
      <c r="DE403" s="114"/>
      <c r="DH403" s="114"/>
      <c r="DI403" s="114"/>
      <c r="DJ403" s="114"/>
      <c r="DK403" s="114"/>
      <c r="DL403" s="114"/>
      <c r="DM403" s="114"/>
      <c r="DN403" s="114"/>
      <c r="DO403" s="114"/>
      <c r="DP403" s="114"/>
      <c r="DQ403" s="114"/>
      <c r="DR403" s="114"/>
      <c r="DS403" s="114"/>
      <c r="DT403" s="114"/>
      <c r="DU403" s="114"/>
      <c r="DV403" s="114"/>
      <c r="DW403" s="114"/>
    </row>
    <row r="404" spans="18:127" x14ac:dyDescent="0.25">
      <c r="R404" s="114"/>
      <c r="W404" s="483"/>
      <c r="AE404" s="124"/>
      <c r="BS404" s="114"/>
      <c r="BT404" s="114"/>
      <c r="BZ404" s="114"/>
      <c r="CA404" s="114"/>
      <c r="CF404" s="114"/>
      <c r="CG404" s="114"/>
      <c r="CM404" s="114"/>
      <c r="CN404" s="114"/>
      <c r="CS404" s="114"/>
      <c r="CT404" s="114"/>
      <c r="CX404" s="483"/>
      <c r="CY404" s="114"/>
      <c r="CZ404" s="114"/>
      <c r="DA404" s="114"/>
      <c r="DB404" s="483"/>
      <c r="DC404" s="114"/>
      <c r="DD404" s="114"/>
      <c r="DE404" s="114"/>
      <c r="DH404" s="114"/>
      <c r="DI404" s="114"/>
      <c r="DJ404" s="114"/>
      <c r="DK404" s="114"/>
      <c r="DL404" s="114"/>
      <c r="DM404" s="114"/>
      <c r="DN404" s="114"/>
      <c r="DO404" s="114"/>
      <c r="DP404" s="114"/>
      <c r="DQ404" s="114"/>
      <c r="DR404" s="114"/>
      <c r="DS404" s="114"/>
      <c r="DT404" s="114"/>
      <c r="DU404" s="114"/>
      <c r="DV404" s="114"/>
      <c r="DW404" s="114"/>
    </row>
    <row r="405" spans="18:127" x14ac:dyDescent="0.25">
      <c r="R405" s="114"/>
      <c r="W405" s="483"/>
      <c r="AE405" s="124"/>
      <c r="BS405" s="114"/>
      <c r="BT405" s="114"/>
      <c r="BZ405" s="114"/>
      <c r="CA405" s="114"/>
      <c r="CF405" s="114"/>
      <c r="CG405" s="114"/>
      <c r="CM405" s="114"/>
      <c r="CN405" s="114"/>
      <c r="CS405" s="114"/>
      <c r="CT405" s="114"/>
      <c r="CX405" s="483"/>
      <c r="CY405" s="114"/>
      <c r="CZ405" s="114"/>
      <c r="DA405" s="114"/>
      <c r="DB405" s="483"/>
      <c r="DC405" s="114"/>
      <c r="DD405" s="114"/>
      <c r="DE405" s="114"/>
      <c r="DH405" s="114"/>
      <c r="DI405" s="114"/>
      <c r="DJ405" s="114"/>
      <c r="DK405" s="114"/>
      <c r="DL405" s="114"/>
      <c r="DM405" s="114"/>
      <c r="DN405" s="114"/>
      <c r="DO405" s="114"/>
      <c r="DP405" s="114"/>
      <c r="DQ405" s="114"/>
      <c r="DR405" s="114"/>
      <c r="DS405" s="114"/>
      <c r="DT405" s="114"/>
      <c r="DU405" s="114"/>
      <c r="DV405" s="114"/>
      <c r="DW405" s="114"/>
    </row>
    <row r="406" spans="18:127" x14ac:dyDescent="0.25">
      <c r="R406" s="114"/>
      <c r="W406" s="483"/>
      <c r="AE406" s="124"/>
      <c r="BS406" s="114"/>
      <c r="BT406" s="114"/>
      <c r="BZ406" s="114"/>
      <c r="CA406" s="114"/>
      <c r="CF406" s="114"/>
      <c r="CG406" s="114"/>
      <c r="CM406" s="114"/>
      <c r="CN406" s="114"/>
      <c r="CS406" s="114"/>
      <c r="CT406" s="114"/>
      <c r="CX406" s="483"/>
      <c r="CY406" s="114"/>
      <c r="CZ406" s="114"/>
      <c r="DA406" s="114"/>
      <c r="DB406" s="483"/>
      <c r="DC406" s="114"/>
      <c r="DD406" s="114"/>
      <c r="DE406" s="114"/>
      <c r="DH406" s="114"/>
      <c r="DI406" s="114"/>
      <c r="DJ406" s="114"/>
      <c r="DK406" s="114"/>
      <c r="DL406" s="114"/>
      <c r="DM406" s="114"/>
      <c r="DN406" s="114"/>
      <c r="DO406" s="114"/>
      <c r="DP406" s="114"/>
      <c r="DQ406" s="114"/>
      <c r="DR406" s="114"/>
      <c r="DS406" s="114"/>
      <c r="DT406" s="114"/>
      <c r="DU406" s="114"/>
      <c r="DV406" s="114"/>
      <c r="DW406" s="114"/>
    </row>
    <row r="407" spans="18:127" x14ac:dyDescent="0.25">
      <c r="R407" s="114"/>
      <c r="W407" s="483"/>
      <c r="AE407" s="124"/>
      <c r="BS407" s="114"/>
      <c r="BT407" s="114"/>
      <c r="BZ407" s="114"/>
      <c r="CA407" s="114"/>
      <c r="CF407" s="114"/>
      <c r="CG407" s="114"/>
      <c r="CM407" s="114"/>
      <c r="CN407" s="114"/>
      <c r="CS407" s="114"/>
      <c r="CT407" s="114"/>
      <c r="CX407" s="483"/>
      <c r="CY407" s="114"/>
      <c r="CZ407" s="114"/>
      <c r="DA407" s="114"/>
      <c r="DB407" s="483"/>
      <c r="DC407" s="114"/>
      <c r="DD407" s="114"/>
      <c r="DE407" s="114"/>
      <c r="DH407" s="114"/>
      <c r="DI407" s="114"/>
      <c r="DJ407" s="114"/>
      <c r="DK407" s="114"/>
      <c r="DL407" s="114"/>
      <c r="DM407" s="114"/>
      <c r="DN407" s="114"/>
      <c r="DO407" s="114"/>
      <c r="DP407" s="114"/>
      <c r="DQ407" s="114"/>
      <c r="DR407" s="114"/>
      <c r="DS407" s="114"/>
      <c r="DT407" s="114"/>
      <c r="DU407" s="114"/>
      <c r="DV407" s="114"/>
      <c r="DW407" s="114"/>
    </row>
    <row r="408" spans="18:127" x14ac:dyDescent="0.25">
      <c r="R408" s="114"/>
      <c r="W408" s="483"/>
      <c r="AE408" s="124"/>
      <c r="BS408" s="114"/>
      <c r="BT408" s="114"/>
      <c r="BZ408" s="114"/>
      <c r="CA408" s="114"/>
      <c r="CF408" s="114"/>
      <c r="CG408" s="114"/>
      <c r="CM408" s="114"/>
      <c r="CN408" s="114"/>
      <c r="CS408" s="114"/>
      <c r="CT408" s="114"/>
      <c r="CX408" s="483"/>
      <c r="CY408" s="114"/>
      <c r="CZ408" s="114"/>
      <c r="DA408" s="114"/>
      <c r="DB408" s="483"/>
      <c r="DC408" s="114"/>
      <c r="DD408" s="114"/>
      <c r="DE408" s="114"/>
      <c r="DH408" s="114"/>
      <c r="DI408" s="114"/>
      <c r="DJ408" s="114"/>
      <c r="DK408" s="114"/>
      <c r="DL408" s="114"/>
      <c r="DM408" s="114"/>
      <c r="DN408" s="114"/>
      <c r="DO408" s="114"/>
      <c r="DP408" s="114"/>
      <c r="DQ408" s="114"/>
      <c r="DR408" s="114"/>
      <c r="DS408" s="114"/>
      <c r="DT408" s="114"/>
      <c r="DU408" s="114"/>
      <c r="DV408" s="114"/>
      <c r="DW408" s="114"/>
    </row>
    <row r="409" spans="18:127" x14ac:dyDescent="0.25">
      <c r="R409" s="114"/>
      <c r="W409" s="483"/>
      <c r="AE409" s="124"/>
      <c r="BS409" s="114"/>
      <c r="BT409" s="114"/>
      <c r="BZ409" s="114"/>
      <c r="CA409" s="114"/>
      <c r="CF409" s="114"/>
      <c r="CG409" s="114"/>
      <c r="CM409" s="114"/>
      <c r="CN409" s="114"/>
      <c r="CS409" s="114"/>
      <c r="CT409" s="114"/>
      <c r="CX409" s="483"/>
      <c r="CY409" s="114"/>
      <c r="CZ409" s="114"/>
      <c r="DA409" s="114"/>
      <c r="DB409" s="483"/>
      <c r="DC409" s="114"/>
      <c r="DD409" s="114"/>
      <c r="DE409" s="114"/>
      <c r="DH409" s="114"/>
      <c r="DI409" s="114"/>
      <c r="DJ409" s="114"/>
      <c r="DK409" s="114"/>
      <c r="DL409" s="114"/>
      <c r="DM409" s="114"/>
      <c r="DN409" s="114"/>
      <c r="DO409" s="114"/>
      <c r="DP409" s="114"/>
      <c r="DQ409" s="114"/>
      <c r="DR409" s="114"/>
      <c r="DS409" s="114"/>
      <c r="DT409" s="114"/>
      <c r="DU409" s="114"/>
      <c r="DV409" s="114"/>
      <c r="DW409" s="114"/>
    </row>
    <row r="410" spans="18:127" x14ac:dyDescent="0.25">
      <c r="R410" s="114"/>
      <c r="W410" s="483"/>
      <c r="AE410" s="124"/>
      <c r="BS410" s="114"/>
      <c r="BT410" s="114"/>
      <c r="BZ410" s="114"/>
      <c r="CA410" s="114"/>
      <c r="CF410" s="114"/>
      <c r="CG410" s="114"/>
      <c r="CM410" s="114"/>
      <c r="CN410" s="114"/>
      <c r="CS410" s="114"/>
      <c r="CT410" s="114"/>
      <c r="CX410" s="483"/>
      <c r="CY410" s="114"/>
      <c r="CZ410" s="114"/>
      <c r="DA410" s="114"/>
      <c r="DB410" s="483"/>
      <c r="DC410" s="114"/>
      <c r="DD410" s="114"/>
      <c r="DE410" s="114"/>
      <c r="DH410" s="114"/>
      <c r="DI410" s="114"/>
      <c r="DJ410" s="114"/>
      <c r="DK410" s="114"/>
      <c r="DL410" s="114"/>
      <c r="DM410" s="114"/>
      <c r="DN410" s="114"/>
      <c r="DO410" s="114"/>
      <c r="DP410" s="114"/>
      <c r="DQ410" s="114"/>
      <c r="DR410" s="114"/>
      <c r="DS410" s="114"/>
      <c r="DT410" s="114"/>
      <c r="DU410" s="114"/>
      <c r="DV410" s="114"/>
      <c r="DW410" s="114"/>
    </row>
    <row r="411" spans="18:127" x14ac:dyDescent="0.25">
      <c r="R411" s="114"/>
      <c r="W411" s="483"/>
      <c r="AE411" s="124"/>
      <c r="BS411" s="114"/>
      <c r="BT411" s="114"/>
      <c r="BZ411" s="114"/>
      <c r="CA411" s="114"/>
      <c r="CF411" s="114"/>
      <c r="CG411" s="114"/>
      <c r="CM411" s="114"/>
      <c r="CN411" s="114"/>
      <c r="CS411" s="114"/>
      <c r="CT411" s="114"/>
      <c r="CX411" s="483"/>
      <c r="CY411" s="114"/>
      <c r="CZ411" s="114"/>
      <c r="DA411" s="114"/>
      <c r="DB411" s="483"/>
      <c r="DC411" s="114"/>
      <c r="DD411" s="114"/>
      <c r="DE411" s="114"/>
      <c r="DH411" s="114"/>
      <c r="DI411" s="114"/>
      <c r="DJ411" s="114"/>
      <c r="DK411" s="114"/>
      <c r="DL411" s="114"/>
      <c r="DM411" s="114"/>
      <c r="DN411" s="114"/>
      <c r="DO411" s="114"/>
      <c r="DP411" s="114"/>
      <c r="DQ411" s="114"/>
      <c r="DR411" s="114"/>
      <c r="DS411" s="114"/>
      <c r="DT411" s="114"/>
      <c r="DU411" s="114"/>
      <c r="DV411" s="114"/>
      <c r="DW411" s="114"/>
    </row>
    <row r="412" spans="18:127" x14ac:dyDescent="0.25">
      <c r="R412" s="114"/>
      <c r="W412" s="483"/>
      <c r="AE412" s="124"/>
      <c r="BS412" s="114"/>
      <c r="BT412" s="114"/>
      <c r="BZ412" s="114"/>
      <c r="CA412" s="114"/>
      <c r="CF412" s="114"/>
      <c r="CG412" s="114"/>
      <c r="CM412" s="114"/>
      <c r="CN412" s="114"/>
      <c r="CS412" s="114"/>
      <c r="CT412" s="114"/>
      <c r="CX412" s="483"/>
      <c r="CY412" s="114"/>
      <c r="CZ412" s="114"/>
      <c r="DA412" s="114"/>
      <c r="DB412" s="483"/>
      <c r="DC412" s="114"/>
      <c r="DD412" s="114"/>
      <c r="DE412" s="114"/>
      <c r="DH412" s="114"/>
      <c r="DI412" s="114"/>
      <c r="DJ412" s="114"/>
      <c r="DK412" s="114"/>
      <c r="DL412" s="114"/>
      <c r="DM412" s="114"/>
      <c r="DN412" s="114"/>
      <c r="DO412" s="114"/>
      <c r="DP412" s="114"/>
      <c r="DQ412" s="114"/>
      <c r="DR412" s="114"/>
      <c r="DS412" s="114"/>
      <c r="DT412" s="114"/>
      <c r="DU412" s="114"/>
      <c r="DV412" s="114"/>
      <c r="DW412" s="114"/>
    </row>
    <row r="413" spans="18:127" x14ac:dyDescent="0.25">
      <c r="R413" s="114"/>
      <c r="W413" s="483"/>
      <c r="AE413" s="124"/>
      <c r="BS413" s="114"/>
      <c r="BT413" s="114"/>
      <c r="BZ413" s="114"/>
      <c r="CA413" s="114"/>
      <c r="CF413" s="114"/>
      <c r="CG413" s="114"/>
      <c r="CM413" s="114"/>
      <c r="CN413" s="114"/>
      <c r="CS413" s="114"/>
      <c r="CT413" s="114"/>
      <c r="CX413" s="483"/>
      <c r="CY413" s="114"/>
      <c r="CZ413" s="114"/>
      <c r="DA413" s="114"/>
      <c r="DB413" s="483"/>
      <c r="DC413" s="114"/>
      <c r="DD413" s="114"/>
      <c r="DE413" s="114"/>
      <c r="DH413" s="114"/>
      <c r="DI413" s="114"/>
      <c r="DJ413" s="114"/>
      <c r="DK413" s="114"/>
      <c r="DL413" s="114"/>
      <c r="DM413" s="114"/>
      <c r="DN413" s="114"/>
      <c r="DO413" s="114"/>
      <c r="DP413" s="114"/>
      <c r="DQ413" s="114"/>
      <c r="DR413" s="114"/>
      <c r="DS413" s="114"/>
      <c r="DT413" s="114"/>
      <c r="DU413" s="114"/>
      <c r="DV413" s="114"/>
      <c r="DW413" s="114"/>
    </row>
    <row r="414" spans="18:127" x14ac:dyDescent="0.25">
      <c r="R414" s="114"/>
      <c r="W414" s="483"/>
      <c r="AE414" s="124"/>
      <c r="BS414" s="114"/>
      <c r="BT414" s="114"/>
      <c r="BZ414" s="114"/>
      <c r="CA414" s="114"/>
      <c r="CF414" s="114"/>
      <c r="CG414" s="114"/>
      <c r="CM414" s="114"/>
      <c r="CN414" s="114"/>
      <c r="CS414" s="114"/>
      <c r="CT414" s="114"/>
      <c r="CX414" s="483"/>
      <c r="CY414" s="114"/>
      <c r="CZ414" s="114"/>
      <c r="DA414" s="114"/>
      <c r="DB414" s="483"/>
      <c r="DC414" s="114"/>
      <c r="DD414" s="114"/>
      <c r="DE414" s="114"/>
      <c r="DH414" s="114"/>
      <c r="DI414" s="114"/>
      <c r="DJ414" s="114"/>
      <c r="DK414" s="114"/>
      <c r="DL414" s="114"/>
      <c r="DM414" s="114"/>
      <c r="DN414" s="114"/>
      <c r="DO414" s="114"/>
      <c r="DP414" s="114"/>
      <c r="DQ414" s="114"/>
      <c r="DR414" s="114"/>
      <c r="DS414" s="114"/>
      <c r="DT414" s="114"/>
      <c r="DU414" s="114"/>
      <c r="DV414" s="114"/>
      <c r="DW414" s="114"/>
    </row>
    <row r="415" spans="18:127" x14ac:dyDescent="0.25">
      <c r="R415" s="114"/>
      <c r="W415" s="483"/>
      <c r="AE415" s="124"/>
      <c r="BS415" s="114"/>
      <c r="BT415" s="114"/>
      <c r="BZ415" s="114"/>
      <c r="CA415" s="114"/>
      <c r="CF415" s="114"/>
      <c r="CG415" s="114"/>
      <c r="CM415" s="114"/>
      <c r="CN415" s="114"/>
      <c r="CS415" s="114"/>
      <c r="CT415" s="114"/>
      <c r="CX415" s="483"/>
      <c r="CY415" s="114"/>
      <c r="CZ415" s="114"/>
      <c r="DA415" s="114"/>
      <c r="DB415" s="483"/>
      <c r="DC415" s="114"/>
      <c r="DD415" s="114"/>
      <c r="DE415" s="114"/>
      <c r="DH415" s="114"/>
      <c r="DI415" s="114"/>
      <c r="DJ415" s="114"/>
      <c r="DK415" s="114"/>
      <c r="DL415" s="114"/>
      <c r="DM415" s="114"/>
      <c r="DN415" s="114"/>
      <c r="DO415" s="114"/>
      <c r="DP415" s="114"/>
      <c r="DQ415" s="114"/>
      <c r="DR415" s="114"/>
      <c r="DS415" s="114"/>
      <c r="DT415" s="114"/>
      <c r="DU415" s="114"/>
      <c r="DV415" s="114"/>
      <c r="DW415" s="114"/>
    </row>
    <row r="416" spans="18:127" x14ac:dyDescent="0.25">
      <c r="R416" s="114"/>
      <c r="W416" s="483"/>
      <c r="AE416" s="124"/>
      <c r="BS416" s="114"/>
      <c r="BT416" s="114"/>
      <c r="BZ416" s="114"/>
      <c r="CA416" s="114"/>
      <c r="CF416" s="114"/>
      <c r="CG416" s="114"/>
      <c r="CM416" s="114"/>
      <c r="CN416" s="114"/>
      <c r="CS416" s="114"/>
      <c r="CT416" s="114"/>
      <c r="CX416" s="483"/>
      <c r="CY416" s="114"/>
      <c r="CZ416" s="114"/>
      <c r="DA416" s="114"/>
      <c r="DB416" s="483"/>
      <c r="DC416" s="114"/>
      <c r="DD416" s="114"/>
      <c r="DE416" s="114"/>
      <c r="DH416" s="114"/>
      <c r="DI416" s="114"/>
      <c r="DJ416" s="114"/>
      <c r="DK416" s="114"/>
      <c r="DL416" s="114"/>
      <c r="DM416" s="114"/>
      <c r="DN416" s="114"/>
      <c r="DO416" s="114"/>
      <c r="DP416" s="114"/>
      <c r="DQ416" s="114"/>
      <c r="DR416" s="114"/>
      <c r="DS416" s="114"/>
      <c r="DT416" s="114"/>
      <c r="DU416" s="114"/>
      <c r="DV416" s="114"/>
      <c r="DW416" s="114"/>
    </row>
    <row r="417" spans="18:127" x14ac:dyDescent="0.25">
      <c r="R417" s="114"/>
      <c r="W417" s="483"/>
      <c r="AE417" s="124"/>
      <c r="BS417" s="114"/>
      <c r="BT417" s="114"/>
      <c r="BZ417" s="114"/>
      <c r="CA417" s="114"/>
      <c r="CF417" s="114"/>
      <c r="CG417" s="114"/>
      <c r="CM417" s="114"/>
      <c r="CN417" s="114"/>
      <c r="CS417" s="114"/>
      <c r="CT417" s="114"/>
      <c r="CX417" s="483"/>
      <c r="CY417" s="114"/>
      <c r="CZ417" s="114"/>
      <c r="DA417" s="114"/>
      <c r="DB417" s="483"/>
      <c r="DC417" s="114"/>
      <c r="DD417" s="114"/>
      <c r="DE417" s="114"/>
      <c r="DH417" s="114"/>
      <c r="DI417" s="114"/>
      <c r="DJ417" s="114"/>
      <c r="DK417" s="114"/>
      <c r="DL417" s="114"/>
      <c r="DM417" s="114"/>
      <c r="DN417" s="114"/>
      <c r="DO417" s="114"/>
      <c r="DP417" s="114"/>
      <c r="DQ417" s="114"/>
      <c r="DR417" s="114"/>
      <c r="DS417" s="114"/>
      <c r="DT417" s="114"/>
      <c r="DU417" s="114"/>
      <c r="DV417" s="114"/>
      <c r="DW417" s="114"/>
    </row>
    <row r="418" spans="18:127" x14ac:dyDescent="0.25">
      <c r="R418" s="114"/>
      <c r="W418" s="483"/>
      <c r="AE418" s="124"/>
      <c r="BS418" s="114"/>
      <c r="BT418" s="114"/>
      <c r="BZ418" s="114"/>
      <c r="CA418" s="114"/>
      <c r="CF418" s="114"/>
      <c r="CG418" s="114"/>
      <c r="CM418" s="114"/>
      <c r="CN418" s="114"/>
      <c r="CS418" s="114"/>
      <c r="CT418" s="114"/>
      <c r="CX418" s="483"/>
      <c r="CY418" s="114"/>
      <c r="CZ418" s="114"/>
      <c r="DA418" s="114"/>
      <c r="DB418" s="483"/>
      <c r="DC418" s="114"/>
      <c r="DD418" s="114"/>
      <c r="DE418" s="114"/>
      <c r="DH418" s="114"/>
      <c r="DI418" s="114"/>
      <c r="DJ418" s="114"/>
      <c r="DK418" s="114"/>
      <c r="DL418" s="114"/>
      <c r="DM418" s="114"/>
      <c r="DN418" s="114"/>
      <c r="DO418" s="114"/>
      <c r="DP418" s="114"/>
      <c r="DQ418" s="114"/>
      <c r="DR418" s="114"/>
      <c r="DS418" s="114"/>
      <c r="DT418" s="114"/>
      <c r="DU418" s="114"/>
      <c r="DV418" s="114"/>
      <c r="DW418" s="114"/>
    </row>
    <row r="419" spans="18:127" x14ac:dyDescent="0.25">
      <c r="R419" s="114"/>
      <c r="W419" s="483"/>
      <c r="AE419" s="124"/>
      <c r="BS419" s="114"/>
      <c r="BT419" s="114"/>
      <c r="BZ419" s="114"/>
      <c r="CA419" s="114"/>
      <c r="CF419" s="114"/>
      <c r="CG419" s="114"/>
      <c r="CM419" s="114"/>
      <c r="CN419" s="114"/>
      <c r="CS419" s="114"/>
      <c r="CT419" s="114"/>
      <c r="CX419" s="483"/>
      <c r="CY419" s="114"/>
      <c r="CZ419" s="114"/>
      <c r="DA419" s="114"/>
      <c r="DB419" s="483"/>
      <c r="DC419" s="114"/>
      <c r="DD419" s="114"/>
      <c r="DE419" s="114"/>
      <c r="DH419" s="114"/>
      <c r="DI419" s="114"/>
      <c r="DJ419" s="114"/>
      <c r="DK419" s="114"/>
      <c r="DL419" s="114"/>
      <c r="DM419" s="114"/>
      <c r="DN419" s="114"/>
      <c r="DO419" s="114"/>
      <c r="DP419" s="114"/>
      <c r="DQ419" s="114"/>
      <c r="DR419" s="114"/>
      <c r="DS419" s="114"/>
      <c r="DT419" s="114"/>
      <c r="DU419" s="114"/>
      <c r="DV419" s="114"/>
      <c r="DW419" s="114"/>
    </row>
    <row r="420" spans="18:127" x14ac:dyDescent="0.25">
      <c r="R420" s="114"/>
      <c r="W420" s="483"/>
      <c r="AE420" s="124"/>
      <c r="BS420" s="114"/>
      <c r="BT420" s="114"/>
      <c r="BZ420" s="114"/>
      <c r="CA420" s="114"/>
      <c r="CF420" s="114"/>
      <c r="CG420" s="114"/>
      <c r="CM420" s="114"/>
      <c r="CN420" s="114"/>
      <c r="CS420" s="114"/>
      <c r="CT420" s="114"/>
      <c r="CX420" s="483"/>
      <c r="CY420" s="114"/>
      <c r="CZ420" s="114"/>
      <c r="DA420" s="114"/>
      <c r="DB420" s="483"/>
      <c r="DC420" s="114"/>
      <c r="DD420" s="114"/>
      <c r="DE420" s="114"/>
      <c r="DH420" s="114"/>
      <c r="DI420" s="114"/>
      <c r="DJ420" s="114"/>
      <c r="DK420" s="114"/>
      <c r="DL420" s="114"/>
      <c r="DM420" s="114"/>
      <c r="DN420" s="114"/>
      <c r="DO420" s="114"/>
      <c r="DP420" s="114"/>
      <c r="DQ420" s="114"/>
      <c r="DR420" s="114"/>
      <c r="DS420" s="114"/>
      <c r="DT420" s="114"/>
      <c r="DU420" s="114"/>
      <c r="DV420" s="114"/>
      <c r="DW420" s="114"/>
    </row>
    <row r="421" spans="18:127" x14ac:dyDescent="0.25">
      <c r="R421" s="114"/>
      <c r="W421" s="483"/>
      <c r="AE421" s="124"/>
      <c r="BS421" s="114"/>
      <c r="BT421" s="114"/>
      <c r="BZ421" s="114"/>
      <c r="CA421" s="114"/>
      <c r="CF421" s="114"/>
      <c r="CG421" s="114"/>
      <c r="CM421" s="114"/>
      <c r="CN421" s="114"/>
      <c r="CS421" s="114"/>
      <c r="CT421" s="114"/>
      <c r="CX421" s="483"/>
      <c r="CY421" s="114"/>
      <c r="CZ421" s="114"/>
      <c r="DA421" s="114"/>
      <c r="DB421" s="483"/>
      <c r="DC421" s="114"/>
      <c r="DD421" s="114"/>
      <c r="DE421" s="114"/>
      <c r="DH421" s="114"/>
      <c r="DI421" s="114"/>
      <c r="DJ421" s="114"/>
      <c r="DK421" s="114"/>
      <c r="DL421" s="114"/>
      <c r="DM421" s="114"/>
      <c r="DN421" s="114"/>
      <c r="DO421" s="114"/>
      <c r="DP421" s="114"/>
      <c r="DQ421" s="114"/>
      <c r="DR421" s="114"/>
      <c r="DS421" s="114"/>
      <c r="DT421" s="114"/>
      <c r="DU421" s="114"/>
      <c r="DV421" s="114"/>
      <c r="DW421" s="114"/>
    </row>
    <row r="422" spans="18:127" x14ac:dyDescent="0.25">
      <c r="R422" s="114"/>
      <c r="W422" s="483"/>
      <c r="AE422" s="124"/>
      <c r="BS422" s="114"/>
      <c r="BT422" s="114"/>
      <c r="BZ422" s="114"/>
      <c r="CA422" s="114"/>
      <c r="CF422" s="114"/>
      <c r="CG422" s="114"/>
      <c r="CM422" s="114"/>
      <c r="CN422" s="114"/>
      <c r="CS422" s="114"/>
      <c r="CT422" s="114"/>
      <c r="CX422" s="483"/>
      <c r="CY422" s="114"/>
      <c r="CZ422" s="114"/>
      <c r="DA422" s="114"/>
      <c r="DB422" s="483"/>
      <c r="DC422" s="114"/>
      <c r="DD422" s="114"/>
      <c r="DE422" s="114"/>
      <c r="DH422" s="114"/>
      <c r="DI422" s="114"/>
      <c r="DJ422" s="114"/>
      <c r="DK422" s="114"/>
      <c r="DL422" s="114"/>
      <c r="DM422" s="114"/>
      <c r="DN422" s="114"/>
      <c r="DO422" s="114"/>
      <c r="DP422" s="114"/>
      <c r="DQ422" s="114"/>
      <c r="DR422" s="114"/>
      <c r="DS422" s="114"/>
      <c r="DT422" s="114"/>
      <c r="DU422" s="114"/>
      <c r="DV422" s="114"/>
      <c r="DW422" s="114"/>
    </row>
    <row r="423" spans="18:127" x14ac:dyDescent="0.25">
      <c r="R423" s="114"/>
      <c r="W423" s="483"/>
      <c r="AE423" s="124"/>
      <c r="BS423" s="114"/>
      <c r="BT423" s="114"/>
      <c r="BZ423" s="114"/>
      <c r="CA423" s="114"/>
      <c r="CF423" s="114"/>
      <c r="CG423" s="114"/>
      <c r="CM423" s="114"/>
      <c r="CN423" s="114"/>
      <c r="CS423" s="114"/>
      <c r="CT423" s="114"/>
      <c r="CX423" s="483"/>
      <c r="CY423" s="114"/>
      <c r="CZ423" s="114"/>
      <c r="DA423" s="114"/>
      <c r="DB423" s="483"/>
      <c r="DC423" s="114"/>
      <c r="DD423" s="114"/>
      <c r="DE423" s="114"/>
      <c r="DH423" s="114"/>
      <c r="DI423" s="114"/>
      <c r="DJ423" s="114"/>
      <c r="DK423" s="114"/>
      <c r="DL423" s="114"/>
      <c r="DM423" s="114"/>
      <c r="DN423" s="114"/>
      <c r="DO423" s="114"/>
      <c r="DP423" s="114"/>
      <c r="DQ423" s="114"/>
      <c r="DR423" s="114"/>
      <c r="DS423" s="114"/>
      <c r="DT423" s="114"/>
      <c r="DU423" s="114"/>
      <c r="DV423" s="114"/>
      <c r="DW423" s="114"/>
    </row>
    <row r="424" spans="18:127" x14ac:dyDescent="0.25">
      <c r="R424" s="114"/>
      <c r="W424" s="483"/>
      <c r="AE424" s="124"/>
      <c r="BS424" s="114"/>
      <c r="BT424" s="114"/>
      <c r="BZ424" s="114"/>
      <c r="CA424" s="114"/>
      <c r="CF424" s="114"/>
      <c r="CG424" s="114"/>
      <c r="CM424" s="114"/>
      <c r="CN424" s="114"/>
      <c r="CS424" s="114"/>
      <c r="CT424" s="114"/>
      <c r="CX424" s="483"/>
      <c r="CY424" s="114"/>
      <c r="CZ424" s="114"/>
      <c r="DA424" s="114"/>
      <c r="DB424" s="483"/>
      <c r="DC424" s="114"/>
      <c r="DD424" s="114"/>
      <c r="DE424" s="114"/>
      <c r="DH424" s="114"/>
      <c r="DI424" s="114"/>
      <c r="DJ424" s="114"/>
      <c r="DK424" s="114"/>
      <c r="DL424" s="114"/>
      <c r="DM424" s="114"/>
      <c r="DN424" s="114"/>
      <c r="DO424" s="114"/>
      <c r="DP424" s="114"/>
      <c r="DQ424" s="114"/>
      <c r="DR424" s="114"/>
      <c r="DS424" s="114"/>
      <c r="DT424" s="114"/>
      <c r="DU424" s="114"/>
      <c r="DV424" s="114"/>
      <c r="DW424" s="114"/>
    </row>
    <row r="425" spans="18:127" x14ac:dyDescent="0.25">
      <c r="R425" s="114"/>
      <c r="W425" s="483"/>
      <c r="AE425" s="124"/>
      <c r="BS425" s="114"/>
      <c r="BT425" s="114"/>
      <c r="BZ425" s="114"/>
      <c r="CA425" s="114"/>
      <c r="CF425" s="114"/>
      <c r="CG425" s="114"/>
      <c r="CM425" s="114"/>
      <c r="CN425" s="114"/>
      <c r="CS425" s="114"/>
      <c r="CT425" s="114"/>
      <c r="CX425" s="483"/>
      <c r="CY425" s="114"/>
      <c r="CZ425" s="114"/>
      <c r="DA425" s="114"/>
      <c r="DB425" s="483"/>
      <c r="DC425" s="114"/>
      <c r="DD425" s="114"/>
      <c r="DE425" s="114"/>
      <c r="DH425" s="114"/>
      <c r="DI425" s="114"/>
      <c r="DJ425" s="114"/>
      <c r="DK425" s="114"/>
      <c r="DL425" s="114"/>
      <c r="DM425" s="114"/>
      <c r="DN425" s="114"/>
      <c r="DO425" s="114"/>
      <c r="DP425" s="114"/>
      <c r="DQ425" s="114"/>
      <c r="DR425" s="114"/>
      <c r="DS425" s="114"/>
      <c r="DT425" s="114"/>
      <c r="DU425" s="114"/>
      <c r="DV425" s="114"/>
      <c r="DW425" s="114"/>
    </row>
    <row r="426" spans="18:127" x14ac:dyDescent="0.25">
      <c r="R426" s="114"/>
      <c r="W426" s="483"/>
      <c r="AE426" s="124"/>
      <c r="BS426" s="114"/>
      <c r="BT426" s="114"/>
      <c r="BZ426" s="114"/>
      <c r="CA426" s="114"/>
      <c r="CF426" s="114"/>
      <c r="CG426" s="114"/>
      <c r="CM426" s="114"/>
      <c r="CN426" s="114"/>
      <c r="CS426" s="114"/>
      <c r="CT426" s="114"/>
      <c r="CX426" s="483"/>
      <c r="CY426" s="114"/>
      <c r="CZ426" s="114"/>
      <c r="DA426" s="114"/>
      <c r="DB426" s="483"/>
      <c r="DC426" s="114"/>
      <c r="DD426" s="114"/>
      <c r="DE426" s="114"/>
      <c r="DH426" s="114"/>
      <c r="DI426" s="114"/>
      <c r="DJ426" s="114"/>
      <c r="DK426" s="114"/>
      <c r="DL426" s="114"/>
      <c r="DM426" s="114"/>
      <c r="DN426" s="114"/>
      <c r="DO426" s="114"/>
      <c r="DP426" s="114"/>
      <c r="DQ426" s="114"/>
      <c r="DR426" s="114"/>
      <c r="DS426" s="114"/>
      <c r="DT426" s="114"/>
      <c r="DU426" s="114"/>
      <c r="DV426" s="114"/>
      <c r="DW426" s="114"/>
    </row>
    <row r="427" spans="18:127" x14ac:dyDescent="0.25">
      <c r="R427" s="114"/>
      <c r="W427" s="483"/>
      <c r="AE427" s="124"/>
      <c r="BS427" s="114"/>
      <c r="BT427" s="114"/>
      <c r="BZ427" s="114"/>
      <c r="CA427" s="114"/>
      <c r="CF427" s="114"/>
      <c r="CG427" s="114"/>
      <c r="CM427" s="114"/>
      <c r="CN427" s="114"/>
      <c r="CS427" s="114"/>
      <c r="CT427" s="114"/>
      <c r="CX427" s="483"/>
      <c r="CY427" s="114"/>
      <c r="CZ427" s="114"/>
      <c r="DA427" s="114"/>
      <c r="DB427" s="483"/>
      <c r="DC427" s="114"/>
      <c r="DD427" s="114"/>
      <c r="DE427" s="114"/>
      <c r="DH427" s="114"/>
      <c r="DI427" s="114"/>
      <c r="DJ427" s="114"/>
      <c r="DK427" s="114"/>
      <c r="DL427" s="114"/>
      <c r="DM427" s="114"/>
      <c r="DN427" s="114"/>
      <c r="DO427" s="114"/>
      <c r="DP427" s="114"/>
      <c r="DQ427" s="114"/>
      <c r="DR427" s="114"/>
      <c r="DS427" s="114"/>
      <c r="DT427" s="114"/>
      <c r="DU427" s="114"/>
      <c r="DV427" s="114"/>
      <c r="DW427" s="114"/>
    </row>
    <row r="428" spans="18:127" x14ac:dyDescent="0.25">
      <c r="R428" s="114"/>
      <c r="W428" s="483"/>
      <c r="AE428" s="124"/>
      <c r="BS428" s="114"/>
      <c r="BT428" s="114"/>
      <c r="BZ428" s="114"/>
      <c r="CA428" s="114"/>
      <c r="CF428" s="114"/>
      <c r="CG428" s="114"/>
      <c r="CM428" s="114"/>
      <c r="CN428" s="114"/>
      <c r="CS428" s="114"/>
      <c r="CT428" s="114"/>
      <c r="CX428" s="483"/>
      <c r="CY428" s="114"/>
      <c r="CZ428" s="114"/>
      <c r="DA428" s="114"/>
      <c r="DB428" s="483"/>
      <c r="DC428" s="114"/>
      <c r="DD428" s="114"/>
      <c r="DE428" s="114"/>
      <c r="DH428" s="114"/>
      <c r="DI428" s="114"/>
      <c r="DJ428" s="114"/>
      <c r="DK428" s="114"/>
      <c r="DL428" s="114"/>
      <c r="DM428" s="114"/>
      <c r="DN428" s="114"/>
      <c r="DO428" s="114"/>
      <c r="DP428" s="114"/>
      <c r="DQ428" s="114"/>
      <c r="DR428" s="114"/>
      <c r="DS428" s="114"/>
      <c r="DT428" s="114"/>
      <c r="DU428" s="114"/>
      <c r="DV428" s="114"/>
      <c r="DW428" s="114"/>
    </row>
    <row r="429" spans="18:127" x14ac:dyDescent="0.25">
      <c r="R429" s="114"/>
      <c r="W429" s="483"/>
      <c r="AE429" s="124"/>
      <c r="BS429" s="114"/>
      <c r="BT429" s="114"/>
      <c r="BZ429" s="114"/>
      <c r="CA429" s="114"/>
      <c r="CF429" s="114"/>
      <c r="CG429" s="114"/>
      <c r="CM429" s="114"/>
      <c r="CN429" s="114"/>
      <c r="CS429" s="114"/>
      <c r="CT429" s="114"/>
      <c r="CX429" s="483"/>
      <c r="CY429" s="114"/>
      <c r="CZ429" s="114"/>
      <c r="DA429" s="114"/>
      <c r="DB429" s="483"/>
      <c r="DC429" s="114"/>
      <c r="DD429" s="114"/>
      <c r="DE429" s="114"/>
      <c r="DH429" s="114"/>
      <c r="DI429" s="114"/>
      <c r="DJ429" s="114"/>
      <c r="DK429" s="114"/>
      <c r="DL429" s="114"/>
      <c r="DM429" s="114"/>
      <c r="DN429" s="114"/>
      <c r="DO429" s="114"/>
      <c r="DP429" s="114"/>
      <c r="DQ429" s="114"/>
      <c r="DR429" s="114"/>
      <c r="DS429" s="114"/>
      <c r="DT429" s="114"/>
      <c r="DU429" s="114"/>
      <c r="DV429" s="114"/>
      <c r="DW429" s="114"/>
    </row>
    <row r="430" spans="18:127" x14ac:dyDescent="0.25">
      <c r="R430" s="114"/>
      <c r="W430" s="483"/>
      <c r="AE430" s="124"/>
      <c r="BS430" s="114"/>
      <c r="BT430" s="114"/>
      <c r="BZ430" s="114"/>
      <c r="CA430" s="114"/>
      <c r="CF430" s="114"/>
      <c r="CG430" s="114"/>
      <c r="CM430" s="114"/>
      <c r="CN430" s="114"/>
      <c r="CS430" s="114"/>
      <c r="CT430" s="114"/>
      <c r="CX430" s="483"/>
      <c r="CY430" s="114"/>
      <c r="CZ430" s="114"/>
      <c r="DA430" s="114"/>
      <c r="DB430" s="483"/>
      <c r="DC430" s="114"/>
      <c r="DD430" s="114"/>
      <c r="DE430" s="114"/>
      <c r="DH430" s="114"/>
      <c r="DI430" s="114"/>
      <c r="DJ430" s="114"/>
      <c r="DK430" s="114"/>
      <c r="DL430" s="114"/>
      <c r="DM430" s="114"/>
      <c r="DN430" s="114"/>
      <c r="DO430" s="114"/>
      <c r="DP430" s="114"/>
      <c r="DQ430" s="114"/>
      <c r="DR430" s="114"/>
      <c r="DS430" s="114"/>
      <c r="DT430" s="114"/>
      <c r="DU430" s="114"/>
      <c r="DV430" s="114"/>
      <c r="DW430" s="114"/>
    </row>
    <row r="431" spans="18:127" x14ac:dyDescent="0.25">
      <c r="R431" s="114"/>
      <c r="W431" s="483"/>
      <c r="AE431" s="124"/>
      <c r="BS431" s="114"/>
      <c r="BT431" s="114"/>
      <c r="BZ431" s="114"/>
      <c r="CA431" s="114"/>
      <c r="CF431" s="114"/>
      <c r="CG431" s="114"/>
      <c r="CM431" s="114"/>
      <c r="CN431" s="114"/>
      <c r="CS431" s="114"/>
      <c r="CT431" s="114"/>
      <c r="CX431" s="483"/>
      <c r="CY431" s="114"/>
      <c r="CZ431" s="114"/>
      <c r="DA431" s="114"/>
      <c r="DB431" s="483"/>
      <c r="DC431" s="114"/>
      <c r="DD431" s="114"/>
      <c r="DE431" s="114"/>
      <c r="DH431" s="114"/>
      <c r="DI431" s="114"/>
      <c r="DJ431" s="114"/>
      <c r="DK431" s="114"/>
      <c r="DL431" s="114"/>
      <c r="DM431" s="114"/>
      <c r="DN431" s="114"/>
      <c r="DO431" s="114"/>
      <c r="DP431" s="114"/>
      <c r="DQ431" s="114"/>
      <c r="DR431" s="114"/>
      <c r="DS431" s="114"/>
      <c r="DT431" s="114"/>
      <c r="DU431" s="114"/>
      <c r="DV431" s="114"/>
      <c r="DW431" s="114"/>
    </row>
    <row r="432" spans="18:127" x14ac:dyDescent="0.25">
      <c r="R432" s="114"/>
      <c r="W432" s="483"/>
      <c r="AE432" s="124"/>
      <c r="BS432" s="114"/>
      <c r="BT432" s="114"/>
      <c r="BZ432" s="114"/>
      <c r="CA432" s="114"/>
      <c r="CF432" s="114"/>
      <c r="CG432" s="114"/>
      <c r="CM432" s="114"/>
      <c r="CN432" s="114"/>
      <c r="CS432" s="114"/>
      <c r="CT432" s="114"/>
      <c r="CX432" s="483"/>
      <c r="CY432" s="114"/>
      <c r="CZ432" s="114"/>
      <c r="DA432" s="114"/>
      <c r="DB432" s="483"/>
      <c r="DC432" s="114"/>
      <c r="DD432" s="114"/>
      <c r="DE432" s="114"/>
      <c r="DH432" s="114"/>
      <c r="DI432" s="114"/>
      <c r="DJ432" s="114"/>
      <c r="DK432" s="114"/>
      <c r="DL432" s="114"/>
      <c r="DM432" s="114"/>
      <c r="DN432" s="114"/>
      <c r="DO432" s="114"/>
      <c r="DP432" s="114"/>
      <c r="DQ432" s="114"/>
      <c r="DR432" s="114"/>
      <c r="DS432" s="114"/>
      <c r="DT432" s="114"/>
      <c r="DU432" s="114"/>
      <c r="DV432" s="114"/>
      <c r="DW432" s="114"/>
    </row>
    <row r="433" spans="18:127" x14ac:dyDescent="0.25">
      <c r="R433" s="114"/>
      <c r="W433" s="483"/>
      <c r="AE433" s="124"/>
      <c r="BS433" s="114"/>
      <c r="BT433" s="114"/>
      <c r="BZ433" s="114"/>
      <c r="CA433" s="114"/>
      <c r="CF433" s="114"/>
      <c r="CG433" s="114"/>
      <c r="CM433" s="114"/>
      <c r="CN433" s="114"/>
      <c r="CS433" s="114"/>
      <c r="CT433" s="114"/>
      <c r="CX433" s="483"/>
      <c r="CY433" s="114"/>
      <c r="CZ433" s="114"/>
      <c r="DA433" s="114"/>
      <c r="DB433" s="483"/>
      <c r="DC433" s="114"/>
      <c r="DD433" s="114"/>
      <c r="DE433" s="114"/>
      <c r="DH433" s="114"/>
      <c r="DI433" s="114"/>
      <c r="DJ433" s="114"/>
      <c r="DK433" s="114"/>
      <c r="DL433" s="114"/>
      <c r="DM433" s="114"/>
      <c r="DN433" s="114"/>
      <c r="DO433" s="114"/>
      <c r="DP433" s="114"/>
      <c r="DQ433" s="114"/>
      <c r="DR433" s="114"/>
      <c r="DS433" s="114"/>
      <c r="DT433" s="114"/>
      <c r="DU433" s="114"/>
      <c r="DV433" s="114"/>
      <c r="DW433" s="114"/>
    </row>
    <row r="434" spans="18:127" x14ac:dyDescent="0.25">
      <c r="R434" s="114"/>
      <c r="W434" s="483"/>
      <c r="AE434" s="124"/>
      <c r="BS434" s="114"/>
      <c r="BT434" s="114"/>
      <c r="BZ434" s="114"/>
      <c r="CA434" s="114"/>
      <c r="CF434" s="114"/>
      <c r="CG434" s="114"/>
      <c r="CM434" s="114"/>
      <c r="CN434" s="114"/>
      <c r="CS434" s="114"/>
      <c r="CT434" s="114"/>
      <c r="CX434" s="483"/>
      <c r="CY434" s="114"/>
      <c r="CZ434" s="114"/>
      <c r="DA434" s="114"/>
      <c r="DB434" s="483"/>
      <c r="DC434" s="114"/>
      <c r="DD434" s="114"/>
      <c r="DE434" s="114"/>
      <c r="DH434" s="114"/>
      <c r="DI434" s="114"/>
      <c r="DJ434" s="114"/>
      <c r="DK434" s="114"/>
      <c r="DL434" s="114"/>
      <c r="DM434" s="114"/>
      <c r="DN434" s="114"/>
      <c r="DO434" s="114"/>
      <c r="DP434" s="114"/>
      <c r="DQ434" s="114"/>
      <c r="DR434" s="114"/>
      <c r="DS434" s="114"/>
      <c r="DT434" s="114"/>
      <c r="DU434" s="114"/>
      <c r="DV434" s="114"/>
      <c r="DW434" s="114"/>
    </row>
    <row r="435" spans="18:127" x14ac:dyDescent="0.25">
      <c r="R435" s="114"/>
      <c r="W435" s="483"/>
      <c r="AE435" s="124"/>
      <c r="BS435" s="114"/>
      <c r="BT435" s="114"/>
      <c r="BZ435" s="114"/>
      <c r="CA435" s="114"/>
      <c r="CF435" s="114"/>
      <c r="CG435" s="114"/>
      <c r="CM435" s="114"/>
      <c r="CN435" s="114"/>
      <c r="CS435" s="114"/>
      <c r="CT435" s="114"/>
      <c r="CX435" s="483"/>
      <c r="CY435" s="114"/>
      <c r="CZ435" s="114"/>
      <c r="DA435" s="114"/>
      <c r="DB435" s="483"/>
      <c r="DC435" s="114"/>
      <c r="DD435" s="114"/>
      <c r="DE435" s="114"/>
      <c r="DH435" s="114"/>
      <c r="DI435" s="114"/>
      <c r="DJ435" s="114"/>
      <c r="DK435" s="114"/>
      <c r="DL435" s="114"/>
      <c r="DM435" s="114"/>
      <c r="DN435" s="114"/>
      <c r="DO435" s="114"/>
      <c r="DP435" s="114"/>
      <c r="DQ435" s="114"/>
      <c r="DR435" s="114"/>
      <c r="DS435" s="114"/>
      <c r="DT435" s="114"/>
      <c r="DU435" s="114"/>
      <c r="DV435" s="114"/>
      <c r="DW435" s="114"/>
    </row>
    <row r="436" spans="18:127" x14ac:dyDescent="0.25">
      <c r="R436" s="114"/>
      <c r="W436" s="483"/>
      <c r="AE436" s="124"/>
      <c r="BS436" s="114"/>
      <c r="BT436" s="114"/>
      <c r="BZ436" s="114"/>
      <c r="CA436" s="114"/>
      <c r="CF436" s="114"/>
      <c r="CG436" s="114"/>
      <c r="CM436" s="114"/>
      <c r="CN436" s="114"/>
      <c r="CS436" s="114"/>
      <c r="CT436" s="114"/>
      <c r="CX436" s="483"/>
      <c r="CY436" s="114"/>
      <c r="CZ436" s="114"/>
      <c r="DA436" s="114"/>
      <c r="DB436" s="483"/>
      <c r="DC436" s="114"/>
      <c r="DD436" s="114"/>
      <c r="DE436" s="114"/>
      <c r="DH436" s="114"/>
      <c r="DI436" s="114"/>
      <c r="DJ436" s="114"/>
      <c r="DK436" s="114"/>
      <c r="DL436" s="114"/>
      <c r="DM436" s="114"/>
      <c r="DN436" s="114"/>
      <c r="DO436" s="114"/>
      <c r="DP436" s="114"/>
      <c r="DQ436" s="114"/>
      <c r="DR436" s="114"/>
      <c r="DS436" s="114"/>
      <c r="DT436" s="114"/>
      <c r="DU436" s="114"/>
      <c r="DV436" s="114"/>
      <c r="DW436" s="114"/>
    </row>
    <row r="437" spans="18:127" x14ac:dyDescent="0.25">
      <c r="R437" s="114"/>
      <c r="W437" s="483"/>
      <c r="AE437" s="124"/>
      <c r="BS437" s="114"/>
      <c r="BT437" s="114"/>
      <c r="BZ437" s="114"/>
      <c r="CA437" s="114"/>
      <c r="CF437" s="114"/>
      <c r="CG437" s="114"/>
      <c r="CM437" s="114"/>
      <c r="CN437" s="114"/>
      <c r="CS437" s="114"/>
      <c r="CT437" s="114"/>
      <c r="CX437" s="483"/>
      <c r="CY437" s="114"/>
      <c r="CZ437" s="114"/>
      <c r="DA437" s="114"/>
      <c r="DB437" s="483"/>
      <c r="DC437" s="114"/>
      <c r="DD437" s="114"/>
      <c r="DE437" s="114"/>
      <c r="DH437" s="114"/>
      <c r="DI437" s="114"/>
      <c r="DJ437" s="114"/>
      <c r="DK437" s="114"/>
      <c r="DL437" s="114"/>
      <c r="DM437" s="114"/>
      <c r="DN437" s="114"/>
      <c r="DO437" s="114"/>
      <c r="DP437" s="114"/>
      <c r="DQ437" s="114"/>
      <c r="DR437" s="114"/>
      <c r="DS437" s="114"/>
      <c r="DT437" s="114"/>
      <c r="DU437" s="114"/>
      <c r="DV437" s="114"/>
      <c r="DW437" s="114"/>
    </row>
    <row r="438" spans="18:127" x14ac:dyDescent="0.25">
      <c r="R438" s="114"/>
      <c r="W438" s="483"/>
      <c r="AE438" s="124"/>
      <c r="BS438" s="114"/>
      <c r="BT438" s="114"/>
      <c r="BZ438" s="114"/>
      <c r="CA438" s="114"/>
      <c r="CF438" s="114"/>
      <c r="CG438" s="114"/>
      <c r="CM438" s="114"/>
      <c r="CN438" s="114"/>
      <c r="CS438" s="114"/>
      <c r="CT438" s="114"/>
      <c r="CX438" s="483"/>
      <c r="CY438" s="114"/>
      <c r="CZ438" s="114"/>
      <c r="DA438" s="114"/>
      <c r="DB438" s="483"/>
      <c r="DC438" s="114"/>
      <c r="DD438" s="114"/>
      <c r="DE438" s="114"/>
      <c r="DH438" s="114"/>
      <c r="DI438" s="114"/>
      <c r="DJ438" s="114"/>
      <c r="DK438" s="114"/>
      <c r="DL438" s="114"/>
      <c r="DM438" s="114"/>
      <c r="DN438" s="114"/>
      <c r="DO438" s="114"/>
      <c r="DP438" s="114"/>
      <c r="DQ438" s="114"/>
      <c r="DR438" s="114"/>
      <c r="DS438" s="114"/>
      <c r="DT438" s="114"/>
      <c r="DU438" s="114"/>
      <c r="DV438" s="114"/>
      <c r="DW438" s="114"/>
    </row>
    <row r="439" spans="18:127" x14ac:dyDescent="0.25">
      <c r="R439" s="114"/>
      <c r="W439" s="483"/>
      <c r="AE439" s="124"/>
      <c r="BS439" s="114"/>
      <c r="BT439" s="114"/>
      <c r="BZ439" s="114"/>
      <c r="CA439" s="114"/>
      <c r="CF439" s="114"/>
      <c r="CG439" s="114"/>
      <c r="CM439" s="114"/>
      <c r="CN439" s="114"/>
      <c r="CS439" s="114"/>
      <c r="CT439" s="114"/>
      <c r="CX439" s="483"/>
      <c r="CY439" s="114"/>
      <c r="CZ439" s="114"/>
      <c r="DA439" s="114"/>
      <c r="DB439" s="483"/>
      <c r="DC439" s="114"/>
      <c r="DD439" s="114"/>
      <c r="DE439" s="114"/>
      <c r="DH439" s="114"/>
      <c r="DI439" s="114"/>
      <c r="DJ439" s="114"/>
      <c r="DK439" s="114"/>
      <c r="DL439" s="114"/>
      <c r="DM439" s="114"/>
      <c r="DN439" s="114"/>
      <c r="DO439" s="114"/>
      <c r="DP439" s="114"/>
      <c r="DQ439" s="114"/>
      <c r="DR439" s="114"/>
      <c r="DS439" s="114"/>
      <c r="DT439" s="114"/>
      <c r="DU439" s="114"/>
      <c r="DV439" s="114"/>
      <c r="DW439" s="114"/>
    </row>
    <row r="440" spans="18:127" x14ac:dyDescent="0.25">
      <c r="R440" s="114"/>
      <c r="W440" s="483"/>
      <c r="AE440" s="124"/>
      <c r="BS440" s="114"/>
      <c r="BT440" s="114"/>
      <c r="BZ440" s="114"/>
      <c r="CA440" s="114"/>
      <c r="CF440" s="114"/>
      <c r="CG440" s="114"/>
      <c r="CM440" s="114"/>
      <c r="CN440" s="114"/>
      <c r="CS440" s="114"/>
      <c r="CT440" s="114"/>
      <c r="CX440" s="483"/>
      <c r="CY440" s="114"/>
      <c r="CZ440" s="114"/>
      <c r="DA440" s="114"/>
      <c r="DB440" s="483"/>
      <c r="DC440" s="114"/>
      <c r="DD440" s="114"/>
      <c r="DE440" s="114"/>
      <c r="DH440" s="114"/>
      <c r="DI440" s="114"/>
      <c r="DJ440" s="114"/>
      <c r="DK440" s="114"/>
      <c r="DL440" s="114"/>
      <c r="DM440" s="114"/>
      <c r="DN440" s="114"/>
      <c r="DO440" s="114"/>
      <c r="DP440" s="114"/>
      <c r="DQ440" s="114"/>
      <c r="DR440" s="114"/>
      <c r="DS440" s="114"/>
      <c r="DT440" s="114"/>
      <c r="DU440" s="114"/>
      <c r="DV440" s="114"/>
      <c r="DW440" s="114"/>
    </row>
    <row r="441" spans="18:127" x14ac:dyDescent="0.25">
      <c r="R441" s="114"/>
      <c r="W441" s="483"/>
      <c r="AE441" s="124"/>
      <c r="BS441" s="114"/>
      <c r="BT441" s="114"/>
      <c r="BZ441" s="114"/>
      <c r="CA441" s="114"/>
      <c r="CF441" s="114"/>
      <c r="CG441" s="114"/>
      <c r="CM441" s="114"/>
      <c r="CN441" s="114"/>
      <c r="CS441" s="114"/>
      <c r="CT441" s="114"/>
      <c r="CX441" s="483"/>
      <c r="CY441" s="114"/>
      <c r="CZ441" s="114"/>
      <c r="DA441" s="114"/>
      <c r="DB441" s="483"/>
      <c r="DC441" s="114"/>
      <c r="DD441" s="114"/>
      <c r="DE441" s="114"/>
      <c r="DH441" s="114"/>
      <c r="DI441" s="114"/>
      <c r="DJ441" s="114"/>
      <c r="DK441" s="114"/>
      <c r="DL441" s="114"/>
      <c r="DM441" s="114"/>
      <c r="DN441" s="114"/>
      <c r="DO441" s="114"/>
      <c r="DP441" s="114"/>
      <c r="DQ441" s="114"/>
      <c r="DR441" s="114"/>
      <c r="DS441" s="114"/>
      <c r="DT441" s="114"/>
      <c r="DU441" s="114"/>
      <c r="DV441" s="114"/>
      <c r="DW441" s="114"/>
    </row>
    <row r="442" spans="18:127" x14ac:dyDescent="0.25">
      <c r="R442" s="114"/>
      <c r="W442" s="483"/>
      <c r="AE442" s="124"/>
      <c r="BS442" s="114"/>
      <c r="BT442" s="114"/>
      <c r="BZ442" s="114"/>
      <c r="CA442" s="114"/>
      <c r="CF442" s="114"/>
      <c r="CG442" s="114"/>
      <c r="CM442" s="114"/>
      <c r="CN442" s="114"/>
      <c r="CS442" s="114"/>
      <c r="CT442" s="114"/>
      <c r="CX442" s="483"/>
      <c r="CY442" s="114"/>
      <c r="CZ442" s="114"/>
      <c r="DA442" s="114"/>
      <c r="DB442" s="483"/>
      <c r="DC442" s="114"/>
      <c r="DD442" s="114"/>
      <c r="DE442" s="114"/>
      <c r="DH442" s="114"/>
      <c r="DI442" s="114"/>
      <c r="DJ442" s="114"/>
      <c r="DK442" s="114"/>
      <c r="DL442" s="114"/>
      <c r="DM442" s="114"/>
      <c r="DN442" s="114"/>
      <c r="DO442" s="114"/>
      <c r="DP442" s="114"/>
      <c r="DQ442" s="114"/>
      <c r="DR442" s="114"/>
      <c r="DS442" s="114"/>
      <c r="DT442" s="114"/>
      <c r="DU442" s="114"/>
      <c r="DV442" s="114"/>
      <c r="DW442" s="114"/>
    </row>
    <row r="443" spans="18:127" x14ac:dyDescent="0.25">
      <c r="R443" s="114"/>
      <c r="W443" s="483"/>
      <c r="AE443" s="124"/>
      <c r="BS443" s="114"/>
      <c r="BT443" s="114"/>
      <c r="BZ443" s="114"/>
      <c r="CA443" s="114"/>
      <c r="CF443" s="114"/>
      <c r="CG443" s="114"/>
      <c r="CM443" s="114"/>
      <c r="CN443" s="114"/>
      <c r="CS443" s="114"/>
      <c r="CT443" s="114"/>
      <c r="CX443" s="483"/>
      <c r="CY443" s="114"/>
      <c r="CZ443" s="114"/>
      <c r="DA443" s="114"/>
      <c r="DB443" s="483"/>
      <c r="DC443" s="114"/>
      <c r="DD443" s="114"/>
      <c r="DE443" s="114"/>
      <c r="DH443" s="114"/>
      <c r="DI443" s="114"/>
      <c r="DJ443" s="114"/>
      <c r="DK443" s="114"/>
      <c r="DL443" s="114"/>
      <c r="DM443" s="114"/>
      <c r="DN443" s="114"/>
      <c r="DO443" s="114"/>
      <c r="DP443" s="114"/>
      <c r="DQ443" s="114"/>
      <c r="DR443" s="114"/>
      <c r="DS443" s="114"/>
      <c r="DT443" s="114"/>
      <c r="DU443" s="114"/>
      <c r="DV443" s="114"/>
      <c r="DW443" s="114"/>
    </row>
    <row r="444" spans="18:127" x14ac:dyDescent="0.25">
      <c r="R444" s="114"/>
      <c r="W444" s="483"/>
      <c r="AE444" s="124"/>
      <c r="BS444" s="114"/>
      <c r="BT444" s="114"/>
      <c r="BZ444" s="114"/>
      <c r="CA444" s="114"/>
      <c r="CF444" s="114"/>
      <c r="CG444" s="114"/>
      <c r="CM444" s="114"/>
      <c r="CN444" s="114"/>
      <c r="CS444" s="114"/>
      <c r="CT444" s="114"/>
      <c r="CX444" s="483"/>
      <c r="CY444" s="114"/>
      <c r="CZ444" s="114"/>
      <c r="DA444" s="114"/>
      <c r="DB444" s="483"/>
      <c r="DC444" s="114"/>
      <c r="DD444" s="114"/>
      <c r="DE444" s="114"/>
      <c r="DH444" s="114"/>
      <c r="DI444" s="114"/>
      <c r="DJ444" s="114"/>
      <c r="DK444" s="114"/>
      <c r="DL444" s="114"/>
      <c r="DM444" s="114"/>
      <c r="DN444" s="114"/>
      <c r="DO444" s="114"/>
      <c r="DP444" s="114"/>
      <c r="DQ444" s="114"/>
      <c r="DR444" s="114"/>
      <c r="DS444" s="114"/>
      <c r="DT444" s="114"/>
      <c r="DU444" s="114"/>
      <c r="DV444" s="114"/>
      <c r="DW444" s="114"/>
    </row>
    <row r="445" spans="18:127" x14ac:dyDescent="0.25">
      <c r="R445" s="114"/>
      <c r="W445" s="483"/>
      <c r="AE445" s="124"/>
      <c r="BS445" s="114"/>
      <c r="BT445" s="114"/>
      <c r="BZ445" s="114"/>
      <c r="CA445" s="114"/>
      <c r="CF445" s="114"/>
      <c r="CG445" s="114"/>
      <c r="CM445" s="114"/>
      <c r="CN445" s="114"/>
      <c r="CS445" s="114"/>
      <c r="CT445" s="114"/>
      <c r="CX445" s="483"/>
      <c r="CY445" s="114"/>
      <c r="CZ445" s="114"/>
      <c r="DA445" s="114"/>
      <c r="DB445" s="483"/>
      <c r="DC445" s="114"/>
      <c r="DD445" s="114"/>
      <c r="DE445" s="114"/>
      <c r="DH445" s="114"/>
      <c r="DI445" s="114"/>
      <c r="DJ445" s="114"/>
      <c r="DK445" s="114"/>
      <c r="DL445" s="114"/>
      <c r="DM445" s="114"/>
      <c r="DN445" s="114"/>
      <c r="DO445" s="114"/>
      <c r="DP445" s="114"/>
      <c r="DQ445" s="114"/>
      <c r="DR445" s="114"/>
      <c r="DS445" s="114"/>
      <c r="DT445" s="114"/>
      <c r="DU445" s="114"/>
      <c r="DV445" s="114"/>
      <c r="DW445" s="114"/>
    </row>
    <row r="446" spans="18:127" x14ac:dyDescent="0.25">
      <c r="R446" s="114"/>
      <c r="W446" s="483"/>
      <c r="AE446" s="124"/>
      <c r="BS446" s="114"/>
      <c r="BT446" s="114"/>
      <c r="BZ446" s="114"/>
      <c r="CA446" s="114"/>
      <c r="CF446" s="114"/>
      <c r="CG446" s="114"/>
      <c r="CM446" s="114"/>
      <c r="CN446" s="114"/>
      <c r="CS446" s="114"/>
      <c r="CT446" s="114"/>
      <c r="CX446" s="483"/>
      <c r="CY446" s="114"/>
      <c r="CZ446" s="114"/>
      <c r="DA446" s="114"/>
      <c r="DB446" s="483"/>
      <c r="DC446" s="114"/>
      <c r="DD446" s="114"/>
      <c r="DE446" s="114"/>
      <c r="DH446" s="114"/>
      <c r="DI446" s="114"/>
      <c r="DJ446" s="114"/>
      <c r="DK446" s="114"/>
      <c r="DL446" s="114"/>
      <c r="DM446" s="114"/>
      <c r="DN446" s="114"/>
      <c r="DO446" s="114"/>
      <c r="DP446" s="114"/>
      <c r="DQ446" s="114"/>
      <c r="DR446" s="114"/>
      <c r="DS446" s="114"/>
      <c r="DT446" s="114"/>
      <c r="DU446" s="114"/>
      <c r="DV446" s="114"/>
      <c r="DW446" s="114"/>
    </row>
    <row r="447" spans="18:127" x14ac:dyDescent="0.25">
      <c r="R447" s="114"/>
      <c r="W447" s="483"/>
      <c r="AE447" s="124"/>
      <c r="BS447" s="114"/>
      <c r="BT447" s="114"/>
      <c r="BZ447" s="114"/>
      <c r="CA447" s="114"/>
      <c r="CF447" s="114"/>
      <c r="CG447" s="114"/>
      <c r="CM447" s="114"/>
      <c r="CN447" s="114"/>
      <c r="CS447" s="114"/>
      <c r="CT447" s="114"/>
      <c r="CX447" s="483"/>
      <c r="CY447" s="114"/>
      <c r="CZ447" s="114"/>
      <c r="DA447" s="114"/>
      <c r="DB447" s="483"/>
      <c r="DC447" s="114"/>
      <c r="DD447" s="114"/>
      <c r="DE447" s="114"/>
      <c r="DH447" s="114"/>
      <c r="DI447" s="114"/>
      <c r="DJ447" s="114"/>
      <c r="DK447" s="114"/>
      <c r="DL447" s="114"/>
      <c r="DM447" s="114"/>
      <c r="DN447" s="114"/>
      <c r="DO447" s="114"/>
      <c r="DP447" s="114"/>
      <c r="DQ447" s="114"/>
      <c r="DR447" s="114"/>
      <c r="DS447" s="114"/>
      <c r="DT447" s="114"/>
      <c r="DU447" s="114"/>
      <c r="DV447" s="114"/>
      <c r="DW447" s="114"/>
    </row>
    <row r="448" spans="18:127" x14ac:dyDescent="0.25">
      <c r="R448" s="114"/>
      <c r="W448" s="483"/>
      <c r="AE448" s="124"/>
      <c r="BS448" s="114"/>
      <c r="BT448" s="114"/>
      <c r="BZ448" s="114"/>
      <c r="CA448" s="114"/>
      <c r="CF448" s="114"/>
      <c r="CG448" s="114"/>
      <c r="CM448" s="114"/>
      <c r="CN448" s="114"/>
      <c r="CS448" s="114"/>
      <c r="CT448" s="114"/>
      <c r="CX448" s="483"/>
      <c r="CY448" s="114"/>
      <c r="CZ448" s="114"/>
      <c r="DA448" s="114"/>
      <c r="DB448" s="483"/>
      <c r="DC448" s="114"/>
      <c r="DD448" s="114"/>
      <c r="DE448" s="114"/>
      <c r="DH448" s="114"/>
      <c r="DI448" s="114"/>
      <c r="DJ448" s="114"/>
      <c r="DK448" s="114"/>
      <c r="DL448" s="114"/>
      <c r="DM448" s="114"/>
      <c r="DN448" s="114"/>
      <c r="DO448" s="114"/>
      <c r="DP448" s="114"/>
      <c r="DQ448" s="114"/>
      <c r="DR448" s="114"/>
      <c r="DS448" s="114"/>
      <c r="DT448" s="114"/>
      <c r="DU448" s="114"/>
      <c r="DV448" s="114"/>
      <c r="DW448" s="114"/>
    </row>
    <row r="449" spans="18:127" x14ac:dyDescent="0.25">
      <c r="R449" s="114"/>
      <c r="W449" s="483"/>
      <c r="AE449" s="124"/>
      <c r="BS449" s="114"/>
      <c r="BT449" s="114"/>
      <c r="BZ449" s="114"/>
      <c r="CA449" s="114"/>
      <c r="CF449" s="114"/>
      <c r="CG449" s="114"/>
      <c r="CM449" s="114"/>
      <c r="CN449" s="114"/>
      <c r="CS449" s="114"/>
      <c r="CT449" s="114"/>
      <c r="CX449" s="483"/>
      <c r="CY449" s="114"/>
      <c r="CZ449" s="114"/>
      <c r="DA449" s="114"/>
      <c r="DB449" s="483"/>
      <c r="DC449" s="114"/>
      <c r="DD449" s="114"/>
      <c r="DE449" s="114"/>
      <c r="DH449" s="114"/>
      <c r="DI449" s="114"/>
      <c r="DJ449" s="114"/>
      <c r="DK449" s="114"/>
      <c r="DL449" s="114"/>
      <c r="DM449" s="114"/>
      <c r="DN449" s="114"/>
      <c r="DO449" s="114"/>
      <c r="DP449" s="114"/>
      <c r="DQ449" s="114"/>
      <c r="DR449" s="114"/>
      <c r="DS449" s="114"/>
      <c r="DT449" s="114"/>
      <c r="DU449" s="114"/>
      <c r="DV449" s="114"/>
      <c r="DW449" s="114"/>
    </row>
    <row r="450" spans="18:127" x14ac:dyDescent="0.25">
      <c r="R450" s="114"/>
      <c r="W450" s="483"/>
      <c r="AE450" s="124"/>
      <c r="BS450" s="114"/>
      <c r="BT450" s="114"/>
      <c r="BZ450" s="114"/>
      <c r="CA450" s="114"/>
      <c r="CF450" s="114"/>
      <c r="CG450" s="114"/>
      <c r="CM450" s="114"/>
      <c r="CN450" s="114"/>
      <c r="CS450" s="114"/>
      <c r="CT450" s="114"/>
      <c r="CX450" s="483"/>
      <c r="CY450" s="114"/>
      <c r="CZ450" s="114"/>
      <c r="DA450" s="114"/>
      <c r="DB450" s="483"/>
      <c r="DC450" s="114"/>
      <c r="DD450" s="114"/>
      <c r="DE450" s="114"/>
      <c r="DH450" s="114"/>
      <c r="DI450" s="114"/>
      <c r="DJ450" s="114"/>
      <c r="DK450" s="114"/>
      <c r="DL450" s="114"/>
      <c r="DM450" s="114"/>
      <c r="DN450" s="114"/>
      <c r="DO450" s="114"/>
      <c r="DP450" s="114"/>
      <c r="DQ450" s="114"/>
      <c r="DR450" s="114"/>
      <c r="DS450" s="114"/>
      <c r="DT450" s="114"/>
      <c r="DU450" s="114"/>
      <c r="DV450" s="114"/>
      <c r="DW450" s="114"/>
    </row>
    <row r="451" spans="18:127" x14ac:dyDescent="0.25">
      <c r="R451" s="114"/>
      <c r="W451" s="483"/>
      <c r="AE451" s="124"/>
      <c r="BS451" s="114"/>
      <c r="BT451" s="114"/>
      <c r="BZ451" s="114"/>
      <c r="CA451" s="114"/>
      <c r="CF451" s="114"/>
      <c r="CG451" s="114"/>
      <c r="CM451" s="114"/>
      <c r="CN451" s="114"/>
      <c r="CS451" s="114"/>
      <c r="CT451" s="114"/>
      <c r="CX451" s="483"/>
      <c r="CY451" s="114"/>
      <c r="CZ451" s="114"/>
      <c r="DA451" s="114"/>
      <c r="DB451" s="483"/>
      <c r="DC451" s="114"/>
      <c r="DD451" s="114"/>
      <c r="DE451" s="114"/>
      <c r="DH451" s="114"/>
      <c r="DI451" s="114"/>
      <c r="DJ451" s="114"/>
      <c r="DK451" s="114"/>
      <c r="DL451" s="114"/>
      <c r="DM451" s="114"/>
      <c r="DN451" s="114"/>
      <c r="DO451" s="114"/>
      <c r="DP451" s="114"/>
      <c r="DQ451" s="114"/>
      <c r="DR451" s="114"/>
      <c r="DS451" s="114"/>
      <c r="DT451" s="114"/>
      <c r="DU451" s="114"/>
      <c r="DV451" s="114"/>
      <c r="DW451" s="114"/>
    </row>
    <row r="452" spans="18:127" x14ac:dyDescent="0.25">
      <c r="R452" s="114"/>
      <c r="W452" s="483"/>
      <c r="AE452" s="124"/>
      <c r="BS452" s="114"/>
      <c r="BT452" s="114"/>
      <c r="BZ452" s="114"/>
      <c r="CA452" s="114"/>
      <c r="CF452" s="114"/>
      <c r="CG452" s="114"/>
      <c r="CM452" s="114"/>
      <c r="CN452" s="114"/>
      <c r="CS452" s="114"/>
      <c r="CT452" s="114"/>
      <c r="CX452" s="483"/>
      <c r="CY452" s="114"/>
      <c r="CZ452" s="114"/>
      <c r="DA452" s="114"/>
      <c r="DB452" s="483"/>
      <c r="DC452" s="114"/>
      <c r="DD452" s="114"/>
      <c r="DE452" s="114"/>
      <c r="DH452" s="114"/>
      <c r="DI452" s="114"/>
      <c r="DJ452" s="114"/>
      <c r="DK452" s="114"/>
      <c r="DL452" s="114"/>
      <c r="DM452" s="114"/>
      <c r="DN452" s="114"/>
      <c r="DO452" s="114"/>
      <c r="DP452" s="114"/>
      <c r="DQ452" s="114"/>
      <c r="DR452" s="114"/>
      <c r="DS452" s="114"/>
      <c r="DT452" s="114"/>
      <c r="DU452" s="114"/>
      <c r="DV452" s="114"/>
      <c r="DW452" s="114"/>
    </row>
    <row r="453" spans="18:127" x14ac:dyDescent="0.25">
      <c r="R453" s="114"/>
      <c r="W453" s="483"/>
      <c r="AE453" s="124"/>
      <c r="BS453" s="114"/>
      <c r="BT453" s="114"/>
      <c r="BZ453" s="114"/>
      <c r="CA453" s="114"/>
      <c r="CF453" s="114"/>
      <c r="CG453" s="114"/>
      <c r="CM453" s="114"/>
      <c r="CN453" s="114"/>
      <c r="CS453" s="114"/>
      <c r="CT453" s="114"/>
      <c r="CX453" s="483"/>
      <c r="CY453" s="114"/>
      <c r="CZ453" s="114"/>
      <c r="DA453" s="114"/>
      <c r="DB453" s="483"/>
      <c r="DC453" s="114"/>
      <c r="DD453" s="114"/>
      <c r="DE453" s="114"/>
      <c r="DH453" s="114"/>
      <c r="DI453" s="114"/>
      <c r="DJ453" s="114"/>
      <c r="DK453" s="114"/>
      <c r="DL453" s="114"/>
      <c r="DM453" s="114"/>
      <c r="DN453" s="114"/>
      <c r="DO453" s="114"/>
      <c r="DP453" s="114"/>
      <c r="DQ453" s="114"/>
      <c r="DR453" s="114"/>
      <c r="DS453" s="114"/>
      <c r="DT453" s="114"/>
      <c r="DU453" s="114"/>
      <c r="DV453" s="114"/>
      <c r="DW453" s="114"/>
    </row>
    <row r="454" spans="18:127" x14ac:dyDescent="0.25">
      <c r="R454" s="114"/>
      <c r="W454" s="483"/>
      <c r="AE454" s="124"/>
      <c r="BS454" s="114"/>
      <c r="BT454" s="114"/>
      <c r="BZ454" s="114"/>
      <c r="CA454" s="114"/>
      <c r="CF454" s="114"/>
      <c r="CG454" s="114"/>
      <c r="CM454" s="114"/>
      <c r="CN454" s="114"/>
      <c r="CS454" s="114"/>
      <c r="CT454" s="114"/>
      <c r="CX454" s="483"/>
      <c r="CY454" s="114"/>
      <c r="CZ454" s="114"/>
      <c r="DA454" s="114"/>
      <c r="DB454" s="483"/>
      <c r="DC454" s="114"/>
      <c r="DD454" s="114"/>
      <c r="DE454" s="114"/>
      <c r="DH454" s="114"/>
      <c r="DI454" s="114"/>
      <c r="DJ454" s="114"/>
      <c r="DK454" s="114"/>
      <c r="DL454" s="114"/>
      <c r="DM454" s="114"/>
      <c r="DN454" s="114"/>
      <c r="DO454" s="114"/>
      <c r="DP454" s="114"/>
      <c r="DQ454" s="114"/>
      <c r="DR454" s="114"/>
      <c r="DS454" s="114"/>
      <c r="DT454" s="114"/>
      <c r="DU454" s="114"/>
      <c r="DV454" s="114"/>
      <c r="DW454" s="114"/>
    </row>
    <row r="455" spans="18:127" x14ac:dyDescent="0.25">
      <c r="R455" s="114"/>
      <c r="W455" s="483"/>
      <c r="AE455" s="124"/>
      <c r="BS455" s="114"/>
      <c r="BT455" s="114"/>
      <c r="BZ455" s="114"/>
      <c r="CA455" s="114"/>
      <c r="CF455" s="114"/>
      <c r="CG455" s="114"/>
      <c r="CM455" s="114"/>
      <c r="CN455" s="114"/>
      <c r="CS455" s="114"/>
      <c r="CT455" s="114"/>
      <c r="CX455" s="483"/>
      <c r="CY455" s="114"/>
      <c r="CZ455" s="114"/>
      <c r="DA455" s="114"/>
      <c r="DB455" s="483"/>
      <c r="DC455" s="114"/>
      <c r="DD455" s="114"/>
      <c r="DE455" s="114"/>
      <c r="DH455" s="114"/>
      <c r="DI455" s="114"/>
      <c r="DJ455" s="114"/>
      <c r="DK455" s="114"/>
      <c r="DL455" s="114"/>
      <c r="DM455" s="114"/>
      <c r="DN455" s="114"/>
      <c r="DO455" s="114"/>
      <c r="DP455" s="114"/>
      <c r="DQ455" s="114"/>
      <c r="DR455" s="114"/>
      <c r="DS455" s="114"/>
      <c r="DT455" s="114"/>
      <c r="DU455" s="114"/>
      <c r="DV455" s="114"/>
      <c r="DW455" s="114"/>
    </row>
    <row r="456" spans="18:127" x14ac:dyDescent="0.25">
      <c r="R456" s="114"/>
      <c r="W456" s="483"/>
      <c r="AE456" s="124"/>
      <c r="BS456" s="114"/>
      <c r="BT456" s="114"/>
      <c r="BZ456" s="114"/>
      <c r="CA456" s="114"/>
      <c r="CF456" s="114"/>
      <c r="CG456" s="114"/>
      <c r="CM456" s="114"/>
      <c r="CN456" s="114"/>
      <c r="CS456" s="114"/>
      <c r="CT456" s="114"/>
      <c r="CX456" s="483"/>
      <c r="CY456" s="114"/>
      <c r="CZ456" s="114"/>
      <c r="DA456" s="114"/>
      <c r="DB456" s="483"/>
      <c r="DC456" s="114"/>
      <c r="DD456" s="114"/>
      <c r="DE456" s="114"/>
      <c r="DH456" s="114"/>
      <c r="DI456" s="114"/>
      <c r="DJ456" s="114"/>
      <c r="DK456" s="114"/>
      <c r="DL456" s="114"/>
      <c r="DM456" s="114"/>
      <c r="DN456" s="114"/>
      <c r="DO456" s="114"/>
      <c r="DP456" s="114"/>
      <c r="DQ456" s="114"/>
      <c r="DR456" s="114"/>
      <c r="DS456" s="114"/>
      <c r="DT456" s="114"/>
      <c r="DU456" s="114"/>
      <c r="DV456" s="114"/>
      <c r="DW456" s="114"/>
    </row>
    <row r="457" spans="18:127" x14ac:dyDescent="0.25">
      <c r="R457" s="114"/>
      <c r="W457" s="483"/>
      <c r="AE457" s="124"/>
      <c r="BS457" s="114"/>
      <c r="BT457" s="114"/>
      <c r="BZ457" s="114"/>
      <c r="CA457" s="114"/>
      <c r="CF457" s="114"/>
      <c r="CG457" s="114"/>
      <c r="CM457" s="114"/>
      <c r="CN457" s="114"/>
      <c r="CS457" s="114"/>
      <c r="CT457" s="114"/>
      <c r="CX457" s="483"/>
      <c r="CY457" s="114"/>
      <c r="CZ457" s="114"/>
      <c r="DA457" s="114"/>
      <c r="DB457" s="483"/>
      <c r="DC457" s="114"/>
      <c r="DD457" s="114"/>
      <c r="DE457" s="114"/>
      <c r="DH457" s="114"/>
      <c r="DI457" s="114"/>
      <c r="DJ457" s="114"/>
      <c r="DK457" s="114"/>
      <c r="DL457" s="114"/>
      <c r="DM457" s="114"/>
      <c r="DN457" s="114"/>
      <c r="DO457" s="114"/>
      <c r="DP457" s="114"/>
      <c r="DQ457" s="114"/>
      <c r="DR457" s="114"/>
      <c r="DS457" s="114"/>
      <c r="DT457" s="114"/>
      <c r="DU457" s="114"/>
      <c r="DV457" s="114"/>
      <c r="DW457" s="114"/>
    </row>
    <row r="458" spans="18:127" x14ac:dyDescent="0.25">
      <c r="R458" s="114"/>
      <c r="W458" s="483"/>
      <c r="AE458" s="124"/>
      <c r="BS458" s="114"/>
      <c r="BT458" s="114"/>
      <c r="BZ458" s="114"/>
      <c r="CA458" s="114"/>
      <c r="CF458" s="114"/>
      <c r="CG458" s="114"/>
      <c r="CM458" s="114"/>
      <c r="CN458" s="114"/>
      <c r="CS458" s="114"/>
      <c r="CT458" s="114"/>
      <c r="CX458" s="483"/>
      <c r="CY458" s="114"/>
      <c r="CZ458" s="114"/>
      <c r="DA458" s="114"/>
      <c r="DB458" s="483"/>
      <c r="DC458" s="114"/>
      <c r="DD458" s="114"/>
      <c r="DE458" s="114"/>
      <c r="DH458" s="114"/>
      <c r="DI458" s="114"/>
      <c r="DJ458" s="114"/>
      <c r="DK458" s="114"/>
      <c r="DL458" s="114"/>
      <c r="DM458" s="114"/>
      <c r="DN458" s="114"/>
      <c r="DO458" s="114"/>
      <c r="DP458" s="114"/>
      <c r="DQ458" s="114"/>
      <c r="DR458" s="114"/>
      <c r="DS458" s="114"/>
      <c r="DT458" s="114"/>
      <c r="DU458" s="114"/>
      <c r="DV458" s="114"/>
      <c r="DW458" s="114"/>
    </row>
    <row r="459" spans="18:127" x14ac:dyDescent="0.25">
      <c r="R459" s="114"/>
      <c r="W459" s="483"/>
      <c r="AE459" s="124"/>
      <c r="BS459" s="114"/>
      <c r="BT459" s="114"/>
      <c r="BZ459" s="114"/>
      <c r="CA459" s="114"/>
      <c r="CF459" s="114"/>
      <c r="CG459" s="114"/>
      <c r="CM459" s="114"/>
      <c r="CN459" s="114"/>
      <c r="CS459" s="114"/>
      <c r="CT459" s="114"/>
      <c r="CX459" s="483"/>
      <c r="CY459" s="114"/>
      <c r="CZ459" s="114"/>
      <c r="DA459" s="114"/>
      <c r="DB459" s="483"/>
      <c r="DC459" s="114"/>
      <c r="DD459" s="114"/>
      <c r="DE459" s="114"/>
      <c r="DH459" s="114"/>
      <c r="DI459" s="114"/>
      <c r="DJ459" s="114"/>
      <c r="DK459" s="114"/>
      <c r="DL459" s="114"/>
      <c r="DM459" s="114"/>
      <c r="DN459" s="114"/>
      <c r="DO459" s="114"/>
      <c r="DP459" s="114"/>
      <c r="DQ459" s="114"/>
      <c r="DR459" s="114"/>
      <c r="DS459" s="114"/>
      <c r="DT459" s="114"/>
      <c r="DU459" s="114"/>
      <c r="DV459" s="114"/>
      <c r="DW459" s="114"/>
    </row>
    <row r="460" spans="18:127" x14ac:dyDescent="0.25">
      <c r="R460" s="114"/>
      <c r="W460" s="483"/>
      <c r="AE460" s="124"/>
      <c r="BS460" s="114"/>
      <c r="BT460" s="114"/>
      <c r="BZ460" s="114"/>
      <c r="CA460" s="114"/>
      <c r="CF460" s="114"/>
      <c r="CG460" s="114"/>
      <c r="CM460" s="114"/>
      <c r="CN460" s="114"/>
      <c r="CS460" s="114"/>
      <c r="CT460" s="114"/>
      <c r="CX460" s="483"/>
      <c r="CY460" s="114"/>
      <c r="CZ460" s="114"/>
      <c r="DA460" s="114"/>
      <c r="DB460" s="483"/>
      <c r="DC460" s="114"/>
      <c r="DD460" s="114"/>
      <c r="DE460" s="114"/>
      <c r="DH460" s="114"/>
      <c r="DI460" s="114"/>
      <c r="DJ460" s="114"/>
      <c r="DK460" s="114"/>
      <c r="DL460" s="114"/>
      <c r="DM460" s="114"/>
      <c r="DN460" s="114"/>
      <c r="DO460" s="114"/>
      <c r="DP460" s="114"/>
      <c r="DQ460" s="114"/>
      <c r="DR460" s="114"/>
      <c r="DS460" s="114"/>
      <c r="DT460" s="114"/>
      <c r="DU460" s="114"/>
      <c r="DV460" s="114"/>
      <c r="DW460" s="114"/>
    </row>
    <row r="461" spans="18:127" x14ac:dyDescent="0.25">
      <c r="R461" s="114"/>
      <c r="W461" s="483"/>
      <c r="AE461" s="124"/>
      <c r="BS461" s="114"/>
      <c r="BT461" s="114"/>
      <c r="BZ461" s="114"/>
      <c r="CA461" s="114"/>
      <c r="CF461" s="114"/>
      <c r="CG461" s="114"/>
      <c r="CM461" s="114"/>
      <c r="CN461" s="114"/>
      <c r="CS461" s="114"/>
      <c r="CT461" s="114"/>
      <c r="CX461" s="483"/>
      <c r="CY461" s="114"/>
      <c r="CZ461" s="114"/>
      <c r="DA461" s="114"/>
      <c r="DB461" s="483"/>
      <c r="DC461" s="114"/>
      <c r="DD461" s="114"/>
      <c r="DE461" s="114"/>
      <c r="DH461" s="114"/>
      <c r="DI461" s="114"/>
      <c r="DJ461" s="114"/>
      <c r="DK461" s="114"/>
      <c r="DL461" s="114"/>
      <c r="DM461" s="114"/>
      <c r="DN461" s="114"/>
      <c r="DO461" s="114"/>
      <c r="DP461" s="114"/>
      <c r="DQ461" s="114"/>
      <c r="DR461" s="114"/>
      <c r="DS461" s="114"/>
      <c r="DT461" s="114"/>
      <c r="DU461" s="114"/>
      <c r="DV461" s="114"/>
      <c r="DW461" s="114"/>
    </row>
    <row r="462" spans="18:127" x14ac:dyDescent="0.25">
      <c r="R462" s="114"/>
      <c r="W462" s="483"/>
      <c r="AE462" s="124"/>
      <c r="BS462" s="114"/>
      <c r="BT462" s="114"/>
      <c r="BZ462" s="114"/>
      <c r="CA462" s="114"/>
      <c r="CF462" s="114"/>
      <c r="CG462" s="114"/>
      <c r="CM462" s="114"/>
      <c r="CN462" s="114"/>
      <c r="CS462" s="114"/>
      <c r="CT462" s="114"/>
      <c r="CX462" s="483"/>
      <c r="CY462" s="114"/>
      <c r="CZ462" s="114"/>
      <c r="DA462" s="114"/>
      <c r="DB462" s="483"/>
      <c r="DC462" s="114"/>
      <c r="DD462" s="114"/>
      <c r="DE462" s="114"/>
      <c r="DH462" s="114"/>
      <c r="DI462" s="114"/>
      <c r="DJ462" s="114"/>
      <c r="DK462" s="114"/>
      <c r="DL462" s="114"/>
      <c r="DM462" s="114"/>
      <c r="DN462" s="114"/>
      <c r="DO462" s="114"/>
      <c r="DP462" s="114"/>
      <c r="DQ462" s="114"/>
      <c r="DR462" s="114"/>
      <c r="DS462" s="114"/>
      <c r="DT462" s="114"/>
      <c r="DU462" s="114"/>
      <c r="DV462" s="114"/>
      <c r="DW462" s="114"/>
    </row>
    <row r="463" spans="18:127" x14ac:dyDescent="0.25">
      <c r="R463" s="114"/>
      <c r="W463" s="483"/>
      <c r="AE463" s="124"/>
      <c r="BS463" s="114"/>
      <c r="BT463" s="114"/>
      <c r="BZ463" s="114"/>
      <c r="CA463" s="114"/>
      <c r="CF463" s="114"/>
      <c r="CG463" s="114"/>
      <c r="CM463" s="114"/>
      <c r="CN463" s="114"/>
      <c r="CS463" s="114"/>
      <c r="CT463" s="114"/>
      <c r="CX463" s="483"/>
      <c r="CY463" s="114"/>
      <c r="CZ463" s="114"/>
      <c r="DA463" s="114"/>
      <c r="DB463" s="483"/>
      <c r="DC463" s="114"/>
      <c r="DD463" s="114"/>
      <c r="DE463" s="114"/>
      <c r="DH463" s="114"/>
      <c r="DI463" s="114"/>
      <c r="DJ463" s="114"/>
      <c r="DK463" s="114"/>
      <c r="DL463" s="114"/>
      <c r="DM463" s="114"/>
      <c r="DN463" s="114"/>
      <c r="DO463" s="114"/>
      <c r="DP463" s="114"/>
      <c r="DQ463" s="114"/>
      <c r="DR463" s="114"/>
      <c r="DS463" s="114"/>
      <c r="DT463" s="114"/>
      <c r="DU463" s="114"/>
      <c r="DV463" s="114"/>
      <c r="DW463" s="114"/>
    </row>
    <row r="464" spans="18:127" x14ac:dyDescent="0.25">
      <c r="R464" s="114"/>
      <c r="W464" s="483"/>
      <c r="AE464" s="124"/>
      <c r="BS464" s="114"/>
      <c r="BT464" s="114"/>
      <c r="BZ464" s="114"/>
      <c r="CA464" s="114"/>
      <c r="CF464" s="114"/>
      <c r="CG464" s="114"/>
      <c r="CM464" s="114"/>
      <c r="CN464" s="114"/>
      <c r="CS464" s="114"/>
      <c r="CT464" s="114"/>
      <c r="CX464" s="483"/>
      <c r="CY464" s="114"/>
      <c r="CZ464" s="114"/>
      <c r="DA464" s="114"/>
      <c r="DB464" s="483"/>
      <c r="DC464" s="114"/>
      <c r="DD464" s="114"/>
      <c r="DE464" s="114"/>
      <c r="DH464" s="114"/>
      <c r="DI464" s="114"/>
      <c r="DJ464" s="114"/>
      <c r="DK464" s="114"/>
      <c r="DL464" s="114"/>
      <c r="DM464" s="114"/>
      <c r="DN464" s="114"/>
      <c r="DO464" s="114"/>
      <c r="DP464" s="114"/>
      <c r="DQ464" s="114"/>
      <c r="DR464" s="114"/>
      <c r="DS464" s="114"/>
      <c r="DT464" s="114"/>
      <c r="DU464" s="114"/>
      <c r="DV464" s="114"/>
      <c r="DW464" s="114"/>
    </row>
    <row r="465" spans="18:127" x14ac:dyDescent="0.25">
      <c r="R465" s="114"/>
      <c r="W465" s="483"/>
      <c r="AE465" s="124"/>
      <c r="BS465" s="114"/>
      <c r="BT465" s="114"/>
      <c r="BZ465" s="114"/>
      <c r="CA465" s="114"/>
      <c r="CF465" s="114"/>
      <c r="CG465" s="114"/>
      <c r="CM465" s="114"/>
      <c r="CN465" s="114"/>
      <c r="CS465" s="114"/>
      <c r="CT465" s="114"/>
      <c r="CX465" s="483"/>
      <c r="CY465" s="114"/>
      <c r="CZ465" s="114"/>
      <c r="DA465" s="114"/>
      <c r="DB465" s="483"/>
      <c r="DC465" s="114"/>
      <c r="DD465" s="114"/>
      <c r="DE465" s="114"/>
      <c r="DH465" s="114"/>
      <c r="DI465" s="114"/>
      <c r="DJ465" s="114"/>
      <c r="DK465" s="114"/>
      <c r="DL465" s="114"/>
      <c r="DM465" s="114"/>
      <c r="DN465" s="114"/>
      <c r="DO465" s="114"/>
      <c r="DP465" s="114"/>
      <c r="DQ465" s="114"/>
      <c r="DR465" s="114"/>
      <c r="DS465" s="114"/>
      <c r="DT465" s="114"/>
      <c r="DU465" s="114"/>
      <c r="DV465" s="114"/>
      <c r="DW465" s="114"/>
    </row>
    <row r="466" spans="18:127" x14ac:dyDescent="0.25">
      <c r="R466" s="114"/>
      <c r="W466" s="483"/>
      <c r="AE466" s="124"/>
      <c r="BS466" s="114"/>
      <c r="BT466" s="114"/>
      <c r="BZ466" s="114"/>
      <c r="CA466" s="114"/>
      <c r="CF466" s="114"/>
      <c r="CG466" s="114"/>
      <c r="CM466" s="114"/>
      <c r="CN466" s="114"/>
      <c r="CS466" s="114"/>
      <c r="CT466" s="114"/>
      <c r="CX466" s="483"/>
      <c r="CY466" s="114"/>
      <c r="CZ466" s="114"/>
      <c r="DA466" s="114"/>
      <c r="DB466" s="483"/>
      <c r="DC466" s="114"/>
      <c r="DD466" s="114"/>
      <c r="DE466" s="114"/>
      <c r="DH466" s="114"/>
      <c r="DI466" s="114"/>
      <c r="DJ466" s="114"/>
      <c r="DK466" s="114"/>
      <c r="DL466" s="114"/>
      <c r="DM466" s="114"/>
      <c r="DN466" s="114"/>
      <c r="DO466" s="114"/>
      <c r="DP466" s="114"/>
      <c r="DQ466" s="114"/>
      <c r="DR466" s="114"/>
      <c r="DS466" s="114"/>
      <c r="DT466" s="114"/>
      <c r="DU466" s="114"/>
      <c r="DV466" s="114"/>
      <c r="DW466" s="114"/>
    </row>
    <row r="467" spans="18:127" x14ac:dyDescent="0.25">
      <c r="R467" s="114"/>
      <c r="W467" s="483"/>
      <c r="AE467" s="124"/>
      <c r="BS467" s="114"/>
      <c r="BT467" s="114"/>
      <c r="BZ467" s="114"/>
      <c r="CA467" s="114"/>
      <c r="CF467" s="114"/>
      <c r="CG467" s="114"/>
      <c r="CM467" s="114"/>
      <c r="CN467" s="114"/>
      <c r="CS467" s="114"/>
      <c r="CT467" s="114"/>
      <c r="CX467" s="483"/>
      <c r="CY467" s="114"/>
      <c r="CZ467" s="114"/>
      <c r="DA467" s="114"/>
      <c r="DB467" s="483"/>
      <c r="DC467" s="114"/>
      <c r="DD467" s="114"/>
      <c r="DE467" s="114"/>
      <c r="DH467" s="114"/>
      <c r="DI467" s="114"/>
      <c r="DJ467" s="114"/>
      <c r="DK467" s="114"/>
      <c r="DL467" s="114"/>
      <c r="DM467" s="114"/>
      <c r="DN467" s="114"/>
      <c r="DO467" s="114"/>
      <c r="DP467" s="114"/>
      <c r="DQ467" s="114"/>
      <c r="DR467" s="114"/>
      <c r="DS467" s="114"/>
      <c r="DT467" s="114"/>
      <c r="DU467" s="114"/>
      <c r="DV467" s="114"/>
      <c r="DW467" s="114"/>
    </row>
    <row r="468" spans="18:127" x14ac:dyDescent="0.25">
      <c r="R468" s="114"/>
      <c r="W468" s="483"/>
      <c r="AE468" s="124"/>
      <c r="BS468" s="114"/>
      <c r="BT468" s="114"/>
      <c r="BZ468" s="114"/>
      <c r="CA468" s="114"/>
      <c r="CF468" s="114"/>
      <c r="CG468" s="114"/>
      <c r="CM468" s="114"/>
      <c r="CN468" s="114"/>
      <c r="CS468" s="114"/>
      <c r="CT468" s="114"/>
      <c r="CX468" s="483"/>
      <c r="CY468" s="114"/>
      <c r="CZ468" s="114"/>
      <c r="DA468" s="114"/>
      <c r="DB468" s="483"/>
      <c r="DC468" s="114"/>
      <c r="DD468" s="114"/>
      <c r="DE468" s="114"/>
      <c r="DH468" s="114"/>
      <c r="DI468" s="114"/>
      <c r="DJ468" s="114"/>
      <c r="DK468" s="114"/>
      <c r="DL468" s="114"/>
      <c r="DM468" s="114"/>
      <c r="DN468" s="114"/>
      <c r="DO468" s="114"/>
      <c r="DP468" s="114"/>
      <c r="DQ468" s="114"/>
      <c r="DR468" s="114"/>
      <c r="DS468" s="114"/>
      <c r="DT468" s="114"/>
      <c r="DU468" s="114"/>
      <c r="DV468" s="114"/>
      <c r="DW468" s="114"/>
    </row>
    <row r="469" spans="18:127" x14ac:dyDescent="0.25">
      <c r="R469" s="114"/>
      <c r="W469" s="483"/>
      <c r="AE469" s="124"/>
      <c r="BS469" s="114"/>
      <c r="BT469" s="114"/>
      <c r="BZ469" s="114"/>
      <c r="CA469" s="114"/>
      <c r="CF469" s="114"/>
      <c r="CG469" s="114"/>
      <c r="CM469" s="114"/>
      <c r="CN469" s="114"/>
      <c r="CS469" s="114"/>
      <c r="CT469" s="114"/>
      <c r="CX469" s="483"/>
      <c r="CY469" s="114"/>
      <c r="CZ469" s="114"/>
      <c r="DA469" s="114"/>
      <c r="DB469" s="483"/>
      <c r="DC469" s="114"/>
      <c r="DD469" s="114"/>
      <c r="DE469" s="114"/>
      <c r="DH469" s="114"/>
      <c r="DI469" s="114"/>
      <c r="DJ469" s="114"/>
      <c r="DK469" s="114"/>
      <c r="DL469" s="114"/>
      <c r="DM469" s="114"/>
      <c r="DN469" s="114"/>
      <c r="DO469" s="114"/>
      <c r="DP469" s="114"/>
      <c r="DQ469" s="114"/>
      <c r="DR469" s="114"/>
      <c r="DS469" s="114"/>
      <c r="DT469" s="114"/>
      <c r="DU469" s="114"/>
      <c r="DV469" s="114"/>
      <c r="DW469" s="114"/>
    </row>
    <row r="470" spans="18:127" x14ac:dyDescent="0.25">
      <c r="R470" s="114"/>
      <c r="W470" s="483"/>
      <c r="AE470" s="124"/>
      <c r="BS470" s="114"/>
      <c r="BT470" s="114"/>
      <c r="BZ470" s="114"/>
      <c r="CA470" s="114"/>
      <c r="CF470" s="114"/>
      <c r="CG470" s="114"/>
      <c r="CM470" s="114"/>
      <c r="CN470" s="114"/>
      <c r="CS470" s="114"/>
      <c r="CT470" s="114"/>
      <c r="CX470" s="483"/>
      <c r="CY470" s="114"/>
      <c r="CZ470" s="114"/>
      <c r="DA470" s="114"/>
      <c r="DB470" s="483"/>
      <c r="DC470" s="114"/>
      <c r="DD470" s="114"/>
      <c r="DE470" s="114"/>
      <c r="DH470" s="114"/>
      <c r="DI470" s="114"/>
      <c r="DJ470" s="114"/>
      <c r="DK470" s="114"/>
      <c r="DL470" s="114"/>
      <c r="DM470" s="114"/>
      <c r="DN470" s="114"/>
      <c r="DO470" s="114"/>
      <c r="DP470" s="114"/>
      <c r="DQ470" s="114"/>
      <c r="DR470" s="114"/>
      <c r="DS470" s="114"/>
      <c r="DT470" s="114"/>
      <c r="DU470" s="114"/>
      <c r="DV470" s="114"/>
      <c r="DW470" s="114"/>
    </row>
    <row r="471" spans="18:127" x14ac:dyDescent="0.25">
      <c r="R471" s="114"/>
      <c r="W471" s="483"/>
      <c r="AE471" s="124"/>
      <c r="BS471" s="114"/>
      <c r="BT471" s="114"/>
      <c r="BZ471" s="114"/>
      <c r="CA471" s="114"/>
      <c r="CF471" s="114"/>
      <c r="CG471" s="114"/>
      <c r="CM471" s="114"/>
      <c r="CN471" s="114"/>
      <c r="CS471" s="114"/>
      <c r="CT471" s="114"/>
      <c r="CX471" s="483"/>
      <c r="CY471" s="114"/>
      <c r="CZ471" s="114"/>
      <c r="DA471" s="114"/>
      <c r="DB471" s="483"/>
      <c r="DC471" s="114"/>
      <c r="DD471" s="114"/>
      <c r="DE471" s="114"/>
      <c r="DH471" s="114"/>
      <c r="DI471" s="114"/>
      <c r="DJ471" s="114"/>
      <c r="DK471" s="114"/>
      <c r="DL471" s="114"/>
      <c r="DM471" s="114"/>
      <c r="DN471" s="114"/>
      <c r="DO471" s="114"/>
      <c r="DP471" s="114"/>
      <c r="DQ471" s="114"/>
      <c r="DR471" s="114"/>
      <c r="DS471" s="114"/>
      <c r="DT471" s="114"/>
      <c r="DU471" s="114"/>
      <c r="DV471" s="114"/>
      <c r="DW471" s="114"/>
    </row>
    <row r="472" spans="18:127" x14ac:dyDescent="0.25">
      <c r="R472" s="114"/>
      <c r="W472" s="483"/>
      <c r="AE472" s="124"/>
      <c r="BS472" s="114"/>
      <c r="BT472" s="114"/>
      <c r="BZ472" s="114"/>
      <c r="CA472" s="114"/>
      <c r="CF472" s="114"/>
      <c r="CG472" s="114"/>
      <c r="CM472" s="114"/>
      <c r="CN472" s="114"/>
      <c r="CS472" s="114"/>
      <c r="CT472" s="114"/>
      <c r="CX472" s="483"/>
      <c r="CY472" s="114"/>
      <c r="CZ472" s="114"/>
      <c r="DA472" s="114"/>
      <c r="DB472" s="483"/>
      <c r="DC472" s="114"/>
      <c r="DD472" s="114"/>
      <c r="DE472" s="114"/>
      <c r="DH472" s="114"/>
      <c r="DI472" s="114"/>
      <c r="DJ472" s="114"/>
      <c r="DK472" s="114"/>
      <c r="DL472" s="114"/>
      <c r="DM472" s="114"/>
      <c r="DN472" s="114"/>
      <c r="DO472" s="114"/>
      <c r="DP472" s="114"/>
      <c r="DQ472" s="114"/>
      <c r="DR472" s="114"/>
      <c r="DS472" s="114"/>
      <c r="DT472" s="114"/>
      <c r="DU472" s="114"/>
      <c r="DV472" s="114"/>
      <c r="DW472" s="114"/>
    </row>
    <row r="473" spans="18:127" x14ac:dyDescent="0.25">
      <c r="R473" s="114"/>
      <c r="W473" s="483"/>
      <c r="AE473" s="124"/>
      <c r="BS473" s="114"/>
      <c r="BT473" s="114"/>
      <c r="BZ473" s="114"/>
      <c r="CA473" s="114"/>
      <c r="CF473" s="114"/>
      <c r="CG473" s="114"/>
      <c r="CM473" s="114"/>
      <c r="CN473" s="114"/>
      <c r="CS473" s="114"/>
      <c r="CT473" s="114"/>
      <c r="CX473" s="483"/>
      <c r="CY473" s="114"/>
      <c r="CZ473" s="114"/>
      <c r="DA473" s="114"/>
      <c r="DB473" s="483"/>
      <c r="DC473" s="114"/>
      <c r="DD473" s="114"/>
      <c r="DE473" s="114"/>
      <c r="DH473" s="114"/>
      <c r="DI473" s="114"/>
      <c r="DJ473" s="114"/>
      <c r="DK473" s="114"/>
      <c r="DL473" s="114"/>
      <c r="DM473" s="114"/>
      <c r="DN473" s="114"/>
      <c r="DO473" s="114"/>
      <c r="DP473" s="114"/>
      <c r="DQ473" s="114"/>
      <c r="DR473" s="114"/>
      <c r="DS473" s="114"/>
      <c r="DT473" s="114"/>
      <c r="DU473" s="114"/>
      <c r="DV473" s="114"/>
      <c r="DW473" s="114"/>
    </row>
    <row r="474" spans="18:127" x14ac:dyDescent="0.25">
      <c r="R474" s="114"/>
      <c r="W474" s="483"/>
      <c r="AE474" s="124"/>
      <c r="BS474" s="114"/>
      <c r="BT474" s="114"/>
      <c r="BZ474" s="114"/>
      <c r="CA474" s="114"/>
      <c r="CF474" s="114"/>
      <c r="CG474" s="114"/>
      <c r="CM474" s="114"/>
      <c r="CN474" s="114"/>
      <c r="CS474" s="114"/>
      <c r="CT474" s="114"/>
      <c r="CX474" s="483"/>
      <c r="CY474" s="114"/>
      <c r="CZ474" s="114"/>
      <c r="DA474" s="114"/>
      <c r="DB474" s="483"/>
      <c r="DC474" s="114"/>
      <c r="DD474" s="114"/>
      <c r="DE474" s="114"/>
      <c r="DH474" s="114"/>
      <c r="DI474" s="114"/>
      <c r="DJ474" s="114"/>
      <c r="DK474" s="114"/>
      <c r="DL474" s="114"/>
      <c r="DM474" s="114"/>
      <c r="DN474" s="114"/>
      <c r="DO474" s="114"/>
      <c r="DP474" s="114"/>
      <c r="DQ474" s="114"/>
      <c r="DR474" s="114"/>
      <c r="DS474" s="114"/>
      <c r="DT474" s="114"/>
      <c r="DU474" s="114"/>
      <c r="DV474" s="114"/>
      <c r="DW474" s="114"/>
    </row>
    <row r="475" spans="18:127" x14ac:dyDescent="0.25">
      <c r="R475" s="114"/>
      <c r="W475" s="483"/>
      <c r="AE475" s="124"/>
      <c r="BS475" s="114"/>
      <c r="BT475" s="114"/>
      <c r="BZ475" s="114"/>
      <c r="CA475" s="114"/>
      <c r="CF475" s="114"/>
      <c r="CG475" s="114"/>
      <c r="CM475" s="114"/>
      <c r="CN475" s="114"/>
      <c r="CS475" s="114"/>
      <c r="CT475" s="114"/>
      <c r="CX475" s="483"/>
      <c r="CY475" s="114"/>
      <c r="CZ475" s="114"/>
      <c r="DA475" s="114"/>
      <c r="DB475" s="483"/>
      <c r="DC475" s="114"/>
      <c r="DD475" s="114"/>
      <c r="DE475" s="114"/>
      <c r="DH475" s="114"/>
      <c r="DI475" s="114"/>
      <c r="DJ475" s="114"/>
      <c r="DK475" s="114"/>
      <c r="DL475" s="114"/>
      <c r="DM475" s="114"/>
      <c r="DN475" s="114"/>
      <c r="DO475" s="114"/>
      <c r="DP475" s="114"/>
      <c r="DQ475" s="114"/>
      <c r="DR475" s="114"/>
      <c r="DS475" s="114"/>
      <c r="DT475" s="114"/>
      <c r="DU475" s="114"/>
      <c r="DV475" s="114"/>
      <c r="DW475" s="114"/>
    </row>
    <row r="476" spans="18:127" x14ac:dyDescent="0.25">
      <c r="R476" s="114"/>
      <c r="W476" s="483"/>
      <c r="AE476" s="124"/>
      <c r="BS476" s="114"/>
      <c r="BT476" s="114"/>
      <c r="BZ476" s="114"/>
      <c r="CA476" s="114"/>
      <c r="CF476" s="114"/>
      <c r="CG476" s="114"/>
      <c r="CM476" s="114"/>
      <c r="CN476" s="114"/>
      <c r="CS476" s="114"/>
      <c r="CT476" s="114"/>
      <c r="CX476" s="483"/>
      <c r="CY476" s="114"/>
      <c r="CZ476" s="114"/>
      <c r="DA476" s="114"/>
      <c r="DB476" s="483"/>
      <c r="DC476" s="114"/>
      <c r="DD476" s="114"/>
      <c r="DE476" s="114"/>
      <c r="DH476" s="114"/>
      <c r="DI476" s="114"/>
      <c r="DJ476" s="114"/>
      <c r="DK476" s="114"/>
      <c r="DL476" s="114"/>
      <c r="DM476" s="114"/>
      <c r="DN476" s="114"/>
      <c r="DO476" s="114"/>
      <c r="DP476" s="114"/>
      <c r="DQ476" s="114"/>
      <c r="DR476" s="114"/>
      <c r="DS476" s="114"/>
      <c r="DT476" s="114"/>
      <c r="DU476" s="114"/>
      <c r="DV476" s="114"/>
      <c r="DW476" s="114"/>
    </row>
    <row r="477" spans="18:127" x14ac:dyDescent="0.25">
      <c r="R477" s="114"/>
      <c r="W477" s="483"/>
      <c r="AE477" s="124"/>
      <c r="BS477" s="114"/>
      <c r="BT477" s="114"/>
      <c r="BZ477" s="114"/>
      <c r="CA477" s="114"/>
      <c r="CF477" s="114"/>
      <c r="CG477" s="114"/>
      <c r="CM477" s="114"/>
      <c r="CN477" s="114"/>
      <c r="CS477" s="114"/>
      <c r="CT477" s="114"/>
      <c r="CX477" s="483"/>
      <c r="CY477" s="114"/>
      <c r="CZ477" s="114"/>
      <c r="DA477" s="114"/>
      <c r="DB477" s="483"/>
      <c r="DC477" s="114"/>
      <c r="DD477" s="114"/>
      <c r="DE477" s="114"/>
      <c r="DH477" s="114"/>
      <c r="DI477" s="114"/>
      <c r="DJ477" s="114"/>
      <c r="DK477" s="114"/>
      <c r="DL477" s="114"/>
      <c r="DM477" s="114"/>
      <c r="DN477" s="114"/>
      <c r="DO477" s="114"/>
      <c r="DP477" s="114"/>
      <c r="DQ477" s="114"/>
      <c r="DR477" s="114"/>
      <c r="DS477" s="114"/>
      <c r="DT477" s="114"/>
      <c r="DU477" s="114"/>
      <c r="DV477" s="114"/>
      <c r="DW477" s="114"/>
    </row>
    <row r="478" spans="18:127" x14ac:dyDescent="0.25">
      <c r="R478" s="114"/>
      <c r="W478" s="483"/>
      <c r="AE478" s="124"/>
      <c r="BS478" s="114"/>
      <c r="BT478" s="114"/>
      <c r="BZ478" s="114"/>
      <c r="CA478" s="114"/>
      <c r="CF478" s="114"/>
      <c r="CG478" s="114"/>
      <c r="CM478" s="114"/>
      <c r="CN478" s="114"/>
      <c r="CS478" s="114"/>
      <c r="CT478" s="114"/>
      <c r="CX478" s="483"/>
      <c r="CY478" s="114"/>
      <c r="CZ478" s="114"/>
      <c r="DA478" s="114"/>
      <c r="DB478" s="483"/>
      <c r="DC478" s="114"/>
      <c r="DD478" s="114"/>
      <c r="DE478" s="114"/>
      <c r="DH478" s="114"/>
      <c r="DI478" s="114"/>
      <c r="DJ478" s="114"/>
      <c r="DK478" s="114"/>
      <c r="DL478" s="114"/>
      <c r="DM478" s="114"/>
      <c r="DN478" s="114"/>
      <c r="DO478" s="114"/>
      <c r="DP478" s="114"/>
      <c r="DQ478" s="114"/>
      <c r="DR478" s="114"/>
      <c r="DS478" s="114"/>
      <c r="DT478" s="114"/>
      <c r="DU478" s="114"/>
      <c r="DV478" s="114"/>
      <c r="DW478" s="114"/>
    </row>
    <row r="479" spans="18:127" x14ac:dyDescent="0.25">
      <c r="R479" s="114"/>
      <c r="W479" s="483"/>
      <c r="AE479" s="124"/>
      <c r="BS479" s="114"/>
      <c r="BT479" s="114"/>
      <c r="BZ479" s="114"/>
      <c r="CA479" s="114"/>
      <c r="CF479" s="114"/>
      <c r="CG479" s="114"/>
      <c r="CM479" s="114"/>
      <c r="CN479" s="114"/>
      <c r="CS479" s="114"/>
      <c r="CT479" s="114"/>
      <c r="CX479" s="483"/>
      <c r="CY479" s="114"/>
      <c r="CZ479" s="114"/>
      <c r="DA479" s="114"/>
      <c r="DB479" s="483"/>
      <c r="DC479" s="114"/>
      <c r="DD479" s="114"/>
      <c r="DE479" s="114"/>
      <c r="DH479" s="114"/>
      <c r="DI479" s="114"/>
      <c r="DJ479" s="114"/>
      <c r="DK479" s="114"/>
      <c r="DL479" s="114"/>
      <c r="DM479" s="114"/>
      <c r="DN479" s="114"/>
      <c r="DO479" s="114"/>
      <c r="DP479" s="114"/>
      <c r="DQ479" s="114"/>
      <c r="DR479" s="114"/>
      <c r="DS479" s="114"/>
      <c r="DT479" s="114"/>
      <c r="DU479" s="114"/>
      <c r="DV479" s="114"/>
      <c r="DW479" s="114"/>
    </row>
    <row r="480" spans="18:127" x14ac:dyDescent="0.25">
      <c r="R480" s="114"/>
      <c r="W480" s="483"/>
      <c r="AE480" s="124"/>
      <c r="BS480" s="114"/>
      <c r="BT480" s="114"/>
      <c r="BZ480" s="114"/>
      <c r="CA480" s="114"/>
      <c r="CF480" s="114"/>
      <c r="CG480" s="114"/>
      <c r="CM480" s="114"/>
      <c r="CN480" s="114"/>
      <c r="CS480" s="114"/>
      <c r="CT480" s="114"/>
      <c r="CX480" s="483"/>
      <c r="CY480" s="114"/>
      <c r="CZ480" s="114"/>
      <c r="DA480" s="114"/>
      <c r="DB480" s="483"/>
      <c r="DC480" s="114"/>
      <c r="DD480" s="114"/>
      <c r="DE480" s="114"/>
      <c r="DH480" s="114"/>
      <c r="DI480" s="114"/>
      <c r="DJ480" s="114"/>
      <c r="DK480" s="114"/>
      <c r="DL480" s="114"/>
      <c r="DM480" s="114"/>
      <c r="DN480" s="114"/>
      <c r="DO480" s="114"/>
      <c r="DP480" s="114"/>
      <c r="DQ480" s="114"/>
      <c r="DR480" s="114"/>
      <c r="DS480" s="114"/>
      <c r="DT480" s="114"/>
      <c r="DU480" s="114"/>
      <c r="DV480" s="114"/>
      <c r="DW480" s="114"/>
    </row>
    <row r="481" spans="18:127" x14ac:dyDescent="0.25">
      <c r="R481" s="114"/>
      <c r="W481" s="483"/>
      <c r="AE481" s="124"/>
      <c r="BS481" s="114"/>
      <c r="BT481" s="114"/>
      <c r="BZ481" s="114"/>
      <c r="CA481" s="114"/>
      <c r="CF481" s="114"/>
      <c r="CG481" s="114"/>
      <c r="CM481" s="114"/>
      <c r="CN481" s="114"/>
      <c r="CS481" s="114"/>
      <c r="CT481" s="114"/>
      <c r="CX481" s="483"/>
      <c r="CY481" s="114"/>
      <c r="CZ481" s="114"/>
      <c r="DA481" s="114"/>
      <c r="DB481" s="483"/>
      <c r="DC481" s="114"/>
      <c r="DD481" s="114"/>
      <c r="DE481" s="114"/>
      <c r="DH481" s="114"/>
      <c r="DI481" s="114"/>
      <c r="DJ481" s="114"/>
      <c r="DK481" s="114"/>
      <c r="DL481" s="114"/>
      <c r="DM481" s="114"/>
      <c r="DN481" s="114"/>
      <c r="DO481" s="114"/>
      <c r="DP481" s="114"/>
      <c r="DQ481" s="114"/>
      <c r="DR481" s="114"/>
      <c r="DS481" s="114"/>
      <c r="DT481" s="114"/>
      <c r="DU481" s="114"/>
      <c r="DV481" s="114"/>
      <c r="DW481" s="114"/>
    </row>
    <row r="482" spans="18:127" x14ac:dyDescent="0.25">
      <c r="R482" s="114"/>
      <c r="W482" s="483"/>
      <c r="AE482" s="124"/>
      <c r="BS482" s="114"/>
      <c r="BT482" s="114"/>
      <c r="BZ482" s="114"/>
      <c r="CA482" s="114"/>
      <c r="CF482" s="114"/>
      <c r="CG482" s="114"/>
      <c r="CM482" s="114"/>
      <c r="CN482" s="114"/>
      <c r="CS482" s="114"/>
      <c r="CT482" s="114"/>
      <c r="CX482" s="483"/>
      <c r="CY482" s="114"/>
      <c r="CZ482" s="114"/>
      <c r="DA482" s="114"/>
      <c r="DB482" s="483"/>
      <c r="DC482" s="114"/>
      <c r="DD482" s="114"/>
      <c r="DE482" s="114"/>
      <c r="DH482" s="114"/>
      <c r="DI482" s="114"/>
      <c r="DJ482" s="114"/>
      <c r="DK482" s="114"/>
      <c r="DL482" s="114"/>
      <c r="DM482" s="114"/>
      <c r="DN482" s="114"/>
      <c r="DO482" s="114"/>
      <c r="DP482" s="114"/>
      <c r="DQ482" s="114"/>
      <c r="DR482" s="114"/>
      <c r="DS482" s="114"/>
      <c r="DT482" s="114"/>
      <c r="DU482" s="114"/>
      <c r="DV482" s="114"/>
      <c r="DW482" s="114"/>
    </row>
    <row r="483" spans="18:127" x14ac:dyDescent="0.25">
      <c r="R483" s="114"/>
      <c r="W483" s="483"/>
      <c r="AE483" s="124"/>
      <c r="BS483" s="114"/>
      <c r="BT483" s="114"/>
      <c r="BZ483" s="114"/>
      <c r="CA483" s="114"/>
      <c r="CF483" s="114"/>
      <c r="CG483" s="114"/>
      <c r="CM483" s="114"/>
      <c r="CN483" s="114"/>
      <c r="CS483" s="114"/>
      <c r="CT483" s="114"/>
      <c r="CX483" s="483"/>
      <c r="CY483" s="114"/>
      <c r="CZ483" s="114"/>
      <c r="DA483" s="114"/>
      <c r="DB483" s="483"/>
      <c r="DC483" s="114"/>
      <c r="DD483" s="114"/>
      <c r="DE483" s="114"/>
      <c r="DH483" s="114"/>
      <c r="DI483" s="114"/>
      <c r="DJ483" s="114"/>
      <c r="DK483" s="114"/>
      <c r="DL483" s="114"/>
      <c r="DM483" s="114"/>
      <c r="DN483" s="114"/>
      <c r="DO483" s="114"/>
      <c r="DP483" s="114"/>
      <c r="DQ483" s="114"/>
      <c r="DR483" s="114"/>
      <c r="DS483" s="114"/>
      <c r="DT483" s="114"/>
      <c r="DU483" s="114"/>
      <c r="DV483" s="114"/>
      <c r="DW483" s="114"/>
    </row>
    <row r="484" spans="18:127" x14ac:dyDescent="0.25">
      <c r="R484" s="114"/>
      <c r="W484" s="483"/>
      <c r="AE484" s="124"/>
      <c r="BS484" s="114"/>
      <c r="BT484" s="114"/>
      <c r="BZ484" s="114"/>
      <c r="CA484" s="114"/>
      <c r="CF484" s="114"/>
      <c r="CG484" s="114"/>
      <c r="CM484" s="114"/>
      <c r="CN484" s="114"/>
      <c r="CS484" s="114"/>
      <c r="CT484" s="114"/>
      <c r="CX484" s="483"/>
      <c r="CY484" s="114"/>
      <c r="CZ484" s="114"/>
      <c r="DA484" s="114"/>
      <c r="DB484" s="483"/>
      <c r="DC484" s="114"/>
      <c r="DD484" s="114"/>
      <c r="DE484" s="114"/>
      <c r="DH484" s="114"/>
      <c r="DI484" s="114"/>
      <c r="DJ484" s="114"/>
      <c r="DK484" s="114"/>
      <c r="DL484" s="114"/>
      <c r="DM484" s="114"/>
      <c r="DN484" s="114"/>
      <c r="DO484" s="114"/>
      <c r="DP484" s="114"/>
      <c r="DQ484" s="114"/>
      <c r="DR484" s="114"/>
      <c r="DS484" s="114"/>
      <c r="DT484" s="114"/>
      <c r="DU484" s="114"/>
      <c r="DV484" s="114"/>
      <c r="DW484" s="114"/>
    </row>
    <row r="485" spans="18:127" x14ac:dyDescent="0.25">
      <c r="R485" s="114"/>
      <c r="W485" s="483"/>
      <c r="AE485" s="124"/>
      <c r="BS485" s="114"/>
      <c r="BT485" s="114"/>
      <c r="BZ485" s="114"/>
      <c r="CA485" s="114"/>
      <c r="CF485" s="114"/>
      <c r="CG485" s="114"/>
      <c r="CM485" s="114"/>
      <c r="CN485" s="114"/>
      <c r="CS485" s="114"/>
      <c r="CT485" s="114"/>
      <c r="CX485" s="483"/>
      <c r="CY485" s="114"/>
      <c r="CZ485" s="114"/>
      <c r="DA485" s="114"/>
      <c r="DB485" s="483"/>
      <c r="DC485" s="114"/>
      <c r="DD485" s="114"/>
      <c r="DE485" s="114"/>
      <c r="DH485" s="114"/>
      <c r="DI485" s="114"/>
      <c r="DJ485" s="114"/>
      <c r="DK485" s="114"/>
      <c r="DL485" s="114"/>
      <c r="DM485" s="114"/>
      <c r="DN485" s="114"/>
      <c r="DO485" s="114"/>
      <c r="DP485" s="114"/>
      <c r="DQ485" s="114"/>
      <c r="DR485" s="114"/>
      <c r="DS485" s="114"/>
      <c r="DT485" s="114"/>
      <c r="DU485" s="114"/>
      <c r="DV485" s="114"/>
      <c r="DW485" s="114"/>
    </row>
    <row r="486" spans="18:127" x14ac:dyDescent="0.25">
      <c r="R486" s="114"/>
      <c r="W486" s="483"/>
      <c r="AE486" s="124"/>
      <c r="BS486" s="114"/>
      <c r="BT486" s="114"/>
      <c r="BZ486" s="114"/>
      <c r="CA486" s="114"/>
      <c r="CF486" s="114"/>
      <c r="CG486" s="114"/>
      <c r="CM486" s="114"/>
      <c r="CN486" s="114"/>
      <c r="CS486" s="114"/>
      <c r="CT486" s="114"/>
      <c r="CX486" s="483"/>
      <c r="CY486" s="114"/>
      <c r="CZ486" s="114"/>
      <c r="DA486" s="114"/>
      <c r="DB486" s="483"/>
      <c r="DC486" s="114"/>
      <c r="DD486" s="114"/>
      <c r="DE486" s="114"/>
      <c r="DH486" s="114"/>
      <c r="DI486" s="114"/>
      <c r="DJ486" s="114"/>
      <c r="DK486" s="114"/>
      <c r="DL486" s="114"/>
      <c r="DM486" s="114"/>
      <c r="DN486" s="114"/>
      <c r="DO486" s="114"/>
      <c r="DP486" s="114"/>
      <c r="DQ486" s="114"/>
      <c r="DR486" s="114"/>
      <c r="DS486" s="114"/>
      <c r="DT486" s="114"/>
      <c r="DU486" s="114"/>
      <c r="DV486" s="114"/>
      <c r="DW486" s="114"/>
    </row>
    <row r="487" spans="18:127" x14ac:dyDescent="0.25">
      <c r="R487" s="114"/>
      <c r="W487" s="483"/>
      <c r="AE487" s="124"/>
      <c r="BS487" s="114"/>
      <c r="BT487" s="114"/>
      <c r="BZ487" s="114"/>
      <c r="CA487" s="114"/>
      <c r="CF487" s="114"/>
      <c r="CG487" s="114"/>
      <c r="CM487" s="114"/>
      <c r="CN487" s="114"/>
      <c r="CS487" s="114"/>
      <c r="CT487" s="114"/>
      <c r="CX487" s="483"/>
      <c r="CY487" s="114"/>
      <c r="CZ487" s="114"/>
      <c r="DA487" s="114"/>
      <c r="DB487" s="483"/>
      <c r="DC487" s="114"/>
      <c r="DD487" s="114"/>
      <c r="DE487" s="114"/>
      <c r="DH487" s="114"/>
      <c r="DI487" s="114"/>
      <c r="DJ487" s="114"/>
      <c r="DK487" s="114"/>
      <c r="DL487" s="114"/>
      <c r="DM487" s="114"/>
      <c r="DN487" s="114"/>
      <c r="DO487" s="114"/>
      <c r="DP487" s="114"/>
      <c r="DQ487" s="114"/>
      <c r="DR487" s="114"/>
      <c r="DS487" s="114"/>
      <c r="DT487" s="114"/>
      <c r="DU487" s="114"/>
      <c r="DV487" s="114"/>
      <c r="DW487" s="114"/>
    </row>
    <row r="488" spans="18:127" x14ac:dyDescent="0.25">
      <c r="R488" s="114"/>
      <c r="W488" s="483"/>
      <c r="AE488" s="124"/>
      <c r="BS488" s="114"/>
      <c r="BT488" s="114"/>
      <c r="BZ488" s="114"/>
      <c r="CA488" s="114"/>
      <c r="CF488" s="114"/>
      <c r="CG488" s="114"/>
      <c r="CM488" s="114"/>
      <c r="CN488" s="114"/>
      <c r="CS488" s="114"/>
      <c r="CT488" s="114"/>
      <c r="CX488" s="483"/>
      <c r="CY488" s="114"/>
      <c r="CZ488" s="114"/>
      <c r="DA488" s="114"/>
      <c r="DB488" s="483"/>
      <c r="DC488" s="114"/>
      <c r="DD488" s="114"/>
      <c r="DE488" s="114"/>
      <c r="DH488" s="114"/>
      <c r="DI488" s="114"/>
      <c r="DJ488" s="114"/>
      <c r="DK488" s="114"/>
      <c r="DL488" s="114"/>
      <c r="DM488" s="114"/>
      <c r="DN488" s="114"/>
      <c r="DO488" s="114"/>
      <c r="DP488" s="114"/>
      <c r="DQ488" s="114"/>
      <c r="DR488" s="114"/>
      <c r="DS488" s="114"/>
      <c r="DT488" s="114"/>
      <c r="DU488" s="114"/>
      <c r="DV488" s="114"/>
      <c r="DW488" s="114"/>
    </row>
    <row r="489" spans="18:127" x14ac:dyDescent="0.25">
      <c r="R489" s="114"/>
      <c r="W489" s="483"/>
      <c r="AE489" s="124"/>
      <c r="BS489" s="114"/>
      <c r="BT489" s="114"/>
      <c r="BZ489" s="114"/>
      <c r="CA489" s="114"/>
      <c r="CF489" s="114"/>
      <c r="CG489" s="114"/>
      <c r="CM489" s="114"/>
      <c r="CN489" s="114"/>
      <c r="CS489" s="114"/>
      <c r="CT489" s="114"/>
      <c r="CX489" s="483"/>
      <c r="CY489" s="114"/>
      <c r="CZ489" s="114"/>
      <c r="DA489" s="114"/>
      <c r="DB489" s="483"/>
      <c r="DC489" s="114"/>
      <c r="DD489" s="114"/>
      <c r="DE489" s="114"/>
      <c r="DH489" s="114"/>
      <c r="DI489" s="114"/>
      <c r="DJ489" s="114"/>
      <c r="DK489" s="114"/>
      <c r="DL489" s="114"/>
      <c r="DM489" s="114"/>
      <c r="DN489" s="114"/>
      <c r="DO489" s="114"/>
      <c r="DP489" s="114"/>
      <c r="DQ489" s="114"/>
      <c r="DR489" s="114"/>
      <c r="DS489" s="114"/>
      <c r="DT489" s="114"/>
      <c r="DU489" s="114"/>
      <c r="DV489" s="114"/>
      <c r="DW489" s="114"/>
    </row>
    <row r="490" spans="18:127" x14ac:dyDescent="0.25">
      <c r="R490" s="114"/>
      <c r="W490" s="483"/>
      <c r="AE490" s="124"/>
      <c r="BS490" s="114"/>
      <c r="BT490" s="114"/>
      <c r="BZ490" s="114"/>
      <c r="CA490" s="114"/>
      <c r="CF490" s="114"/>
      <c r="CG490" s="114"/>
      <c r="CM490" s="114"/>
      <c r="CN490" s="114"/>
      <c r="CS490" s="114"/>
      <c r="CT490" s="114"/>
      <c r="CX490" s="483"/>
      <c r="CY490" s="114"/>
      <c r="CZ490" s="114"/>
      <c r="DA490" s="114"/>
      <c r="DB490" s="483"/>
      <c r="DC490" s="114"/>
      <c r="DD490" s="114"/>
      <c r="DE490" s="114"/>
      <c r="DH490" s="114"/>
      <c r="DI490" s="114"/>
      <c r="DJ490" s="114"/>
      <c r="DK490" s="114"/>
      <c r="DL490" s="114"/>
      <c r="DM490" s="114"/>
      <c r="DN490" s="114"/>
      <c r="DO490" s="114"/>
      <c r="DP490" s="114"/>
      <c r="DQ490" s="114"/>
      <c r="DR490" s="114"/>
      <c r="DS490" s="114"/>
      <c r="DT490" s="114"/>
      <c r="DU490" s="114"/>
      <c r="DV490" s="114"/>
      <c r="DW490" s="114"/>
    </row>
    <row r="491" spans="18:127" x14ac:dyDescent="0.25">
      <c r="R491" s="114"/>
      <c r="W491" s="483"/>
      <c r="AE491" s="124"/>
      <c r="BS491" s="114"/>
      <c r="BT491" s="114"/>
      <c r="BZ491" s="114"/>
      <c r="CA491" s="114"/>
      <c r="CF491" s="114"/>
      <c r="CG491" s="114"/>
      <c r="CM491" s="114"/>
      <c r="CN491" s="114"/>
      <c r="CS491" s="114"/>
      <c r="CT491" s="114"/>
      <c r="CX491" s="483"/>
      <c r="CY491" s="114"/>
      <c r="CZ491" s="114"/>
      <c r="DA491" s="114"/>
      <c r="DB491" s="483"/>
      <c r="DC491" s="114"/>
      <c r="DD491" s="114"/>
      <c r="DE491" s="114"/>
      <c r="DH491" s="114"/>
      <c r="DI491" s="114"/>
      <c r="DJ491" s="114"/>
      <c r="DK491" s="114"/>
      <c r="DL491" s="114"/>
      <c r="DM491" s="114"/>
      <c r="DN491" s="114"/>
      <c r="DO491" s="114"/>
      <c r="DP491" s="114"/>
      <c r="DQ491" s="114"/>
      <c r="DR491" s="114"/>
      <c r="DS491" s="114"/>
      <c r="DT491" s="114"/>
      <c r="DU491" s="114"/>
      <c r="DV491" s="114"/>
      <c r="DW491" s="114"/>
    </row>
    <row r="492" spans="18:127" x14ac:dyDescent="0.25">
      <c r="R492" s="114"/>
      <c r="W492" s="483"/>
      <c r="AE492" s="124"/>
      <c r="BS492" s="114"/>
      <c r="BT492" s="114"/>
      <c r="BZ492" s="114"/>
      <c r="CA492" s="114"/>
      <c r="CF492" s="114"/>
      <c r="CG492" s="114"/>
      <c r="CM492" s="114"/>
      <c r="CN492" s="114"/>
      <c r="CS492" s="114"/>
      <c r="CT492" s="114"/>
      <c r="CX492" s="483"/>
      <c r="CY492" s="114"/>
      <c r="CZ492" s="114"/>
      <c r="DA492" s="114"/>
      <c r="DB492" s="483"/>
      <c r="DC492" s="114"/>
      <c r="DD492" s="114"/>
      <c r="DE492" s="114"/>
      <c r="DH492" s="114"/>
      <c r="DI492" s="114"/>
      <c r="DJ492" s="114"/>
      <c r="DK492" s="114"/>
      <c r="DL492" s="114"/>
      <c r="DM492" s="114"/>
      <c r="DN492" s="114"/>
      <c r="DO492" s="114"/>
      <c r="DP492" s="114"/>
      <c r="DQ492" s="114"/>
      <c r="DR492" s="114"/>
      <c r="DS492" s="114"/>
      <c r="DT492" s="114"/>
      <c r="DU492" s="114"/>
      <c r="DV492" s="114"/>
      <c r="DW492" s="114"/>
    </row>
    <row r="493" spans="18:127" x14ac:dyDescent="0.25">
      <c r="R493" s="114"/>
      <c r="W493" s="483"/>
      <c r="AE493" s="124"/>
      <c r="BS493" s="114"/>
      <c r="BT493" s="114"/>
      <c r="BZ493" s="114"/>
      <c r="CA493" s="114"/>
      <c r="CF493" s="114"/>
      <c r="CG493" s="114"/>
      <c r="CM493" s="114"/>
      <c r="CN493" s="114"/>
      <c r="CS493" s="114"/>
      <c r="CT493" s="114"/>
      <c r="CX493" s="483"/>
      <c r="CY493" s="114"/>
      <c r="CZ493" s="114"/>
      <c r="DA493" s="114"/>
      <c r="DB493" s="483"/>
      <c r="DC493" s="114"/>
      <c r="DD493" s="114"/>
      <c r="DE493" s="114"/>
      <c r="DH493" s="114"/>
      <c r="DI493" s="114"/>
      <c r="DJ493" s="114"/>
      <c r="DK493" s="114"/>
      <c r="DL493" s="114"/>
      <c r="DM493" s="114"/>
      <c r="DN493" s="114"/>
      <c r="DO493" s="114"/>
      <c r="DP493" s="114"/>
      <c r="DQ493" s="114"/>
      <c r="DR493" s="114"/>
      <c r="DS493" s="114"/>
      <c r="DT493" s="114"/>
      <c r="DU493" s="114"/>
      <c r="DV493" s="114"/>
      <c r="DW493" s="114"/>
    </row>
    <row r="494" spans="18:127" x14ac:dyDescent="0.25">
      <c r="R494" s="114"/>
      <c r="W494" s="483"/>
      <c r="AE494" s="124"/>
      <c r="BS494" s="114"/>
      <c r="BT494" s="114"/>
      <c r="BZ494" s="114"/>
      <c r="CA494" s="114"/>
      <c r="CF494" s="114"/>
      <c r="CG494" s="114"/>
      <c r="CM494" s="114"/>
      <c r="CN494" s="114"/>
      <c r="CS494" s="114"/>
      <c r="CT494" s="114"/>
      <c r="CX494" s="483"/>
      <c r="CY494" s="114"/>
      <c r="CZ494" s="114"/>
      <c r="DA494" s="114"/>
      <c r="DB494" s="483"/>
      <c r="DC494" s="114"/>
      <c r="DD494" s="114"/>
      <c r="DE494" s="114"/>
      <c r="DH494" s="114"/>
      <c r="DI494" s="114"/>
      <c r="DJ494" s="114"/>
      <c r="DK494" s="114"/>
      <c r="DL494" s="114"/>
      <c r="DM494" s="114"/>
      <c r="DN494" s="114"/>
      <c r="DO494" s="114"/>
      <c r="DP494" s="114"/>
      <c r="DQ494" s="114"/>
      <c r="DR494" s="114"/>
      <c r="DS494" s="114"/>
      <c r="DT494" s="114"/>
      <c r="DU494" s="114"/>
      <c r="DV494" s="114"/>
      <c r="DW494" s="114"/>
    </row>
    <row r="495" spans="18:127" x14ac:dyDescent="0.25">
      <c r="R495" s="114"/>
      <c r="W495" s="483"/>
      <c r="AE495" s="124"/>
      <c r="BS495" s="114"/>
      <c r="BT495" s="114"/>
      <c r="BZ495" s="114"/>
      <c r="CA495" s="114"/>
      <c r="CF495" s="114"/>
      <c r="CG495" s="114"/>
      <c r="CM495" s="114"/>
      <c r="CN495" s="114"/>
      <c r="CS495" s="114"/>
      <c r="CT495" s="114"/>
      <c r="CX495" s="483"/>
      <c r="CY495" s="114"/>
      <c r="CZ495" s="114"/>
      <c r="DA495" s="114"/>
      <c r="DB495" s="483"/>
      <c r="DC495" s="114"/>
      <c r="DD495" s="114"/>
      <c r="DE495" s="114"/>
      <c r="DH495" s="114"/>
      <c r="DI495" s="114"/>
      <c r="DJ495" s="114"/>
      <c r="DK495" s="114"/>
      <c r="DL495" s="114"/>
      <c r="DM495" s="114"/>
      <c r="DN495" s="114"/>
      <c r="DO495" s="114"/>
      <c r="DP495" s="114"/>
      <c r="DQ495" s="114"/>
      <c r="DR495" s="114"/>
      <c r="DS495" s="114"/>
      <c r="DT495" s="114"/>
      <c r="DU495" s="114"/>
      <c r="DV495" s="114"/>
      <c r="DW495" s="114"/>
    </row>
    <row r="496" spans="18:127" x14ac:dyDescent="0.25">
      <c r="R496" s="114"/>
      <c r="W496" s="483"/>
      <c r="AE496" s="124"/>
      <c r="BS496" s="114"/>
      <c r="BT496" s="114"/>
      <c r="BZ496" s="114"/>
      <c r="CA496" s="114"/>
      <c r="CF496" s="114"/>
      <c r="CG496" s="114"/>
      <c r="CM496" s="114"/>
      <c r="CN496" s="114"/>
      <c r="CS496" s="114"/>
      <c r="CT496" s="114"/>
      <c r="CX496" s="483"/>
      <c r="CY496" s="114"/>
      <c r="CZ496" s="114"/>
      <c r="DA496" s="114"/>
      <c r="DB496" s="483"/>
      <c r="DC496" s="114"/>
      <c r="DD496" s="114"/>
      <c r="DE496" s="114"/>
      <c r="DH496" s="114"/>
      <c r="DI496" s="114"/>
      <c r="DJ496" s="114"/>
      <c r="DK496" s="114"/>
      <c r="DL496" s="114"/>
      <c r="DM496" s="114"/>
      <c r="DN496" s="114"/>
      <c r="DO496" s="114"/>
      <c r="DP496" s="114"/>
      <c r="DQ496" s="114"/>
      <c r="DR496" s="114"/>
      <c r="DS496" s="114"/>
      <c r="DT496" s="114"/>
      <c r="DU496" s="114"/>
      <c r="DV496" s="114"/>
      <c r="DW496" s="114"/>
    </row>
    <row r="497" spans="18:127" x14ac:dyDescent="0.25">
      <c r="R497" s="114"/>
      <c r="W497" s="483"/>
      <c r="AE497" s="124"/>
      <c r="BS497" s="114"/>
      <c r="BT497" s="114"/>
      <c r="BZ497" s="114"/>
      <c r="CA497" s="114"/>
      <c r="CF497" s="114"/>
      <c r="CG497" s="114"/>
      <c r="CM497" s="114"/>
      <c r="CN497" s="114"/>
      <c r="CS497" s="114"/>
      <c r="CT497" s="114"/>
      <c r="CX497" s="483"/>
      <c r="CY497" s="114"/>
      <c r="CZ497" s="114"/>
      <c r="DA497" s="114"/>
      <c r="DB497" s="483"/>
      <c r="DC497" s="114"/>
      <c r="DD497" s="114"/>
      <c r="DE497" s="114"/>
      <c r="DH497" s="114"/>
      <c r="DI497" s="114"/>
      <c r="DJ497" s="114"/>
      <c r="DK497" s="114"/>
      <c r="DL497" s="114"/>
      <c r="DM497" s="114"/>
      <c r="DN497" s="114"/>
      <c r="DO497" s="114"/>
      <c r="DP497" s="114"/>
      <c r="DQ497" s="114"/>
      <c r="DR497" s="114"/>
      <c r="DS497" s="114"/>
      <c r="DT497" s="114"/>
      <c r="DU497" s="114"/>
      <c r="DV497" s="114"/>
      <c r="DW497" s="114"/>
    </row>
    <row r="498" spans="18:127" x14ac:dyDescent="0.25">
      <c r="R498" s="114"/>
      <c r="W498" s="483"/>
      <c r="AE498" s="124"/>
      <c r="BS498" s="114"/>
      <c r="BT498" s="114"/>
      <c r="BZ498" s="114"/>
      <c r="CA498" s="114"/>
      <c r="CF498" s="114"/>
      <c r="CG498" s="114"/>
      <c r="CM498" s="114"/>
      <c r="CN498" s="114"/>
      <c r="CS498" s="114"/>
      <c r="CT498" s="114"/>
      <c r="CX498" s="483"/>
      <c r="CY498" s="114"/>
      <c r="CZ498" s="114"/>
      <c r="DA498" s="114"/>
      <c r="DB498" s="483"/>
      <c r="DC498" s="114"/>
      <c r="DD498" s="114"/>
      <c r="DE498" s="114"/>
      <c r="DH498" s="114"/>
      <c r="DI498" s="114"/>
      <c r="DJ498" s="114"/>
      <c r="DK498" s="114"/>
      <c r="DL498" s="114"/>
      <c r="DM498" s="114"/>
      <c r="DN498" s="114"/>
      <c r="DO498" s="114"/>
      <c r="DP498" s="114"/>
      <c r="DQ498" s="114"/>
      <c r="DR498" s="114"/>
      <c r="DS498" s="114"/>
      <c r="DT498" s="114"/>
      <c r="DU498" s="114"/>
      <c r="DV498" s="114"/>
      <c r="DW498" s="114"/>
    </row>
    <row r="499" spans="18:127" x14ac:dyDescent="0.25">
      <c r="R499" s="114"/>
      <c r="W499" s="483"/>
      <c r="AE499" s="124"/>
      <c r="BS499" s="114"/>
      <c r="BT499" s="114"/>
      <c r="BZ499" s="114"/>
      <c r="CA499" s="114"/>
      <c r="CF499" s="114"/>
      <c r="CG499" s="114"/>
      <c r="CM499" s="114"/>
      <c r="CN499" s="114"/>
      <c r="CS499" s="114"/>
      <c r="CT499" s="114"/>
      <c r="CX499" s="483"/>
      <c r="CY499" s="114"/>
      <c r="CZ499" s="114"/>
      <c r="DA499" s="114"/>
      <c r="DB499" s="483"/>
      <c r="DC499" s="114"/>
      <c r="DD499" s="114"/>
      <c r="DE499" s="114"/>
      <c r="DH499" s="114"/>
      <c r="DI499" s="114"/>
      <c r="DJ499" s="114"/>
      <c r="DK499" s="114"/>
      <c r="DL499" s="114"/>
      <c r="DM499" s="114"/>
      <c r="DN499" s="114"/>
      <c r="DO499" s="114"/>
      <c r="DP499" s="114"/>
      <c r="DQ499" s="114"/>
      <c r="DR499" s="114"/>
      <c r="DS499" s="114"/>
      <c r="DT499" s="114"/>
      <c r="DU499" s="114"/>
      <c r="DV499" s="114"/>
      <c r="DW499" s="114"/>
    </row>
    <row r="500" spans="18:127" x14ac:dyDescent="0.25">
      <c r="R500" s="114"/>
      <c r="W500" s="483"/>
      <c r="AE500" s="124"/>
      <c r="BS500" s="114"/>
      <c r="BT500" s="114"/>
      <c r="BZ500" s="114"/>
      <c r="CA500" s="114"/>
      <c r="CF500" s="114"/>
      <c r="CG500" s="114"/>
      <c r="CM500" s="114"/>
      <c r="CN500" s="114"/>
      <c r="CS500" s="114"/>
      <c r="CT500" s="114"/>
      <c r="CX500" s="483"/>
      <c r="CY500" s="114"/>
      <c r="CZ500" s="114"/>
      <c r="DA500" s="114"/>
      <c r="DB500" s="483"/>
      <c r="DC500" s="114"/>
      <c r="DD500" s="114"/>
      <c r="DE500" s="114"/>
      <c r="DH500" s="114"/>
      <c r="DI500" s="114"/>
      <c r="DJ500" s="114"/>
      <c r="DK500" s="114"/>
      <c r="DL500" s="114"/>
      <c r="DM500" s="114"/>
      <c r="DN500" s="114"/>
      <c r="DO500" s="114"/>
      <c r="DP500" s="114"/>
      <c r="DQ500" s="114"/>
      <c r="DR500" s="114"/>
      <c r="DS500" s="114"/>
      <c r="DT500" s="114"/>
      <c r="DU500" s="114"/>
      <c r="DV500" s="114"/>
      <c r="DW500" s="114"/>
    </row>
    <row r="501" spans="18:127" x14ac:dyDescent="0.25">
      <c r="R501" s="114"/>
      <c r="W501" s="483"/>
      <c r="AE501" s="124"/>
      <c r="BS501" s="114"/>
      <c r="BT501" s="114"/>
      <c r="BZ501" s="114"/>
      <c r="CA501" s="114"/>
      <c r="CF501" s="114"/>
      <c r="CG501" s="114"/>
      <c r="CM501" s="114"/>
      <c r="CN501" s="114"/>
      <c r="CS501" s="114"/>
      <c r="CT501" s="114"/>
      <c r="CX501" s="483"/>
      <c r="CY501" s="114"/>
      <c r="CZ501" s="114"/>
      <c r="DA501" s="114"/>
      <c r="DB501" s="483"/>
      <c r="DC501" s="114"/>
      <c r="DD501" s="114"/>
      <c r="DE501" s="114"/>
      <c r="DH501" s="114"/>
      <c r="DI501" s="114"/>
      <c r="DJ501" s="114"/>
      <c r="DK501" s="114"/>
      <c r="DL501" s="114"/>
      <c r="DM501" s="114"/>
      <c r="DN501" s="114"/>
      <c r="DO501" s="114"/>
      <c r="DP501" s="114"/>
      <c r="DQ501" s="114"/>
      <c r="DR501" s="114"/>
      <c r="DS501" s="114"/>
      <c r="DT501" s="114"/>
      <c r="DU501" s="114"/>
      <c r="DV501" s="114"/>
      <c r="DW501" s="114"/>
    </row>
    <row r="502" spans="18:127" x14ac:dyDescent="0.25">
      <c r="R502" s="114"/>
      <c r="W502" s="483"/>
      <c r="AE502" s="124"/>
      <c r="BS502" s="114"/>
      <c r="BT502" s="114"/>
      <c r="BZ502" s="114"/>
      <c r="CA502" s="114"/>
      <c r="CF502" s="114"/>
      <c r="CG502" s="114"/>
      <c r="CM502" s="114"/>
      <c r="CN502" s="114"/>
      <c r="CS502" s="114"/>
      <c r="CT502" s="114"/>
      <c r="CX502" s="483"/>
      <c r="CY502" s="114"/>
      <c r="CZ502" s="114"/>
      <c r="DA502" s="114"/>
      <c r="DB502" s="483"/>
      <c r="DC502" s="114"/>
      <c r="DD502" s="114"/>
      <c r="DE502" s="114"/>
      <c r="DH502" s="114"/>
      <c r="DI502" s="114"/>
      <c r="DJ502" s="114"/>
      <c r="DK502" s="114"/>
      <c r="DL502" s="114"/>
      <c r="DM502" s="114"/>
      <c r="DN502" s="114"/>
      <c r="DO502" s="114"/>
      <c r="DP502" s="114"/>
      <c r="DQ502" s="114"/>
      <c r="DR502" s="114"/>
      <c r="DS502" s="114"/>
      <c r="DT502" s="114"/>
      <c r="DU502" s="114"/>
      <c r="DV502" s="114"/>
      <c r="DW502" s="114"/>
    </row>
    <row r="503" spans="18:127" x14ac:dyDescent="0.25">
      <c r="R503" s="114"/>
      <c r="W503" s="483"/>
      <c r="AE503" s="124"/>
      <c r="BS503" s="114"/>
      <c r="BT503" s="114"/>
      <c r="BZ503" s="114"/>
      <c r="CA503" s="114"/>
      <c r="CF503" s="114"/>
      <c r="CG503" s="114"/>
      <c r="CM503" s="114"/>
      <c r="CN503" s="114"/>
      <c r="CS503" s="114"/>
      <c r="CT503" s="114"/>
      <c r="CX503" s="483"/>
      <c r="CY503" s="114"/>
      <c r="CZ503" s="114"/>
      <c r="DA503" s="114"/>
      <c r="DB503" s="483"/>
      <c r="DC503" s="114"/>
      <c r="DD503" s="114"/>
      <c r="DE503" s="114"/>
      <c r="DH503" s="114"/>
      <c r="DI503" s="114"/>
      <c r="DJ503" s="114"/>
      <c r="DK503" s="114"/>
      <c r="DL503" s="114"/>
      <c r="DM503" s="114"/>
      <c r="DN503" s="114"/>
      <c r="DO503" s="114"/>
      <c r="DP503" s="114"/>
      <c r="DQ503" s="114"/>
      <c r="DR503" s="114"/>
      <c r="DS503" s="114"/>
      <c r="DT503" s="114"/>
      <c r="DU503" s="114"/>
      <c r="DV503" s="114"/>
      <c r="DW503" s="114"/>
    </row>
    <row r="504" spans="18:127" x14ac:dyDescent="0.25">
      <c r="R504" s="114"/>
      <c r="W504" s="483"/>
      <c r="AE504" s="124"/>
      <c r="BS504" s="114"/>
      <c r="BT504" s="114"/>
      <c r="BZ504" s="114"/>
      <c r="CA504" s="114"/>
      <c r="CF504" s="114"/>
      <c r="CG504" s="114"/>
      <c r="CM504" s="114"/>
      <c r="CN504" s="114"/>
      <c r="CS504" s="114"/>
      <c r="CT504" s="114"/>
      <c r="CX504" s="483"/>
      <c r="CY504" s="114"/>
      <c r="CZ504" s="114"/>
      <c r="DA504" s="114"/>
      <c r="DB504" s="483"/>
      <c r="DC504" s="114"/>
      <c r="DD504" s="114"/>
      <c r="DE504" s="114"/>
      <c r="DH504" s="114"/>
      <c r="DI504" s="114"/>
      <c r="DJ504" s="114"/>
      <c r="DK504" s="114"/>
      <c r="DL504" s="114"/>
      <c r="DM504" s="114"/>
      <c r="DN504" s="114"/>
      <c r="DO504" s="114"/>
      <c r="DP504" s="114"/>
      <c r="DQ504" s="114"/>
      <c r="DR504" s="114"/>
      <c r="DS504" s="114"/>
      <c r="DT504" s="114"/>
      <c r="DU504" s="114"/>
      <c r="DV504" s="114"/>
      <c r="DW504" s="114"/>
    </row>
  </sheetData>
  <phoneticPr fontId="0" type="noConversion"/>
  <printOptions horizontalCentered="1" verticalCentered="1"/>
  <pageMargins left="0.2" right="0.2" top="1" bottom="1" header="0.5" footer="0.5"/>
  <pageSetup scale="1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66" r:id="rId4" name="Button 1494">
              <controlPr defaultSize="0" autoFill="0" autoLine="0" autoPict="0" macro="[0]!SaveProductSpreadTable">
                <anchor moveWithCells="1" sizeWithCells="1">
                  <from>
                    <xdr:col>128</xdr:col>
                    <xdr:colOff>68580</xdr:colOff>
                    <xdr:row>4</xdr:row>
                    <xdr:rowOff>68580</xdr:rowOff>
                  </from>
                  <to>
                    <xdr:col>135</xdr:col>
                    <xdr:colOff>579120</xdr:colOff>
                    <xdr:row>6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5" name="Button 1495">
              <controlPr defaultSize="0" autoFill="0" autoLine="0" autoPict="0" macro="[0]!SaveResidSpreadTable">
                <anchor moveWithCells="1" sizeWithCells="1">
                  <from>
                    <xdr:col>128</xdr:col>
                    <xdr:colOff>30480</xdr:colOff>
                    <xdr:row>29</xdr:row>
                    <xdr:rowOff>22860</xdr:rowOff>
                  </from>
                  <to>
                    <xdr:col>132</xdr:col>
                    <xdr:colOff>685800</xdr:colOff>
                    <xdr:row>30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63</vt:i4>
      </vt:variant>
    </vt:vector>
  </HeadingPairs>
  <TitlesOfParts>
    <vt:vector size="65" baseType="lpstr">
      <vt:lpstr>MAIN</vt:lpstr>
      <vt:lpstr>CALC</vt:lpstr>
      <vt:lpstr>CalcMode</vt:lpstr>
      <vt:lpstr>CollarValue</vt:lpstr>
      <vt:lpstr>CostlessCollarSpecification</vt:lpstr>
      <vt:lpstr>DateCurve</vt:lpstr>
      <vt:lpstr>DateEnd</vt:lpstr>
      <vt:lpstr>DateEnd2</vt:lpstr>
      <vt:lpstr>DateIR</vt:lpstr>
      <vt:lpstr>DateStart</vt:lpstr>
      <vt:lpstr>DateStart2</vt:lpstr>
      <vt:lpstr>DateToday</vt:lpstr>
      <vt:lpstr>DaysForThetaCalculation</vt:lpstr>
      <vt:lpstr>Escalation</vt:lpstr>
      <vt:lpstr>EuroExpDateToggle</vt:lpstr>
      <vt:lpstr>ExtendableFirstAdjustment</vt:lpstr>
      <vt:lpstr>ExtendableSwapValue</vt:lpstr>
      <vt:lpstr>FirstPricingMonth</vt:lpstr>
      <vt:lpstr>HorizontalPriceOffset</vt:lpstr>
      <vt:lpstr>HorizontalVolOffset</vt:lpstr>
      <vt:lpstr>NominalVolume</vt:lpstr>
      <vt:lpstr>OptControl</vt:lpstr>
      <vt:lpstr>ParticipatingFirstAdjustment</vt:lpstr>
      <vt:lpstr>ParticipatingSwapPrice</vt:lpstr>
      <vt:lpstr>ParticipatingSwapValue</vt:lpstr>
      <vt:lpstr>ParticipationRate</vt:lpstr>
      <vt:lpstr>ParticipationType</vt:lpstr>
      <vt:lpstr>PositionGCHOPrice</vt:lpstr>
      <vt:lpstr>PositionGCHUPrice</vt:lpstr>
      <vt:lpstr>PositionHOPrice</vt:lpstr>
      <vt:lpstr>PositionHOVol</vt:lpstr>
      <vt:lpstr>PositionHUPrice</vt:lpstr>
      <vt:lpstr>PositionHUVol</vt:lpstr>
      <vt:lpstr>PositionIR</vt:lpstr>
      <vt:lpstr>PositionKEROPrice</vt:lpstr>
      <vt:lpstr>PositionResid1GC</vt:lpstr>
      <vt:lpstr>PositionResid1NY</vt:lpstr>
      <vt:lpstr>PositionResid2NY</vt:lpstr>
      <vt:lpstr>PositionResid3GC</vt:lpstr>
      <vt:lpstr>PositionWTIPrice</vt:lpstr>
      <vt:lpstr>PositionWTIVol</vt:lpstr>
      <vt:lpstr>PriceSpreadAsian</vt:lpstr>
      <vt:lpstr>PriceSpreadEuro</vt:lpstr>
      <vt:lpstr>Product</vt:lpstr>
      <vt:lpstr>ProductGroup</vt:lpstr>
      <vt:lpstr>ProductSpreadTable</vt:lpstr>
      <vt:lpstr>ResidSpreadTable</vt:lpstr>
      <vt:lpstr>SkewFlag</vt:lpstr>
      <vt:lpstr>Strike1</vt:lpstr>
      <vt:lpstr>Strike2</vt:lpstr>
      <vt:lpstr>StrikeSpec1</vt:lpstr>
      <vt:lpstr>StrikeSpec2</vt:lpstr>
      <vt:lpstr>SwaptionPremium</vt:lpstr>
      <vt:lpstr>SwaptionStrike</vt:lpstr>
      <vt:lpstr>SwaptionType</vt:lpstr>
      <vt:lpstr>SwaptionUnderlyingPrice</vt:lpstr>
      <vt:lpstr>UnderlyingPriceAsian</vt:lpstr>
      <vt:lpstr>VolOverrideAsian</vt:lpstr>
      <vt:lpstr>VolOverrideEuro</vt:lpstr>
      <vt:lpstr>VolSkewTable</vt:lpstr>
      <vt:lpstr>VolSpreadAsian</vt:lpstr>
      <vt:lpstr>VolSpreadEuro</vt:lpstr>
      <vt:lpstr>Volume</vt:lpstr>
      <vt:lpstr>VolumeSwaption</vt:lpstr>
      <vt:lpstr>YearStart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pzadoro</dc:creator>
  <cp:lastModifiedBy>Havlíček Jan</cp:lastModifiedBy>
  <cp:lastPrinted>1998-09-02T16:10:30Z</cp:lastPrinted>
  <dcterms:created xsi:type="dcterms:W3CDTF">1998-04-10T19:17:46Z</dcterms:created>
  <dcterms:modified xsi:type="dcterms:W3CDTF">2023-09-10T11:53:07Z</dcterms:modified>
</cp:coreProperties>
</file>