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 activeTab="1"/>
  </bookViews>
  <sheets>
    <sheet name="2000 Peakers" sheetId="1" r:id="rId1"/>
    <sheet name="1999 Peakers" sheetId="2" r:id="rId2"/>
  </sheets>
  <calcPr calcId="0"/>
</workbook>
</file>

<file path=xl/calcChain.xml><?xml version="1.0" encoding="utf-8"?>
<calcChain xmlns="http://schemas.openxmlformats.org/spreadsheetml/2006/main">
  <c r="E4" i="2" l="1"/>
  <c r="E5" i="2"/>
  <c r="F5" i="2"/>
  <c r="G5" i="2"/>
  <c r="H5" i="2"/>
  <c r="E6" i="2"/>
  <c r="F6" i="2"/>
  <c r="G6" i="2"/>
  <c r="H6" i="2"/>
  <c r="L7" i="2"/>
  <c r="F9" i="2"/>
  <c r="F13" i="2"/>
  <c r="E18" i="2"/>
  <c r="F18" i="2"/>
  <c r="G18" i="2"/>
  <c r="E19" i="2"/>
  <c r="F19" i="2"/>
  <c r="G19" i="2"/>
  <c r="L20" i="2"/>
  <c r="F21" i="2"/>
  <c r="F25" i="2"/>
  <c r="E29" i="2"/>
  <c r="E30" i="2"/>
  <c r="F30" i="2"/>
  <c r="G30" i="2"/>
  <c r="H30" i="2"/>
  <c r="L30" i="2"/>
  <c r="E31" i="2"/>
  <c r="F31" i="2"/>
  <c r="G31" i="2"/>
  <c r="H31" i="2"/>
  <c r="F33" i="2"/>
  <c r="F38" i="2"/>
  <c r="F40" i="2"/>
  <c r="E4" i="1"/>
  <c r="F4" i="1"/>
  <c r="E5" i="1"/>
  <c r="F5" i="1"/>
  <c r="G5" i="1"/>
  <c r="H5" i="1"/>
  <c r="E6" i="1"/>
  <c r="F6" i="1"/>
  <c r="G6" i="1"/>
  <c r="H6" i="1"/>
  <c r="F8" i="1"/>
  <c r="L11" i="1"/>
  <c r="F14" i="1"/>
  <c r="E18" i="1"/>
  <c r="F18" i="1"/>
  <c r="G18" i="1"/>
  <c r="E19" i="1"/>
  <c r="F19" i="1"/>
  <c r="G19" i="1"/>
  <c r="H19" i="1"/>
  <c r="E20" i="1"/>
  <c r="F20" i="1"/>
  <c r="G20" i="1"/>
  <c r="H20" i="1"/>
  <c r="L21" i="1"/>
  <c r="F22" i="1"/>
  <c r="F26" i="1"/>
  <c r="E30" i="1"/>
  <c r="F30" i="1"/>
  <c r="G30" i="1"/>
  <c r="L30" i="1"/>
  <c r="E31" i="1"/>
  <c r="F31" i="1"/>
  <c r="G31" i="1"/>
  <c r="H31" i="1"/>
  <c r="E32" i="1"/>
  <c r="F32" i="1"/>
  <c r="G32" i="1"/>
  <c r="H32" i="1"/>
  <c r="F34" i="1"/>
  <c r="F38" i="1"/>
  <c r="F40" i="1"/>
</calcChain>
</file>

<file path=xl/sharedStrings.xml><?xml version="1.0" encoding="utf-8"?>
<sst xmlns="http://schemas.openxmlformats.org/spreadsheetml/2006/main" count="124" uniqueCount="45">
  <si>
    <t>om</t>
  </si>
  <si>
    <t>monthly</t>
  </si>
  <si>
    <t>ann</t>
  </si>
  <si>
    <t>one offs</t>
  </si>
  <si>
    <t>Wheatland</t>
  </si>
  <si>
    <t>Gleason</t>
  </si>
  <si>
    <t xml:space="preserve">Lincoln </t>
  </si>
  <si>
    <t>Brownsville</t>
  </si>
  <si>
    <t>Caledonia</t>
  </si>
  <si>
    <t>New Albany</t>
  </si>
  <si>
    <t>demin water</t>
  </si>
  <si>
    <t>2000 Peakers</t>
  </si>
  <si>
    <t>Target Fxd OM</t>
  </si>
  <si>
    <t xml:space="preserve">Data Sources:  </t>
  </si>
  <si>
    <t>1)  Actual/CE page of Expense Analysis Summary (as per Theresa Vos)</t>
  </si>
  <si>
    <t>1999 Peakers</t>
  </si>
  <si>
    <t>explanation</t>
  </si>
  <si>
    <t>total--see one off sheet</t>
  </si>
  <si>
    <t>electricity</t>
  </si>
  <si>
    <t>One off</t>
  </si>
  <si>
    <t>Total</t>
  </si>
  <si>
    <t xml:space="preserve">    Contract Labor</t>
  </si>
  <si>
    <t xml:space="preserve">2000 Plant GA </t>
  </si>
  <si>
    <t xml:space="preserve">    </t>
  </si>
  <si>
    <t>2000 Electricity</t>
  </si>
  <si>
    <t>2000 Reimbursable  Labor</t>
  </si>
  <si>
    <t>2000 Demin Water</t>
  </si>
  <si>
    <t xml:space="preserve">2000 Fire Protection </t>
  </si>
  <si>
    <t>Fxd OM Estimate</t>
  </si>
  <si>
    <t>Methodology</t>
  </si>
  <si>
    <t>1)  Imputs came for CE inputs through end of 2000.</t>
  </si>
  <si>
    <t>2)  Variances based upon the CE was used for one off analysis</t>
  </si>
  <si>
    <t>3)  Full variance amounts were used for one off calculations</t>
  </si>
  <si>
    <t>2000 Plant Consumables</t>
  </si>
  <si>
    <t>2000 Fire Protection System</t>
  </si>
  <si>
    <t>2000 Tools and Eqpmt</t>
  </si>
  <si>
    <t>Difference in Fxd OM estimate</t>
  </si>
  <si>
    <t>Cumulative Difference</t>
  </si>
  <si>
    <t>2000 Contract Labor--Plant GA</t>
  </si>
  <si>
    <t>2000 Labor Overtime--Reimbursable Labort</t>
  </si>
  <si>
    <t>2000 Other Non-Scope Costs</t>
  </si>
  <si>
    <t>4)  For 2000 Peakers, variance was multiplied by 2 in order to annualize</t>
  </si>
  <si>
    <t>2000 Plant GA</t>
  </si>
  <si>
    <t>5)  Fxd OM estimate was calculated based on subtotal OM less OM and Demin Water</t>
  </si>
  <si>
    <t>4)  One off fro Demin Water rpresents the variance between budget and acutal for the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</si>
</sst>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 applyBorder="1"/>
    <xf numFmtId="43" fontId="0" fillId="0" borderId="1" xfId="1" applyFont="1" applyBorder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166" fontId="0" fillId="0" borderId="0" xfId="1" applyNumberFormat="1" applyFont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0" borderId="1" xfId="1" applyNumberFormat="1" applyFont="1" applyBorder="1"/>
    <xf numFmtId="166" fontId="2" fillId="0" borderId="0" xfId="1" applyNumberFormat="1" applyFont="1" applyBorder="1"/>
    <xf numFmtId="166" fontId="2" fillId="0" borderId="0" xfId="0" applyNumberFormat="1" applyFont="1"/>
    <xf numFmtId="3" fontId="0" fillId="0" borderId="0" xfId="1" applyNumberFormat="1" applyFont="1"/>
    <xf numFmtId="166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7" xfId="0" applyFont="1" applyBorder="1"/>
    <xf numFmtId="3" fontId="4" fillId="0" borderId="0" xfId="0" applyNumberFormat="1" applyFont="1"/>
    <xf numFmtId="166" fontId="2" fillId="0" borderId="0" xfId="1" applyNumberFormat="1" applyFont="1"/>
    <xf numFmtId="166" fontId="6" fillId="0" borderId="0" xfId="1" applyNumberFormat="1" applyFont="1"/>
    <xf numFmtId="166" fontId="4" fillId="0" borderId="0" xfId="1" applyNumberFormat="1" applyFont="1"/>
    <xf numFmtId="0" fontId="0" fillId="0" borderId="0" xfId="0" applyBorder="1"/>
    <xf numFmtId="166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4" workbookViewId="0">
      <selection activeCell="A51" sqref="A51"/>
    </sheetView>
  </sheetViews>
  <sheetFormatPr defaultRowHeight="13.2" x14ac:dyDescent="0.25"/>
  <cols>
    <col min="1" max="1" width="7.44140625" customWidth="1"/>
    <col min="2" max="2" width="4" customWidth="1"/>
    <col min="3" max="3" width="14.44140625" bestFit="1" customWidth="1"/>
    <col min="4" max="4" width="7.5546875" bestFit="1" customWidth="1"/>
    <col min="5" max="6" width="10.33203125" bestFit="1" customWidth="1"/>
    <col min="7" max="7" width="11" bestFit="1" customWidth="1"/>
    <col min="8" max="8" width="11.33203125" bestFit="1" customWidth="1"/>
    <col min="9" max="9" width="19.88671875" bestFit="1" customWidth="1"/>
    <col min="11" max="11" width="22.5546875" bestFit="1" customWidth="1"/>
    <col min="12" max="12" width="10.33203125" bestFit="1" customWidth="1"/>
  </cols>
  <sheetData>
    <row r="1" spans="1:12" x14ac:dyDescent="0.25">
      <c r="A1" s="5" t="s">
        <v>11</v>
      </c>
    </row>
    <row r="2" spans="1:12" x14ac:dyDescent="0.25">
      <c r="A2" s="4" t="s">
        <v>6</v>
      </c>
    </row>
    <row r="3" spans="1:12" x14ac:dyDescent="0.25">
      <c r="F3" t="s">
        <v>18</v>
      </c>
      <c r="G3" t="s">
        <v>10</v>
      </c>
      <c r="H3" t="s">
        <v>3</v>
      </c>
      <c r="I3" t="s">
        <v>16</v>
      </c>
      <c r="K3" s="21" t="s">
        <v>19</v>
      </c>
    </row>
    <row r="4" spans="1:12" x14ac:dyDescent="0.25">
      <c r="B4" s="7"/>
      <c r="C4" s="7"/>
      <c r="D4" t="s">
        <v>0</v>
      </c>
      <c r="E4" s="8">
        <f>1044135-C4</f>
        <v>1044135</v>
      </c>
      <c r="F4" s="9">
        <f>109308-B4</f>
        <v>109308</v>
      </c>
      <c r="G4" s="9">
        <v>11570</v>
      </c>
      <c r="H4" s="9">
        <v>149600</v>
      </c>
      <c r="I4" s="18" t="s">
        <v>17</v>
      </c>
      <c r="K4" t="s">
        <v>25</v>
      </c>
      <c r="L4" s="7">
        <v>50000</v>
      </c>
    </row>
    <row r="5" spans="1:12" x14ac:dyDescent="0.25">
      <c r="D5" t="s">
        <v>1</v>
      </c>
      <c r="E5" s="10">
        <f>E4/6</f>
        <v>174022.5</v>
      </c>
      <c r="F5" s="11">
        <f>F4/6</f>
        <v>18218</v>
      </c>
      <c r="G5" s="11">
        <f>G4/6</f>
        <v>1928.3333333333333</v>
      </c>
      <c r="H5" s="11">
        <f>H4</f>
        <v>149600</v>
      </c>
      <c r="I5" s="19"/>
      <c r="K5" t="s">
        <v>24</v>
      </c>
      <c r="L5" s="7">
        <v>20000</v>
      </c>
    </row>
    <row r="6" spans="1:12" x14ac:dyDescent="0.25">
      <c r="D6" t="s">
        <v>2</v>
      </c>
      <c r="E6" s="10">
        <f>12*E5</f>
        <v>2088270</v>
      </c>
      <c r="F6" s="11">
        <f>F5*12</f>
        <v>218616</v>
      </c>
      <c r="G6" s="11">
        <f>G5*12</f>
        <v>23140</v>
      </c>
      <c r="H6" s="11">
        <f>H5</f>
        <v>149600</v>
      </c>
      <c r="I6" s="19"/>
      <c r="K6" t="s">
        <v>26</v>
      </c>
      <c r="L6" s="25">
        <v>23000</v>
      </c>
    </row>
    <row r="7" spans="1:12" x14ac:dyDescent="0.25">
      <c r="E7" s="10"/>
      <c r="F7" s="11"/>
      <c r="G7" s="11"/>
      <c r="H7" s="11"/>
      <c r="I7" s="19"/>
      <c r="K7" t="s">
        <v>22</v>
      </c>
      <c r="L7" s="7">
        <v>13000</v>
      </c>
    </row>
    <row r="8" spans="1:12" x14ac:dyDescent="0.25">
      <c r="C8" t="s">
        <v>28</v>
      </c>
      <c r="E8" s="12"/>
      <c r="F8" s="13">
        <f>E6-F6-G6-H6</f>
        <v>1696914</v>
      </c>
      <c r="G8" s="13"/>
      <c r="H8" s="13"/>
      <c r="I8" s="20"/>
      <c r="K8" t="s">
        <v>33</v>
      </c>
      <c r="L8" s="25">
        <v>10000</v>
      </c>
    </row>
    <row r="9" spans="1:12" x14ac:dyDescent="0.25">
      <c r="E9" s="11"/>
      <c r="F9" s="11"/>
      <c r="G9" s="11"/>
      <c r="H9" s="11"/>
      <c r="I9" s="27"/>
      <c r="K9" t="s">
        <v>34</v>
      </c>
      <c r="L9" s="25">
        <v>2600</v>
      </c>
    </row>
    <row r="10" spans="1:12" x14ac:dyDescent="0.25">
      <c r="E10" s="11"/>
      <c r="F10" s="11"/>
      <c r="G10" s="11"/>
      <c r="H10" s="11"/>
      <c r="I10" s="27"/>
      <c r="K10" t="s">
        <v>35</v>
      </c>
      <c r="L10" s="26">
        <v>31000</v>
      </c>
    </row>
    <row r="11" spans="1:12" x14ac:dyDescent="0.25">
      <c r="E11" s="1"/>
      <c r="F11" s="1"/>
      <c r="G11" s="1"/>
      <c r="H11" s="1"/>
      <c r="K11" s="4" t="s">
        <v>20</v>
      </c>
      <c r="L11" s="6">
        <f>SUM(L4:L10)</f>
        <v>149600</v>
      </c>
    </row>
    <row r="12" spans="1:12" x14ac:dyDescent="0.25">
      <c r="C12" s="4" t="s">
        <v>12</v>
      </c>
      <c r="E12" s="1"/>
      <c r="F12" s="14">
        <v>1449000</v>
      </c>
      <c r="G12" s="1"/>
      <c r="H12" s="1"/>
    </row>
    <row r="13" spans="1:12" x14ac:dyDescent="0.25">
      <c r="C13" s="4"/>
      <c r="E13" s="1"/>
      <c r="F13" s="14"/>
      <c r="G13" s="1"/>
      <c r="H13" s="1"/>
    </row>
    <row r="14" spans="1:12" x14ac:dyDescent="0.25">
      <c r="C14" s="4" t="s">
        <v>36</v>
      </c>
      <c r="E14" s="1"/>
      <c r="F14" s="14">
        <f>F8-F12</f>
        <v>247914</v>
      </c>
      <c r="G14" s="1"/>
      <c r="H14" s="1"/>
    </row>
    <row r="16" spans="1:12" x14ac:dyDescent="0.25">
      <c r="A16" s="4" t="s">
        <v>4</v>
      </c>
      <c r="K16" s="21" t="s">
        <v>19</v>
      </c>
    </row>
    <row r="17" spans="1:12" x14ac:dyDescent="0.25">
      <c r="F17" t="s">
        <v>18</v>
      </c>
      <c r="G17" t="s">
        <v>10</v>
      </c>
      <c r="H17" t="s">
        <v>3</v>
      </c>
      <c r="I17" t="s">
        <v>16</v>
      </c>
      <c r="L17" s="7"/>
    </row>
    <row r="18" spans="1:12" x14ac:dyDescent="0.25">
      <c r="B18" s="7"/>
      <c r="C18" s="7"/>
      <c r="D18" t="s">
        <v>0</v>
      </c>
      <c r="E18" s="8">
        <f>1256353-C18</f>
        <v>1256353</v>
      </c>
      <c r="F18" s="9">
        <f>178475</f>
        <v>178475</v>
      </c>
      <c r="G18" s="9">
        <f>208206-B18</f>
        <v>208206</v>
      </c>
      <c r="H18" s="9">
        <v>410000</v>
      </c>
      <c r="I18" s="18" t="s">
        <v>17</v>
      </c>
      <c r="K18" t="s">
        <v>26</v>
      </c>
      <c r="L18" s="7">
        <v>200000</v>
      </c>
    </row>
    <row r="19" spans="1:12" x14ac:dyDescent="0.25">
      <c r="D19" t="s">
        <v>1</v>
      </c>
      <c r="E19" s="10">
        <f>E18/6</f>
        <v>209392.16666666666</v>
      </c>
      <c r="F19" s="11">
        <f>F18/6</f>
        <v>29745.833333333332</v>
      </c>
      <c r="G19" s="11">
        <f>G18/6</f>
        <v>34701</v>
      </c>
      <c r="H19" s="11">
        <f>H18</f>
        <v>410000</v>
      </c>
      <c r="I19" s="19"/>
      <c r="K19" t="s">
        <v>27</v>
      </c>
      <c r="L19" s="25">
        <v>40000</v>
      </c>
    </row>
    <row r="20" spans="1:12" x14ac:dyDescent="0.25">
      <c r="D20" t="s">
        <v>2</v>
      </c>
      <c r="E20" s="10">
        <f>12*E19</f>
        <v>2512706</v>
      </c>
      <c r="F20" s="11">
        <f>F19*12</f>
        <v>356950</v>
      </c>
      <c r="G20" s="11">
        <f>G19*12</f>
        <v>416412</v>
      </c>
      <c r="H20" s="11">
        <f>H19</f>
        <v>410000</v>
      </c>
      <c r="I20" s="19"/>
      <c r="K20" t="s">
        <v>24</v>
      </c>
      <c r="L20" s="26">
        <v>170000</v>
      </c>
    </row>
    <row r="21" spans="1:12" x14ac:dyDescent="0.25">
      <c r="E21" s="10"/>
      <c r="F21" s="11"/>
      <c r="G21" s="11"/>
      <c r="H21" s="1"/>
      <c r="I21" s="19"/>
      <c r="K21" s="4" t="s">
        <v>20</v>
      </c>
      <c r="L21" s="24">
        <f>SUM(L17:L20)</f>
        <v>410000</v>
      </c>
    </row>
    <row r="22" spans="1:12" x14ac:dyDescent="0.25">
      <c r="C22" t="s">
        <v>28</v>
      </c>
      <c r="E22" s="12"/>
      <c r="F22" s="13">
        <f>E20-F20-G20-H20</f>
        <v>1329344</v>
      </c>
      <c r="G22" s="13"/>
      <c r="H22" s="2"/>
      <c r="I22" s="20"/>
    </row>
    <row r="24" spans="1:12" x14ac:dyDescent="0.25">
      <c r="C24" s="4" t="s">
        <v>12</v>
      </c>
      <c r="F24" s="15">
        <v>1500000</v>
      </c>
    </row>
    <row r="25" spans="1:12" x14ac:dyDescent="0.25">
      <c r="C25" s="4"/>
      <c r="F25" s="15"/>
    </row>
    <row r="26" spans="1:12" x14ac:dyDescent="0.25">
      <c r="C26" s="4" t="s">
        <v>36</v>
      </c>
      <c r="F26" s="15">
        <f>F22-F24</f>
        <v>-170656</v>
      </c>
    </row>
    <row r="27" spans="1:12" x14ac:dyDescent="0.25">
      <c r="C27" s="4"/>
      <c r="F27" s="15"/>
    </row>
    <row r="28" spans="1:12" x14ac:dyDescent="0.25">
      <c r="A28" s="4" t="s">
        <v>5</v>
      </c>
      <c r="K28" s="21" t="s">
        <v>19</v>
      </c>
    </row>
    <row r="29" spans="1:12" x14ac:dyDescent="0.25">
      <c r="F29" t="s">
        <v>18</v>
      </c>
      <c r="G29" t="s">
        <v>10</v>
      </c>
      <c r="H29" t="s">
        <v>3</v>
      </c>
      <c r="I29" t="s">
        <v>16</v>
      </c>
      <c r="K29" t="s">
        <v>42</v>
      </c>
      <c r="L29" s="23">
        <v>80000</v>
      </c>
    </row>
    <row r="30" spans="1:12" x14ac:dyDescent="0.25">
      <c r="C30" s="7"/>
      <c r="D30" t="s">
        <v>0</v>
      </c>
      <c r="E30" s="8">
        <f>885812-C30</f>
        <v>885812</v>
      </c>
      <c r="F30" s="9">
        <f>150580-B30</f>
        <v>150580</v>
      </c>
      <c r="G30" s="9">
        <f>79416-A29</f>
        <v>79416</v>
      </c>
      <c r="H30" s="9">
        <v>80000</v>
      </c>
      <c r="I30" s="18" t="s">
        <v>17</v>
      </c>
      <c r="K30" s="4" t="s">
        <v>20</v>
      </c>
      <c r="L30" s="6">
        <f>SUM(L29)</f>
        <v>80000</v>
      </c>
    </row>
    <row r="31" spans="1:12" x14ac:dyDescent="0.25">
      <c r="D31" t="s">
        <v>1</v>
      </c>
      <c r="E31" s="10">
        <f>E30/6</f>
        <v>147635.33333333334</v>
      </c>
      <c r="F31" s="11">
        <f>F30/6</f>
        <v>25096.666666666668</v>
      </c>
      <c r="G31" s="11">
        <f>G30/6</f>
        <v>13236</v>
      </c>
      <c r="H31" s="11">
        <f>H30</f>
        <v>80000</v>
      </c>
      <c r="I31" s="19"/>
    </row>
    <row r="32" spans="1:12" x14ac:dyDescent="0.25">
      <c r="D32" t="s">
        <v>2</v>
      </c>
      <c r="E32" s="10">
        <f>12*E31</f>
        <v>1771624</v>
      </c>
      <c r="F32" s="11">
        <f>F31*12</f>
        <v>301160</v>
      </c>
      <c r="G32" s="11">
        <f>G31*12</f>
        <v>158832</v>
      </c>
      <c r="H32" s="11">
        <f>H31</f>
        <v>80000</v>
      </c>
      <c r="I32" s="19"/>
    </row>
    <row r="33" spans="1:9" x14ac:dyDescent="0.25">
      <c r="E33" s="10"/>
      <c r="F33" s="11"/>
      <c r="G33" s="11"/>
      <c r="H33" s="11"/>
      <c r="I33" s="19"/>
    </row>
    <row r="34" spans="1:9" x14ac:dyDescent="0.25">
      <c r="C34" t="s">
        <v>28</v>
      </c>
      <c r="E34" s="12"/>
      <c r="F34" s="13">
        <f>E32-F32-G32-H32</f>
        <v>1231632</v>
      </c>
      <c r="G34" s="13"/>
      <c r="H34" s="13"/>
      <c r="I34" s="20"/>
    </row>
    <row r="36" spans="1:9" x14ac:dyDescent="0.25">
      <c r="C36" s="4" t="s">
        <v>12</v>
      </c>
      <c r="F36" s="15">
        <v>1242000</v>
      </c>
    </row>
    <row r="38" spans="1:9" x14ac:dyDescent="0.25">
      <c r="C38" s="4" t="s">
        <v>36</v>
      </c>
      <c r="F38" s="17">
        <f>F34-F36</f>
        <v>-10368</v>
      </c>
    </row>
    <row r="40" spans="1:9" x14ac:dyDescent="0.25">
      <c r="C40" s="4" t="s">
        <v>37</v>
      </c>
      <c r="F40" s="17">
        <f>F38+F14+F26</f>
        <v>66890</v>
      </c>
    </row>
    <row r="43" spans="1:9" x14ac:dyDescent="0.25">
      <c r="A43" s="4" t="s">
        <v>13</v>
      </c>
    </row>
    <row r="44" spans="1:9" x14ac:dyDescent="0.25">
      <c r="A44" t="s">
        <v>14</v>
      </c>
    </row>
    <row r="46" spans="1:9" x14ac:dyDescent="0.25">
      <c r="A46" s="4" t="s">
        <v>29</v>
      </c>
    </row>
    <row r="47" spans="1:9" x14ac:dyDescent="0.25">
      <c r="A47" t="s">
        <v>30</v>
      </c>
    </row>
    <row r="48" spans="1:9" x14ac:dyDescent="0.25">
      <c r="A48" t="s">
        <v>31</v>
      </c>
    </row>
    <row r="49" spans="1:1" x14ac:dyDescent="0.25">
      <c r="A49" t="s">
        <v>32</v>
      </c>
    </row>
    <row r="50" spans="1:1" x14ac:dyDescent="0.25">
      <c r="A50" t="s">
        <v>41</v>
      </c>
    </row>
    <row r="51" spans="1:1" x14ac:dyDescent="0.25">
      <c r="A51" t="s">
        <v>43</v>
      </c>
    </row>
  </sheetData>
  <pageMargins left="0.75" right="0.75" top="1" bottom="1" header="0.5" footer="0.5"/>
  <pageSetup scale="70" orientation="landscape" verticalDpi="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75" workbookViewId="0">
      <selection activeCell="K13" sqref="K13"/>
    </sheetView>
  </sheetViews>
  <sheetFormatPr defaultRowHeight="13.2" x14ac:dyDescent="0.25"/>
  <cols>
    <col min="1" max="1" width="12.109375" customWidth="1"/>
    <col min="2" max="2" width="4.5546875" customWidth="1"/>
    <col min="3" max="3" width="14.44140625" bestFit="1" customWidth="1"/>
    <col min="4" max="4" width="7.5546875" bestFit="1" customWidth="1"/>
    <col min="5" max="6" width="10.33203125" bestFit="1" customWidth="1"/>
    <col min="7" max="7" width="11" bestFit="1" customWidth="1"/>
    <col min="8" max="8" width="11.33203125" bestFit="1" customWidth="1"/>
    <col min="9" max="9" width="19.88671875" bestFit="1" customWidth="1"/>
    <col min="11" max="11" width="28" bestFit="1" customWidth="1"/>
    <col min="12" max="12" width="12.88671875" bestFit="1" customWidth="1"/>
  </cols>
  <sheetData>
    <row r="1" spans="1:12" x14ac:dyDescent="0.25">
      <c r="A1" s="5" t="s">
        <v>15</v>
      </c>
    </row>
    <row r="2" spans="1:12" x14ac:dyDescent="0.25">
      <c r="A2" s="4" t="s">
        <v>7</v>
      </c>
    </row>
    <row r="3" spans="1:12" x14ac:dyDescent="0.25">
      <c r="F3" t="s">
        <v>18</v>
      </c>
      <c r="G3" t="s">
        <v>10</v>
      </c>
      <c r="H3" t="s">
        <v>3</v>
      </c>
      <c r="I3" t="s">
        <v>16</v>
      </c>
      <c r="K3" s="21" t="s">
        <v>19</v>
      </c>
    </row>
    <row r="4" spans="1:12" x14ac:dyDescent="0.25">
      <c r="B4" s="16"/>
      <c r="C4" s="16"/>
      <c r="D4" t="s">
        <v>0</v>
      </c>
      <c r="E4" s="8">
        <f>2535414-C4-B4</f>
        <v>2535414</v>
      </c>
      <c r="F4" s="9">
        <v>450702</v>
      </c>
      <c r="G4" s="9">
        <v>105655</v>
      </c>
      <c r="H4" s="9">
        <v>387000</v>
      </c>
      <c r="I4" s="18" t="s">
        <v>17</v>
      </c>
      <c r="K4" t="s">
        <v>38</v>
      </c>
      <c r="L4" s="3">
        <v>116000</v>
      </c>
    </row>
    <row r="5" spans="1:12" x14ac:dyDescent="0.25">
      <c r="D5" t="s">
        <v>1</v>
      </c>
      <c r="E5" s="10">
        <f>E4/12</f>
        <v>211284.5</v>
      </c>
      <c r="F5" s="11">
        <f>F4/12</f>
        <v>37558.5</v>
      </c>
      <c r="G5" s="11">
        <f>G4/12</f>
        <v>8804.5833333333339</v>
      </c>
      <c r="H5" s="11">
        <f>H4/12</f>
        <v>32250</v>
      </c>
      <c r="I5" s="19"/>
      <c r="K5" t="s">
        <v>39</v>
      </c>
      <c r="L5" s="3">
        <v>153000</v>
      </c>
    </row>
    <row r="6" spans="1:12" x14ac:dyDescent="0.25">
      <c r="D6" t="s">
        <v>2</v>
      </c>
      <c r="E6" s="10">
        <f>12*E5</f>
        <v>2535414</v>
      </c>
      <c r="F6" s="11">
        <f>F5*12</f>
        <v>450702</v>
      </c>
      <c r="G6" s="11">
        <f>G5*12</f>
        <v>105655</v>
      </c>
      <c r="H6" s="11">
        <f>H5*12</f>
        <v>387000</v>
      </c>
      <c r="I6" s="19"/>
      <c r="K6" t="s">
        <v>40</v>
      </c>
      <c r="L6" s="3">
        <v>118000</v>
      </c>
    </row>
    <row r="7" spans="1:12" x14ac:dyDescent="0.25">
      <c r="E7" s="10"/>
      <c r="F7" s="11"/>
      <c r="G7" s="11"/>
      <c r="H7" s="11"/>
      <c r="I7" s="19"/>
      <c r="K7" s="4" t="s">
        <v>20</v>
      </c>
      <c r="L7" s="6">
        <f>SUM(L4:L6)</f>
        <v>387000</v>
      </c>
    </row>
    <row r="8" spans="1:12" x14ac:dyDescent="0.25">
      <c r="E8" s="10"/>
      <c r="F8" s="11"/>
      <c r="G8" s="11"/>
      <c r="H8" s="11"/>
      <c r="I8" s="19"/>
    </row>
    <row r="9" spans="1:12" x14ac:dyDescent="0.25">
      <c r="C9" t="s">
        <v>28</v>
      </c>
      <c r="E9" s="12"/>
      <c r="F9" s="13">
        <f>E6-F6-G6-H6</f>
        <v>1592057</v>
      </c>
      <c r="G9" s="13"/>
      <c r="H9" s="13"/>
      <c r="I9" s="20"/>
    </row>
    <row r="10" spans="1:12" x14ac:dyDescent="0.25">
      <c r="E10" s="1"/>
      <c r="F10" s="1"/>
      <c r="G10" s="1"/>
      <c r="H10" s="1"/>
    </row>
    <row r="11" spans="1:12" x14ac:dyDescent="0.25">
      <c r="C11" s="4" t="s">
        <v>12</v>
      </c>
      <c r="E11" s="1"/>
      <c r="F11" s="11">
        <v>1564000</v>
      </c>
      <c r="G11" s="1"/>
      <c r="H11" s="1"/>
    </row>
    <row r="12" spans="1:12" x14ac:dyDescent="0.25">
      <c r="C12" s="4"/>
      <c r="E12" s="1"/>
      <c r="F12" s="11"/>
      <c r="G12" s="1"/>
      <c r="H12" s="1"/>
    </row>
    <row r="13" spans="1:12" x14ac:dyDescent="0.25">
      <c r="C13" s="4" t="s">
        <v>36</v>
      </c>
      <c r="E13" s="1"/>
      <c r="F13" s="11">
        <f>F9-F11</f>
        <v>28057</v>
      </c>
      <c r="G13" s="1"/>
      <c r="H13" s="1"/>
    </row>
    <row r="14" spans="1:12" x14ac:dyDescent="0.25">
      <c r="C14" s="4"/>
      <c r="E14" s="1"/>
      <c r="F14" s="11"/>
      <c r="G14" s="1"/>
      <c r="H14" s="1"/>
      <c r="K14" s="21"/>
    </row>
    <row r="15" spans="1:12" x14ac:dyDescent="0.25">
      <c r="A15" s="4" t="s">
        <v>8</v>
      </c>
      <c r="K15" s="21" t="s">
        <v>19</v>
      </c>
    </row>
    <row r="16" spans="1:12" x14ac:dyDescent="0.25">
      <c r="F16" t="s">
        <v>18</v>
      </c>
      <c r="G16" t="s">
        <v>10</v>
      </c>
      <c r="H16" t="s">
        <v>3</v>
      </c>
      <c r="I16" t="s">
        <v>16</v>
      </c>
      <c r="K16" t="s">
        <v>39</v>
      </c>
      <c r="L16" s="7">
        <v>55000</v>
      </c>
    </row>
    <row r="17" spans="1:12" x14ac:dyDescent="0.25">
      <c r="C17" s="3"/>
      <c r="D17" t="s">
        <v>0</v>
      </c>
      <c r="E17" s="8">
        <v>2233460</v>
      </c>
      <c r="F17" s="9">
        <v>506176</v>
      </c>
      <c r="G17" s="9">
        <v>37766</v>
      </c>
      <c r="H17" s="28">
        <v>106000</v>
      </c>
      <c r="I17" s="18" t="s">
        <v>17</v>
      </c>
      <c r="K17" t="s">
        <v>40</v>
      </c>
      <c r="L17" s="7">
        <v>51000</v>
      </c>
    </row>
    <row r="18" spans="1:12" x14ac:dyDescent="0.25">
      <c r="D18" t="s">
        <v>1</v>
      </c>
      <c r="E18" s="10">
        <f>E17/12</f>
        <v>186121.66666666666</v>
      </c>
      <c r="F18" s="11">
        <f>F17/12</f>
        <v>42181.333333333336</v>
      </c>
      <c r="G18" s="11">
        <f>G17/12</f>
        <v>3147.1666666666665</v>
      </c>
      <c r="H18" s="11">
        <v>106000</v>
      </c>
      <c r="I18" s="22" t="s">
        <v>21</v>
      </c>
      <c r="L18" s="7"/>
    </row>
    <row r="19" spans="1:12" x14ac:dyDescent="0.25">
      <c r="D19" t="s">
        <v>2</v>
      </c>
      <c r="E19" s="10">
        <f>12*E18</f>
        <v>2233460</v>
      </c>
      <c r="F19" s="11">
        <f>F18*12</f>
        <v>506176</v>
      </c>
      <c r="G19" s="11">
        <f>G18*12</f>
        <v>37766</v>
      </c>
      <c r="H19" s="11">
        <v>106000</v>
      </c>
      <c r="I19" s="19"/>
      <c r="L19" s="7"/>
    </row>
    <row r="20" spans="1:12" x14ac:dyDescent="0.25">
      <c r="E20" s="10"/>
      <c r="F20" s="11"/>
      <c r="G20" s="11"/>
      <c r="H20" s="1"/>
      <c r="I20" s="19"/>
      <c r="K20" s="4" t="s">
        <v>20</v>
      </c>
      <c r="L20" s="24">
        <f>L16+L17</f>
        <v>106000</v>
      </c>
    </row>
    <row r="21" spans="1:12" x14ac:dyDescent="0.25">
      <c r="C21" t="s">
        <v>28</v>
      </c>
      <c r="E21" s="12"/>
      <c r="F21" s="13">
        <f>E19-F19-G19-H19</f>
        <v>1583518</v>
      </c>
      <c r="G21" s="13"/>
      <c r="H21" s="2"/>
      <c r="I21" s="20"/>
    </row>
    <row r="22" spans="1:12" x14ac:dyDescent="0.25">
      <c r="E22" s="1"/>
      <c r="F22" s="1"/>
      <c r="G22" s="1"/>
      <c r="H22" s="1"/>
    </row>
    <row r="23" spans="1:12" x14ac:dyDescent="0.25">
      <c r="C23" s="4" t="s">
        <v>12</v>
      </c>
      <c r="E23" s="1"/>
      <c r="F23" s="11">
        <v>1721000</v>
      </c>
      <c r="G23" s="1"/>
      <c r="H23" s="1"/>
    </row>
    <row r="24" spans="1:12" x14ac:dyDescent="0.25">
      <c r="E24" s="1"/>
      <c r="F24" s="11"/>
      <c r="G24" s="1"/>
      <c r="H24" s="1"/>
    </row>
    <row r="25" spans="1:12" x14ac:dyDescent="0.25">
      <c r="C25" s="4" t="s">
        <v>36</v>
      </c>
      <c r="F25" s="17">
        <f>F21-F23</f>
        <v>-137482</v>
      </c>
    </row>
    <row r="26" spans="1:12" x14ac:dyDescent="0.25">
      <c r="K26" s="21" t="s">
        <v>19</v>
      </c>
    </row>
    <row r="27" spans="1:12" x14ac:dyDescent="0.25">
      <c r="A27" s="4" t="s">
        <v>9</v>
      </c>
      <c r="L27" s="3"/>
    </row>
    <row r="28" spans="1:12" x14ac:dyDescent="0.25">
      <c r="F28" t="s">
        <v>18</v>
      </c>
      <c r="G28" t="s">
        <v>10</v>
      </c>
      <c r="H28" t="s">
        <v>3</v>
      </c>
      <c r="I28" t="s">
        <v>16</v>
      </c>
      <c r="K28" t="s">
        <v>22</v>
      </c>
      <c r="L28" s="7">
        <v>641000</v>
      </c>
    </row>
    <row r="29" spans="1:12" x14ac:dyDescent="0.25">
      <c r="B29" s="3"/>
      <c r="C29" s="3"/>
      <c r="D29" t="s">
        <v>0</v>
      </c>
      <c r="E29" s="8">
        <f>3140002</f>
        <v>3140002</v>
      </c>
      <c r="F29" s="9">
        <v>288848</v>
      </c>
      <c r="G29" s="9">
        <v>35009</v>
      </c>
      <c r="H29" s="9">
        <v>958800</v>
      </c>
      <c r="I29" s="18" t="s">
        <v>17</v>
      </c>
      <c r="K29" t="s">
        <v>40</v>
      </c>
      <c r="L29" s="26">
        <v>317800</v>
      </c>
    </row>
    <row r="30" spans="1:12" x14ac:dyDescent="0.25">
      <c r="D30" t="s">
        <v>1</v>
      </c>
      <c r="E30" s="10">
        <f>E29/12</f>
        <v>261666.83333333334</v>
      </c>
      <c r="F30" s="11">
        <f>F29/12</f>
        <v>24070.666666666668</v>
      </c>
      <c r="G30" s="11">
        <f>G29/12</f>
        <v>2917.4166666666665</v>
      </c>
      <c r="H30" s="11">
        <f>H29/12</f>
        <v>79900</v>
      </c>
      <c r="I30" s="19" t="s">
        <v>23</v>
      </c>
      <c r="K30" s="4" t="s">
        <v>20</v>
      </c>
      <c r="L30" s="6">
        <f>SUM(L27:L29)</f>
        <v>958800</v>
      </c>
    </row>
    <row r="31" spans="1:12" x14ac:dyDescent="0.25">
      <c r="D31" t="s">
        <v>2</v>
      </c>
      <c r="E31" s="10">
        <f>12*E30</f>
        <v>3140002</v>
      </c>
      <c r="F31" s="11">
        <f>F30*12</f>
        <v>288848</v>
      </c>
      <c r="G31" s="11">
        <f>G30*12</f>
        <v>35009</v>
      </c>
      <c r="H31" s="11">
        <f>H30*12</f>
        <v>958800</v>
      </c>
      <c r="I31" s="19"/>
    </row>
    <row r="32" spans="1:12" x14ac:dyDescent="0.25">
      <c r="E32" s="10"/>
      <c r="F32" s="11"/>
      <c r="G32" s="11"/>
      <c r="H32" s="11"/>
      <c r="I32" s="19"/>
    </row>
    <row r="33" spans="1:9" x14ac:dyDescent="0.25">
      <c r="C33" t="s">
        <v>28</v>
      </c>
      <c r="E33" s="12"/>
      <c r="F33" s="13">
        <f>E31-F31-G31-H31</f>
        <v>1857345</v>
      </c>
      <c r="G33" s="13"/>
      <c r="H33" s="13"/>
      <c r="I33" s="20"/>
    </row>
    <row r="34" spans="1:9" x14ac:dyDescent="0.25">
      <c r="E34" s="11"/>
      <c r="F34" s="11"/>
      <c r="G34" s="11"/>
      <c r="H34" s="11"/>
    </row>
    <row r="35" spans="1:9" x14ac:dyDescent="0.25">
      <c r="E35" s="11"/>
      <c r="F35" s="11"/>
      <c r="G35" s="11"/>
      <c r="H35" s="11"/>
    </row>
    <row r="36" spans="1:9" x14ac:dyDescent="0.25">
      <c r="C36" s="4" t="s">
        <v>12</v>
      </c>
      <c r="E36" s="11"/>
      <c r="F36" s="11">
        <v>1878000</v>
      </c>
      <c r="G36" s="11"/>
      <c r="H36" s="11"/>
    </row>
    <row r="38" spans="1:9" x14ac:dyDescent="0.25">
      <c r="C38" s="4" t="s">
        <v>36</v>
      </c>
      <c r="F38" s="17">
        <f>F33-F36</f>
        <v>-20655</v>
      </c>
    </row>
    <row r="40" spans="1:9" x14ac:dyDescent="0.25">
      <c r="C40" s="4" t="s">
        <v>37</v>
      </c>
      <c r="F40" s="17">
        <f>F38+F25+F13</f>
        <v>-130080</v>
      </c>
    </row>
    <row r="42" spans="1:9" x14ac:dyDescent="0.25">
      <c r="A42" s="4" t="s">
        <v>13</v>
      </c>
    </row>
    <row r="43" spans="1:9" x14ac:dyDescent="0.25">
      <c r="A43" t="s">
        <v>14</v>
      </c>
    </row>
    <row r="46" spans="1:9" x14ac:dyDescent="0.25">
      <c r="A46" s="4" t="s">
        <v>29</v>
      </c>
    </row>
    <row r="47" spans="1:9" x14ac:dyDescent="0.25">
      <c r="A47" t="s">
        <v>30</v>
      </c>
    </row>
    <row r="48" spans="1:9" x14ac:dyDescent="0.25">
      <c r="A48" t="s">
        <v>31</v>
      </c>
    </row>
    <row r="49" spans="1:1" x14ac:dyDescent="0.25">
      <c r="A49" t="s">
        <v>32</v>
      </c>
    </row>
    <row r="50" spans="1:1" x14ac:dyDescent="0.25">
      <c r="A50" t="s">
        <v>44</v>
      </c>
    </row>
    <row r="51" spans="1:1" x14ac:dyDescent="0.25">
      <c r="A51" t="s">
        <v>43</v>
      </c>
    </row>
  </sheetData>
  <pageMargins left="0.75" right="0.75" top="1" bottom="1" header="0.5" footer="0.5"/>
  <pageSetup scale="70" orientation="landscape" verticalDpi="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 Peakers</vt:lpstr>
      <vt:lpstr>1999 Peakers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ajackso5</dc:creator>
  <cp:lastModifiedBy>Havlíček Jan</cp:lastModifiedBy>
  <cp:lastPrinted>2000-09-27T17:46:03Z</cp:lastPrinted>
  <dcterms:created xsi:type="dcterms:W3CDTF">2000-09-22T17:44:55Z</dcterms:created>
  <dcterms:modified xsi:type="dcterms:W3CDTF">2023-09-10T11:54:02Z</dcterms:modified>
</cp:coreProperties>
</file>