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6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state="hidden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<sst xmlns="http://schemas.openxmlformats.org/spreadsheetml/2006/main" count="571" uniqueCount="381">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</sst>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D1" zoomScale="75" workbookViewId="0">
      <selection activeCell="D9" sqref="D9"/>
    </sheetView>
  </sheetViews>
  <sheetFormatPr defaultColWidth="9.109375" defaultRowHeight="13.2" x14ac:dyDescent="0.25"/>
  <cols>
    <col min="1" max="1" width="9.109375" style="34"/>
    <col min="2" max="2" width="22.109375" style="34" customWidth="1"/>
    <col min="3" max="3" width="9.33203125" style="34" customWidth="1"/>
    <col min="4" max="4" width="10" style="34" customWidth="1"/>
    <col min="5" max="5" width="11.44140625" style="34" customWidth="1"/>
    <col min="6" max="6" width="2.6640625" style="34" customWidth="1"/>
    <col min="7" max="7" width="12.88671875" style="34" customWidth="1"/>
    <col min="8" max="8" width="22.44140625" style="34" customWidth="1"/>
    <col min="9" max="9" width="10.6640625" style="34" customWidth="1"/>
    <col min="10" max="10" width="12.44140625" style="34" customWidth="1"/>
    <col min="11" max="11" width="10.6640625" style="34" customWidth="1"/>
    <col min="12" max="12" width="2.6640625" style="34" customWidth="1"/>
    <col min="13" max="13" width="11.6640625" style="34" customWidth="1"/>
    <col min="14" max="14" width="16.88671875" style="34" customWidth="1"/>
    <col min="15" max="15" width="12.88671875" style="34" customWidth="1"/>
    <col min="16" max="16" width="16.6640625" style="34" customWidth="1"/>
    <col min="17" max="17" width="8.5546875" style="34" customWidth="1"/>
    <col min="18" max="18" width="11.109375" style="34" bestFit="1" customWidth="1"/>
    <col min="19" max="19" width="2.6640625" style="34" customWidth="1"/>
    <col min="20" max="20" width="37.88671875" style="34" bestFit="1" customWidth="1"/>
    <col min="21" max="21" width="13.88671875" style="34" customWidth="1"/>
    <col min="22" max="22" width="8.5546875" style="34" customWidth="1"/>
    <col min="23" max="23" width="13.109375" style="34" customWidth="1"/>
    <col min="24" max="24" width="11.33203125" style="34" customWidth="1"/>
    <col min="25" max="25" width="8" style="34" customWidth="1"/>
    <col min="26" max="26" width="9.109375" style="34"/>
    <col min="27" max="27" width="10.5546875" style="34" customWidth="1"/>
    <col min="28" max="29" width="9.109375" style="34"/>
    <col min="30" max="30" width="18.109375" style="34" customWidth="1"/>
    <col min="31" max="16384" width="9.109375" style="34"/>
  </cols>
  <sheetData>
    <row r="3" spans="1:33" ht="15.6" x14ac:dyDescent="0.3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6" x14ac:dyDescent="0.3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6" x14ac:dyDescent="0.3">
      <c r="A5" s="153"/>
      <c r="B5" s="154"/>
      <c r="C5" s="155"/>
      <c r="D5" s="77"/>
      <c r="H5"/>
      <c r="J5" s="77"/>
      <c r="M5" s="38"/>
    </row>
    <row r="6" spans="1:33" ht="13.8" thickBot="1" x14ac:dyDescent="0.3">
      <c r="A6" s="34" t="s">
        <v>6</v>
      </c>
      <c r="AC6" s="34" t="s">
        <v>5</v>
      </c>
    </row>
    <row r="7" spans="1:33" ht="13.8" x14ac:dyDescent="0.3">
      <c r="A7" s="80" t="s">
        <v>322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5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5">
      <c r="A9" s="86" t="s">
        <v>16</v>
      </c>
      <c r="B9" s="49"/>
      <c r="C9" s="49"/>
      <c r="D9" s="247">
        <v>1</v>
      </c>
      <c r="E9" s="87"/>
      <c r="G9" s="86" t="s">
        <v>332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0.26279155757995692</v>
      </c>
      <c r="X9" s="92">
        <f>RETURNS!D14</f>
        <v>9508.1181627940823</v>
      </c>
      <c r="Z9" s="327"/>
      <c r="AA9" s="327"/>
      <c r="AC9" s="49"/>
      <c r="AD9" s="49"/>
      <c r="AE9" s="127"/>
      <c r="AF9" s="127"/>
      <c r="AG9" s="328"/>
    </row>
    <row r="10" spans="1:33" ht="13.8" thickBot="1" x14ac:dyDescent="0.3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8" thickBot="1" x14ac:dyDescent="0.3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8" thickBot="1" x14ac:dyDescent="0.3">
      <c r="A12" s="95" t="s">
        <v>325</v>
      </c>
      <c r="B12" s="96"/>
      <c r="C12" s="96"/>
      <c r="D12" s="343">
        <v>0.03</v>
      </c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0.26279155757995692</v>
      </c>
      <c r="X12" s="94">
        <f>RETURNS!D27</f>
        <v>9508.1181627940823</v>
      </c>
      <c r="AC12" s="49"/>
      <c r="AD12" s="49"/>
      <c r="AE12" s="127"/>
      <c r="AF12" s="127"/>
      <c r="AG12" s="328"/>
    </row>
    <row r="13" spans="1:33" ht="13.8" thickBot="1" x14ac:dyDescent="0.3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9508.1181627940823</v>
      </c>
      <c r="AC13" s="49"/>
      <c r="AD13" s="49"/>
      <c r="AE13" s="127"/>
      <c r="AF13" s="127"/>
      <c r="AG13" s="328"/>
    </row>
    <row r="14" spans="1:33" ht="13.8" thickBot="1" x14ac:dyDescent="0.3">
      <c r="A14" s="80" t="s">
        <v>30</v>
      </c>
      <c r="B14" s="81"/>
      <c r="C14" s="81"/>
      <c r="D14" s="81"/>
      <c r="E14" s="99"/>
      <c r="G14" s="86" t="s">
        <v>327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8" thickBot="1" x14ac:dyDescent="0.3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8" thickBot="1" x14ac:dyDescent="0.3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5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351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5">
      <c r="A18" s="86" t="s">
        <v>41</v>
      </c>
      <c r="B18" s="49"/>
      <c r="C18" s="49"/>
      <c r="D18" s="49"/>
      <c r="E18" s="337" t="s">
        <v>346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410" t="s">
        <v>300</v>
      </c>
      <c r="X18" s="411"/>
      <c r="AC18" s="49"/>
      <c r="AD18" s="49"/>
      <c r="AE18" s="127"/>
      <c r="AF18" s="127"/>
      <c r="AG18" s="115"/>
    </row>
    <row r="19" spans="1:36" ht="13.8" thickBot="1" x14ac:dyDescent="0.3">
      <c r="A19" s="95" t="s">
        <v>44</v>
      </c>
      <c r="B19" s="96"/>
      <c r="C19" s="96"/>
      <c r="D19" s="96"/>
      <c r="E19" s="338" t="s">
        <v>346</v>
      </c>
      <c r="G19" s="86" t="s">
        <v>54</v>
      </c>
      <c r="H19" s="49" t="s">
        <v>338</v>
      </c>
      <c r="I19" s="248">
        <v>13000</v>
      </c>
      <c r="J19" s="246">
        <v>20</v>
      </c>
      <c r="K19" s="356" t="s">
        <v>307</v>
      </c>
      <c r="M19" s="86" t="s">
        <v>319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8" thickBot="1" x14ac:dyDescent="0.3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5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338</v>
      </c>
      <c r="I21" s="248">
        <v>13000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13000</v>
      </c>
    </row>
    <row r="22" spans="1:36" x14ac:dyDescent="0.25">
      <c r="A22" s="86" t="s">
        <v>328</v>
      </c>
      <c r="B22" s="49"/>
      <c r="C22" s="291" t="s">
        <v>331</v>
      </c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13000</v>
      </c>
      <c r="AB22" s="69"/>
      <c r="AC22" s="69"/>
      <c r="AD22" s="49"/>
      <c r="AE22" s="49"/>
      <c r="AF22" s="49"/>
      <c r="AI22" s="324"/>
      <c r="AJ22" s="325"/>
    </row>
    <row r="23" spans="1:36" ht="13.8" thickBot="1" x14ac:dyDescent="0.3">
      <c r="A23" s="86" t="s">
        <v>329</v>
      </c>
      <c r="B23" s="49"/>
      <c r="C23" s="291" t="s">
        <v>331</v>
      </c>
      <c r="D23" s="49"/>
      <c r="E23" s="87"/>
      <c r="G23" s="358" t="s">
        <v>69</v>
      </c>
      <c r="H23" s="96" t="s">
        <v>338</v>
      </c>
      <c r="I23" s="359">
        <v>13000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8" thickBot="1" x14ac:dyDescent="0.3">
      <c r="A24" s="86" t="s">
        <v>330</v>
      </c>
      <c r="B24" s="49"/>
      <c r="C24" s="291" t="s">
        <v>331</v>
      </c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5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375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8" thickBot="1" x14ac:dyDescent="0.3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13000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376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8" thickBot="1" x14ac:dyDescent="0.3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13000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5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365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8" thickBot="1" x14ac:dyDescent="0.3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352</v>
      </c>
      <c r="V29" s="107" t="s">
        <v>353</v>
      </c>
      <c r="W29" s="107" t="s">
        <v>354</v>
      </c>
      <c r="X29" s="87"/>
      <c r="AC29"/>
      <c r="AD29"/>
      <c r="AE29"/>
    </row>
    <row r="30" spans="1:36" x14ac:dyDescent="0.25">
      <c r="A30" s="86" t="s">
        <v>326</v>
      </c>
      <c r="B30" s="49"/>
      <c r="C30" s="104">
        <v>0</v>
      </c>
      <c r="D30" s="49" t="s">
        <v>63</v>
      </c>
      <c r="E30" s="332">
        <v>0.02</v>
      </c>
      <c r="G30" s="80" t="s">
        <v>377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357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8" thickBot="1" x14ac:dyDescent="0.3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378</v>
      </c>
      <c r="H31" s="49"/>
      <c r="I31" s="49">
        <v>0</v>
      </c>
      <c r="J31" s="49"/>
      <c r="K31" s="87"/>
      <c r="M31" s="86" t="s">
        <v>314</v>
      </c>
      <c r="N31" s="49"/>
      <c r="O31" s="49" t="s">
        <v>5</v>
      </c>
      <c r="P31" s="127"/>
      <c r="Q31" s="49"/>
      <c r="R31" s="364">
        <v>0</v>
      </c>
      <c r="T31" s="86" t="s">
        <v>380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5">
      <c r="A32" s="112" t="s">
        <v>304</v>
      </c>
      <c r="B32" s="64"/>
      <c r="C32" s="329"/>
      <c r="D32" s="113" t="s">
        <v>305</v>
      </c>
      <c r="E32" s="330"/>
      <c r="G32" s="86" t="s">
        <v>379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356</v>
      </c>
      <c r="U32" s="93">
        <v>16</v>
      </c>
      <c r="V32" s="93">
        <v>16</v>
      </c>
      <c r="W32" s="93">
        <v>16</v>
      </c>
      <c r="X32" s="87"/>
    </row>
    <row r="33" spans="1:31" ht="13.8" thickBot="1" x14ac:dyDescent="0.3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362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5">
      <c r="A34" s="80" t="s">
        <v>333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359</v>
      </c>
      <c r="U34" s="322">
        <v>3300</v>
      </c>
      <c r="V34" s="322">
        <v>3300</v>
      </c>
      <c r="W34" s="322">
        <v>3300</v>
      </c>
      <c r="X34" s="87"/>
    </row>
    <row r="35" spans="1:31" ht="13.8" thickBot="1" x14ac:dyDescent="0.3">
      <c r="A35" s="313" t="s">
        <v>13</v>
      </c>
      <c r="B35" s="156"/>
      <c r="C35" s="281"/>
      <c r="D35" s="287">
        <v>500</v>
      </c>
      <c r="E35" s="341" t="s">
        <v>334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358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5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8" thickBot="1" x14ac:dyDescent="0.3">
      <c r="A37" s="95" t="s">
        <v>323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8" thickBot="1" x14ac:dyDescent="0.3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369</v>
      </c>
      <c r="U38" s="319"/>
      <c r="V38" s="319"/>
      <c r="W38" s="81"/>
      <c r="X38" s="99"/>
    </row>
    <row r="39" spans="1:31" x14ac:dyDescent="0.25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370</v>
      </c>
      <c r="U39" s="107" t="s">
        <v>371</v>
      </c>
      <c r="V39" s="107"/>
      <c r="W39" s="49"/>
      <c r="X39" s="87"/>
    </row>
    <row r="40" spans="1:31" ht="13.8" thickBot="1" x14ac:dyDescent="0.3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5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5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5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5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5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8" thickBot="1" x14ac:dyDescent="0.3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373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5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5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363</v>
      </c>
      <c r="N48" s="49"/>
      <c r="O48" s="49"/>
      <c r="P48" s="146">
        <v>776012.56952960149</v>
      </c>
      <c r="Q48" s="49"/>
      <c r="R48" s="364">
        <v>0</v>
      </c>
      <c r="Y48" s="74"/>
    </row>
    <row r="49" spans="1:25" x14ac:dyDescent="0.25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364</v>
      </c>
      <c r="N49" s="49"/>
      <c r="O49" s="49"/>
      <c r="P49" s="49"/>
      <c r="Q49" s="49"/>
      <c r="R49" s="364">
        <v>0</v>
      </c>
    </row>
    <row r="50" spans="1:25" x14ac:dyDescent="0.25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5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0</v>
      </c>
    </row>
    <row r="52" spans="1:25" ht="13.8" thickBot="1" x14ac:dyDescent="0.3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13000</v>
      </c>
    </row>
    <row r="53" spans="1:25" x14ac:dyDescent="0.25">
      <c r="A53" s="86" t="s">
        <v>320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5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5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5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5">
      <c r="A57" s="86" t="s">
        <v>324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5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5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8" thickBot="1" x14ac:dyDescent="0.3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4" t="s">
        <v>315</v>
      </c>
      <c r="D62" s="74">
        <v>0.04</v>
      </c>
      <c r="G62"/>
      <c r="H62"/>
      <c r="I62"/>
      <c r="J62"/>
      <c r="K62"/>
      <c r="M62"/>
      <c r="Y62" s="74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5">
      <c r="A104"/>
      <c r="B104"/>
      <c r="C104"/>
      <c r="D104"/>
      <c r="E104"/>
      <c r="F104"/>
      <c r="L104"/>
      <c r="M104"/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9" zoomScale="75" workbookViewId="0">
      <selection activeCell="D65" sqref="D65"/>
    </sheetView>
  </sheetViews>
  <sheetFormatPr defaultColWidth="9.109375" defaultRowHeight="13.2" x14ac:dyDescent="0.25"/>
  <cols>
    <col min="1" max="1" width="29.6640625" style="34" customWidth="1"/>
    <col min="2" max="2" width="13.6640625" style="34" customWidth="1"/>
    <col min="3" max="3" width="20.5546875" style="34" customWidth="1"/>
    <col min="4" max="14" width="10.6640625" style="34" customWidth="1"/>
    <col min="15" max="16384" width="9.109375" style="34"/>
  </cols>
  <sheetData>
    <row r="1" spans="1:14" ht="15.6" x14ac:dyDescent="0.3">
      <c r="A1" s="147" t="s">
        <v>114</v>
      </c>
      <c r="B1" s="168"/>
    </row>
    <row r="2" spans="1:14" ht="15.6" x14ac:dyDescent="0.3">
      <c r="A2" s="160">
        <f>ASS!A4</f>
        <v>0</v>
      </c>
      <c r="B2" s="111"/>
    </row>
    <row r="3" spans="1:14" x14ac:dyDescent="0.25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5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5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5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5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5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5">
      <c r="A9" s="85" t="s">
        <v>361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5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5">
      <c r="A11" s="47" t="s">
        <v>349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5">
      <c r="A12" s="47" t="s">
        <v>335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5">
      <c r="A13" s="47" t="s">
        <v>350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5">
      <c r="A14" s="47" t="s">
        <v>336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5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5">
      <c r="A16" s="47" t="s">
        <v>317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5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5">
      <c r="A18" s="85" t="s">
        <v>316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5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5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5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5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5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5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5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5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5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5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5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5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5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5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5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5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5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5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5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5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5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5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5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5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5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5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5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5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5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5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5">
      <c r="A49" s="85" t="s">
        <v>301</v>
      </c>
      <c r="B49" s="69"/>
      <c r="C49" s="270" t="s">
        <v>337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5">
      <c r="A50" s="47" t="s">
        <v>130</v>
      </c>
      <c r="B50" s="49"/>
      <c r="C50" s="49"/>
      <c r="D50" s="116">
        <f>(DEPR!F27)</f>
        <v>456.14035087719299</v>
      </c>
      <c r="E50" s="116">
        <f>DEPR!G27</f>
        <v>456.14035087719299</v>
      </c>
      <c r="F50" s="116">
        <f>DEPR!H27</f>
        <v>456.14035087719299</v>
      </c>
      <c r="G50" s="116">
        <f>DEPR!I27</f>
        <v>456.14035087719299</v>
      </c>
      <c r="H50" s="116">
        <f>DEPR!J27</f>
        <v>456.14035087719299</v>
      </c>
      <c r="I50" s="116">
        <f>DEPR!K27</f>
        <v>456.14035087719299</v>
      </c>
      <c r="J50" s="116">
        <f>DEPR!L27</f>
        <v>456.14035087719299</v>
      </c>
      <c r="K50" s="116">
        <f>DEPR!M27</f>
        <v>456.14035087719299</v>
      </c>
      <c r="L50" s="116">
        <f>DEPR!N27</f>
        <v>456.14035087719299</v>
      </c>
      <c r="M50" s="116">
        <f>DEPR!O27</f>
        <v>456.14035087719299</v>
      </c>
      <c r="N50" s="72">
        <f>SUM(D50:M50)</f>
        <v>4561.4035087719285</v>
      </c>
      <c r="O50" s="306" t="str">
        <f>IF(ABS(-$N$50-ASS!$I$21)&lt;0.1," ","WARNING:  CHECK DEPRECIATION")</f>
        <v>WARNING:  CHECK DEPRECIATION</v>
      </c>
    </row>
    <row r="51" spans="1:16" x14ac:dyDescent="0.25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5">
      <c r="A52" s="85" t="s">
        <v>131</v>
      </c>
      <c r="B52" s="69"/>
      <c r="C52" s="69"/>
      <c r="D52" s="142">
        <f>D49-D50</f>
        <v>6594.8996491228072</v>
      </c>
      <c r="E52" s="142">
        <f>E49-E50</f>
        <v>5693.9204491228074</v>
      </c>
      <c r="F52" s="142">
        <f>F49-F50</f>
        <v>4792.9216651228071</v>
      </c>
      <c r="G52" s="142">
        <f t="shared" ref="G52:M52" si="13">G49-G50</f>
        <v>4791.9029054428074</v>
      </c>
      <c r="H52" s="142">
        <f t="shared" si="13"/>
        <v>4790.8637705692072</v>
      </c>
      <c r="I52" s="142">
        <f t="shared" si="13"/>
        <v>4789.803852998135</v>
      </c>
      <c r="J52" s="142">
        <f t="shared" si="13"/>
        <v>4788.7227370756418</v>
      </c>
      <c r="K52" s="142">
        <f t="shared" si="13"/>
        <v>4787.6199988346989</v>
      </c>
      <c r="L52" s="142">
        <f t="shared" si="13"/>
        <v>4786.4952058289364</v>
      </c>
      <c r="M52" s="142">
        <f t="shared" si="13"/>
        <v>4785.3479169630591</v>
      </c>
      <c r="N52" s="68">
        <f>SUM(D52:M52)</f>
        <v>50602.498151080908</v>
      </c>
    </row>
    <row r="53" spans="1:16" x14ac:dyDescent="0.25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5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5">
      <c r="A55" s="85" t="s">
        <v>133</v>
      </c>
      <c r="B55" s="69"/>
      <c r="C55" s="69"/>
      <c r="D55" s="142">
        <f>SUM(D52:D53)</f>
        <v>6594.8996491228072</v>
      </c>
      <c r="E55" s="142">
        <f>SUM(E52:E53)</f>
        <v>5693.9204491228074</v>
      </c>
      <c r="F55" s="142">
        <f>SUM(F52:F53)</f>
        <v>4792.9216651228071</v>
      </c>
      <c r="G55" s="142">
        <f t="shared" ref="G55:M55" si="14">SUM(G52:G53)</f>
        <v>4791.9029054428074</v>
      </c>
      <c r="H55" s="142">
        <f t="shared" si="14"/>
        <v>4790.8637705692072</v>
      </c>
      <c r="I55" s="142">
        <f t="shared" si="14"/>
        <v>4789.803852998135</v>
      </c>
      <c r="J55" s="142">
        <f t="shared" si="14"/>
        <v>4788.7227370756418</v>
      </c>
      <c r="K55" s="142">
        <f t="shared" si="14"/>
        <v>4787.6199988346989</v>
      </c>
      <c r="L55" s="142">
        <f t="shared" si="14"/>
        <v>4786.4952058289364</v>
      </c>
      <c r="M55" s="142">
        <f t="shared" si="14"/>
        <v>4785.3479169630591</v>
      </c>
      <c r="N55" s="68">
        <f>SUM(D55:M55)</f>
        <v>50602.498151080908</v>
      </c>
    </row>
    <row r="56" spans="1:16" x14ac:dyDescent="0.25">
      <c r="A56" s="47" t="s">
        <v>134</v>
      </c>
      <c r="B56" s="194"/>
      <c r="C56" s="49"/>
      <c r="D56" s="116">
        <f>TAXES_FEES!D14</f>
        <v>2625.4159999999997</v>
      </c>
      <c r="E56" s="116">
        <f>TAXES_FEES!E14</f>
        <v>2084.6363199999996</v>
      </c>
      <c r="F56" s="116">
        <f>TAXES_FEES!F14</f>
        <v>1752.9408063999997</v>
      </c>
      <c r="G56" s="116">
        <f>TAXES_FEES!G14</f>
        <v>1778.0133025279999</v>
      </c>
      <c r="H56" s="116">
        <f>TAXES_FEES!H14</f>
        <v>1801.7256485785597</v>
      </c>
      <c r="I56" s="116">
        <f>TAXES_FEES!I14</f>
        <v>1823.5576815501308</v>
      </c>
      <c r="J56" s="116">
        <f>TAXES_FEES!J14</f>
        <v>1843.7692351811338</v>
      </c>
      <c r="K56" s="116">
        <f>TAXES_FEES!K14</f>
        <v>1862.3601398847566</v>
      </c>
      <c r="L56" s="116">
        <f>TAXES_FEES!L14</f>
        <v>1865.0302226824517</v>
      </c>
      <c r="M56" s="116">
        <f>TAXES_FEES!M14</f>
        <v>1864.6233071361005</v>
      </c>
      <c r="N56" s="73">
        <f>SUM(D56:M56)</f>
        <v>19302.072663941137</v>
      </c>
    </row>
    <row r="57" spans="1:16" x14ac:dyDescent="0.25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5">
      <c r="A58" s="169" t="s">
        <v>135</v>
      </c>
      <c r="B58" s="170"/>
      <c r="C58" s="170"/>
      <c r="D58" s="171">
        <f>D55-D56</f>
        <v>3969.4836491228075</v>
      </c>
      <c r="E58" s="171">
        <f>E55-E56</f>
        <v>3609.2841291228078</v>
      </c>
      <c r="F58" s="171">
        <f>F55-F56</f>
        <v>3039.9808587228072</v>
      </c>
      <c r="G58" s="171">
        <f t="shared" ref="G58:M58" si="15">G55-G56</f>
        <v>3013.8896029148073</v>
      </c>
      <c r="H58" s="171">
        <f t="shared" si="15"/>
        <v>2989.1381219906475</v>
      </c>
      <c r="I58" s="171">
        <f t="shared" si="15"/>
        <v>2966.2461714480041</v>
      </c>
      <c r="J58" s="171">
        <f t="shared" si="15"/>
        <v>2944.953501894508</v>
      </c>
      <c r="K58" s="171">
        <f t="shared" si="15"/>
        <v>2925.2598589499421</v>
      </c>
      <c r="L58" s="171">
        <f t="shared" si="15"/>
        <v>2921.4649831464849</v>
      </c>
      <c r="M58" s="171">
        <f t="shared" si="15"/>
        <v>2920.7246098269588</v>
      </c>
      <c r="N58" s="171">
        <f>N55-N56</f>
        <v>31300.425487139772</v>
      </c>
    </row>
    <row r="59" spans="1:16" x14ac:dyDescent="0.25">
      <c r="A59" s="47" t="s">
        <v>136</v>
      </c>
      <c r="B59" s="49"/>
      <c r="C59" s="49"/>
      <c r="D59" s="115">
        <f>DEPR!F27</f>
        <v>456.14035087719299</v>
      </c>
      <c r="E59" s="115">
        <f>DEPR!G26</f>
        <v>456.14035087719299</v>
      </c>
      <c r="F59" s="115">
        <f>DEPR!H26</f>
        <v>456.14035087719299</v>
      </c>
      <c r="G59" s="115">
        <f>DEPR!I26</f>
        <v>456.14035087719299</v>
      </c>
      <c r="H59" s="115">
        <f>DEPR!J26</f>
        <v>456.14035087719299</v>
      </c>
      <c r="I59" s="115">
        <f>DEPR!K26</f>
        <v>456.14035087719299</v>
      </c>
      <c r="J59" s="115">
        <f>DEPR!L26</f>
        <v>456.14035087719299</v>
      </c>
      <c r="K59" s="115">
        <f>DEPR!M26</f>
        <v>456.14035087719299</v>
      </c>
      <c r="L59" s="115">
        <f>DEPR!N26</f>
        <v>456.14035087719299</v>
      </c>
      <c r="M59" s="115">
        <f>DEPR!O26</f>
        <v>456.14035087719299</v>
      </c>
      <c r="N59" s="67">
        <f t="shared" ref="N59:N67" si="16">SUM(D59:M59)</f>
        <v>4561.4035087719285</v>
      </c>
    </row>
    <row r="60" spans="1:16" x14ac:dyDescent="0.25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5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5">
      <c r="A62" s="47" t="s">
        <v>140</v>
      </c>
      <c r="B62" s="49"/>
      <c r="C62" s="266"/>
      <c r="D62" s="210">
        <f>-D56</f>
        <v>-2625.4159999999997</v>
      </c>
      <c r="E62" s="210">
        <f>-E56</f>
        <v>-2084.6363199999996</v>
      </c>
      <c r="F62" s="210">
        <f>-F56</f>
        <v>-1752.9408063999997</v>
      </c>
      <c r="G62" s="210">
        <f t="shared" ref="G62:M62" si="19">-G56</f>
        <v>-1778.0133025279999</v>
      </c>
      <c r="H62" s="210">
        <f t="shared" si="19"/>
        <v>-1801.7256485785597</v>
      </c>
      <c r="I62" s="210">
        <f t="shared" si="19"/>
        <v>-1823.5576815501308</v>
      </c>
      <c r="J62" s="210">
        <f t="shared" si="19"/>
        <v>-1843.7692351811338</v>
      </c>
      <c r="K62" s="210">
        <f t="shared" si="19"/>
        <v>-1862.3601398847566</v>
      </c>
      <c r="L62" s="210">
        <f t="shared" si="19"/>
        <v>-1865.0302226824517</v>
      </c>
      <c r="M62" s="210">
        <f t="shared" si="19"/>
        <v>-1864.6233071361005</v>
      </c>
      <c r="N62" s="67">
        <f t="shared" si="16"/>
        <v>-19302.072663941137</v>
      </c>
    </row>
    <row r="63" spans="1:16" x14ac:dyDescent="0.25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5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5">
      <c r="A65" s="47" t="s">
        <v>141</v>
      </c>
      <c r="B65" s="49"/>
      <c r="C65" s="49"/>
      <c r="D65" s="266">
        <f>TAXES_FEES!D14</f>
        <v>2625.4159999999997</v>
      </c>
      <c r="E65" s="266">
        <f>0+TAXES_FEES!E14</f>
        <v>2084.6363199999996</v>
      </c>
      <c r="F65" s="266">
        <f>0+TAXES_FEES!F14</f>
        <v>1752.9408063999997</v>
      </c>
      <c r="G65" s="266">
        <f>0+TAXES_FEES!G14</f>
        <v>1778.0133025279999</v>
      </c>
      <c r="H65" s="266">
        <f>0+TAXES_FEES!H14</f>
        <v>1801.7256485785597</v>
      </c>
      <c r="I65" s="266">
        <f>0+TAXES_FEES!I14</f>
        <v>1823.5576815501308</v>
      </c>
      <c r="J65" s="266">
        <f>0+TAXES_FEES!J14</f>
        <v>1843.7692351811338</v>
      </c>
      <c r="K65" s="266">
        <f>0+TAXES_FEES!K14</f>
        <v>1862.3601398847566</v>
      </c>
      <c r="L65" s="266">
        <f>0+TAXES_FEES!L14</f>
        <v>1865.0302226824517</v>
      </c>
      <c r="M65" s="266">
        <f>0+TAXES_FEES!M14</f>
        <v>1864.6233071361005</v>
      </c>
      <c r="N65" s="67">
        <f t="shared" si="16"/>
        <v>19302.072663941137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5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5">
      <c r="A67" s="173" t="s">
        <v>143</v>
      </c>
      <c r="B67" s="174"/>
      <c r="C67" s="174"/>
      <c r="D67" s="175">
        <f>SUM(D58:D66)</f>
        <v>4425.6240000000007</v>
      </c>
      <c r="E67" s="175">
        <f>SUM(E58:E66)</f>
        <v>4065.4244800000006</v>
      </c>
      <c r="F67" s="175">
        <f>SUM(F58:F66)</f>
        <v>3496.1212095999999</v>
      </c>
      <c r="G67" s="175">
        <f t="shared" ref="G67:M67" si="20">SUM(G58:G66)</f>
        <v>3470.029953792</v>
      </c>
      <c r="H67" s="175">
        <f t="shared" si="20"/>
        <v>3445.2784728678407</v>
      </c>
      <c r="I67" s="175">
        <f t="shared" si="20"/>
        <v>3422.3865223251969</v>
      </c>
      <c r="J67" s="175">
        <f t="shared" si="20"/>
        <v>3401.0938527717008</v>
      </c>
      <c r="K67" s="175">
        <f t="shared" si="20"/>
        <v>3381.4002098271349</v>
      </c>
      <c r="L67" s="175">
        <f t="shared" si="20"/>
        <v>3377.6053340236776</v>
      </c>
      <c r="M67" s="175">
        <f t="shared" si="20"/>
        <v>3376.8649607041516</v>
      </c>
      <c r="N67" s="176">
        <f t="shared" si="16"/>
        <v>35861.828995911703</v>
      </c>
    </row>
    <row r="68" spans="1:16" x14ac:dyDescent="0.25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5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5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5"/>
    <row r="73" spans="1:16" x14ac:dyDescent="0.25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5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5">
      <c r="A80" s="274"/>
    </row>
    <row r="81" spans="1:1" x14ac:dyDescent="0.25">
      <c r="A81" s="274"/>
    </row>
    <row r="82" spans="1:1" x14ac:dyDescent="0.25">
      <c r="A82" s="27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14" sqref="D14"/>
    </sheetView>
  </sheetViews>
  <sheetFormatPr defaultColWidth="9.109375" defaultRowHeight="13.2" x14ac:dyDescent="0.25"/>
  <cols>
    <col min="1" max="1" width="18" style="34" bestFit="1" customWidth="1"/>
    <col min="2" max="2" width="32" style="34" customWidth="1"/>
    <col min="3" max="3" width="3.6640625" style="34" customWidth="1"/>
    <col min="4" max="4" width="10.33203125" style="34" bestFit="1" customWidth="1"/>
    <col min="5" max="14" width="9.109375" style="34"/>
    <col min="15" max="15" width="9.88671875" style="34" bestFit="1" customWidth="1"/>
    <col min="16" max="16384" width="9.109375" style="34"/>
  </cols>
  <sheetData>
    <row r="1" spans="1:17" ht="15.6" x14ac:dyDescent="0.3">
      <c r="A1" s="147" t="s">
        <v>148</v>
      </c>
      <c r="B1" s="159"/>
    </row>
    <row r="2" spans="1:17" ht="15.6" x14ac:dyDescent="0.3">
      <c r="A2" s="160">
        <f>ASS!A4</f>
        <v>0</v>
      </c>
      <c r="B2" s="161"/>
    </row>
    <row r="3" spans="1:17" x14ac:dyDescent="0.25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5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5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5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5">
      <c r="A7" s="47"/>
      <c r="B7" s="49" t="s">
        <v>151</v>
      </c>
      <c r="C7" s="49"/>
      <c r="D7" s="303">
        <f>-EQUITY</f>
        <v>-13000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-13000</v>
      </c>
      <c r="P7" s="77" t="str">
        <f>IF(ABS(O7+EQUITY)&lt;0.1," ", "CHECK")</f>
        <v xml:space="preserve"> </v>
      </c>
    </row>
    <row r="8" spans="1:17" x14ac:dyDescent="0.25">
      <c r="A8" s="47"/>
      <c r="B8" s="49" t="s">
        <v>152</v>
      </c>
      <c r="C8" s="49"/>
      <c r="D8" s="301">
        <f>CF!C67</f>
        <v>0</v>
      </c>
      <c r="E8" s="301">
        <f>CF!D67</f>
        <v>4425.6240000000007</v>
      </c>
      <c r="F8" s="301">
        <f>CF!E67</f>
        <v>4065.4244800000006</v>
      </c>
      <c r="G8" s="301">
        <f>CF!F67</f>
        <v>3496.1212095999999</v>
      </c>
      <c r="H8" s="301">
        <f>CF!G67</f>
        <v>3470.029953792</v>
      </c>
      <c r="I8" s="301">
        <f>CF!H67</f>
        <v>3445.2784728678407</v>
      </c>
      <c r="J8" s="301">
        <f>CF!I67</f>
        <v>3422.3865223251969</v>
      </c>
      <c r="K8" s="301">
        <f>CF!J67</f>
        <v>3401.0938527717008</v>
      </c>
      <c r="L8" s="301">
        <f>CF!K67</f>
        <v>3381.4002098271349</v>
      </c>
      <c r="M8" s="301">
        <f>CF!L67</f>
        <v>3377.6053340236776</v>
      </c>
      <c r="N8" s="301">
        <f>CF!M67</f>
        <v>3376.8649607041516</v>
      </c>
      <c r="O8" s="67">
        <f>SUM(D8:N8)</f>
        <v>35861.828995911703</v>
      </c>
      <c r="P8" s="77" t="str">
        <f>IF(ABS($O$8-CF!$N$67)&lt;0.01," ","CHECK:  DOES NOT EQUAL TOTAL CF DISTRIBUTED")</f>
        <v xml:space="preserve"> </v>
      </c>
    </row>
    <row r="9" spans="1:17" s="65" customFormat="1" x14ac:dyDescent="0.25">
      <c r="A9" s="101"/>
      <c r="B9" s="49" t="s">
        <v>153</v>
      </c>
      <c r="C9" s="49"/>
      <c r="D9" s="117">
        <f>SUM(D7:D8)</f>
        <v>-13000</v>
      </c>
      <c r="E9" s="117">
        <f>SUM(E7:E8)</f>
        <v>4425.6240000000007</v>
      </c>
      <c r="F9" s="117">
        <f>SUM(F7:F8)</f>
        <v>4065.4244800000006</v>
      </c>
      <c r="G9" s="117">
        <f>SUM(G7:G8)</f>
        <v>3496.1212095999999</v>
      </c>
      <c r="H9" s="117">
        <f t="shared" ref="H9:N9" si="2">SUM(H7:H8)</f>
        <v>3470.029953792</v>
      </c>
      <c r="I9" s="117">
        <f t="shared" si="2"/>
        <v>3445.2784728678407</v>
      </c>
      <c r="J9" s="117">
        <f t="shared" si="2"/>
        <v>3422.3865223251969</v>
      </c>
      <c r="K9" s="117">
        <f t="shared" si="2"/>
        <v>3401.0938527717008</v>
      </c>
      <c r="L9" s="117">
        <f t="shared" si="2"/>
        <v>3381.4002098271349</v>
      </c>
      <c r="M9" s="117">
        <f t="shared" si="2"/>
        <v>3377.6053340236776</v>
      </c>
      <c r="N9" s="117">
        <f t="shared" si="2"/>
        <v>3376.8649607041516</v>
      </c>
      <c r="O9" s="72">
        <f>SUM(D9:N9)</f>
        <v>22861.828995911703</v>
      </c>
      <c r="Q9" s="34"/>
    </row>
    <row r="10" spans="1:17" x14ac:dyDescent="0.25">
      <c r="A10" s="47"/>
      <c r="B10" s="49" t="s">
        <v>154</v>
      </c>
      <c r="C10" s="49"/>
      <c r="D10" s="115">
        <f>D9</f>
        <v>-13000</v>
      </c>
      <c r="E10" s="115">
        <f>$D$9+NPV(DISC, $E$9:E9)</f>
        <v>-8976.7054545454539</v>
      </c>
      <c r="F10" s="115">
        <f>$D$9+NPV(DISC, $E$9:F9)</f>
        <v>-5616.8505123966943</v>
      </c>
      <c r="G10" s="115">
        <f>$D$9+NPV(DISC, $E$9:G9)</f>
        <v>-2990.1629018782878</v>
      </c>
      <c r="H10" s="115">
        <f>$D$9+NPV(DISC, $E$9:H9)</f>
        <v>-620.08575291851776</v>
      </c>
      <c r="I10" s="115">
        <f>$D$9+NPV(DISC, $E$9:I9)</f>
        <v>1519.1611147618059</v>
      </c>
      <c r="J10" s="115">
        <f>$D$9+NPV(DISC, $E$9:J9)</f>
        <v>3451.0090851817877</v>
      </c>
      <c r="K10" s="115">
        <f>$D$9+NPV(DISC, $E$9:K9)</f>
        <v>5196.3080065961367</v>
      </c>
      <c r="L10" s="115">
        <f>$D$9+NPV(DISC, $E$9:L9)</f>
        <v>6773.7561599232358</v>
      </c>
      <c r="M10" s="115">
        <f>$D$9+NPV(DISC, $E$9:M9)</f>
        <v>8206.1905378848751</v>
      </c>
      <c r="N10" s="115">
        <f>$D$9+NPV(DISC, $E$9:N9)</f>
        <v>9508.1181627940823</v>
      </c>
      <c r="O10" s="67">
        <f>SUM(D10:N10)</f>
        <v>3450.7384454029743</v>
      </c>
    </row>
    <row r="11" spans="1:17" x14ac:dyDescent="0.25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-0.24523382154865908</v>
      </c>
      <c r="G11" s="51">
        <f>IRR($D$9:G9, $D$13)</f>
        <v>-4.1027342609239729E-2</v>
      </c>
      <c r="H11" s="51">
        <f>IRR($D$9:H9, $D$13)</f>
        <v>7.6704439416606859E-2</v>
      </c>
      <c r="I11" s="51">
        <f>IRR($D$9:I9, $D$13)</f>
        <v>0.14719386333753071</v>
      </c>
      <c r="J11" s="51">
        <f>IRR($D$9:J9, $D$13)</f>
        <v>0.19141153707593681</v>
      </c>
      <c r="K11" s="51">
        <f>IRR($D$9:K9, $D$13)</f>
        <v>0.22027187923063296</v>
      </c>
      <c r="L11" s="51">
        <f>IRR($D$9:L9, $D$13)</f>
        <v>0.23972162383482865</v>
      </c>
      <c r="M11" s="51">
        <f>IRR($D$9:M9, $D$13)</f>
        <v>0.2532233857225058</v>
      </c>
      <c r="N11" s="51">
        <f>IRR($D$9:N9, $D$13)</f>
        <v>0.26279155757995692</v>
      </c>
      <c r="O11" s="67" t="e">
        <f>SUM(D11:N11)</f>
        <v>#NUM!</v>
      </c>
    </row>
    <row r="12" spans="1:17" ht="13.8" thickBot="1" x14ac:dyDescent="0.3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5">
      <c r="A13" s="47"/>
      <c r="B13" s="80" t="s">
        <v>366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5">
      <c r="A14" s="47"/>
      <c r="B14" s="90" t="s">
        <v>367</v>
      </c>
      <c r="C14" s="292"/>
      <c r="D14" s="374">
        <f>$D$9+NPV(DISC,$E$9:N9)</f>
        <v>9508.1181627940823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5">
      <c r="A15" s="47"/>
      <c r="B15" s="90" t="s">
        <v>2</v>
      </c>
      <c r="C15" s="49"/>
      <c r="D15" s="164">
        <f>IRR($D$9:N9,D13)</f>
        <v>0.26279155757995692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8" thickBot="1" x14ac:dyDescent="0.3">
      <c r="A16" s="58"/>
      <c r="B16" s="165" t="s">
        <v>156</v>
      </c>
      <c r="C16" s="96"/>
      <c r="D16" s="375">
        <f>MAX(E16:N16)</f>
        <v>4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0</v>
      </c>
      <c r="I16" s="162">
        <f t="shared" si="3"/>
        <v>4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5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5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5">
      <c r="A20" s="119">
        <f>ASS!$I$26</f>
        <v>1</v>
      </c>
      <c r="B20" s="49" t="s">
        <v>151</v>
      </c>
      <c r="C20" s="49"/>
      <c r="D20" s="303">
        <f>-EQUITY</f>
        <v>-13000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-13000</v>
      </c>
    </row>
    <row r="21" spans="1:18" x14ac:dyDescent="0.25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4425.6240000000007</v>
      </c>
      <c r="F21" s="301">
        <f>CF!E67</f>
        <v>4065.4244800000006</v>
      </c>
      <c r="G21" s="115">
        <f>G8*$A$21</f>
        <v>3496.1212095999999</v>
      </c>
      <c r="H21" s="115">
        <f t="shared" ref="H21:N21" si="5">H8*$A$21</f>
        <v>3470.029953792</v>
      </c>
      <c r="I21" s="115">
        <f t="shared" si="5"/>
        <v>3445.2784728678407</v>
      </c>
      <c r="J21" s="115">
        <f t="shared" si="5"/>
        <v>3422.3865223251969</v>
      </c>
      <c r="K21" s="115">
        <f t="shared" si="5"/>
        <v>3401.0938527717008</v>
      </c>
      <c r="L21" s="115">
        <f t="shared" si="5"/>
        <v>3381.4002098271349</v>
      </c>
      <c r="M21" s="115">
        <f t="shared" si="5"/>
        <v>3377.6053340236776</v>
      </c>
      <c r="N21" s="115">
        <f t="shared" si="5"/>
        <v>3376.8649607041516</v>
      </c>
      <c r="O21" s="67">
        <f>SUM(D21:N21)</f>
        <v>35861.828995911703</v>
      </c>
    </row>
    <row r="22" spans="1:18" s="121" customFormat="1" x14ac:dyDescent="0.25">
      <c r="A22" s="120"/>
      <c r="B22" s="49" t="s">
        <v>153</v>
      </c>
      <c r="C22" s="49"/>
      <c r="D22" s="117">
        <f>SUM(D20:D21)</f>
        <v>-13000</v>
      </c>
      <c r="E22" s="117">
        <f>SUM(E20:E21)</f>
        <v>4425.6240000000007</v>
      </c>
      <c r="F22" s="117">
        <f>SUM(F20:F21)</f>
        <v>4065.4244800000006</v>
      </c>
      <c r="G22" s="117">
        <f>SUM(G21:G21)</f>
        <v>3496.1212095999999</v>
      </c>
      <c r="H22" s="117">
        <f t="shared" ref="H22:N22" si="6">SUM(H21:H21)</f>
        <v>3470.029953792</v>
      </c>
      <c r="I22" s="117">
        <f t="shared" si="6"/>
        <v>3445.2784728678407</v>
      </c>
      <c r="J22" s="117">
        <f t="shared" si="6"/>
        <v>3422.3865223251969</v>
      </c>
      <c r="K22" s="117">
        <f t="shared" si="6"/>
        <v>3401.0938527717008</v>
      </c>
      <c r="L22" s="117">
        <f t="shared" si="6"/>
        <v>3381.4002098271349</v>
      </c>
      <c r="M22" s="117">
        <f t="shared" si="6"/>
        <v>3377.6053340236776</v>
      </c>
      <c r="N22" s="117">
        <f t="shared" si="6"/>
        <v>3376.8649607041516</v>
      </c>
      <c r="O22" s="72">
        <f>SUM(D22:N22)</f>
        <v>22861.828995911703</v>
      </c>
      <c r="Q22" s="34"/>
    </row>
    <row r="23" spans="1:18" x14ac:dyDescent="0.25">
      <c r="A23" s="47"/>
      <c r="B23" s="49" t="s">
        <v>154</v>
      </c>
      <c r="C23" s="49"/>
      <c r="D23" s="115">
        <f>D22</f>
        <v>-13000</v>
      </c>
      <c r="E23" s="115">
        <f>$D$22+NPV(DISC, E$22:$E22)</f>
        <v>-8976.7054545454539</v>
      </c>
      <c r="F23" s="115">
        <f>$D$9+NPV(DISC, $E$22:F22)</f>
        <v>-5616.8505123966943</v>
      </c>
      <c r="G23" s="115">
        <f>$D$22+NPV(DISC, $E$22:G22)</f>
        <v>-2990.1629018782878</v>
      </c>
      <c r="H23" s="115">
        <f>$D$22+NPV(DISC, $E$22:H22)</f>
        <v>-620.08575291851776</v>
      </c>
      <c r="I23" s="115">
        <f>$D$22+NPV(DISC, $E$22:I22)</f>
        <v>1519.1611147618059</v>
      </c>
      <c r="J23" s="115">
        <f>$D$22+NPV(DISC, $E$22:J22)</f>
        <v>3451.0090851817877</v>
      </c>
      <c r="K23" s="115">
        <f>$D$22+NPV(DISC, $E$22:K22)</f>
        <v>5196.3080065961367</v>
      </c>
      <c r="L23" s="115">
        <f>$D$22+NPV(DISC, $E$22:L22)</f>
        <v>6773.7561599232358</v>
      </c>
      <c r="M23" s="115">
        <f>$D$22+NPV(DISC, $E$22:M22)</f>
        <v>8206.1905378848751</v>
      </c>
      <c r="N23" s="115">
        <f>$D$22+NPV(DISC, $E$22:N22)</f>
        <v>9508.1181627940823</v>
      </c>
      <c r="O23" s="67">
        <f>SUM(D23:N23)</f>
        <v>3450.7384454029743</v>
      </c>
    </row>
    <row r="24" spans="1:18" x14ac:dyDescent="0.25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-0.24523382154865908</v>
      </c>
      <c r="G24" s="51">
        <f>IRR($D$9:G9,D26)</f>
        <v>-4.1027342609239729E-2</v>
      </c>
      <c r="H24" s="51">
        <f>IRR($D$9:H9,E26)</f>
        <v>7.6704439414244124E-2</v>
      </c>
      <c r="I24" s="51">
        <f>IRR($D$9:I9,F26)</f>
        <v>0.14719386333707582</v>
      </c>
      <c r="J24" s="51">
        <f>IRR($D$9:J9,G26)</f>
        <v>0.19141153707593636</v>
      </c>
      <c r="K24" s="51">
        <f>IRR($D$9:K9,H26)</f>
        <v>0.22027187923047994</v>
      </c>
      <c r="L24" s="51">
        <f>IRR($D$9:L9,I26)</f>
        <v>0.23972162383482873</v>
      </c>
      <c r="M24" s="51">
        <f>IRR($D$9:M9,J26)</f>
        <v>0.25322338572250497</v>
      </c>
      <c r="N24" s="51">
        <f>IRR($D$9:N9,K26)</f>
        <v>0.26279155757992284</v>
      </c>
      <c r="O24" s="67" t="e">
        <f>SUM(D24:N24)</f>
        <v>#NUM!</v>
      </c>
    </row>
    <row r="25" spans="1:18" ht="13.8" thickBot="1" x14ac:dyDescent="0.3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5">
      <c r="A26" s="47"/>
      <c r="B26" s="80" t="s">
        <v>366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5">
      <c r="A27" s="47"/>
      <c r="B27" s="90" t="s">
        <v>368</v>
      </c>
      <c r="C27" s="292"/>
      <c r="D27" s="374">
        <f>$D$22+NPV(DISC,$E$22:N22)</f>
        <v>9508.1181627940823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5">
      <c r="A28" s="47"/>
      <c r="B28" s="90" t="s">
        <v>3</v>
      </c>
      <c r="C28" s="69"/>
      <c r="D28" s="164">
        <f>IRR($D22:N$22,D26)</f>
        <v>0.26279155757995692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8" thickBot="1" x14ac:dyDescent="0.3">
      <c r="A29" s="58"/>
      <c r="B29" s="165" t="s">
        <v>156</v>
      </c>
      <c r="C29" s="166"/>
      <c r="D29" s="167">
        <f>MAX(E29:N29)</f>
        <v>4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0</v>
      </c>
      <c r="I29" s="162">
        <f t="shared" si="7"/>
        <v>4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5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5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5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5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5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5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5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5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5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5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5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5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5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5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5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5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5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5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5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5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5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0" workbookViewId="0">
      <selection activeCell="G8" sqref="G8"/>
    </sheetView>
  </sheetViews>
  <sheetFormatPr defaultColWidth="9.109375" defaultRowHeight="13.2" x14ac:dyDescent="0.25"/>
  <cols>
    <col min="1" max="2" width="9.109375" style="34"/>
    <col min="3" max="3" width="21.6640625" style="34" customWidth="1"/>
    <col min="4" max="6" width="9.109375" style="34"/>
    <col min="7" max="7" width="10" style="34" customWidth="1"/>
    <col min="8" max="9" width="9.109375" style="34"/>
    <col min="10" max="10" width="8.6640625" style="34" customWidth="1"/>
    <col min="11" max="11" width="13.5546875" style="34" customWidth="1"/>
    <col min="12" max="12" width="9" style="34" customWidth="1"/>
    <col min="13" max="13" width="13.88671875" style="34" customWidth="1"/>
    <col min="14" max="14" width="10.33203125" style="34" customWidth="1"/>
    <col min="15" max="15" width="15.109375" style="34" customWidth="1"/>
    <col min="16" max="16384" width="9.109375" style="34"/>
  </cols>
  <sheetData>
    <row r="1" spans="1:8" ht="15.6" x14ac:dyDescent="0.3">
      <c r="A1" s="147" t="s">
        <v>158</v>
      </c>
      <c r="B1" s="177"/>
      <c r="C1" s="159"/>
    </row>
    <row r="2" spans="1:8" ht="15.6" x14ac:dyDescent="0.3">
      <c r="A2" s="160">
        <f>ASS!A4</f>
        <v>0</v>
      </c>
      <c r="B2" s="158"/>
      <c r="C2" s="161"/>
    </row>
    <row r="3" spans="1:8" x14ac:dyDescent="0.25">
      <c r="B3" s="216" t="s">
        <v>159</v>
      </c>
      <c r="C3" s="71"/>
      <c r="D3" s="380">
        <f>COST</f>
        <v>13000</v>
      </c>
    </row>
    <row r="4" spans="1:8" x14ac:dyDescent="0.25">
      <c r="B4" s="47"/>
      <c r="E4" s="217" t="s">
        <v>160</v>
      </c>
      <c r="F4" s="122"/>
      <c r="G4" s="123"/>
    </row>
    <row r="5" spans="1:8" x14ac:dyDescent="0.25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5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5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5">
      <c r="A8" s="234">
        <v>1</v>
      </c>
      <c r="B8" s="298">
        <v>36739</v>
      </c>
      <c r="C8" s="34" t="s">
        <v>340</v>
      </c>
      <c r="D8" s="48"/>
      <c r="E8" s="378">
        <f>ASS!U40</f>
        <v>3.1E-2</v>
      </c>
      <c r="F8" s="50">
        <f>E8*$D$3</f>
        <v>403</v>
      </c>
      <c r="G8" s="57">
        <f>F8</f>
        <v>403</v>
      </c>
    </row>
    <row r="9" spans="1:8" x14ac:dyDescent="0.25">
      <c r="A9" s="34">
        <f>A8+1</f>
        <v>2</v>
      </c>
      <c r="B9" s="298">
        <v>36770</v>
      </c>
      <c r="C9" s="49" t="s">
        <v>342</v>
      </c>
      <c r="D9" s="48"/>
      <c r="E9" s="378">
        <f>ASS!U41</f>
        <v>0.20499999999999999</v>
      </c>
      <c r="F9" s="50">
        <f t="shared" ref="F9:F24" si="0">E9*$D$3</f>
        <v>2665</v>
      </c>
      <c r="G9" s="57">
        <f>F9+G8</f>
        <v>3068</v>
      </c>
    </row>
    <row r="10" spans="1:8" x14ac:dyDescent="0.25">
      <c r="A10" s="34">
        <f t="shared" ref="A10:A25" si="1">A9+1</f>
        <v>3</v>
      </c>
      <c r="B10" s="298">
        <v>36800</v>
      </c>
      <c r="C10" s="34" t="s">
        <v>346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3068</v>
      </c>
    </row>
    <row r="11" spans="1:8" customFormat="1" x14ac:dyDescent="0.25">
      <c r="A11" s="34">
        <f t="shared" si="1"/>
        <v>4</v>
      </c>
      <c r="B11" s="298">
        <v>36831</v>
      </c>
      <c r="C11" s="34" t="s">
        <v>341</v>
      </c>
      <c r="D11" s="48"/>
      <c r="E11" s="378">
        <f>ASS!U43</f>
        <v>6.3E-2</v>
      </c>
      <c r="F11" s="50">
        <f t="shared" si="0"/>
        <v>819</v>
      </c>
      <c r="G11" s="57">
        <f t="shared" si="2"/>
        <v>3887</v>
      </c>
      <c r="H11" s="34"/>
    </row>
    <row r="12" spans="1:8" customFormat="1" x14ac:dyDescent="0.25">
      <c r="A12" s="34">
        <f t="shared" si="1"/>
        <v>5</v>
      </c>
      <c r="B12" s="298">
        <v>36861</v>
      </c>
      <c r="C12" s="49" t="s">
        <v>343</v>
      </c>
      <c r="D12" s="48"/>
      <c r="E12" s="378">
        <f>ASS!U44</f>
        <v>0.7</v>
      </c>
      <c r="F12" s="50">
        <f t="shared" si="0"/>
        <v>9100</v>
      </c>
      <c r="G12" s="57">
        <f t="shared" si="2"/>
        <v>12987</v>
      </c>
      <c r="H12" s="34"/>
    </row>
    <row r="13" spans="1:8" customFormat="1" x14ac:dyDescent="0.25">
      <c r="A13" s="34">
        <f t="shared" si="1"/>
        <v>6</v>
      </c>
      <c r="B13" s="298">
        <v>36892</v>
      </c>
      <c r="C13" s="49" t="s">
        <v>344</v>
      </c>
      <c r="D13" s="48"/>
      <c r="E13" s="125">
        <v>0</v>
      </c>
      <c r="F13" s="50">
        <f t="shared" si="0"/>
        <v>0</v>
      </c>
      <c r="G13" s="57">
        <f t="shared" si="2"/>
        <v>12987</v>
      </c>
      <c r="H13" s="34"/>
    </row>
    <row r="14" spans="1:8" customFormat="1" x14ac:dyDescent="0.25">
      <c r="A14" s="34">
        <f t="shared" si="1"/>
        <v>7</v>
      </c>
      <c r="B14" s="298">
        <v>36923</v>
      </c>
      <c r="C14" s="49" t="s">
        <v>344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12987</v>
      </c>
      <c r="H14" s="34"/>
    </row>
    <row r="15" spans="1:8" customFormat="1" x14ac:dyDescent="0.25">
      <c r="A15" s="34">
        <f t="shared" si="1"/>
        <v>8</v>
      </c>
      <c r="B15" s="298">
        <v>36951</v>
      </c>
      <c r="C15" s="49" t="s">
        <v>344</v>
      </c>
      <c r="D15" s="48"/>
      <c r="E15" s="125">
        <f t="shared" si="3"/>
        <v>0</v>
      </c>
      <c r="F15" s="50">
        <f t="shared" si="0"/>
        <v>0</v>
      </c>
      <c r="G15" s="57">
        <f t="shared" si="2"/>
        <v>12987</v>
      </c>
      <c r="H15" s="34"/>
    </row>
    <row r="16" spans="1:8" customFormat="1" x14ac:dyDescent="0.25">
      <c r="A16" s="34">
        <f t="shared" si="1"/>
        <v>9</v>
      </c>
      <c r="B16" s="298">
        <v>36982</v>
      </c>
      <c r="C16" s="49" t="s">
        <v>344</v>
      </c>
      <c r="D16" s="48"/>
      <c r="E16" s="125">
        <f t="shared" si="3"/>
        <v>0</v>
      </c>
      <c r="F16" s="50">
        <f t="shared" si="0"/>
        <v>0</v>
      </c>
      <c r="G16" s="57">
        <f t="shared" si="2"/>
        <v>12987</v>
      </c>
      <c r="H16" s="34"/>
    </row>
    <row r="17" spans="1:8" customFormat="1" x14ac:dyDescent="0.25">
      <c r="A17" s="34">
        <f t="shared" si="1"/>
        <v>10</v>
      </c>
      <c r="B17" s="298">
        <v>37012</v>
      </c>
      <c r="C17" s="49" t="s">
        <v>344</v>
      </c>
      <c r="D17" s="48"/>
      <c r="E17" s="125">
        <f t="shared" si="3"/>
        <v>0</v>
      </c>
      <c r="F17" s="50">
        <f t="shared" si="0"/>
        <v>0</v>
      </c>
      <c r="G17" s="57">
        <f t="shared" si="2"/>
        <v>12987</v>
      </c>
      <c r="H17" s="34"/>
    </row>
    <row r="18" spans="1:8" customFormat="1" x14ac:dyDescent="0.25">
      <c r="A18" s="34">
        <f t="shared" si="1"/>
        <v>11</v>
      </c>
      <c r="B18" s="298">
        <v>37043</v>
      </c>
      <c r="C18" s="49" t="s">
        <v>345</v>
      </c>
      <c r="D18" s="48"/>
      <c r="E18" s="125">
        <f t="shared" si="3"/>
        <v>0</v>
      </c>
      <c r="F18" s="50">
        <f t="shared" si="0"/>
        <v>0</v>
      </c>
      <c r="G18" s="57">
        <f t="shared" si="2"/>
        <v>12987</v>
      </c>
      <c r="H18" s="34"/>
    </row>
    <row r="19" spans="1:8" customFormat="1" x14ac:dyDescent="0.25">
      <c r="A19" s="34">
        <f t="shared" si="1"/>
        <v>12</v>
      </c>
      <c r="B19" s="298">
        <v>37073</v>
      </c>
      <c r="C19" s="49" t="s">
        <v>345</v>
      </c>
      <c r="D19" s="48"/>
      <c r="E19" s="125">
        <f t="shared" si="3"/>
        <v>0</v>
      </c>
      <c r="F19" s="50">
        <f t="shared" si="0"/>
        <v>0</v>
      </c>
      <c r="G19" s="57">
        <f t="shared" si="2"/>
        <v>12987</v>
      </c>
      <c r="H19" s="34"/>
    </row>
    <row r="20" spans="1:8" customFormat="1" x14ac:dyDescent="0.25">
      <c r="A20" s="34">
        <f t="shared" si="1"/>
        <v>13</v>
      </c>
      <c r="B20" s="298">
        <v>37104</v>
      </c>
      <c r="C20" s="49" t="s">
        <v>345</v>
      </c>
      <c r="D20" s="48"/>
      <c r="E20" s="125">
        <f t="shared" si="3"/>
        <v>0</v>
      </c>
      <c r="F20" s="50">
        <f t="shared" si="0"/>
        <v>0</v>
      </c>
      <c r="G20" s="57">
        <f t="shared" si="2"/>
        <v>12987</v>
      </c>
      <c r="H20" s="34"/>
    </row>
    <row r="21" spans="1:8" customFormat="1" x14ac:dyDescent="0.25">
      <c r="A21" s="34">
        <f t="shared" si="1"/>
        <v>14</v>
      </c>
      <c r="B21" s="298">
        <v>37135</v>
      </c>
      <c r="C21" s="49" t="s">
        <v>345</v>
      </c>
      <c r="D21" s="48"/>
      <c r="E21" s="125">
        <f t="shared" si="3"/>
        <v>0</v>
      </c>
      <c r="F21" s="50">
        <f t="shared" si="0"/>
        <v>0</v>
      </c>
      <c r="G21" s="57">
        <f t="shared" si="2"/>
        <v>12987</v>
      </c>
      <c r="H21" s="34"/>
    </row>
    <row r="22" spans="1:8" x14ac:dyDescent="0.25">
      <c r="A22" s="34">
        <f t="shared" si="1"/>
        <v>15</v>
      </c>
      <c r="B22" s="298">
        <v>37165</v>
      </c>
      <c r="C22" s="49" t="s">
        <v>345</v>
      </c>
      <c r="D22" s="48"/>
      <c r="E22" s="125">
        <f t="shared" si="3"/>
        <v>0</v>
      </c>
      <c r="F22" s="50">
        <f t="shared" si="0"/>
        <v>0</v>
      </c>
      <c r="G22" s="57">
        <f t="shared" si="2"/>
        <v>12987</v>
      </c>
    </row>
    <row r="23" spans="1:8" x14ac:dyDescent="0.25">
      <c r="A23" s="34">
        <f t="shared" si="1"/>
        <v>16</v>
      </c>
      <c r="B23" s="298">
        <v>37196</v>
      </c>
      <c r="C23" s="49" t="s">
        <v>345</v>
      </c>
      <c r="D23" s="48"/>
      <c r="E23" s="125">
        <f t="shared" si="3"/>
        <v>0</v>
      </c>
      <c r="F23" s="50">
        <f t="shared" si="0"/>
        <v>0</v>
      </c>
      <c r="G23" s="57">
        <f t="shared" si="2"/>
        <v>12987</v>
      </c>
    </row>
    <row r="24" spans="1:8" x14ac:dyDescent="0.25">
      <c r="A24" s="34">
        <f t="shared" si="1"/>
        <v>17</v>
      </c>
      <c r="B24" s="298">
        <v>37226</v>
      </c>
      <c r="C24" s="49" t="s">
        <v>345</v>
      </c>
      <c r="D24" s="48"/>
      <c r="E24" s="125">
        <f t="shared" si="3"/>
        <v>0</v>
      </c>
      <c r="F24" s="50">
        <f t="shared" si="0"/>
        <v>0</v>
      </c>
      <c r="G24" s="57">
        <f t="shared" si="2"/>
        <v>12987</v>
      </c>
    </row>
    <row r="25" spans="1:8" x14ac:dyDescent="0.25">
      <c r="A25" s="34">
        <f t="shared" si="1"/>
        <v>18</v>
      </c>
      <c r="B25" s="298">
        <v>37257</v>
      </c>
      <c r="C25" s="49" t="s">
        <v>345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12987</v>
      </c>
    </row>
    <row r="26" spans="1:8" x14ac:dyDescent="0.25">
      <c r="A26" s="34">
        <f t="shared" ref="A26:A41" si="6">A25+1</f>
        <v>19</v>
      </c>
      <c r="B26" s="298">
        <v>37288</v>
      </c>
      <c r="C26" s="49" t="s">
        <v>345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12987</v>
      </c>
    </row>
    <row r="27" spans="1:8" x14ac:dyDescent="0.25">
      <c r="A27" s="34">
        <f t="shared" si="6"/>
        <v>20</v>
      </c>
      <c r="B27" s="298">
        <v>37316</v>
      </c>
      <c r="C27" s="49" t="s">
        <v>345</v>
      </c>
      <c r="D27" s="48"/>
      <c r="E27" s="125">
        <f t="shared" si="4"/>
        <v>0</v>
      </c>
      <c r="F27" s="50">
        <f t="shared" si="5"/>
        <v>0</v>
      </c>
      <c r="G27" s="57">
        <f t="shared" si="7"/>
        <v>12987</v>
      </c>
    </row>
    <row r="28" spans="1:8" x14ac:dyDescent="0.25">
      <c r="A28" s="34">
        <f t="shared" si="6"/>
        <v>21</v>
      </c>
      <c r="B28" s="298">
        <v>37347</v>
      </c>
      <c r="C28" s="49" t="s">
        <v>345</v>
      </c>
      <c r="D28" s="48"/>
      <c r="E28" s="125">
        <f t="shared" si="4"/>
        <v>0</v>
      </c>
      <c r="F28" s="50">
        <f t="shared" si="5"/>
        <v>0</v>
      </c>
      <c r="G28" s="57">
        <f t="shared" si="7"/>
        <v>12987</v>
      </c>
    </row>
    <row r="29" spans="1:8" x14ac:dyDescent="0.25">
      <c r="A29" s="34">
        <f t="shared" si="6"/>
        <v>22</v>
      </c>
      <c r="B29" s="298">
        <v>37377</v>
      </c>
      <c r="C29" s="49" t="s">
        <v>345</v>
      </c>
      <c r="D29" s="48"/>
      <c r="E29" s="125">
        <f t="shared" si="4"/>
        <v>0</v>
      </c>
      <c r="F29" s="50">
        <f t="shared" si="5"/>
        <v>0</v>
      </c>
      <c r="G29" s="57">
        <f t="shared" si="7"/>
        <v>12987</v>
      </c>
    </row>
    <row r="30" spans="1:8" x14ac:dyDescent="0.25">
      <c r="A30" s="34">
        <f t="shared" si="6"/>
        <v>23</v>
      </c>
      <c r="B30" s="298">
        <v>37408</v>
      </c>
      <c r="C30" s="49" t="s">
        <v>345</v>
      </c>
      <c r="D30" s="48"/>
      <c r="E30" s="125">
        <f t="shared" si="4"/>
        <v>0</v>
      </c>
      <c r="F30" s="50">
        <f t="shared" si="5"/>
        <v>0</v>
      </c>
      <c r="G30" s="57">
        <f t="shared" si="7"/>
        <v>12987</v>
      </c>
    </row>
    <row r="31" spans="1:8" x14ac:dyDescent="0.25">
      <c r="A31" s="34">
        <f t="shared" si="6"/>
        <v>24</v>
      </c>
      <c r="B31" s="298">
        <v>37438</v>
      </c>
      <c r="C31" s="49" t="s">
        <v>345</v>
      </c>
      <c r="D31" s="48"/>
      <c r="E31" s="125">
        <f t="shared" si="4"/>
        <v>0</v>
      </c>
      <c r="F31" s="50">
        <f t="shared" si="5"/>
        <v>0</v>
      </c>
      <c r="G31" s="57">
        <f t="shared" si="7"/>
        <v>12987</v>
      </c>
    </row>
    <row r="32" spans="1:8" x14ac:dyDescent="0.25">
      <c r="A32" s="34">
        <f t="shared" si="6"/>
        <v>25</v>
      </c>
      <c r="B32" s="298">
        <v>37469</v>
      </c>
      <c r="C32" s="49" t="s">
        <v>345</v>
      </c>
      <c r="D32" s="48"/>
      <c r="E32" s="125">
        <f t="shared" si="4"/>
        <v>0</v>
      </c>
      <c r="F32" s="50">
        <f t="shared" si="5"/>
        <v>0</v>
      </c>
      <c r="G32" s="57">
        <f t="shared" si="7"/>
        <v>12987</v>
      </c>
    </row>
    <row r="33" spans="1:7" x14ac:dyDescent="0.25">
      <c r="A33" s="34">
        <f t="shared" si="6"/>
        <v>26</v>
      </c>
      <c r="B33" s="298">
        <v>37500</v>
      </c>
      <c r="C33" s="49" t="s">
        <v>345</v>
      </c>
      <c r="D33" s="48"/>
      <c r="E33" s="125">
        <f t="shared" si="4"/>
        <v>0</v>
      </c>
      <c r="F33" s="50">
        <f t="shared" si="5"/>
        <v>0</v>
      </c>
      <c r="G33" s="57">
        <f t="shared" si="7"/>
        <v>12987</v>
      </c>
    </row>
    <row r="34" spans="1:7" x14ac:dyDescent="0.25">
      <c r="A34" s="34">
        <f t="shared" si="6"/>
        <v>27</v>
      </c>
      <c r="B34" s="298">
        <v>37530</v>
      </c>
      <c r="C34" s="49" t="s">
        <v>345</v>
      </c>
      <c r="D34" s="48"/>
      <c r="E34" s="125">
        <f t="shared" si="4"/>
        <v>0</v>
      </c>
      <c r="F34" s="50">
        <f t="shared" si="5"/>
        <v>0</v>
      </c>
      <c r="G34" s="57">
        <f t="shared" si="7"/>
        <v>12987</v>
      </c>
    </row>
    <row r="35" spans="1:7" x14ac:dyDescent="0.25">
      <c r="A35" s="34">
        <f t="shared" si="6"/>
        <v>28</v>
      </c>
      <c r="B35" s="298">
        <v>37561</v>
      </c>
      <c r="C35" s="49" t="s">
        <v>345</v>
      </c>
      <c r="D35" s="48"/>
      <c r="E35" s="125">
        <f t="shared" si="4"/>
        <v>0</v>
      </c>
      <c r="F35" s="50">
        <f t="shared" si="5"/>
        <v>0</v>
      </c>
      <c r="G35" s="57">
        <f t="shared" si="7"/>
        <v>12987</v>
      </c>
    </row>
    <row r="36" spans="1:7" x14ac:dyDescent="0.25">
      <c r="A36" s="34">
        <f t="shared" si="6"/>
        <v>29</v>
      </c>
      <c r="B36" s="298">
        <v>37591</v>
      </c>
      <c r="C36" s="49" t="s">
        <v>345</v>
      </c>
      <c r="D36" s="48"/>
      <c r="E36" s="125">
        <f t="shared" si="4"/>
        <v>0</v>
      </c>
      <c r="F36" s="50">
        <f t="shared" si="5"/>
        <v>0</v>
      </c>
      <c r="G36" s="57">
        <f t="shared" si="7"/>
        <v>12987</v>
      </c>
    </row>
    <row r="37" spans="1:7" x14ac:dyDescent="0.25">
      <c r="A37" s="34">
        <f t="shared" si="6"/>
        <v>30</v>
      </c>
      <c r="B37" s="298">
        <v>37622</v>
      </c>
      <c r="C37" s="49" t="s">
        <v>345</v>
      </c>
      <c r="D37" s="48"/>
      <c r="E37" s="125">
        <f t="shared" si="4"/>
        <v>0</v>
      </c>
      <c r="F37" s="50">
        <f t="shared" si="5"/>
        <v>0</v>
      </c>
      <c r="G37" s="57">
        <f t="shared" si="7"/>
        <v>12987</v>
      </c>
    </row>
    <row r="38" spans="1:7" x14ac:dyDescent="0.25">
      <c r="A38" s="34">
        <f t="shared" si="6"/>
        <v>31</v>
      </c>
      <c r="B38" s="298">
        <v>37653</v>
      </c>
      <c r="C38" s="49" t="s">
        <v>345</v>
      </c>
      <c r="D38" s="48"/>
      <c r="E38" s="125">
        <f t="shared" si="4"/>
        <v>0</v>
      </c>
      <c r="F38" s="50">
        <f t="shared" si="5"/>
        <v>0</v>
      </c>
      <c r="G38" s="57">
        <f t="shared" si="7"/>
        <v>12987</v>
      </c>
    </row>
    <row r="39" spans="1:7" x14ac:dyDescent="0.25">
      <c r="A39" s="34">
        <f t="shared" si="6"/>
        <v>32</v>
      </c>
      <c r="B39" s="298">
        <v>37681</v>
      </c>
      <c r="C39" s="49" t="s">
        <v>345</v>
      </c>
      <c r="D39" s="48"/>
      <c r="E39" s="125">
        <f t="shared" si="4"/>
        <v>0</v>
      </c>
      <c r="F39" s="50">
        <f t="shared" si="5"/>
        <v>0</v>
      </c>
      <c r="G39" s="57">
        <f t="shared" si="7"/>
        <v>12987</v>
      </c>
    </row>
    <row r="40" spans="1:7" x14ac:dyDescent="0.25">
      <c r="A40" s="34">
        <f t="shared" si="6"/>
        <v>33</v>
      </c>
      <c r="B40" s="298">
        <v>37712</v>
      </c>
      <c r="C40" s="49" t="s">
        <v>345</v>
      </c>
      <c r="D40" s="48"/>
      <c r="E40" s="125">
        <f t="shared" si="4"/>
        <v>0</v>
      </c>
      <c r="F40" s="50">
        <f t="shared" si="5"/>
        <v>0</v>
      </c>
      <c r="G40" s="57">
        <f t="shared" si="7"/>
        <v>12987</v>
      </c>
    </row>
    <row r="41" spans="1:7" x14ac:dyDescent="0.25">
      <c r="A41" s="34">
        <f t="shared" si="6"/>
        <v>34</v>
      </c>
      <c r="B41" s="298">
        <v>37742</v>
      </c>
      <c r="C41" s="49" t="s">
        <v>345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12987</v>
      </c>
    </row>
    <row r="42" spans="1:7" x14ac:dyDescent="0.25">
      <c r="A42" s="34">
        <f t="shared" ref="A42:A57" si="10">A41+1</f>
        <v>35</v>
      </c>
      <c r="B42" s="298">
        <v>37773</v>
      </c>
      <c r="C42" s="49" t="s">
        <v>345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12987</v>
      </c>
    </row>
    <row r="43" spans="1:7" x14ac:dyDescent="0.25">
      <c r="A43" s="34">
        <f t="shared" si="10"/>
        <v>36</v>
      </c>
      <c r="B43" s="298">
        <v>37803</v>
      </c>
      <c r="C43" s="49" t="s">
        <v>345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12987</v>
      </c>
    </row>
    <row r="44" spans="1:7" x14ac:dyDescent="0.25">
      <c r="A44" s="34">
        <f t="shared" si="10"/>
        <v>37</v>
      </c>
      <c r="B44" s="298">
        <v>37834</v>
      </c>
      <c r="C44" s="49" t="s">
        <v>345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12987</v>
      </c>
    </row>
    <row r="45" spans="1:7" x14ac:dyDescent="0.25">
      <c r="A45" s="34">
        <f t="shared" si="10"/>
        <v>38</v>
      </c>
      <c r="B45" s="298">
        <v>37865</v>
      </c>
      <c r="C45" s="49" t="s">
        <v>345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12987</v>
      </c>
    </row>
    <row r="46" spans="1:7" x14ac:dyDescent="0.25">
      <c r="A46" s="34">
        <f t="shared" si="10"/>
        <v>39</v>
      </c>
      <c r="B46" s="298">
        <v>37895</v>
      </c>
      <c r="C46" s="49" t="s">
        <v>345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12987</v>
      </c>
    </row>
    <row r="47" spans="1:7" x14ac:dyDescent="0.25">
      <c r="A47" s="34">
        <f t="shared" si="10"/>
        <v>40</v>
      </c>
      <c r="B47" s="298">
        <v>37926</v>
      </c>
      <c r="C47" s="49" t="s">
        <v>345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12987</v>
      </c>
    </row>
    <row r="48" spans="1:7" x14ac:dyDescent="0.25">
      <c r="A48" s="34">
        <f t="shared" si="10"/>
        <v>41</v>
      </c>
      <c r="B48" s="298">
        <v>37956</v>
      </c>
      <c r="C48" s="49" t="s">
        <v>345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12987</v>
      </c>
    </row>
    <row r="49" spans="1:7" x14ac:dyDescent="0.25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12987</v>
      </c>
    </row>
    <row r="50" spans="1:7" x14ac:dyDescent="0.25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12987</v>
      </c>
    </row>
    <row r="51" spans="1:7" x14ac:dyDescent="0.25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12987</v>
      </c>
    </row>
    <row r="52" spans="1:7" x14ac:dyDescent="0.25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12987</v>
      </c>
    </row>
    <row r="53" spans="1:7" x14ac:dyDescent="0.25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12987</v>
      </c>
    </row>
    <row r="54" spans="1:7" x14ac:dyDescent="0.25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12987</v>
      </c>
    </row>
    <row r="55" spans="1:7" x14ac:dyDescent="0.25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12987</v>
      </c>
    </row>
    <row r="56" spans="1:7" x14ac:dyDescent="0.25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12987</v>
      </c>
    </row>
    <row r="57" spans="1:7" x14ac:dyDescent="0.25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12987</v>
      </c>
    </row>
    <row r="58" spans="1:7" x14ac:dyDescent="0.25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12987</v>
      </c>
    </row>
    <row r="59" spans="1:7" x14ac:dyDescent="0.25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12987</v>
      </c>
    </row>
    <row r="60" spans="1:7" x14ac:dyDescent="0.25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12987</v>
      </c>
    </row>
    <row r="61" spans="1:7" x14ac:dyDescent="0.25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12987</v>
      </c>
    </row>
    <row r="62" spans="1:7" x14ac:dyDescent="0.25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12987</v>
      </c>
    </row>
    <row r="63" spans="1:7" x14ac:dyDescent="0.25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12987</v>
      </c>
    </row>
    <row r="64" spans="1:7" x14ac:dyDescent="0.25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12987</v>
      </c>
    </row>
    <row r="65" spans="1:7" x14ac:dyDescent="0.25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12987</v>
      </c>
    </row>
    <row r="66" spans="1:7" x14ac:dyDescent="0.25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12987</v>
      </c>
    </row>
    <row r="67" spans="1:7" x14ac:dyDescent="0.25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12987</v>
      </c>
    </row>
    <row r="68" spans="1:7" ht="13.8" thickBot="1" x14ac:dyDescent="0.3">
      <c r="B68" s="37"/>
      <c r="C68" s="49"/>
      <c r="D68" s="48"/>
      <c r="E68" s="125" t="s">
        <v>5</v>
      </c>
      <c r="F68" s="49"/>
      <c r="G68" s="48"/>
    </row>
    <row r="69" spans="1:7" ht="14.4" thickTop="1" thickBot="1" x14ac:dyDescent="0.3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12987</v>
      </c>
      <c r="G69" s="213"/>
    </row>
    <row r="70" spans="1:7" ht="13.8" thickTop="1" x14ac:dyDescent="0.25"/>
    <row r="72" spans="1:7" x14ac:dyDescent="0.25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ColWidth="9.109375" defaultRowHeight="13.2" x14ac:dyDescent="0.25"/>
  <cols>
    <col min="1" max="1" width="26.6640625" style="34" customWidth="1"/>
    <col min="2" max="2" width="10.6640625" style="34" customWidth="1"/>
    <col min="3" max="3" width="3.6640625" style="34" customWidth="1"/>
    <col min="4" max="16384" width="9.109375" style="34"/>
  </cols>
  <sheetData>
    <row r="1" spans="1:12" ht="15.6" x14ac:dyDescent="0.3">
      <c r="A1" s="141" t="s">
        <v>171</v>
      </c>
      <c r="B1" s="136"/>
      <c r="C1" s="137"/>
      <c r="D1" s="38"/>
    </row>
    <row r="2" spans="1:12" ht="15.6" x14ac:dyDescent="0.3">
      <c r="A2" s="138">
        <f>ASS!A4</f>
        <v>0</v>
      </c>
      <c r="B2" s="139"/>
      <c r="C2" s="140"/>
      <c r="D2" s="38"/>
    </row>
    <row r="4" spans="1:12" x14ac:dyDescent="0.25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5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5">
      <c r="L6" s="34">
        <f>L5+1</f>
        <v>2</v>
      </c>
    </row>
    <row r="7" spans="1:12" x14ac:dyDescent="0.25">
      <c r="L7" s="34">
        <f t="shared" ref="L7:L31" si="0">L6+1</f>
        <v>3</v>
      </c>
    </row>
    <row r="8" spans="1:12" x14ac:dyDescent="0.25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5">
      <c r="A9" s="85" t="s">
        <v>176</v>
      </c>
      <c r="B9" s="142">
        <f>COST</f>
        <v>13000</v>
      </c>
      <c r="C9" s="142"/>
      <c r="D9" s="142">
        <f>COST</f>
        <v>13000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5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5">
      <c r="A11" s="112" t="s">
        <v>297</v>
      </c>
      <c r="B11" s="412" t="str">
        <f>ASS!W18</f>
        <v/>
      </c>
      <c r="C11" s="412"/>
      <c r="D11" s="413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5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5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5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5">
      <c r="A15" s="47" t="s">
        <v>179</v>
      </c>
      <c r="B15" s="49"/>
      <c r="C15" s="49"/>
      <c r="D15" s="49"/>
      <c r="E15" s="143">
        <v>0</v>
      </c>
      <c r="F15" s="115">
        <f>E17</f>
        <v>403</v>
      </c>
      <c r="G15" s="115">
        <f>F17</f>
        <v>3068</v>
      </c>
      <c r="H15" s="115">
        <f>G17</f>
        <v>3068</v>
      </c>
      <c r="I15" s="115">
        <f>H17</f>
        <v>3887</v>
      </c>
      <c r="J15" s="115">
        <f>I17</f>
        <v>12987</v>
      </c>
      <c r="K15" s="37"/>
      <c r="L15" s="34">
        <f t="shared" si="0"/>
        <v>11</v>
      </c>
    </row>
    <row r="16" spans="1:12" x14ac:dyDescent="0.25">
      <c r="A16" s="47" t="s">
        <v>180</v>
      </c>
      <c r="B16" s="49"/>
      <c r="C16" s="49"/>
      <c r="D16" s="49"/>
      <c r="E16" s="115">
        <f>VLOOKUP(E4,DRAW_TABLE,DRAWDOWN!$F$72)</f>
        <v>403</v>
      </c>
      <c r="F16" s="115">
        <f>VLOOKUP(F4,DRAW_TABLE,DRAWDOWN!$F$72)</f>
        <v>2665</v>
      </c>
      <c r="G16" s="115">
        <f>VLOOKUP(G4,DRAW_TABLE,DRAWDOWN!$F$72)</f>
        <v>0</v>
      </c>
      <c r="H16" s="115">
        <f>VLOOKUP(H4,DRAW_TABLE,DRAWDOWN!$F$72)</f>
        <v>819</v>
      </c>
      <c r="I16" s="115">
        <f>VLOOKUP(I4,DRAW_TABLE,DRAWDOWN!$F$72)</f>
        <v>9100</v>
      </c>
      <c r="J16" s="115">
        <f>VLOOKUP(J4,DRAW_TABLE,DRAWDOWN!$F$72)</f>
        <v>0</v>
      </c>
      <c r="K16" s="67">
        <f>SUM(E16:J16)</f>
        <v>12987</v>
      </c>
      <c r="L16" s="34">
        <f t="shared" si="0"/>
        <v>12</v>
      </c>
    </row>
    <row r="17" spans="1:12" x14ac:dyDescent="0.25">
      <c r="A17" s="47" t="s">
        <v>181</v>
      </c>
      <c r="B17" s="49"/>
      <c r="C17" s="49"/>
      <c r="D17" s="49"/>
      <c r="E17" s="115">
        <f t="shared" ref="E17:J17" si="1">SUM(E15:E16)</f>
        <v>403</v>
      </c>
      <c r="F17" s="115">
        <f t="shared" si="1"/>
        <v>3068</v>
      </c>
      <c r="G17" s="115">
        <f t="shared" si="1"/>
        <v>3068</v>
      </c>
      <c r="H17" s="115">
        <f t="shared" si="1"/>
        <v>3887</v>
      </c>
      <c r="I17" s="115">
        <f t="shared" si="1"/>
        <v>12987</v>
      </c>
      <c r="J17" s="115">
        <f t="shared" si="1"/>
        <v>12987</v>
      </c>
      <c r="K17" s="37"/>
      <c r="L17" s="34">
        <f t="shared" si="0"/>
        <v>13</v>
      </c>
    </row>
    <row r="18" spans="1:12" x14ac:dyDescent="0.25">
      <c r="A18" s="47" t="s">
        <v>182</v>
      </c>
      <c r="B18" s="49"/>
      <c r="C18" s="49"/>
      <c r="D18" s="49"/>
      <c r="E18" s="144">
        <f>SUM($E$16:E16)/$B$9</f>
        <v>3.1E-2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5">
      <c r="A19" s="47" t="s">
        <v>183</v>
      </c>
      <c r="B19" s="49"/>
      <c r="C19" s="49"/>
      <c r="D19" s="49"/>
      <c r="E19" s="144">
        <f t="shared" ref="E19:J19" si="2">E17/$D$9</f>
        <v>3.1E-2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5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5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5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5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5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5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5">
      <c r="A26" s="47" t="s">
        <v>348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5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5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5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403</v>
      </c>
      <c r="G29" s="115">
        <f t="shared" si="7"/>
        <v>3068</v>
      </c>
      <c r="H29" s="115">
        <f t="shared" si="7"/>
        <v>3068</v>
      </c>
      <c r="I29" s="115">
        <f t="shared" si="7"/>
        <v>3887</v>
      </c>
      <c r="J29" s="115">
        <f t="shared" si="7"/>
        <v>12987</v>
      </c>
      <c r="K29" s="37"/>
      <c r="L29" s="34">
        <f t="shared" si="0"/>
        <v>25</v>
      </c>
    </row>
    <row r="30" spans="1:12" x14ac:dyDescent="0.25">
      <c r="A30" s="47" t="s">
        <v>190</v>
      </c>
      <c r="B30" s="49"/>
      <c r="C30" s="49"/>
      <c r="D30" s="49"/>
      <c r="E30" s="115">
        <f t="shared" ref="E30:J30" si="8">E16-E23</f>
        <v>403</v>
      </c>
      <c r="F30" s="115">
        <f t="shared" si="8"/>
        <v>2665</v>
      </c>
      <c r="G30" s="115">
        <f t="shared" si="8"/>
        <v>0</v>
      </c>
      <c r="H30" s="115">
        <f t="shared" si="8"/>
        <v>819</v>
      </c>
      <c r="I30" s="115">
        <f t="shared" si="8"/>
        <v>9100</v>
      </c>
      <c r="J30" s="115">
        <f t="shared" si="8"/>
        <v>0</v>
      </c>
      <c r="K30" s="67">
        <f>SUM(E30:J30)</f>
        <v>12987</v>
      </c>
      <c r="L30" s="34">
        <f t="shared" si="0"/>
        <v>26</v>
      </c>
    </row>
    <row r="31" spans="1:12" x14ac:dyDescent="0.25">
      <c r="A31" s="58" t="s">
        <v>191</v>
      </c>
      <c r="B31" s="64"/>
      <c r="C31" s="64"/>
      <c r="D31" s="64"/>
      <c r="E31" s="145">
        <f t="shared" ref="E31:J31" si="9">E17-E24</f>
        <v>403</v>
      </c>
      <c r="F31" s="145">
        <f t="shared" si="9"/>
        <v>3068</v>
      </c>
      <c r="G31" s="145">
        <f t="shared" si="9"/>
        <v>3068</v>
      </c>
      <c r="H31" s="145">
        <f t="shared" si="9"/>
        <v>3887</v>
      </c>
      <c r="I31" s="145">
        <f t="shared" si="9"/>
        <v>12987</v>
      </c>
      <c r="J31" s="145">
        <f t="shared" si="9"/>
        <v>12987</v>
      </c>
      <c r="K31" s="76"/>
      <c r="L31" s="34">
        <f t="shared" si="0"/>
        <v>27</v>
      </c>
    </row>
    <row r="33" spans="1:4" ht="13.8" thickBot="1" x14ac:dyDescent="0.3">
      <c r="A33" s="308" t="s">
        <v>192</v>
      </c>
      <c r="B33" s="309"/>
      <c r="C33" s="309"/>
      <c r="D33" s="310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4"/>
    <col min="2" max="2" width="6.33203125" style="34" customWidth="1"/>
    <col min="3" max="26" width="9.6640625" style="34" customWidth="1"/>
    <col min="27" max="16384" width="9.109375" style="34"/>
  </cols>
  <sheetData>
    <row r="1" spans="1:31" ht="15.6" x14ac:dyDescent="0.3">
      <c r="A1" s="147" t="s">
        <v>193</v>
      </c>
      <c r="B1" s="177"/>
      <c r="C1" s="177"/>
      <c r="D1" s="177"/>
      <c r="E1" s="159"/>
    </row>
    <row r="2" spans="1:31" ht="15.6" x14ac:dyDescent="0.3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5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5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5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5">
      <c r="AD6" s="49"/>
    </row>
    <row r="7" spans="1:31" x14ac:dyDescent="0.25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5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5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5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5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5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5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5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5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5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5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5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5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5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5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5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5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5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5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5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5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5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5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5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5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5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5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5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5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5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5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5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5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5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5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5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5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5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5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5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5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5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5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5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5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5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5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5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5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5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5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8" thickBot="1" x14ac:dyDescent="0.3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4" thickTop="1" thickBot="1" x14ac:dyDescent="0.3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"/>
  <sheetViews>
    <sheetView tabSelected="1" zoomScale="75" workbookViewId="0">
      <selection activeCell="D14" sqref="D14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31" width="11.6640625" style="1" customWidth="1"/>
    <col min="32" max="16384" width="9.109375" style="1"/>
  </cols>
  <sheetData>
    <row r="1" spans="1:14" ht="15.6" x14ac:dyDescent="0.3">
      <c r="A1" s="179" t="s">
        <v>211</v>
      </c>
      <c r="B1" s="180"/>
      <c r="C1" s="181"/>
      <c r="D1" s="183"/>
    </row>
    <row r="2" spans="1:14" ht="15.6" x14ac:dyDescent="0.3">
      <c r="A2" s="182">
        <f>ASS!A4</f>
        <v>0</v>
      </c>
      <c r="B2" s="183"/>
      <c r="C2" s="184"/>
      <c r="D2" s="183"/>
    </row>
    <row r="3" spans="1:14" x14ac:dyDescent="0.25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5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5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5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5">
      <c r="A9" s="3" t="s">
        <v>214</v>
      </c>
      <c r="B9" s="4"/>
      <c r="C9" s="4"/>
      <c r="D9" s="27">
        <f>-DEPR!F16</f>
        <v>-487.5</v>
      </c>
      <c r="E9" s="27">
        <f>-DEPR!G16</f>
        <v>-938.47</v>
      </c>
      <c r="F9" s="27">
        <f>-DEPR!H16</f>
        <v>-866.70999999999992</v>
      </c>
      <c r="G9" s="27">
        <f>-DEPR!I16</f>
        <v>-803.01</v>
      </c>
      <c r="H9" s="27">
        <f>-DEPR!J16</f>
        <v>-742.69</v>
      </c>
      <c r="I9" s="27">
        <f>-DEPR!K16</f>
        <v>-687.05000000000007</v>
      </c>
      <c r="J9" s="27">
        <f>-DEPR!L16</f>
        <v>-635.44000000000005</v>
      </c>
      <c r="K9" s="27">
        <f>-DEPR!M16</f>
        <v>-587.86</v>
      </c>
      <c r="L9" s="27">
        <f>-DEPR!N16</f>
        <v>-580.05999999999995</v>
      </c>
      <c r="M9" s="27">
        <f>-DEPR!O16</f>
        <v>-579.92999999999995</v>
      </c>
      <c r="N9" s="28">
        <f>SUM(D9:F9)</f>
        <v>-2292.6799999999998</v>
      </c>
    </row>
    <row r="10" spans="1:14" x14ac:dyDescent="0.25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5">
      <c r="A11" s="3" t="s">
        <v>216</v>
      </c>
      <c r="B11" s="4"/>
      <c r="C11" s="4"/>
      <c r="D11" s="30">
        <f>SUM(D8:D10)</f>
        <v>6563.54</v>
      </c>
      <c r="E11" s="30">
        <f>SUM(E8:E10)</f>
        <v>5211.5907999999999</v>
      </c>
      <c r="F11" s="30">
        <f>SUM(F8:F10)</f>
        <v>4382.3520159999998</v>
      </c>
      <c r="G11" s="30">
        <f t="shared" ref="G11:M11" si="0">SUM(G8:G10)</f>
        <v>4445.03325632</v>
      </c>
      <c r="H11" s="30">
        <f t="shared" si="0"/>
        <v>4504.3141214463994</v>
      </c>
      <c r="I11" s="30">
        <f t="shared" si="0"/>
        <v>4558.8942038753275</v>
      </c>
      <c r="J11" s="30">
        <f t="shared" si="0"/>
        <v>4609.423087952835</v>
      </c>
      <c r="K11" s="30">
        <f t="shared" si="0"/>
        <v>4655.900349711892</v>
      </c>
      <c r="L11" s="30">
        <f t="shared" si="0"/>
        <v>4662.5755567061296</v>
      </c>
      <c r="M11" s="30">
        <f t="shared" si="0"/>
        <v>4661.5582678402516</v>
      </c>
      <c r="N11" s="60">
        <f>SUM(D11:F11)</f>
        <v>16157.482816</v>
      </c>
    </row>
    <row r="12" spans="1:14" x14ac:dyDescent="0.25">
      <c r="A12" s="3" t="s">
        <v>355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5">
      <c r="A14" s="14" t="s">
        <v>217</v>
      </c>
      <c r="B14" s="15"/>
      <c r="C14" s="6"/>
      <c r="D14" s="187">
        <f>IF(D11&lt;0, 0, D11*D12)</f>
        <v>2625.4159999999997</v>
      </c>
      <c r="E14" s="187">
        <f>IF(E11&lt;0, 0, E11*E12)</f>
        <v>2084.6363199999996</v>
      </c>
      <c r="F14" s="187">
        <f>IF(F11&lt;0, 0, F11*F12)</f>
        <v>1752.9408063999997</v>
      </c>
      <c r="G14" s="187">
        <f t="shared" ref="G14:M14" si="1">IF(G11&lt;0, 0, G11*G12)</f>
        <v>1778.0133025279999</v>
      </c>
      <c r="H14" s="187">
        <f t="shared" si="1"/>
        <v>1801.7256485785597</v>
      </c>
      <c r="I14" s="187">
        <f t="shared" si="1"/>
        <v>1823.5576815501308</v>
      </c>
      <c r="J14" s="187">
        <f t="shared" si="1"/>
        <v>1843.7692351811338</v>
      </c>
      <c r="K14" s="187">
        <f t="shared" si="1"/>
        <v>1862.3601398847566</v>
      </c>
      <c r="L14" s="187">
        <f t="shared" si="1"/>
        <v>1865.0302226824517</v>
      </c>
      <c r="M14" s="187">
        <f t="shared" si="1"/>
        <v>1864.6233071361005</v>
      </c>
      <c r="N14" s="188">
        <f>SUM(D14:F14)</f>
        <v>6462.9931263999988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topLeftCell="A8" zoomScale="75" workbookViewId="0">
      <selection activeCell="E15" sqref="E15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79" t="s">
        <v>218</v>
      </c>
      <c r="B1" s="189"/>
      <c r="C1" s="190"/>
      <c r="D1"/>
    </row>
    <row r="2" spans="1:17" ht="16.2" thickBot="1" x14ac:dyDescent="0.35">
      <c r="A2" s="182">
        <f>ASS!A4</f>
        <v>0</v>
      </c>
      <c r="B2" s="191"/>
      <c r="C2" s="192"/>
      <c r="D2"/>
    </row>
    <row r="3" spans="1:17" ht="13.8" thickTop="1" x14ac:dyDescent="0.25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8" thickBot="1" x14ac:dyDescent="0.3">
      <c r="A4" s="21" t="s">
        <v>222</v>
      </c>
      <c r="B4" s="4"/>
      <c r="C4" s="27">
        <f>COST</f>
        <v>13000</v>
      </c>
      <c r="D4" s="27">
        <f t="shared" ref="D4:E6" si="0">C4</f>
        <v>13000</v>
      </c>
      <c r="E4" s="230">
        <f t="shared" si="0"/>
        <v>13000</v>
      </c>
    </row>
    <row r="5" spans="1:17" x14ac:dyDescent="0.25">
      <c r="A5" s="21" t="s">
        <v>372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321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8" thickBot="1" x14ac:dyDescent="0.3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8" thickBot="1" x14ac:dyDescent="0.3">
      <c r="A7" s="22" t="s">
        <v>224</v>
      </c>
      <c r="B7" s="23"/>
      <c r="C7" s="231">
        <f>SUM(C4:C6)</f>
        <v>12100</v>
      </c>
      <c r="D7" s="231">
        <f>SUM(D4:D6)</f>
        <v>12100</v>
      </c>
      <c r="E7" s="231">
        <f>SUM(E4:E6)</f>
        <v>12100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8" thickTop="1" x14ac:dyDescent="0.25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5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5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5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5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5">
      <c r="A15" s="3"/>
      <c r="B15" s="4" t="s">
        <v>339</v>
      </c>
      <c r="C15" s="4"/>
      <c r="D15" s="4"/>
      <c r="E15" s="28">
        <f>ASS!I19</f>
        <v>13000</v>
      </c>
      <c r="F15" s="297">
        <f>$E$15*F7</f>
        <v>487.5</v>
      </c>
      <c r="G15" s="382">
        <f>$E$15*G7</f>
        <v>938.47</v>
      </c>
      <c r="H15" s="32">
        <f>$E$15*H7</f>
        <v>866.70999999999992</v>
      </c>
      <c r="I15" s="32">
        <f t="shared" ref="I15:O15" si="3">$E$15*I7</f>
        <v>803.01</v>
      </c>
      <c r="J15" s="32">
        <f t="shared" si="3"/>
        <v>742.69</v>
      </c>
      <c r="K15" s="32">
        <f t="shared" si="3"/>
        <v>687.05000000000007</v>
      </c>
      <c r="L15" s="32">
        <f t="shared" si="3"/>
        <v>635.44000000000005</v>
      </c>
      <c r="M15" s="32">
        <f t="shared" si="3"/>
        <v>587.86</v>
      </c>
      <c r="N15" s="32">
        <f t="shared" si="3"/>
        <v>580.05999999999995</v>
      </c>
      <c r="O15" s="32">
        <f t="shared" si="3"/>
        <v>579.92999999999995</v>
      </c>
      <c r="P15" s="28">
        <f>SUM(F15:H15)</f>
        <v>2292.6799999999998</v>
      </c>
      <c r="Q15" s="4"/>
    </row>
    <row r="16" spans="1:17" x14ac:dyDescent="0.25">
      <c r="A16" s="3"/>
      <c r="B16" s="4" t="s">
        <v>229</v>
      </c>
      <c r="C16" s="4" t="s">
        <v>5</v>
      </c>
      <c r="D16" s="4"/>
      <c r="E16" s="28">
        <f>SUM(E15:E15)</f>
        <v>13000</v>
      </c>
      <c r="F16" s="27">
        <f>SUM(F15:F15)</f>
        <v>487.5</v>
      </c>
      <c r="G16" s="27">
        <f>SUM(G15:G15)</f>
        <v>938.47</v>
      </c>
      <c r="H16" s="27">
        <f>SUM(H15:H15)</f>
        <v>866.70999999999992</v>
      </c>
      <c r="I16" s="27">
        <f t="shared" ref="I16:O16" si="4">SUM(I15:I15)</f>
        <v>803.01</v>
      </c>
      <c r="J16" s="27">
        <f t="shared" si="4"/>
        <v>742.69</v>
      </c>
      <c r="K16" s="27">
        <f t="shared" si="4"/>
        <v>687.05000000000007</v>
      </c>
      <c r="L16" s="27">
        <f t="shared" si="4"/>
        <v>635.44000000000005</v>
      </c>
      <c r="M16" s="27">
        <f t="shared" si="4"/>
        <v>587.86</v>
      </c>
      <c r="N16" s="27">
        <f t="shared" si="4"/>
        <v>580.05999999999995</v>
      </c>
      <c r="O16" s="27">
        <f t="shared" si="4"/>
        <v>579.92999999999995</v>
      </c>
      <c r="P16" s="28">
        <f>SUM(F16:H16)</f>
        <v>2292.6799999999998</v>
      </c>
      <c r="Q16" s="4"/>
    </row>
    <row r="17" spans="1:17" x14ac:dyDescent="0.25">
      <c r="A17" s="3"/>
      <c r="B17" s="240" t="s">
        <v>230</v>
      </c>
      <c r="C17" s="4" t="s">
        <v>5</v>
      </c>
      <c r="D17" s="4"/>
      <c r="E17" s="28"/>
      <c r="F17" s="241">
        <f>F16</f>
        <v>487.5</v>
      </c>
      <c r="G17" s="241">
        <f>F17+G16</f>
        <v>1425.97</v>
      </c>
      <c r="H17" s="241">
        <f>G17+H16</f>
        <v>2292.6799999999998</v>
      </c>
      <c r="I17" s="241">
        <f t="shared" ref="I17:O17" si="5">H17+I16</f>
        <v>3095.6899999999996</v>
      </c>
      <c r="J17" s="241">
        <f t="shared" si="5"/>
        <v>3838.3799999999997</v>
      </c>
      <c r="K17" s="241">
        <f t="shared" si="5"/>
        <v>4525.4299999999994</v>
      </c>
      <c r="L17" s="241">
        <f t="shared" si="5"/>
        <v>5160.869999999999</v>
      </c>
      <c r="M17" s="241">
        <f t="shared" si="5"/>
        <v>5748.7299999999987</v>
      </c>
      <c r="N17" s="241">
        <f t="shared" si="5"/>
        <v>6328.7899999999991</v>
      </c>
      <c r="O17" s="241">
        <f t="shared" si="5"/>
        <v>6908.7199999999993</v>
      </c>
      <c r="P17" s="28">
        <f>SUM(F17:H17)</f>
        <v>4206.1499999999996</v>
      </c>
      <c r="Q17" s="4"/>
    </row>
    <row r="18" spans="1:17" x14ac:dyDescent="0.25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5">
      <c r="A19" s="3"/>
      <c r="B19" s="4" t="s">
        <v>231</v>
      </c>
      <c r="C19" s="194"/>
      <c r="D19" s="4"/>
      <c r="E19" s="28"/>
      <c r="F19" s="27">
        <v>0</v>
      </c>
      <c r="G19" s="27">
        <f>F22</f>
        <v>12512.5</v>
      </c>
      <c r="H19" s="27">
        <f>G22</f>
        <v>11574.03</v>
      </c>
      <c r="I19" s="27">
        <f t="shared" ref="I19:O19" si="6">H22</f>
        <v>10707.320000000002</v>
      </c>
      <c r="J19" s="27">
        <f t="shared" si="6"/>
        <v>9904.3100000000013</v>
      </c>
      <c r="K19" s="27">
        <f t="shared" si="6"/>
        <v>9161.6200000000008</v>
      </c>
      <c r="L19" s="27">
        <f t="shared" si="6"/>
        <v>8474.5700000000015</v>
      </c>
      <c r="M19" s="27">
        <f t="shared" si="6"/>
        <v>7839.130000000001</v>
      </c>
      <c r="N19" s="27">
        <f t="shared" si="6"/>
        <v>7251.2700000000013</v>
      </c>
      <c r="O19" s="27">
        <f t="shared" si="6"/>
        <v>6671.2100000000009</v>
      </c>
      <c r="P19" s="28">
        <f>SUM(F19:O19)</f>
        <v>84095.960000000021</v>
      </c>
      <c r="Q19" s="4"/>
    </row>
    <row r="20" spans="1:17" x14ac:dyDescent="0.25">
      <c r="A20" s="3"/>
      <c r="B20" s="4" t="s">
        <v>232</v>
      </c>
      <c r="C20" s="4"/>
      <c r="D20" s="4"/>
      <c r="E20" s="28"/>
      <c r="F20" s="27">
        <f>E16</f>
        <v>13000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13000</v>
      </c>
      <c r="Q20" s="4"/>
    </row>
    <row r="21" spans="1:17" x14ac:dyDescent="0.25">
      <c r="A21" s="3"/>
      <c r="B21" s="4" t="s">
        <v>233</v>
      </c>
      <c r="C21" s="4"/>
      <c r="D21" s="4"/>
      <c r="E21" s="28"/>
      <c r="F21" s="29">
        <f>-F16</f>
        <v>-487.5</v>
      </c>
      <c r="G21" s="29">
        <f>-G15</f>
        <v>-938.47</v>
      </c>
      <c r="H21" s="29">
        <f>-H15</f>
        <v>-866.70999999999992</v>
      </c>
      <c r="I21" s="29">
        <f t="shared" ref="I21:O21" si="7">-I15</f>
        <v>-803.01</v>
      </c>
      <c r="J21" s="29">
        <f t="shared" si="7"/>
        <v>-742.69</v>
      </c>
      <c r="K21" s="29">
        <f t="shared" si="7"/>
        <v>-687.05000000000007</v>
      </c>
      <c r="L21" s="29">
        <f t="shared" si="7"/>
        <v>-635.44000000000005</v>
      </c>
      <c r="M21" s="29">
        <f t="shared" si="7"/>
        <v>-587.86</v>
      </c>
      <c r="N21" s="29">
        <f t="shared" si="7"/>
        <v>-580.05999999999995</v>
      </c>
      <c r="O21" s="29">
        <f t="shared" si="7"/>
        <v>-579.92999999999995</v>
      </c>
      <c r="P21" s="28">
        <f>SUM(F21:O21)</f>
        <v>-6908.7199999999993</v>
      </c>
      <c r="Q21" s="4"/>
    </row>
    <row r="22" spans="1:17" x14ac:dyDescent="0.25">
      <c r="A22" s="5"/>
      <c r="B22" s="6" t="s">
        <v>234</v>
      </c>
      <c r="C22" s="6" t="s">
        <v>5</v>
      </c>
      <c r="D22" s="6"/>
      <c r="E22" s="33"/>
      <c r="F22" s="32">
        <f>SUM(F19:F21)</f>
        <v>12512.5</v>
      </c>
      <c r="G22" s="32">
        <f>SUM(G19:G21)</f>
        <v>11574.03</v>
      </c>
      <c r="H22" s="32">
        <f>SUM(H19:H21)</f>
        <v>10707.320000000002</v>
      </c>
      <c r="I22" s="32">
        <f t="shared" ref="I22:O22" si="8">SUM(I19:I21)</f>
        <v>9904.3100000000013</v>
      </c>
      <c r="J22" s="32">
        <f t="shared" si="8"/>
        <v>9161.6200000000008</v>
      </c>
      <c r="K22" s="32">
        <f t="shared" si="8"/>
        <v>8474.5700000000015</v>
      </c>
      <c r="L22" s="32">
        <f t="shared" si="8"/>
        <v>7839.130000000001</v>
      </c>
      <c r="M22" s="32">
        <f t="shared" si="8"/>
        <v>7251.2700000000013</v>
      </c>
      <c r="N22" s="32">
        <f t="shared" si="8"/>
        <v>6671.2100000000009</v>
      </c>
      <c r="O22" s="32">
        <f t="shared" si="8"/>
        <v>6091.2800000000007</v>
      </c>
      <c r="P22" s="33">
        <f>SUM(F22:O22)</f>
        <v>90187.24000000002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5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5">
      <c r="A26" s="3"/>
      <c r="B26" s="4" t="s">
        <v>339</v>
      </c>
      <c r="C26" s="4"/>
      <c r="D26" s="4"/>
      <c r="E26" s="28">
        <f>ASS!$I21</f>
        <v>13000</v>
      </c>
      <c r="F26" s="239">
        <f>IF(ASS!$J$21=0, 0,  IF(F9&lt;ASS!$J$21+1, SLN(ASS!$I$21,0,ASS!$J$21)*F11/12, IF(F9=ASS!$J$21+1, SLN(ASS!$I$21,0,ASS!$J$21)*(12-F11)/12, 0)))</f>
        <v>456.14035087719299</v>
      </c>
      <c r="G26" s="27">
        <f>IF(ASS!$J$21=0, 0, IF(G9=ASS!$J$21,$E$26-SUM($F$26:F26),IF(G9&gt;TERM,0,IF(G9&lt;ASS!$J$21+1, SLN(ASS!$I$21,0,ASS!$J$21)*G11/12, IF(G9=ASS!$J$21+1, SLN(ASS!$I$21,0,ASS!$J$21)*(12-G11)/12, 0)))))</f>
        <v>456.14035087719299</v>
      </c>
      <c r="H26" s="27">
        <f>IF(ASS!$J$21=0, 0, IF(H9=ASS!$J$21,$E$26-SUM($F$26:G26),IF(H9&gt;TERM,0,IF(H9&lt;ASS!$J$21+1, SLN(ASS!$I$21,0,ASS!$J$21)*H11/12, IF(H9=ASS!$J$21+1, SLN(ASS!$I$21,0,ASS!$J$21)*(12-H11)/12, 0)))))</f>
        <v>456.14035087719299</v>
      </c>
      <c r="I26" s="27">
        <f>IF(ASS!$J$21=0, 0, IF(I9=ASS!$J$21,$E$26-SUM($F$26:H26),IF(I9&gt;TERM,0,IF(I9&lt;ASS!$J$21+1, SLN(ASS!$I$21,0,ASS!$J$21)*I11/12, IF(I9=ASS!$J$21+1, SLN(ASS!$I$21,0,ASS!$J$21)*(12-I11)/12, 0)))))</f>
        <v>456.14035087719299</v>
      </c>
      <c r="J26" s="27">
        <f>IF(ASS!$J$21=0, 0, IF(J9=ASS!$J$21,$E$26-SUM($F$26:I26),IF(J9&gt;TERM,0,IF(J9&lt;ASS!$J$21+1, SLN(ASS!$I$21,0,ASS!$J$21)*J11/12, IF(J9=ASS!$J$21+1, SLN(ASS!$I$21,0,ASS!$J$21)*(12-J11)/12, 0)))))</f>
        <v>456.14035087719299</v>
      </c>
      <c r="K26" s="27">
        <f>IF(ASS!$J$21=0, 0, IF(K9=ASS!$J$21,$E$26-SUM($F$26:J26),IF(K9&gt;TERM,0,IF(K9&lt;ASS!$J$21+1, SLN(ASS!$I$21,0,ASS!$J$21)*K11/12, IF(K9=ASS!$J$21+1, SLN(ASS!$I$21,0,ASS!$J$21)*(12-K11)/12, 0)))))</f>
        <v>456.14035087719299</v>
      </c>
      <c r="L26" s="27">
        <f>IF(ASS!$J$21=0, 0, IF(L9=ASS!$J$21,$E$26-SUM($F$26:K26),IF(L9&gt;TERM,0,IF(L9&lt;ASS!$J$21+1, SLN(ASS!$I$21,0,ASS!$J$21)*L11/12, IF(L9=ASS!$J$21+1, SLN(ASS!$I$21,0,ASS!$J$21)*(12-L11)/12, 0)))))</f>
        <v>456.14035087719299</v>
      </c>
      <c r="M26" s="27">
        <f>IF(ASS!$J$21=0, 0, IF(M9=ASS!$J$21,$E$26-SUM($F$26:L26),IF(M9&gt;TERM,0,IF(M9&lt;ASS!$J$21+1, SLN(ASS!$I$21,0,ASS!$J$21)*M11/12, IF(M9=ASS!$J$21+1, SLN(ASS!$I$21,0,ASS!$J$21)*(12-M11)/12, 0)))))</f>
        <v>456.14035087719299</v>
      </c>
      <c r="N26" s="27">
        <f>IF(ASS!$J$21=0, 0, IF(N9=ASS!$J$21,$E$26-SUM($F$26:M26),IF(N9&gt;TERM,0,IF(N9&lt;ASS!$J$21+1, SLN(ASS!$I$21,0,ASS!$J$21)*N11/12, IF(N9=ASS!$J$21+1, SLN(ASS!$I$21,0,ASS!$J$21)*(12-N11)/12, 0)))))</f>
        <v>456.14035087719299</v>
      </c>
      <c r="O26" s="27">
        <f>IF(ASS!$J$21=0, 0, IF(O9=ASS!$J$21,$E$26-SUM($F$26:N26),IF(O9&gt;TERM,0,IF(O9&lt;ASS!$J$21+1, SLN(ASS!$I$21,0,ASS!$J$21)*O11/12, IF(O9=ASS!$J$21+1, SLN(ASS!$I$21,0,ASS!$J$21)*(12-O11)/12, 0)))))</f>
        <v>456.14035087719299</v>
      </c>
      <c r="P26" s="28">
        <f>SUM(F26:O26)</f>
        <v>4561.4035087719285</v>
      </c>
      <c r="Q26" s="4"/>
    </row>
    <row r="27" spans="1:17" x14ac:dyDescent="0.25">
      <c r="A27" s="3"/>
      <c r="B27" s="4" t="s">
        <v>237</v>
      </c>
      <c r="C27" s="194"/>
      <c r="D27" s="4"/>
      <c r="E27" s="28">
        <f>SUM(E26:E26)</f>
        <v>13000</v>
      </c>
      <c r="F27" s="27">
        <f>SUM(F26:F26)</f>
        <v>456.14035087719299</v>
      </c>
      <c r="G27" s="27">
        <f t="shared" ref="G27:O27" si="9">G26</f>
        <v>456.14035087719299</v>
      </c>
      <c r="H27" s="27">
        <f t="shared" si="9"/>
        <v>456.14035087719299</v>
      </c>
      <c r="I27" s="27">
        <f t="shared" si="9"/>
        <v>456.14035087719299</v>
      </c>
      <c r="J27" s="27">
        <f t="shared" si="9"/>
        <v>456.14035087719299</v>
      </c>
      <c r="K27" s="27">
        <f t="shared" si="9"/>
        <v>456.14035087719299</v>
      </c>
      <c r="L27" s="27">
        <f t="shared" si="9"/>
        <v>456.14035087719299</v>
      </c>
      <c r="M27" s="27">
        <f t="shared" si="9"/>
        <v>456.14035087719299</v>
      </c>
      <c r="N27" s="27">
        <f t="shared" si="9"/>
        <v>456.14035087719299</v>
      </c>
      <c r="O27" s="27">
        <f t="shared" si="9"/>
        <v>456.14035087719299</v>
      </c>
      <c r="P27" s="28">
        <f>SUM(F27:O27)</f>
        <v>4561.4035087719285</v>
      </c>
      <c r="Q27" s="4"/>
    </row>
    <row r="28" spans="1:17" x14ac:dyDescent="0.25">
      <c r="A28" s="3"/>
      <c r="B28" s="242" t="s">
        <v>238</v>
      </c>
      <c r="C28" s="243"/>
      <c r="D28" s="242"/>
      <c r="E28" s="244"/>
      <c r="F28" s="245">
        <f>F27</f>
        <v>456.14035087719299</v>
      </c>
      <c r="G28" s="245">
        <f t="shared" ref="G28:O28" si="10">F28+G27</f>
        <v>912.28070175438597</v>
      </c>
      <c r="H28" s="245">
        <f t="shared" si="10"/>
        <v>1368.421052631579</v>
      </c>
      <c r="I28" s="245">
        <f t="shared" si="10"/>
        <v>1824.5614035087719</v>
      </c>
      <c r="J28" s="245">
        <f t="shared" si="10"/>
        <v>2280.7017543859647</v>
      </c>
      <c r="K28" s="245">
        <f t="shared" si="10"/>
        <v>2736.8421052631575</v>
      </c>
      <c r="L28" s="245">
        <f t="shared" si="10"/>
        <v>3192.9824561403502</v>
      </c>
      <c r="M28" s="245">
        <f t="shared" si="10"/>
        <v>3649.122807017543</v>
      </c>
      <c r="N28" s="245">
        <f t="shared" si="10"/>
        <v>4105.2631578947357</v>
      </c>
      <c r="O28" s="245">
        <f t="shared" si="10"/>
        <v>4561.4035087719285</v>
      </c>
      <c r="P28" s="28">
        <f>SUM(F28:O28)</f>
        <v>25087.719298245607</v>
      </c>
      <c r="Q28" s="4"/>
    </row>
    <row r="29" spans="1:17" x14ac:dyDescent="0.25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5">
      <c r="A30" s="3"/>
      <c r="B30" s="4" t="s">
        <v>239</v>
      </c>
      <c r="C30" s="194"/>
      <c r="D30" s="4"/>
      <c r="E30" s="28"/>
      <c r="F30" s="27">
        <v>0</v>
      </c>
      <c r="G30" s="27">
        <f>F33</f>
        <v>12543.859649122807</v>
      </c>
      <c r="H30" s="27">
        <f>G33</f>
        <v>12087.719298245614</v>
      </c>
      <c r="I30" s="27">
        <f t="shared" ref="I30:O30" si="11">H33</f>
        <v>11631.578947368422</v>
      </c>
      <c r="J30" s="27">
        <f t="shared" si="11"/>
        <v>11175.438596491229</v>
      </c>
      <c r="K30" s="27">
        <f t="shared" si="11"/>
        <v>10719.298245614036</v>
      </c>
      <c r="L30" s="27">
        <f t="shared" si="11"/>
        <v>10263.157894736843</v>
      </c>
      <c r="M30" s="27">
        <f t="shared" si="11"/>
        <v>9807.0175438596507</v>
      </c>
      <c r="N30" s="27">
        <f t="shared" si="11"/>
        <v>9350.8771929824579</v>
      </c>
      <c r="O30" s="27">
        <f t="shared" si="11"/>
        <v>8894.7368421052652</v>
      </c>
      <c r="P30" s="28">
        <f>SUM(F30:O30)</f>
        <v>96473.68421052632</v>
      </c>
      <c r="Q30" s="4"/>
    </row>
    <row r="31" spans="1:17" x14ac:dyDescent="0.25">
      <c r="A31" s="3"/>
      <c r="B31" s="4" t="s">
        <v>232</v>
      </c>
      <c r="C31" s="4"/>
      <c r="D31" s="4"/>
      <c r="E31" s="28"/>
      <c r="F31" s="27">
        <f>E27</f>
        <v>13000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13000</v>
      </c>
      <c r="Q31" s="4"/>
    </row>
    <row r="32" spans="1:17" x14ac:dyDescent="0.25">
      <c r="A32" s="3"/>
      <c r="B32" s="4" t="s">
        <v>233</v>
      </c>
      <c r="C32" s="4"/>
      <c r="D32" s="4"/>
      <c r="E32" s="28"/>
      <c r="F32" s="29">
        <f>-F27</f>
        <v>-456.14035087719299</v>
      </c>
      <c r="G32" s="29">
        <f>-G27</f>
        <v>-456.14035087719299</v>
      </c>
      <c r="H32" s="29">
        <f>-H27</f>
        <v>-456.14035087719299</v>
      </c>
      <c r="I32" s="29">
        <f t="shared" ref="I32:O32" si="12">-I27</f>
        <v>-456.14035087719299</v>
      </c>
      <c r="J32" s="29">
        <f t="shared" si="12"/>
        <v>-456.14035087719299</v>
      </c>
      <c r="K32" s="29">
        <f t="shared" si="12"/>
        <v>-456.14035087719299</v>
      </c>
      <c r="L32" s="29">
        <f t="shared" si="12"/>
        <v>-456.14035087719299</v>
      </c>
      <c r="M32" s="29">
        <f t="shared" si="12"/>
        <v>-456.14035087719299</v>
      </c>
      <c r="N32" s="29">
        <f t="shared" si="12"/>
        <v>-456.14035087719299</v>
      </c>
      <c r="O32" s="29">
        <f t="shared" si="12"/>
        <v>-456.14035087719299</v>
      </c>
      <c r="P32" s="28">
        <f>SUM(F32:O32)</f>
        <v>-4561.4035087719285</v>
      </c>
      <c r="Q32" s="4"/>
    </row>
    <row r="33" spans="1:17" x14ac:dyDescent="0.25">
      <c r="A33" s="5"/>
      <c r="B33" s="6" t="s">
        <v>240</v>
      </c>
      <c r="C33" s="6" t="s">
        <v>5</v>
      </c>
      <c r="D33" s="6"/>
      <c r="E33" s="33"/>
      <c r="F33" s="32">
        <f>SUM(F30:F32)</f>
        <v>12543.859649122807</v>
      </c>
      <c r="G33" s="32">
        <f>SUM(G30:G32)</f>
        <v>12087.719298245614</v>
      </c>
      <c r="H33" s="32">
        <f>SUM(H30:H32)</f>
        <v>11631.578947368422</v>
      </c>
      <c r="I33" s="32">
        <f t="shared" ref="I33:O33" si="13">SUM(I30:I32)</f>
        <v>11175.438596491229</v>
      </c>
      <c r="J33" s="32">
        <f t="shared" si="13"/>
        <v>10719.298245614036</v>
      </c>
      <c r="K33" s="32">
        <f t="shared" si="13"/>
        <v>10263.157894736843</v>
      </c>
      <c r="L33" s="32">
        <f t="shared" si="13"/>
        <v>9807.0175438596507</v>
      </c>
      <c r="M33" s="32">
        <f t="shared" si="13"/>
        <v>9350.8771929824579</v>
      </c>
      <c r="N33" s="32">
        <f t="shared" si="13"/>
        <v>8894.7368421052652</v>
      </c>
      <c r="O33" s="32">
        <f t="shared" si="13"/>
        <v>8438.5964912280724</v>
      </c>
      <c r="P33" s="33">
        <f>SUM(F33:O33)</f>
        <v>104912.2807017544</v>
      </c>
      <c r="Q33" s="4"/>
    </row>
    <row r="34" spans="1:17" x14ac:dyDescent="0.25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5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5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5">
      <c r="A37" s="3"/>
      <c r="B37" s="4" t="s">
        <v>339</v>
      </c>
      <c r="C37" s="4"/>
      <c r="D37" s="4"/>
      <c r="E37" s="28">
        <f>ASS!I23</f>
        <v>13000</v>
      </c>
      <c r="F37" s="239">
        <f>IF(ASS!$J$23=0, 0,  IF(F9&lt;ASS!$J$23, SLN(ASS!$I$23,0,ASS!$J$23)*F11/12, IF(F9=ASS!$J$23, SLN(ASS!$I$23,0,ASS!$J$23)*(12-F11)/12, 0)))</f>
        <v>456.14035087719299</v>
      </c>
      <c r="G37" s="27">
        <f>IF(ASS!$J$23=0, 0, IF(G9=ASS!$J$23,$E$37-SUM($F$37:F37),IF(G9&gt;TERM,0,IF(G9&lt;ASS!$J$23, SLN(ASS!$I$23,0,ASS!$J$23)*G11/12, IF(G9=ASS!$J$23, SLN(ASS!$I$23,0,ASS!$J$23)*(12-G11)/12, 0)))))</f>
        <v>456.14035087719299</v>
      </c>
      <c r="H37" s="239">
        <f>IF(ASS!$J$23=0, 0, IF(H9=ASS!$J$23,$E$37-SUM($F$37:G37),IF(H9&gt;TERM,0,IF(H9&lt;ASS!$J$23, SLN(ASS!$I$23,0,ASS!$J$23)*H11/12, IF(H9=ASS!$J$23, SLN(ASS!$I$23,0,ASS!$J$23)*(12-H11)/12, 0)))))</f>
        <v>456.14035087719299</v>
      </c>
      <c r="I37" s="239">
        <f>IF(ASS!$J$23=0, 0, IF(I9=ASS!$J$23,$E$37-SUM($F$37:H37),IF(I9&gt;TERM,0,IF(I9&lt;ASS!$J$23, SLN(ASS!$I$23,0,ASS!$J$23)*I11/12, IF(I9=ASS!$J$23, SLN(ASS!$I$23,0,ASS!$J$23)*(12-I11)/12, 0)))))</f>
        <v>456.14035087719299</v>
      </c>
      <c r="J37" s="239">
        <f>IF(ASS!$J$23=0, 0, IF(J9=ASS!$J$23,$E$37-SUM($F$37:I37),IF(J9&gt;TERM,0,IF(J9&lt;ASS!$J$23, SLN(ASS!$I$23,0,ASS!$J$23)*J11/12, IF(J9=ASS!$J$23, SLN(ASS!$I$23,0,ASS!$J$23)*(12-J11)/12, 0)))))</f>
        <v>456.14035087719299</v>
      </c>
      <c r="K37" s="239">
        <f>IF(ASS!$J$23=0, 0, IF(K9=ASS!$J$23,$E$37-SUM($F$37:J37),IF(K9&gt;TERM,0,IF(K9&lt;ASS!$J$23, SLN(ASS!$I$23,0,ASS!$J$23)*K11/12, IF(K9=ASS!$J$23, SLN(ASS!$I$23,0,ASS!$J$23)*(12-K11)/12, 0)))))</f>
        <v>456.14035087719299</v>
      </c>
      <c r="L37" s="239">
        <f>IF(ASS!$J$23=0, 0, IF(L9=ASS!$J$23,$E$37-SUM($F$37:K37),IF(L9&gt;TERM,0,IF(L9&lt;ASS!$J$23, SLN(ASS!$I$23,0,ASS!$J$23)*L11/12, IF(L9=ASS!$J$23, SLN(ASS!$I$23,0,ASS!$J$23)*(12-L11)/12, 0)))))</f>
        <v>456.14035087719299</v>
      </c>
      <c r="M37" s="239">
        <f>IF(ASS!$J$23=0, 0, IF(M9=ASS!$J$23,$E$37-SUM($F$37:L37),IF(M9&gt;TERM,0,IF(M9&lt;ASS!$J$23, SLN(ASS!$I$23,0,ASS!$J$23)*M11/12, IF(M9=ASS!$J$23, SLN(ASS!$I$23,0,ASS!$J$23)*(12-M11)/12, 0)))))</f>
        <v>456.14035087719299</v>
      </c>
      <c r="N37" s="239">
        <f>IF(ASS!$J$23=0, 0, IF(N9=ASS!$J$23,$E$37-SUM($F$37:M37),IF(N9&gt;TERM,0,IF(N9&lt;ASS!$J$23, SLN(ASS!$I$23,0,ASS!$J$23)*N11/12, IF(N9=ASS!$J$23, SLN(ASS!$I$23,0,ASS!$J$23)*(12-N11)/12, 0)))))</f>
        <v>456.14035087719299</v>
      </c>
      <c r="O37" s="239">
        <f>IF(ASS!$J$23=0, 0, IF(O9=ASS!$J$23,$E$37-SUM($F$37:N37),IF(O9&gt;TERM,0,IF(O9&lt;ASS!$J$23, SLN(ASS!$I$23,0,ASS!$J$23)*O11/12, IF(O9=ASS!$J$23, SLN(ASS!$I$23,0,ASS!$J$23)*(12-O11)/12, 0)))))</f>
        <v>456.14035087719299</v>
      </c>
      <c r="P37" s="28">
        <f>SUM(F37:O37)</f>
        <v>4561.4035087719285</v>
      </c>
      <c r="Q37" s="194"/>
    </row>
    <row r="38" spans="1:17" x14ac:dyDescent="0.25">
      <c r="A38" s="3"/>
      <c r="B38" s="4" t="s">
        <v>237</v>
      </c>
      <c r="C38" s="194"/>
      <c r="D38" s="4"/>
      <c r="E38" s="28">
        <f>SUM(E37:E37)</f>
        <v>13000</v>
      </c>
      <c r="F38" s="27">
        <f>SUM(F37:F37)</f>
        <v>456.14035087719299</v>
      </c>
      <c r="G38" s="27">
        <f>SUM(G37:G37)</f>
        <v>456.14035087719299</v>
      </c>
      <c r="H38" s="27">
        <f>SUM(H37:H37)</f>
        <v>456.14035087719299</v>
      </c>
      <c r="I38" s="27">
        <f t="shared" ref="I38:O38" si="14">SUM(I37:I37)</f>
        <v>456.14035087719299</v>
      </c>
      <c r="J38" s="27">
        <f t="shared" si="14"/>
        <v>456.14035087719299</v>
      </c>
      <c r="K38" s="27">
        <f t="shared" si="14"/>
        <v>456.14035087719299</v>
      </c>
      <c r="L38" s="27">
        <f t="shared" si="14"/>
        <v>456.14035087719299</v>
      </c>
      <c r="M38" s="27">
        <f t="shared" si="14"/>
        <v>456.14035087719299</v>
      </c>
      <c r="N38" s="27">
        <f t="shared" si="14"/>
        <v>456.14035087719299</v>
      </c>
      <c r="O38" s="27">
        <f t="shared" si="14"/>
        <v>456.14035087719299</v>
      </c>
      <c r="P38" s="28">
        <f t="shared" ref="P38:P44" si="15">SUM(F38:O38)</f>
        <v>4561.4035087719285</v>
      </c>
      <c r="Q38"/>
    </row>
    <row r="39" spans="1:17" x14ac:dyDescent="0.25">
      <c r="A39" s="3"/>
      <c r="B39" s="240" t="s">
        <v>238</v>
      </c>
      <c r="C39" s="194"/>
      <c r="D39" s="4"/>
      <c r="E39" s="28"/>
      <c r="F39" s="241">
        <f>SUM($F$38:F38)</f>
        <v>456.14035087719299</v>
      </c>
      <c r="G39" s="241">
        <f>SUM($F$38:G38)</f>
        <v>912.28070175438597</v>
      </c>
      <c r="H39" s="241">
        <f>SUM($F$38:H38)</f>
        <v>1368.421052631579</v>
      </c>
      <c r="I39" s="241">
        <f>SUM($F$38:I38)</f>
        <v>1824.5614035087719</v>
      </c>
      <c r="J39" s="241">
        <f>SUM($F$38:J38)</f>
        <v>2280.7017543859647</v>
      </c>
      <c r="K39" s="241">
        <f>SUM($F$38:K38)</f>
        <v>2736.8421052631575</v>
      </c>
      <c r="L39" s="241">
        <f>SUM($F$38:L38)</f>
        <v>3192.9824561403502</v>
      </c>
      <c r="M39" s="241">
        <f>SUM($F$38:M38)</f>
        <v>3649.122807017543</v>
      </c>
      <c r="N39" s="241">
        <f>SUM($F$38:N38)</f>
        <v>4105.2631578947357</v>
      </c>
      <c r="O39" s="241">
        <f>SUM($F$38:O38)</f>
        <v>4561.4035087719285</v>
      </c>
      <c r="P39" s="28">
        <f t="shared" si="15"/>
        <v>25087.719298245607</v>
      </c>
      <c r="Q39"/>
    </row>
    <row r="40" spans="1:17" x14ac:dyDescent="0.25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5">
      <c r="A41" s="3"/>
      <c r="B41" s="4" t="s">
        <v>239</v>
      </c>
      <c r="C41" s="194"/>
      <c r="D41" s="4"/>
      <c r="E41" s="28"/>
      <c r="F41" s="27">
        <v>0</v>
      </c>
      <c r="G41" s="27">
        <f>F44</f>
        <v>12543.859649122807</v>
      </c>
      <c r="H41" s="27">
        <f>G44</f>
        <v>12087.719298245614</v>
      </c>
      <c r="I41" s="27">
        <f t="shared" ref="I41:O41" si="16">H44</f>
        <v>11631.578947368422</v>
      </c>
      <c r="J41" s="27">
        <f t="shared" si="16"/>
        <v>11175.438596491229</v>
      </c>
      <c r="K41" s="27">
        <f t="shared" si="16"/>
        <v>10719.298245614036</v>
      </c>
      <c r="L41" s="27">
        <f t="shared" si="16"/>
        <v>10263.157894736843</v>
      </c>
      <c r="M41" s="27">
        <f t="shared" si="16"/>
        <v>9807.0175438596507</v>
      </c>
      <c r="N41" s="27">
        <f t="shared" si="16"/>
        <v>9350.8771929824579</v>
      </c>
      <c r="O41" s="27">
        <f t="shared" si="16"/>
        <v>8894.7368421052652</v>
      </c>
      <c r="P41" s="28">
        <f t="shared" si="15"/>
        <v>96473.68421052632</v>
      </c>
      <c r="Q41"/>
    </row>
    <row r="42" spans="1:17" x14ac:dyDescent="0.25">
      <c r="A42" s="3"/>
      <c r="B42" s="4" t="s">
        <v>232</v>
      </c>
      <c r="C42" s="4"/>
      <c r="D42" s="4"/>
      <c r="E42" s="28"/>
      <c r="F42" s="27">
        <f>E38</f>
        <v>13000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13000</v>
      </c>
      <c r="Q42"/>
    </row>
    <row r="43" spans="1:17" x14ac:dyDescent="0.25">
      <c r="A43" s="3"/>
      <c r="B43" s="4" t="s">
        <v>233</v>
      </c>
      <c r="C43" s="4"/>
      <c r="D43" s="4"/>
      <c r="E43" s="28"/>
      <c r="F43" s="29">
        <f>-F38</f>
        <v>-456.14035087719299</v>
      </c>
      <c r="G43" s="29">
        <f>-G38</f>
        <v>-456.14035087719299</v>
      </c>
      <c r="H43" s="29">
        <f>-H38</f>
        <v>-456.14035087719299</v>
      </c>
      <c r="I43" s="29">
        <f t="shared" ref="I43:O43" si="17">-I38</f>
        <v>-456.14035087719299</v>
      </c>
      <c r="J43" s="29">
        <f t="shared" si="17"/>
        <v>-456.14035087719299</v>
      </c>
      <c r="K43" s="29">
        <f t="shared" si="17"/>
        <v>-456.14035087719299</v>
      </c>
      <c r="L43" s="29">
        <f t="shared" si="17"/>
        <v>-456.14035087719299</v>
      </c>
      <c r="M43" s="29">
        <f t="shared" si="17"/>
        <v>-456.14035087719299</v>
      </c>
      <c r="N43" s="29">
        <f t="shared" si="17"/>
        <v>-456.14035087719299</v>
      </c>
      <c r="O43" s="29">
        <f t="shared" si="17"/>
        <v>-456.14035087719299</v>
      </c>
      <c r="P43" s="28">
        <f t="shared" si="15"/>
        <v>-4561.4035087719285</v>
      </c>
      <c r="Q43"/>
    </row>
    <row r="44" spans="1:17" x14ac:dyDescent="0.25">
      <c r="A44" s="5"/>
      <c r="B44" s="6" t="s">
        <v>240</v>
      </c>
      <c r="C44" s="6" t="s">
        <v>5</v>
      </c>
      <c r="D44" s="6"/>
      <c r="E44" s="33"/>
      <c r="F44" s="32">
        <f>SUM(F41:F43)</f>
        <v>12543.859649122807</v>
      </c>
      <c r="G44" s="32">
        <f>SUM(G41:G43)</f>
        <v>12087.719298245614</v>
      </c>
      <c r="H44" s="32">
        <f>SUM(H41:H43)</f>
        <v>11631.578947368422</v>
      </c>
      <c r="I44" s="32">
        <f t="shared" ref="I44:O44" si="18">SUM(I41:I43)</f>
        <v>11175.438596491229</v>
      </c>
      <c r="J44" s="32">
        <f t="shared" si="18"/>
        <v>10719.298245614036</v>
      </c>
      <c r="K44" s="32">
        <f t="shared" si="18"/>
        <v>10263.157894736843</v>
      </c>
      <c r="L44" s="32">
        <f t="shared" si="18"/>
        <v>9807.0175438596507</v>
      </c>
      <c r="M44" s="32">
        <f t="shared" si="18"/>
        <v>9350.8771929824579</v>
      </c>
      <c r="N44" s="32">
        <f t="shared" si="18"/>
        <v>8894.7368421052652</v>
      </c>
      <c r="O44" s="32">
        <f t="shared" si="18"/>
        <v>8438.5964912280724</v>
      </c>
      <c r="P44" s="33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45" zoomScale="75" workbookViewId="0">
      <selection activeCell="G65" sqref="G65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6" width="9.109375" style="1"/>
    <col min="17" max="17" width="10.109375" style="1" customWidth="1"/>
    <col min="18" max="16384" width="9.109375" style="1"/>
  </cols>
  <sheetData>
    <row r="1" spans="1:17" ht="15.6" x14ac:dyDescent="0.3">
      <c r="A1" s="179" t="s">
        <v>242</v>
      </c>
      <c r="B1" s="195"/>
      <c r="C1" s="189"/>
      <c r="D1" s="190"/>
      <c r="E1"/>
    </row>
    <row r="2" spans="1:17" ht="15.6" x14ac:dyDescent="0.3">
      <c r="A2" s="182">
        <f>ASS!A4</f>
        <v>0</v>
      </c>
      <c r="B2" s="196"/>
      <c r="C2" s="191"/>
      <c r="D2" s="192"/>
      <c r="E2"/>
    </row>
    <row r="3" spans="1:17" x14ac:dyDescent="0.25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5">
      <c r="A4" s="299" t="s">
        <v>347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5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5">
      <c r="A6" s="3"/>
      <c r="B6" s="4" t="s">
        <v>246</v>
      </c>
      <c r="C6" s="4"/>
      <c r="D6" s="4"/>
      <c r="E6" s="4"/>
      <c r="F6" s="61">
        <v>0</v>
      </c>
      <c r="G6" s="27">
        <f>$F$6+G85</f>
        <v>5250.8319999999994</v>
      </c>
      <c r="H6" s="27">
        <f>$F$6+H85</f>
        <v>9420.1046399999996</v>
      </c>
      <c r="I6" s="27">
        <f>$F$6+I85</f>
        <v>12925.986252799999</v>
      </c>
      <c r="J6" s="27">
        <f t="shared" ref="J6:P6" si="0">$F$6+J85</f>
        <v>16482.012857856</v>
      </c>
      <c r="K6" s="27">
        <f t="shared" si="0"/>
        <v>20085.46415501312</v>
      </c>
      <c r="L6" s="27">
        <f t="shared" si="0"/>
        <v>23732.57951811338</v>
      </c>
      <c r="M6" s="27">
        <f t="shared" si="0"/>
        <v>27420.117988475649</v>
      </c>
      <c r="N6" s="27">
        <f t="shared" si="0"/>
        <v>31144.838268245163</v>
      </c>
      <c r="O6" s="27">
        <f t="shared" si="0"/>
        <v>34874.898713610062</v>
      </c>
      <c r="P6" s="27">
        <f t="shared" si="0"/>
        <v>38604.145327882259</v>
      </c>
      <c r="Q6" s="391">
        <f>SUM(F6:P6)</f>
        <v>219940.97972199565</v>
      </c>
    </row>
    <row r="7" spans="1:17" x14ac:dyDescent="0.25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5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5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5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5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5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13000</v>
      </c>
      <c r="H12" s="27">
        <f>$F$12+DEPR!$F$31</f>
        <v>13000</v>
      </c>
      <c r="I12" s="27">
        <f>$F$12+DEPR!$F$31</f>
        <v>13000</v>
      </c>
      <c r="J12" s="27">
        <f>$F$12+DEPR!$F$31</f>
        <v>13000</v>
      </c>
      <c r="K12" s="27">
        <f>$F$12+DEPR!$F$31</f>
        <v>13000</v>
      </c>
      <c r="L12" s="27">
        <f>$F$12+DEPR!$F$31</f>
        <v>13000</v>
      </c>
      <c r="M12" s="27">
        <f>$F$12+DEPR!$F$31</f>
        <v>13000</v>
      </c>
      <c r="N12" s="27">
        <f>$F$12+DEPR!$F$31</f>
        <v>13000</v>
      </c>
      <c r="O12" s="27">
        <f>$F$12+DEPR!$F$31</f>
        <v>13000</v>
      </c>
      <c r="P12" s="27">
        <f>$F$12+DEPR!$F$31</f>
        <v>13000</v>
      </c>
      <c r="Q12" s="391">
        <f>SUM(F12:P12)</f>
        <v>130000</v>
      </c>
    </row>
    <row r="13" spans="1:17" x14ac:dyDescent="0.25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456.14035087719299</v>
      </c>
      <c r="H13" s="29">
        <f>$F$13+DEPR!G28</f>
        <v>912.28070175438597</v>
      </c>
      <c r="I13" s="29">
        <f>$F$13+DEPR!H28</f>
        <v>1368.421052631579</v>
      </c>
      <c r="J13" s="29">
        <f>$F$13+DEPR!I28</f>
        <v>1824.5614035087719</v>
      </c>
      <c r="K13" s="29">
        <f>$F$13+DEPR!J28</f>
        <v>2280.7017543859647</v>
      </c>
      <c r="L13" s="29">
        <f>$F$13+DEPR!K28</f>
        <v>2736.8421052631575</v>
      </c>
      <c r="M13" s="29">
        <f>$F$13+DEPR!L28</f>
        <v>3192.9824561403502</v>
      </c>
      <c r="N13" s="29">
        <f>$F$13+DEPR!M28</f>
        <v>3649.122807017543</v>
      </c>
      <c r="O13" s="29">
        <f>$F$13+DEPR!N28</f>
        <v>4105.2631578947357</v>
      </c>
      <c r="P13" s="29">
        <f>$F$13+DEPR!O28</f>
        <v>4561.4035087719285</v>
      </c>
      <c r="Q13" s="391">
        <f>SUM(F13:P13)</f>
        <v>25087.719298245607</v>
      </c>
    </row>
    <row r="14" spans="1:17" x14ac:dyDescent="0.25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12543.859649122807</v>
      </c>
      <c r="H14" s="27">
        <f>$F$14+H12-H13</f>
        <v>12087.719298245614</v>
      </c>
      <c r="I14" s="27">
        <f>$F$14+I12-I13</f>
        <v>11631.578947368422</v>
      </c>
      <c r="J14" s="27">
        <f t="shared" ref="J14:P14" si="2">$F$14+J12-J13</f>
        <v>11175.438596491229</v>
      </c>
      <c r="K14" s="27">
        <f t="shared" si="2"/>
        <v>10719.298245614034</v>
      </c>
      <c r="L14" s="27">
        <f t="shared" si="2"/>
        <v>10263.157894736843</v>
      </c>
      <c r="M14" s="27">
        <f t="shared" si="2"/>
        <v>9807.0175438596489</v>
      </c>
      <c r="N14" s="27">
        <f t="shared" si="2"/>
        <v>9350.8771929824579</v>
      </c>
      <c r="O14" s="27">
        <f t="shared" si="2"/>
        <v>8894.7368421052633</v>
      </c>
      <c r="P14" s="27">
        <f t="shared" si="2"/>
        <v>8438.5964912280724</v>
      </c>
      <c r="Q14" s="391">
        <f>SUM(F14:P14)</f>
        <v>104912.2807017544</v>
      </c>
    </row>
    <row r="15" spans="1:17" x14ac:dyDescent="0.25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5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5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17794.691649122808</v>
      </c>
      <c r="H17" s="30">
        <f>SUM(H6:H10)+H14+SUM(H15:H15)</f>
        <v>21507.823938245616</v>
      </c>
      <c r="I17" s="30">
        <f>SUM(I6:I10)+I14+SUM(I15:I15)</f>
        <v>24557.565200168421</v>
      </c>
      <c r="J17" s="30">
        <f t="shared" ref="J17:P17" si="3">SUM(J6:J10)+J14+SUM(J15:J15)</f>
        <v>27657.451454347229</v>
      </c>
      <c r="K17" s="30">
        <f t="shared" si="3"/>
        <v>30804.762400627154</v>
      </c>
      <c r="L17" s="30">
        <f t="shared" si="3"/>
        <v>33995.737412850227</v>
      </c>
      <c r="M17" s="30">
        <f t="shared" si="3"/>
        <v>37227.135532335298</v>
      </c>
      <c r="N17" s="30">
        <f t="shared" si="3"/>
        <v>40495.715461227621</v>
      </c>
      <c r="O17" s="30">
        <f t="shared" si="3"/>
        <v>43769.635555715329</v>
      </c>
      <c r="P17" s="30">
        <f t="shared" si="3"/>
        <v>47042.741819110335</v>
      </c>
      <c r="Q17" s="391">
        <f>SUM(F17:P17)</f>
        <v>324853.26042375003</v>
      </c>
    </row>
    <row r="18" spans="1:17" x14ac:dyDescent="0.25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5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5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5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5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5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5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5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5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5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5">
      <c r="A28" s="3"/>
      <c r="B28" s="4" t="s">
        <v>263</v>
      </c>
      <c r="C28" s="4"/>
      <c r="D28" s="4"/>
      <c r="E28" s="4"/>
      <c r="F28" s="61">
        <v>0</v>
      </c>
      <c r="G28" s="27">
        <f>F28+G76</f>
        <v>13000</v>
      </c>
      <c r="H28" s="27">
        <f>G28+H76</f>
        <v>13000</v>
      </c>
      <c r="I28" s="27">
        <f>H28+I76</f>
        <v>13000</v>
      </c>
      <c r="J28" s="27">
        <f t="shared" ref="J28:P28" si="7">I28+J76</f>
        <v>13000</v>
      </c>
      <c r="K28" s="27">
        <f t="shared" si="7"/>
        <v>13000</v>
      </c>
      <c r="L28" s="27">
        <f t="shared" si="7"/>
        <v>13000</v>
      </c>
      <c r="M28" s="27">
        <f t="shared" si="7"/>
        <v>13000</v>
      </c>
      <c r="N28" s="27">
        <f t="shared" si="7"/>
        <v>13000</v>
      </c>
      <c r="O28" s="27">
        <f t="shared" si="7"/>
        <v>13000</v>
      </c>
      <c r="P28" s="27">
        <f t="shared" si="7"/>
        <v>13000</v>
      </c>
      <c r="Q28" s="391">
        <f t="shared" ref="Q28:Q33" si="8">SUM(F28:P28)</f>
        <v>130000</v>
      </c>
    </row>
    <row r="29" spans="1:17" x14ac:dyDescent="0.25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5">
      <c r="A30" s="3"/>
      <c r="B30" s="4" t="s">
        <v>265</v>
      </c>
      <c r="C30" s="4"/>
      <c r="D30" s="4"/>
      <c r="E30" s="4"/>
      <c r="F30" s="62">
        <v>0</v>
      </c>
      <c r="G30" s="29">
        <f>F30+G52</f>
        <v>3956.9397894736844</v>
      </c>
      <c r="H30" s="29">
        <f>G30+H52</f>
        <v>7373.2920589473688</v>
      </c>
      <c r="I30" s="29">
        <f>H30+I52</f>
        <v>10249.045058021053</v>
      </c>
      <c r="J30" s="29">
        <f t="shared" ref="J30:P30" si="9">I30+J52</f>
        <v>13124.186801286738</v>
      </c>
      <c r="K30" s="29">
        <f t="shared" si="9"/>
        <v>15998.705063628262</v>
      </c>
      <c r="L30" s="29">
        <f t="shared" si="9"/>
        <v>18872.587375427145</v>
      </c>
      <c r="M30" s="29">
        <f t="shared" si="9"/>
        <v>21745.82101767253</v>
      </c>
      <c r="N30" s="29">
        <f t="shared" si="9"/>
        <v>24618.39301697335</v>
      </c>
      <c r="O30" s="29">
        <f t="shared" si="9"/>
        <v>27490.290140470712</v>
      </c>
      <c r="P30" s="29">
        <f t="shared" si="9"/>
        <v>30361.498890648549</v>
      </c>
      <c r="Q30" s="391">
        <f t="shared" si="8"/>
        <v>173790.7592125494</v>
      </c>
    </row>
    <row r="31" spans="1:17" x14ac:dyDescent="0.25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16956.939789473683</v>
      </c>
      <c r="H31" s="27">
        <f>SUM(H28:H30)</f>
        <v>20373.292058947369</v>
      </c>
      <c r="I31" s="27">
        <f>SUM(I28:I30)</f>
        <v>23249.045058021053</v>
      </c>
      <c r="J31" s="27">
        <f t="shared" ref="J31:P31" si="10">SUM(J28:J30)</f>
        <v>26124.186801286738</v>
      </c>
      <c r="K31" s="27">
        <f t="shared" si="10"/>
        <v>28998.705063628262</v>
      </c>
      <c r="L31" s="27">
        <f t="shared" si="10"/>
        <v>31872.587375427145</v>
      </c>
      <c r="M31" s="27">
        <f t="shared" si="10"/>
        <v>34745.821017672526</v>
      </c>
      <c r="N31" s="27">
        <f t="shared" si="10"/>
        <v>37618.39301697335</v>
      </c>
      <c r="O31" s="27">
        <f t="shared" si="10"/>
        <v>40490.290140470708</v>
      </c>
      <c r="P31" s="27">
        <f t="shared" si="10"/>
        <v>43361.498890648552</v>
      </c>
      <c r="Q31" s="391">
        <f t="shared" si="8"/>
        <v>303790.75921254937</v>
      </c>
    </row>
    <row r="32" spans="1:17" x14ac:dyDescent="0.25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5">
      <c r="A33" s="3" t="s">
        <v>267</v>
      </c>
      <c r="B33" s="4"/>
      <c r="C33" s="4"/>
      <c r="D33" s="4"/>
      <c r="E33" s="4"/>
      <c r="F33" s="63">
        <v>0</v>
      </c>
      <c r="G33" s="30">
        <f>G31+G25</f>
        <v>16956.939789473683</v>
      </c>
      <c r="H33" s="30">
        <f>H31+H25</f>
        <v>20373.292058947369</v>
      </c>
      <c r="I33" s="30">
        <f>I31+I25</f>
        <v>23249.045058021053</v>
      </c>
      <c r="J33" s="30">
        <f t="shared" ref="J33:P33" si="11">J31+J25</f>
        <v>26124.186801286738</v>
      </c>
      <c r="K33" s="30">
        <f t="shared" si="11"/>
        <v>28998.705063628262</v>
      </c>
      <c r="L33" s="30">
        <f t="shared" si="11"/>
        <v>31872.587375427145</v>
      </c>
      <c r="M33" s="30">
        <f t="shared" si="11"/>
        <v>34745.821017672526</v>
      </c>
      <c r="N33" s="30">
        <f t="shared" si="11"/>
        <v>37618.39301697335</v>
      </c>
      <c r="O33" s="30">
        <f t="shared" si="11"/>
        <v>40490.290140470708</v>
      </c>
      <c r="P33" s="30">
        <f t="shared" si="11"/>
        <v>43361.498890648552</v>
      </c>
      <c r="Q33" s="391">
        <f t="shared" si="8"/>
        <v>303790.75921254937</v>
      </c>
    </row>
    <row r="34" spans="1:17" x14ac:dyDescent="0.25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5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837.75185964912453</v>
      </c>
      <c r="H35" s="396">
        <f>H17-H33</f>
        <v>1134.5318792982471</v>
      </c>
      <c r="I35" s="396">
        <f>I17-I33</f>
        <v>1308.5201421473685</v>
      </c>
      <c r="J35" s="396">
        <f t="shared" ref="J35:P35" si="12">J17-J33</f>
        <v>1533.2646530604907</v>
      </c>
      <c r="K35" s="396">
        <f t="shared" si="12"/>
        <v>1806.0573369988924</v>
      </c>
      <c r="L35" s="396">
        <f t="shared" si="12"/>
        <v>2123.1500374230818</v>
      </c>
      <c r="M35" s="396">
        <f t="shared" si="12"/>
        <v>2481.3145146627721</v>
      </c>
      <c r="N35" s="396">
        <f t="shared" si="12"/>
        <v>2877.3224442542705</v>
      </c>
      <c r="O35" s="396">
        <f t="shared" si="12"/>
        <v>3279.3454152446211</v>
      </c>
      <c r="P35" s="396">
        <f t="shared" si="12"/>
        <v>3681.2429284617829</v>
      </c>
      <c r="Q35" s="397">
        <f>SUM(F35:P35)</f>
        <v>21062.501211200652</v>
      </c>
    </row>
    <row r="38" spans="1:17" ht="15.6" x14ac:dyDescent="0.3">
      <c r="A38" s="197" t="s">
        <v>269</v>
      </c>
      <c r="B38" s="198"/>
      <c r="C38" s="199"/>
    </row>
    <row r="39" spans="1:17" x14ac:dyDescent="0.25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5">
      <c r="A40" s="25" t="s">
        <v>360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5">
      <c r="A41" s="11" t="s">
        <v>318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5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5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5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5">
      <c r="A45" s="3" t="s">
        <v>0</v>
      </c>
      <c r="B45" s="4"/>
      <c r="C45" s="4"/>
      <c r="D45" s="4"/>
      <c r="E45" s="4"/>
      <c r="F45" s="4"/>
      <c r="G45" s="27">
        <f>DEPR!F27</f>
        <v>456.14035087719299</v>
      </c>
      <c r="H45" s="27">
        <f>DEPR!G27</f>
        <v>456.14035087719299</v>
      </c>
      <c r="I45" s="27">
        <f>DEPR!H27</f>
        <v>456.14035087719299</v>
      </c>
      <c r="J45" s="27">
        <f>DEPR!I27</f>
        <v>456.14035087719299</v>
      </c>
      <c r="K45" s="27">
        <f>DEPR!J27</f>
        <v>456.14035087719299</v>
      </c>
      <c r="L45" s="27">
        <f>DEPR!K27</f>
        <v>456.14035087719299</v>
      </c>
      <c r="M45" s="27">
        <f>DEPR!L27</f>
        <v>456.14035087719299</v>
      </c>
      <c r="N45" s="27">
        <f>DEPR!M27</f>
        <v>456.14035087719299</v>
      </c>
      <c r="O45" s="27">
        <f>DEPR!N27</f>
        <v>456.14035087719299</v>
      </c>
      <c r="P45" s="27">
        <f>DEPR!O27</f>
        <v>456.14035087719299</v>
      </c>
      <c r="Q45" s="391">
        <f t="shared" si="17"/>
        <v>4561.4035087719285</v>
      </c>
    </row>
    <row r="46" spans="1:17" x14ac:dyDescent="0.25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5">
      <c r="A47" s="3" t="s">
        <v>272</v>
      </c>
      <c r="B47" s="4"/>
      <c r="C47" s="4"/>
      <c r="D47" s="4"/>
      <c r="E47" s="4"/>
      <c r="F47" s="4"/>
      <c r="G47" s="407">
        <f>SUM(G43:G46)</f>
        <v>505.10035087719297</v>
      </c>
      <c r="H47" s="407">
        <f>SUM(H43:H46)</f>
        <v>506.07955087719301</v>
      </c>
      <c r="I47" s="407">
        <f>SUM(I43:I46)</f>
        <v>507.07833487719302</v>
      </c>
      <c r="J47" s="407">
        <f t="shared" ref="J47:P47" si="18">SUM(J43:J46)</f>
        <v>508.09709455719297</v>
      </c>
      <c r="K47" s="407">
        <f t="shared" si="18"/>
        <v>509.13622943079298</v>
      </c>
      <c r="L47" s="407">
        <f t="shared" si="18"/>
        <v>510.19614700186497</v>
      </c>
      <c r="M47" s="407">
        <f t="shared" si="18"/>
        <v>511.27726292435841</v>
      </c>
      <c r="N47" s="407">
        <f t="shared" si="18"/>
        <v>512.38000116530179</v>
      </c>
      <c r="O47" s="407">
        <f t="shared" si="18"/>
        <v>513.50479417106385</v>
      </c>
      <c r="P47" s="407">
        <f t="shared" si="18"/>
        <v>514.65208303694135</v>
      </c>
      <c r="Q47" s="391">
        <f t="shared" si="17"/>
        <v>5097.5018489190952</v>
      </c>
    </row>
    <row r="48" spans="1:17" x14ac:dyDescent="0.25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5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6594.8996491228072</v>
      </c>
      <c r="H49" s="27">
        <f>H41-H47</f>
        <v>5693.9204491228065</v>
      </c>
      <c r="I49" s="27">
        <f>I41-I47</f>
        <v>4792.9216651228071</v>
      </c>
      <c r="J49" s="27">
        <f t="shared" ref="J49:P49" si="19">J41-J47</f>
        <v>4791.9029054428074</v>
      </c>
      <c r="K49" s="27">
        <f t="shared" si="19"/>
        <v>4790.8637705692072</v>
      </c>
      <c r="L49" s="27">
        <f t="shared" si="19"/>
        <v>4789.803852998135</v>
      </c>
      <c r="M49" s="27">
        <f t="shared" si="19"/>
        <v>4788.7227370756418</v>
      </c>
      <c r="N49" s="27">
        <f t="shared" si="19"/>
        <v>4787.619998834698</v>
      </c>
      <c r="O49" s="27">
        <f t="shared" si="19"/>
        <v>4786.4952058289364</v>
      </c>
      <c r="P49" s="27">
        <f t="shared" si="19"/>
        <v>4785.3479169630591</v>
      </c>
      <c r="Q49" s="391">
        <f t="shared" si="17"/>
        <v>50602.498151080908</v>
      </c>
    </row>
    <row r="50" spans="1:17" x14ac:dyDescent="0.25">
      <c r="A50" s="3" t="s">
        <v>374</v>
      </c>
      <c r="B50" s="4"/>
      <c r="C50" s="4"/>
      <c r="D50" s="4"/>
      <c r="E50" s="4" t="s">
        <v>5</v>
      </c>
      <c r="F50" s="4"/>
      <c r="G50" s="27">
        <f>IF(G49&lt;0,0,G49*(ASS!$I$14+ASS!$I$15))</f>
        <v>2637.9598596491228</v>
      </c>
      <c r="H50" s="27">
        <f>IF(H49&lt;0,0,H49*(ASS!$I$14+ASS!$I$15))</f>
        <v>2277.5681796491226</v>
      </c>
      <c r="I50" s="27">
        <f>IF(I49&lt;0,0,I49*(ASS!$I$14+ASS!$I$15))</f>
        <v>1917.1686660491227</v>
      </c>
      <c r="J50" s="27">
        <f>IF(J49&lt;0,0,J49*(ASS!$I$14+ASS!$I$15))</f>
        <v>1916.7611621771227</v>
      </c>
      <c r="K50" s="27">
        <f>IF(K49&lt;0,0,K49*(ASS!$I$14+ASS!$I$15))</f>
        <v>1916.3455082276828</v>
      </c>
      <c r="L50" s="27">
        <f>IF(L49&lt;0,0,L49*(ASS!$I$14+ASS!$I$15))</f>
        <v>1915.9215411992539</v>
      </c>
      <c r="M50" s="27">
        <f>IF(M49&lt;0,0,M49*(ASS!$I$14+ASS!$I$15))</f>
        <v>1915.4890948302566</v>
      </c>
      <c r="N50" s="27">
        <f>IF(N49&lt;0,0,N49*(ASS!$I$14+ASS!$I$15))</f>
        <v>1915.047999533879</v>
      </c>
      <c r="O50" s="27">
        <f>IF(O49&lt;0,0,O49*(ASS!$I$14+ASS!$I$15))</f>
        <v>1914.5980823315745</v>
      </c>
      <c r="P50" s="27">
        <f>IF(P49&lt;0,0,P49*(ASS!$I$14+ASS!$I$15))</f>
        <v>1914.1391667852236</v>
      </c>
      <c r="Q50" s="391">
        <f t="shared" si="17"/>
        <v>20240.99926043236</v>
      </c>
    </row>
    <row r="51" spans="1:17" x14ac:dyDescent="0.25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5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3956.9397894736844</v>
      </c>
      <c r="H52" s="408">
        <f>H49-H50</f>
        <v>3416.3522694736839</v>
      </c>
      <c r="I52" s="408">
        <f>I49-I50</f>
        <v>2875.7529990736844</v>
      </c>
      <c r="J52" s="408">
        <f t="shared" ref="J52:P52" si="20">J49-J50</f>
        <v>2875.1417432656845</v>
      </c>
      <c r="K52" s="408">
        <f t="shared" si="20"/>
        <v>2874.5182623415244</v>
      </c>
      <c r="L52" s="408">
        <f t="shared" si="20"/>
        <v>2873.8823117988813</v>
      </c>
      <c r="M52" s="408">
        <f t="shared" si="20"/>
        <v>2873.2336422453855</v>
      </c>
      <c r="N52" s="408">
        <f t="shared" si="20"/>
        <v>2872.5719993008188</v>
      </c>
      <c r="O52" s="408">
        <f t="shared" si="20"/>
        <v>2871.8971234973619</v>
      </c>
      <c r="P52" s="408">
        <f t="shared" si="20"/>
        <v>2871.2087501778356</v>
      </c>
      <c r="Q52" s="391">
        <f t="shared" si="17"/>
        <v>30361.498890648549</v>
      </c>
    </row>
    <row r="53" spans="1:17" x14ac:dyDescent="0.25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6" x14ac:dyDescent="0.3">
      <c r="A56" s="197" t="s">
        <v>275</v>
      </c>
      <c r="B56" s="198"/>
      <c r="C56" s="198"/>
      <c r="D56" s="199"/>
    </row>
    <row r="57" spans="1:17" x14ac:dyDescent="0.25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5">
      <c r="A58" s="25" t="s">
        <v>360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5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5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5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5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5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5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5">
      <c r="A65" s="3"/>
      <c r="B65" s="4" t="s">
        <v>281</v>
      </c>
      <c r="C65" s="4"/>
      <c r="D65" s="4"/>
      <c r="E65" s="4"/>
      <c r="F65" s="4"/>
      <c r="G65" s="29">
        <f>CF!D65</f>
        <v>2625.4159999999997</v>
      </c>
      <c r="H65" s="29">
        <f>CF!E65</f>
        <v>2084.6363199999996</v>
      </c>
      <c r="I65" s="29">
        <f>CF!F65</f>
        <v>1752.9408063999997</v>
      </c>
      <c r="J65" s="29">
        <f>CF!G65</f>
        <v>1778.0133025279999</v>
      </c>
      <c r="K65" s="29">
        <f>CF!H65</f>
        <v>1801.7256485785597</v>
      </c>
      <c r="L65" s="29">
        <f>CF!I65</f>
        <v>1823.5576815501308</v>
      </c>
      <c r="M65" s="29">
        <f>CF!J65</f>
        <v>1843.7692351811338</v>
      </c>
      <c r="N65" s="29">
        <f>CF!K65</f>
        <v>1862.3601398847566</v>
      </c>
      <c r="O65" s="29">
        <f>CF!L65</f>
        <v>1865.0302226824517</v>
      </c>
      <c r="P65" s="29">
        <f>CF!M65</f>
        <v>1864.6233071361005</v>
      </c>
      <c r="Q65" s="398">
        <f t="shared" si="24"/>
        <v>19302.072663941137</v>
      </c>
    </row>
    <row r="66" spans="1:17" x14ac:dyDescent="0.25">
      <c r="A66" s="3"/>
      <c r="B66" s="4"/>
      <c r="C66" s="4" t="s">
        <v>282</v>
      </c>
      <c r="D66" s="4"/>
      <c r="E66" s="4"/>
      <c r="F66" s="4"/>
      <c r="G66" s="407">
        <f>SUM(G60:G65)</f>
        <v>9676.4560000000001</v>
      </c>
      <c r="H66" s="407">
        <f>SUM(H60:H65)</f>
        <v>8234.6971200000007</v>
      </c>
      <c r="I66" s="407">
        <f>SUM(I60:I65)</f>
        <v>7002.0028223999998</v>
      </c>
      <c r="J66" s="407">
        <f t="shared" ref="J66:P66" si="25">SUM(J60:J65)</f>
        <v>7026.0565588480003</v>
      </c>
      <c r="K66" s="407">
        <f t="shared" si="25"/>
        <v>7048.7297700249601</v>
      </c>
      <c r="L66" s="407">
        <f t="shared" si="25"/>
        <v>7069.5018854254586</v>
      </c>
      <c r="M66" s="407">
        <f t="shared" si="25"/>
        <v>7088.6323231339684</v>
      </c>
      <c r="N66" s="407">
        <f t="shared" si="25"/>
        <v>7106.1204895966484</v>
      </c>
      <c r="O66" s="407">
        <f t="shared" si="25"/>
        <v>7107.6657793885806</v>
      </c>
      <c r="P66" s="407">
        <f t="shared" si="25"/>
        <v>7106.1115749763521</v>
      </c>
      <c r="Q66" s="391">
        <f t="shared" si="24"/>
        <v>74465.974323793984</v>
      </c>
    </row>
    <row r="67" spans="1:17" x14ac:dyDescent="0.25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5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5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5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5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5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5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5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5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5">
      <c r="A76" s="3"/>
      <c r="B76" s="4" t="s">
        <v>291</v>
      </c>
      <c r="C76" s="4"/>
      <c r="D76" s="4"/>
      <c r="E76" s="4"/>
      <c r="F76" s="4"/>
      <c r="G76" s="27">
        <f>COST*equityperc</f>
        <v>13000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13000</v>
      </c>
    </row>
    <row r="77" spans="1:17" x14ac:dyDescent="0.25">
      <c r="A77" s="3"/>
      <c r="B77" s="4" t="s">
        <v>249</v>
      </c>
      <c r="C77" s="4"/>
      <c r="D77" s="4"/>
      <c r="E77" s="4"/>
      <c r="F77" s="27"/>
      <c r="G77" s="27">
        <f>-(G70+G76-WCAP)</f>
        <v>-13000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-13000</v>
      </c>
    </row>
    <row r="78" spans="1:17" x14ac:dyDescent="0.25">
      <c r="A78" s="3"/>
      <c r="B78" s="4" t="s">
        <v>292</v>
      </c>
      <c r="C78" s="4"/>
      <c r="D78" s="4"/>
      <c r="E78" s="4"/>
      <c r="F78" s="4"/>
      <c r="G78" s="27">
        <f>-CF!D67</f>
        <v>-4425.6240000000007</v>
      </c>
      <c r="H78" s="27">
        <f>-CF!E67</f>
        <v>-4065.4244800000006</v>
      </c>
      <c r="I78" s="27">
        <f>-CF!F67</f>
        <v>-3496.1212095999999</v>
      </c>
      <c r="J78" s="27">
        <f>-CF!G67</f>
        <v>-3470.029953792</v>
      </c>
      <c r="K78" s="27">
        <f>-CF!H67</f>
        <v>-3445.2784728678407</v>
      </c>
      <c r="L78" s="27">
        <f>-CF!I67</f>
        <v>-3422.3865223251969</v>
      </c>
      <c r="M78" s="27">
        <f>-CF!J67</f>
        <v>-3401.0938527717008</v>
      </c>
      <c r="N78" s="27">
        <f>-CF!K67</f>
        <v>-3381.4002098271349</v>
      </c>
      <c r="O78" s="27">
        <f>-CF!L67</f>
        <v>-3377.6053340236776</v>
      </c>
      <c r="P78" s="27">
        <f>-CF!M67</f>
        <v>-3376.8649607041516</v>
      </c>
      <c r="Q78" s="391">
        <f t="shared" si="24"/>
        <v>-35861.828995911703</v>
      </c>
    </row>
    <row r="79" spans="1:17" x14ac:dyDescent="0.25">
      <c r="A79" s="3"/>
      <c r="B79" s="4"/>
      <c r="C79" s="4" t="s">
        <v>293</v>
      </c>
      <c r="D79" s="4"/>
      <c r="E79" s="4"/>
      <c r="F79" s="4"/>
      <c r="G79" s="29">
        <f>SUM(G69:G78)</f>
        <v>-4425.6240000000007</v>
      </c>
      <c r="H79" s="29">
        <f>SUM(H69:H78)</f>
        <v>-4065.4244800000006</v>
      </c>
      <c r="I79" s="29">
        <f>SUM(I69:I78)</f>
        <v>-3496.1212095999999</v>
      </c>
      <c r="J79" s="29">
        <f t="shared" ref="J79:P79" si="26">SUM(J69:J78)</f>
        <v>-3470.029953792</v>
      </c>
      <c r="K79" s="29">
        <f t="shared" si="26"/>
        <v>-3445.2784728678407</v>
      </c>
      <c r="L79" s="29">
        <f t="shared" si="26"/>
        <v>-3422.3865223251969</v>
      </c>
      <c r="M79" s="29">
        <f t="shared" si="26"/>
        <v>-3401.0938527717008</v>
      </c>
      <c r="N79" s="29">
        <f t="shared" si="26"/>
        <v>-3381.4002098271349</v>
      </c>
      <c r="O79" s="29">
        <f t="shared" si="26"/>
        <v>-3377.6053340236776</v>
      </c>
      <c r="P79" s="29">
        <f t="shared" si="26"/>
        <v>-3376.8649607041516</v>
      </c>
      <c r="Q79" s="398">
        <f t="shared" si="24"/>
        <v>-35861.828995911703</v>
      </c>
    </row>
    <row r="80" spans="1:17" x14ac:dyDescent="0.25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5">
      <c r="A81" s="3" t="s">
        <v>294</v>
      </c>
      <c r="B81" s="4"/>
      <c r="C81" s="4"/>
      <c r="D81" s="4"/>
      <c r="E81" s="4"/>
      <c r="F81" s="4"/>
      <c r="G81" s="407">
        <f>G66+G79</f>
        <v>5250.8319999999994</v>
      </c>
      <c r="H81" s="407">
        <f>H66+H79</f>
        <v>4169.2726400000001</v>
      </c>
      <c r="I81" s="407">
        <f>I66+I79</f>
        <v>3505.8816127999999</v>
      </c>
      <c r="J81" s="407">
        <f t="shared" ref="J81:P81" si="27">J66+J79</f>
        <v>3556.0266050560003</v>
      </c>
      <c r="K81" s="407">
        <f t="shared" si="27"/>
        <v>3603.4512971571194</v>
      </c>
      <c r="L81" s="407">
        <f t="shared" si="27"/>
        <v>3647.1153631002617</v>
      </c>
      <c r="M81" s="407">
        <f t="shared" si="27"/>
        <v>3687.5384703622676</v>
      </c>
      <c r="N81" s="407">
        <f t="shared" si="27"/>
        <v>3724.7202797695136</v>
      </c>
      <c r="O81" s="407">
        <f t="shared" si="27"/>
        <v>3730.060445364903</v>
      </c>
      <c r="P81" s="407">
        <f t="shared" si="27"/>
        <v>3729.2466142722005</v>
      </c>
      <c r="Q81" s="391">
        <f t="shared" si="24"/>
        <v>38604.145327882259</v>
      </c>
    </row>
    <row r="82" spans="1:17" x14ac:dyDescent="0.25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5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5250.8319999999994</v>
      </c>
      <c r="I83" s="27">
        <f>H85</f>
        <v>9420.1046399999996</v>
      </c>
      <c r="J83" s="27">
        <f t="shared" ref="J83:P83" si="28">I85</f>
        <v>12925.986252799999</v>
      </c>
      <c r="K83" s="27">
        <f t="shared" si="28"/>
        <v>16482.012857856</v>
      </c>
      <c r="L83" s="27">
        <f t="shared" si="28"/>
        <v>20085.46415501312</v>
      </c>
      <c r="M83" s="27">
        <f t="shared" si="28"/>
        <v>23732.57951811338</v>
      </c>
      <c r="N83" s="27">
        <f t="shared" si="28"/>
        <v>27420.117988475649</v>
      </c>
      <c r="O83" s="27">
        <f t="shared" si="28"/>
        <v>31144.838268245163</v>
      </c>
      <c r="P83" s="27">
        <f t="shared" si="28"/>
        <v>34874.898713610062</v>
      </c>
      <c r="Q83" s="391">
        <f t="shared" si="24"/>
        <v>181336.83439411339</v>
      </c>
    </row>
    <row r="84" spans="1:17" x14ac:dyDescent="0.25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5">
      <c r="A85" s="5" t="s">
        <v>296</v>
      </c>
      <c r="B85" s="6"/>
      <c r="C85" s="6"/>
      <c r="D85" s="6"/>
      <c r="E85" s="6"/>
      <c r="F85" s="6"/>
      <c r="G85" s="409">
        <f>G81+G83</f>
        <v>5250.8319999999994</v>
      </c>
      <c r="H85" s="409">
        <f>H81+H83</f>
        <v>9420.1046399999996</v>
      </c>
      <c r="I85" s="409">
        <f>I81+I83</f>
        <v>12925.986252799999</v>
      </c>
      <c r="J85" s="409">
        <f t="shared" ref="J85:P85" si="29">J81+J83</f>
        <v>16482.012857856</v>
      </c>
      <c r="K85" s="409">
        <f t="shared" si="29"/>
        <v>20085.46415501312</v>
      </c>
      <c r="L85" s="409">
        <f t="shared" si="29"/>
        <v>23732.57951811338</v>
      </c>
      <c r="M85" s="409">
        <f t="shared" si="29"/>
        <v>27420.117988475649</v>
      </c>
      <c r="N85" s="409">
        <f t="shared" si="29"/>
        <v>31144.838268245163</v>
      </c>
      <c r="O85" s="409">
        <f t="shared" si="29"/>
        <v>34874.898713610062</v>
      </c>
      <c r="P85" s="409">
        <f t="shared" si="29"/>
        <v>38604.145327882259</v>
      </c>
      <c r="Q85" s="392">
        <f t="shared" si="24"/>
        <v>219940.97972199565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2000-09-08T13:51:54Z</cp:lastPrinted>
  <dcterms:created xsi:type="dcterms:W3CDTF">1997-10-01T15:48:53Z</dcterms:created>
  <dcterms:modified xsi:type="dcterms:W3CDTF">2023-09-10T11:54:22Z</dcterms:modified>
</cp:coreProperties>
</file>