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96" yWindow="408" windowWidth="12936" windowHeight="1776" tabRatio="892"/>
  </bookViews>
  <sheets>
    <sheet name="ASS" sheetId="6" r:id="rId1"/>
    <sheet name="CF" sheetId="7" r:id="rId2"/>
    <sheet name="RETURNS" sheetId="8" r:id="rId3"/>
    <sheet name="DRAWDOWN" sheetId="12" r:id="rId4"/>
    <sheet name="IDC" sheetId="13" r:id="rId5"/>
    <sheet name="FIN" sheetId="14" r:id="rId6"/>
    <sheet name="TAXES_FEES" sheetId="15" r:id="rId7"/>
    <sheet name="DEPR" sheetId="16" r:id="rId8"/>
    <sheet name="BS_IS" sheetId="17" r:id="rId9"/>
  </sheets>
  <externalReferences>
    <externalReference r:id="rId10"/>
  </externalReferences>
  <definedNames>
    <definedName name="ASS">ASS!$A$3:$X$88</definedName>
    <definedName name="avail">ASS!$D$9</definedName>
    <definedName name="BLANK">ASS!$A$6</definedName>
    <definedName name="BS">BS_IS!$A$1:$AG$90</definedName>
    <definedName name="capacity">ASS!$D$8</definedName>
    <definedName name="CCINPUT">ASS!$R$51</definedName>
    <definedName name="CCIRR1">#REF!</definedName>
    <definedName name="CCIRR2">#REF!</definedName>
    <definedName name="CCIRR3">#REF!</definedName>
    <definedName name="CCNPV1">#REF!</definedName>
    <definedName name="CCNPV2">#REF!</definedName>
    <definedName name="CCNPV3">#REF!</definedName>
    <definedName name="CCTAR1">#REF!</definedName>
    <definedName name="CCTAR2">#REF!</definedName>
    <definedName name="CCTAR3">#REF!</definedName>
    <definedName name="CCTEMP">ASS!$Q$50</definedName>
    <definedName name="CCVAR">ASS!$Q$51</definedName>
    <definedName name="CCVAR1">ASS!$P$51</definedName>
    <definedName name="CF">CF!$A$1:$AD$99</definedName>
    <definedName name="ch">#REF!</definedName>
    <definedName name="COST">ASS!$R$54</definedName>
    <definedName name="CPI">ASS!$E$41</definedName>
    <definedName name="CT_COMFEE">TAXES_FEES!$A$1:$AD$84</definedName>
    <definedName name="DEBT">ASS!$X$84</definedName>
    <definedName name="DEBTPERC">ASS!$V$84</definedName>
    <definedName name="DEPR">DEPR!$A$1:$AF$53</definedName>
    <definedName name="DISC">ASS!$V$9</definedName>
    <definedName name="dispatch">ASS!$D$11</definedName>
    <definedName name="DRAW_TABLE">DRAWDOWN!$A$10:$G$71</definedName>
    <definedName name="DRAWDOWN">DRAWDOWN!$A$1:$H$72</definedName>
    <definedName name="DUTIES">ASS!#REF!</definedName>
    <definedName name="EINC">#REF!</definedName>
    <definedName name="EITF_91_6">#REF!</definedName>
    <definedName name="EQUITY">ASS!$X$85</definedName>
    <definedName name="equityperc">ASS!$V$85</definedName>
    <definedName name="EST_COMMITT">ASS!$AE$11</definedName>
    <definedName name="EST_COST">ASS!$AE$13</definedName>
    <definedName name="EST_COST1">ASS!$P$50</definedName>
    <definedName name="EST_D1">ASS!$AE$14</definedName>
    <definedName name="EST_D3">ASS!$AE$16</definedName>
    <definedName name="EST_D4">ASS!$AE$17</definedName>
    <definedName name="EST_D5">ASS!$AE$18</definedName>
    <definedName name="EST_D6">ASS!$AE$19</definedName>
    <definedName name="EST_DEBTPERC">ASS!#REF!</definedName>
    <definedName name="EST_DEV">ASS!$AE$12</definedName>
    <definedName name="EST_EXIM">ASS!$AE$15</definedName>
    <definedName name="EST_FIN">ASS!$AF$10</definedName>
    <definedName name="EST_IDC">ASS!$AE$8</definedName>
    <definedName name="EST_IRR">ASS!#REF!</definedName>
    <definedName name="FIN">FIN!$A$1:$AD$63</definedName>
    <definedName name="FIN_TABLE">FIN!$B$23:$AB$62</definedName>
    <definedName name="HR">ASS!$D$10</definedName>
    <definedName name="IDC">IDC!$A$1:$AP$42</definedName>
    <definedName name="IDC_TABLE">IDC!$E$7:$AN$38</definedName>
    <definedName name="idc_table1">IDC!$E$6:$AO$38</definedName>
    <definedName name="INPUTS">ASS!$AF$8:$AF$19</definedName>
    <definedName name="_INT1">ASS!$V$38</definedName>
    <definedName name="_INT2">ASS!$V$46</definedName>
    <definedName name="_INT3">ASS!$V$54</definedName>
    <definedName name="_INT4">ASS!$V$62</definedName>
    <definedName name="_INT5">ASS!$V$70</definedName>
    <definedName name="_INT6">ASS!$V$78</definedName>
    <definedName name="IR1A">ASS!$V$39</definedName>
    <definedName name="IR1B">ASS!$U$39</definedName>
    <definedName name="IR1TEMP">ASS!$W$36</definedName>
    <definedName name="IR2A">ASS!$V$47</definedName>
    <definedName name="IR2B">ASS!$U$47</definedName>
    <definedName name="IR2TEMP">ASS!$W$44</definedName>
    <definedName name="IR3A">ASS!$V$55</definedName>
    <definedName name="IR3B">ASS!$U$55</definedName>
    <definedName name="IR3TEMP">ASS!$W$52</definedName>
    <definedName name="IR4A">ASS!$V$63</definedName>
    <definedName name="IR4B">ASS!$U$63</definedName>
    <definedName name="IR4TEMP">ASS!$W$60</definedName>
    <definedName name="IR5A">ASS!$V$71</definedName>
    <definedName name="IR5B">ASS!$U$71</definedName>
    <definedName name="IR5TEMP">ASS!$W$68</definedName>
    <definedName name="IR6A">ASS!$V$79</definedName>
    <definedName name="IR6B">ASS!$U$79</definedName>
    <definedName name="IR6TEMP">ASS!$W$76</definedName>
    <definedName name="IRIRR1">#REF!</definedName>
    <definedName name="IRIRR2">#REF!</definedName>
    <definedName name="IRIRR3">#REF!</definedName>
    <definedName name="IRNPV1">#REF!</definedName>
    <definedName name="IRNPV2">#REF!</definedName>
    <definedName name="IRNPV3">#REF!</definedName>
    <definedName name="IRR">ASS!$W$9</definedName>
    <definedName name="IRRFACTOR">ASS!$Z$10</definedName>
    <definedName name="IRTAR1">#REF!</definedName>
    <definedName name="IRTAR2">#REF!</definedName>
    <definedName name="IRTAR3">#REF!</definedName>
    <definedName name="loopfactor">ASS!$AI$23</definedName>
    <definedName name="Loss">ASS!$D$12</definedName>
    <definedName name="MOSYR1">ASS!$D$17</definedName>
    <definedName name="NEG">ASS!$D$20</definedName>
    <definedName name="NPV">ASS!$X$9</definedName>
    <definedName name="OMIRR1">#REF!</definedName>
    <definedName name="OMIRR2">#REF!</definedName>
    <definedName name="OMIRR3">#REF!</definedName>
    <definedName name="OMNPV1">#REF!</definedName>
    <definedName name="OMNPV2">#REF!</definedName>
    <definedName name="OMNPV3">#REF!</definedName>
    <definedName name="OMTAR1">#REF!</definedName>
    <definedName name="OMTAR2">#REF!</definedName>
    <definedName name="OMTAR3">#REF!</definedName>
    <definedName name="OPIC">ASS!#REF!</definedName>
    <definedName name="POS">ASS!$C$20</definedName>
    <definedName name="_xlnm.Print_Area" localSheetId="0">ASS!$A$3:$X$88</definedName>
    <definedName name="_xlnm.Print_Area" localSheetId="8">BS_IS!$A$1:$AG$90</definedName>
    <definedName name="_xlnm.Print_Area" localSheetId="1">CF!$A$1:$AD$99</definedName>
    <definedName name="_xlnm.Print_Area" localSheetId="7">DEPR!$A$1:$AF$53</definedName>
    <definedName name="_xlnm.Print_Area" localSheetId="3">DRAWDOWN!$A$1:$H$72</definedName>
    <definedName name="_xlnm.Print_Area" localSheetId="5">FIN!$A$1:$AD$63</definedName>
    <definedName name="_xlnm.Print_Area" localSheetId="4">IDC!$A$1:$AP$42</definedName>
    <definedName name="_xlnm.Print_Area" localSheetId="2">RETURNS!$A$1:$AG$70</definedName>
    <definedName name="_xlnm.Print_Area" localSheetId="6">TAXES_FEES!$A$1:$AD$84</definedName>
    <definedName name="_REF1">#REF!</definedName>
    <definedName name="_REF2">#REF!</definedName>
    <definedName name="_REF3">#REF!</definedName>
    <definedName name="_REF4">#REF!</definedName>
    <definedName name="RET_TABLE">RETURNS!$D$5:$AF$57</definedName>
    <definedName name="RETURNS">RETURNS!$A$1:$AG$70</definedName>
    <definedName name="sens">#REF!</definedName>
    <definedName name="SENS_TABLE">#REF!</definedName>
    <definedName name="solver_adj" localSheetId="0" hidden="1">ASS!$C$26</definedName>
    <definedName name="solver_cvg" localSheetId="0" hidden="1">0.001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ASS!$V$27</definedName>
    <definedName name="solver_lin" localSheetId="0" hidden="1">2</definedName>
    <definedName name="solver_neg" localSheetId="0" hidden="1">2</definedName>
    <definedName name="solver_num" localSheetId="0" hidden="1">1</definedName>
    <definedName name="solver_nwt" localSheetId="0" hidden="1">1</definedName>
    <definedName name="solver_opt" localSheetId="0" hidden="1">ASS!$W$9</definedName>
    <definedName name="solver_pre" localSheetId="0" hidden="1">0.000001</definedName>
    <definedName name="solver_rel1" localSheetId="0" hidden="1">3</definedName>
    <definedName name="solver_rhs1" localSheetId="0" hidden="1">1.4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0.15</definedName>
    <definedName name="SPARES">ASS!$R$46</definedName>
    <definedName name="STARTCONST">ASS!$D$15</definedName>
    <definedName name="STARTYR">ASS!$E$17</definedName>
    <definedName name="TARGET">ASS!$W$10</definedName>
    <definedName name="TARIFF">ASS!$C$26</definedName>
    <definedName name="TAX">ASS!$I$9</definedName>
    <definedName name="TEMP">ASS!$E$20</definedName>
    <definedName name="TERM">ASS!$E$18</definedName>
    <definedName name="TERM_C">ASS!$E$16</definedName>
    <definedName name="toc">#REF!</definedName>
    <definedName name="USTAX">ASS!$I$15</definedName>
    <definedName name="VALUES">ASS!$AE$8:$AE$19</definedName>
    <definedName name="VAT">ASS!#REF!</definedName>
    <definedName name="WCAP">ASS!$R$45</definedName>
    <definedName name="WHTAX">ASS!#REF!</definedName>
  </definedNames>
  <calcPr calcId="0"/>
</workbook>
</file>

<file path=xl/calcChain.xml><?xml version="1.0" encoding="utf-8"?>
<calcChain xmlns="http://schemas.openxmlformats.org/spreadsheetml/2006/main">
  <c r="D3" i="6" l="1"/>
  <c r="J3" i="6"/>
  <c r="P3" i="6"/>
  <c r="D4" i="6"/>
  <c r="J4" i="6"/>
  <c r="D5" i="6"/>
  <c r="J5" i="6"/>
  <c r="D7" i="6"/>
  <c r="R8" i="6"/>
  <c r="AF8" i="6"/>
  <c r="AG8" i="6"/>
  <c r="R9" i="6"/>
  <c r="W9" i="6"/>
  <c r="X9" i="6"/>
  <c r="AF9" i="6"/>
  <c r="AG9" i="6"/>
  <c r="Z10" i="6"/>
  <c r="AF10" i="6"/>
  <c r="AG10" i="6"/>
  <c r="AF11" i="6"/>
  <c r="AG11" i="6"/>
  <c r="R12" i="6"/>
  <c r="V12" i="6"/>
  <c r="W12" i="6"/>
  <c r="X12" i="6"/>
  <c r="AF12" i="6"/>
  <c r="AG12" i="6"/>
  <c r="R13" i="6"/>
  <c r="V13" i="6"/>
  <c r="W13" i="6"/>
  <c r="X13" i="6"/>
  <c r="AF13" i="6"/>
  <c r="AG13" i="6"/>
  <c r="R14" i="6"/>
  <c r="V14" i="6"/>
  <c r="W14" i="6"/>
  <c r="X14" i="6"/>
  <c r="AC14" i="6"/>
  <c r="AF14" i="6"/>
  <c r="AG14" i="6"/>
  <c r="D15" i="6"/>
  <c r="R15" i="6"/>
  <c r="X15" i="6"/>
  <c r="AC15" i="6"/>
  <c r="AF15" i="6"/>
  <c r="AG15" i="6"/>
  <c r="AC16" i="6"/>
  <c r="AF16" i="6"/>
  <c r="AG16" i="6"/>
  <c r="R17" i="6"/>
  <c r="X17" i="6"/>
  <c r="AC17" i="6"/>
  <c r="AF17" i="6"/>
  <c r="AG17" i="6"/>
  <c r="R18" i="6"/>
  <c r="X18" i="6"/>
  <c r="AC18" i="6"/>
  <c r="AF18" i="6"/>
  <c r="AG18" i="6"/>
  <c r="R19" i="6"/>
  <c r="X19" i="6"/>
  <c r="AC19" i="6"/>
  <c r="AF19" i="6"/>
  <c r="AG19" i="6"/>
  <c r="B20" i="6"/>
  <c r="C20" i="6"/>
  <c r="D20" i="6"/>
  <c r="X20" i="6"/>
  <c r="R21" i="6"/>
  <c r="X21" i="6"/>
  <c r="R22" i="6"/>
  <c r="X23" i="6"/>
  <c r="AI23" i="6"/>
  <c r="R24" i="6"/>
  <c r="X24" i="6"/>
  <c r="Y24" i="6"/>
  <c r="R25" i="6"/>
  <c r="R27" i="6"/>
  <c r="U27" i="6"/>
  <c r="V27" i="6"/>
  <c r="U28" i="6"/>
  <c r="V28" i="6"/>
  <c r="C29" i="6"/>
  <c r="Y30" i="6"/>
  <c r="U31" i="6"/>
  <c r="V31" i="6"/>
  <c r="X31" i="6"/>
  <c r="C32" i="6"/>
  <c r="K32" i="6"/>
  <c r="I33" i="6"/>
  <c r="J33" i="6"/>
  <c r="K33" i="6"/>
  <c r="D34" i="6"/>
  <c r="K34" i="6"/>
  <c r="X34" i="6"/>
  <c r="R35" i="6"/>
  <c r="X36" i="6"/>
  <c r="Y36" i="6"/>
  <c r="R38" i="6"/>
  <c r="X38" i="6"/>
  <c r="R41" i="6"/>
  <c r="X42" i="6"/>
  <c r="Y42" i="6"/>
  <c r="E44" i="6"/>
  <c r="R44" i="6"/>
  <c r="X44" i="6"/>
  <c r="E45" i="6"/>
  <c r="E46" i="6"/>
  <c r="R46" i="6"/>
  <c r="X46" i="6"/>
  <c r="E47" i="6"/>
  <c r="R47" i="6"/>
  <c r="E48" i="6"/>
  <c r="R48" i="6"/>
  <c r="Y48" i="6"/>
  <c r="E49" i="6"/>
  <c r="R49" i="6"/>
  <c r="E50" i="6"/>
  <c r="X50" i="6"/>
  <c r="E51" i="6"/>
  <c r="E52" i="6"/>
  <c r="X52" i="6"/>
  <c r="E53" i="6"/>
  <c r="R53" i="6"/>
  <c r="E54" i="6"/>
  <c r="R54" i="6"/>
  <c r="X54" i="6"/>
  <c r="Y54" i="6"/>
  <c r="E55" i="6"/>
  <c r="E56" i="6"/>
  <c r="R56" i="6"/>
  <c r="E58" i="6"/>
  <c r="X58" i="6"/>
  <c r="E59" i="6"/>
  <c r="E60" i="6"/>
  <c r="X60" i="6"/>
  <c r="E61" i="6"/>
  <c r="E62" i="6"/>
  <c r="X62" i="6"/>
  <c r="Y62" i="6"/>
  <c r="X66" i="6"/>
  <c r="X68" i="6"/>
  <c r="X70" i="6"/>
  <c r="X74" i="6"/>
  <c r="X76" i="6"/>
  <c r="X78" i="6"/>
  <c r="V84" i="6"/>
  <c r="X84" i="6"/>
  <c r="X85" i="6"/>
  <c r="V86" i="6"/>
  <c r="X86" i="6"/>
  <c r="A2" i="17"/>
  <c r="A3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Z5" i="17"/>
  <c r="AA5" i="17"/>
  <c r="AB5" i="17"/>
  <c r="AC5" i="17"/>
  <c r="AD5" i="17"/>
  <c r="AE5" i="17"/>
  <c r="AF5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AA6" i="17"/>
  <c r="AB6" i="17"/>
  <c r="AC6" i="17"/>
  <c r="AD6" i="17"/>
  <c r="AE6" i="17"/>
  <c r="AF6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AC8" i="17"/>
  <c r="AD8" i="17"/>
  <c r="AE8" i="17"/>
  <c r="AF8" i="17"/>
  <c r="AG8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Z9" i="17"/>
  <c r="AA9" i="17"/>
  <c r="AB9" i="17"/>
  <c r="AC9" i="17"/>
  <c r="AD9" i="17"/>
  <c r="AE9" i="17"/>
  <c r="AF9" i="17"/>
  <c r="AG10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AG11" i="17"/>
  <c r="AG12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Z14" i="17"/>
  <c r="AA14" i="17"/>
  <c r="AB14" i="17"/>
  <c r="AC14" i="17"/>
  <c r="AD14" i="17"/>
  <c r="AE14" i="17"/>
  <c r="AF14" i="17"/>
  <c r="AG14" i="17"/>
  <c r="G15" i="17"/>
  <c r="H15" i="17"/>
  <c r="I15" i="17"/>
  <c r="J15" i="17"/>
  <c r="K15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Z15" i="17"/>
  <c r="AA15" i="17"/>
  <c r="AB15" i="17"/>
  <c r="AC15" i="17"/>
  <c r="AD15" i="17"/>
  <c r="AE15" i="17"/>
  <c r="AF15" i="17"/>
  <c r="AG15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Z16" i="17"/>
  <c r="AA16" i="17"/>
  <c r="AB16" i="17"/>
  <c r="AC16" i="17"/>
  <c r="AD16" i="17"/>
  <c r="AE16" i="17"/>
  <c r="AF16" i="17"/>
  <c r="AG16" i="17"/>
  <c r="AG17" i="17"/>
  <c r="AG18" i="17"/>
  <c r="G19" i="17"/>
  <c r="H19" i="17"/>
  <c r="I19" i="17"/>
  <c r="J19" i="17"/>
  <c r="K19" i="17"/>
  <c r="L19" i="17"/>
  <c r="M19" i="17"/>
  <c r="N19" i="17"/>
  <c r="O19" i="17"/>
  <c r="P19" i="17"/>
  <c r="Q19" i="17"/>
  <c r="R19" i="17"/>
  <c r="S19" i="17"/>
  <c r="T19" i="17"/>
  <c r="U19" i="17"/>
  <c r="V19" i="17"/>
  <c r="W19" i="17"/>
  <c r="X19" i="17"/>
  <c r="Y19" i="17"/>
  <c r="Z19" i="17"/>
  <c r="AA19" i="17"/>
  <c r="AB19" i="17"/>
  <c r="AC19" i="17"/>
  <c r="AD19" i="17"/>
  <c r="AE19" i="17"/>
  <c r="AF19" i="17"/>
  <c r="AG19" i="17"/>
  <c r="AG22" i="17"/>
  <c r="AG23" i="17"/>
  <c r="AG24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Z25" i="17"/>
  <c r="AA25" i="17"/>
  <c r="AB25" i="17"/>
  <c r="AC25" i="17"/>
  <c r="AD25" i="17"/>
  <c r="AE25" i="17"/>
  <c r="AF25" i="17"/>
  <c r="AG25" i="17"/>
  <c r="G26" i="17"/>
  <c r="H26" i="17"/>
  <c r="I26" i="17"/>
  <c r="J26" i="17"/>
  <c r="K26" i="17"/>
  <c r="L26" i="17"/>
  <c r="M26" i="17"/>
  <c r="N26" i="17"/>
  <c r="O26" i="17"/>
  <c r="P26" i="17"/>
  <c r="Q26" i="17"/>
  <c r="R26" i="17"/>
  <c r="S26" i="17"/>
  <c r="T26" i="17"/>
  <c r="U26" i="17"/>
  <c r="V26" i="17"/>
  <c r="W26" i="17"/>
  <c r="X26" i="17"/>
  <c r="Y26" i="17"/>
  <c r="Z26" i="17"/>
  <c r="AA26" i="17"/>
  <c r="AB26" i="17"/>
  <c r="AC26" i="17"/>
  <c r="AD26" i="17"/>
  <c r="AE26" i="17"/>
  <c r="AF26" i="17"/>
  <c r="AG26" i="17"/>
  <c r="AG27" i="17"/>
  <c r="G28" i="17"/>
  <c r="H28" i="17"/>
  <c r="I28" i="17"/>
  <c r="J28" i="17"/>
  <c r="K28" i="17"/>
  <c r="L28" i="17"/>
  <c r="M28" i="17"/>
  <c r="N28" i="17"/>
  <c r="O28" i="17"/>
  <c r="P28" i="17"/>
  <c r="Q28" i="17"/>
  <c r="R28" i="17"/>
  <c r="S28" i="17"/>
  <c r="T28" i="17"/>
  <c r="U28" i="17"/>
  <c r="V28" i="17"/>
  <c r="W28" i="17"/>
  <c r="X28" i="17"/>
  <c r="Y28" i="17"/>
  <c r="Z28" i="17"/>
  <c r="AA28" i="17"/>
  <c r="AB28" i="17"/>
  <c r="AC28" i="17"/>
  <c r="AD28" i="17"/>
  <c r="AE28" i="17"/>
  <c r="AF28" i="17"/>
  <c r="AG28" i="17"/>
  <c r="G31" i="17"/>
  <c r="H31" i="17"/>
  <c r="I31" i="17"/>
  <c r="J31" i="17"/>
  <c r="K31" i="17"/>
  <c r="L31" i="17"/>
  <c r="M31" i="17"/>
  <c r="N31" i="17"/>
  <c r="O31" i="17"/>
  <c r="P31" i="17"/>
  <c r="Q31" i="17"/>
  <c r="R31" i="17"/>
  <c r="S31" i="17"/>
  <c r="T31" i="17"/>
  <c r="U31" i="17"/>
  <c r="V31" i="17"/>
  <c r="W31" i="17"/>
  <c r="X31" i="17"/>
  <c r="Y31" i="17"/>
  <c r="Z31" i="17"/>
  <c r="AA31" i="17"/>
  <c r="AB31" i="17"/>
  <c r="AC31" i="17"/>
  <c r="AD31" i="17"/>
  <c r="AE31" i="17"/>
  <c r="AF31" i="17"/>
  <c r="AG31" i="17"/>
  <c r="G32" i="17"/>
  <c r="H32" i="17"/>
  <c r="I32" i="17"/>
  <c r="J32" i="17"/>
  <c r="K32" i="17"/>
  <c r="L32" i="17"/>
  <c r="M32" i="17"/>
  <c r="N32" i="17"/>
  <c r="O32" i="17"/>
  <c r="P32" i="17"/>
  <c r="Q32" i="17"/>
  <c r="R32" i="17"/>
  <c r="S32" i="17"/>
  <c r="T32" i="17"/>
  <c r="U32" i="17"/>
  <c r="V32" i="17"/>
  <c r="W32" i="17"/>
  <c r="X32" i="17"/>
  <c r="Y32" i="17"/>
  <c r="Z32" i="17"/>
  <c r="AA32" i="17"/>
  <c r="AB32" i="17"/>
  <c r="AC32" i="17"/>
  <c r="AD32" i="17"/>
  <c r="AE32" i="17"/>
  <c r="AF32" i="17"/>
  <c r="AG32" i="17"/>
  <c r="G33" i="17"/>
  <c r="H33" i="17"/>
  <c r="I33" i="17"/>
  <c r="J33" i="17"/>
  <c r="K33" i="17"/>
  <c r="L33" i="17"/>
  <c r="M33" i="17"/>
  <c r="N33" i="17"/>
  <c r="O33" i="17"/>
  <c r="P33" i="17"/>
  <c r="Q33" i="17"/>
  <c r="R33" i="17"/>
  <c r="S33" i="17"/>
  <c r="T33" i="17"/>
  <c r="U33" i="17"/>
  <c r="V33" i="17"/>
  <c r="W33" i="17"/>
  <c r="X33" i="17"/>
  <c r="Y33" i="17"/>
  <c r="Z33" i="17"/>
  <c r="AA33" i="17"/>
  <c r="AB33" i="17"/>
  <c r="AC33" i="17"/>
  <c r="AD33" i="17"/>
  <c r="AE33" i="17"/>
  <c r="AF33" i="17"/>
  <c r="AG33" i="17"/>
  <c r="G34" i="17"/>
  <c r="H34" i="17"/>
  <c r="I34" i="17"/>
  <c r="J34" i="17"/>
  <c r="K34" i="17"/>
  <c r="L34" i="17"/>
  <c r="M34" i="17"/>
  <c r="N34" i="17"/>
  <c r="O34" i="17"/>
  <c r="P34" i="17"/>
  <c r="Q34" i="17"/>
  <c r="R34" i="17"/>
  <c r="S34" i="17"/>
  <c r="T34" i="17"/>
  <c r="U34" i="17"/>
  <c r="V34" i="17"/>
  <c r="W34" i="17"/>
  <c r="X34" i="17"/>
  <c r="Y34" i="17"/>
  <c r="Z34" i="17"/>
  <c r="AA34" i="17"/>
  <c r="AB34" i="17"/>
  <c r="AC34" i="17"/>
  <c r="AD34" i="17"/>
  <c r="AE34" i="17"/>
  <c r="AF34" i="17"/>
  <c r="AG34" i="17"/>
  <c r="G36" i="17"/>
  <c r="H36" i="17"/>
  <c r="I36" i="17"/>
  <c r="J36" i="17"/>
  <c r="K36" i="17"/>
  <c r="L36" i="17"/>
  <c r="M36" i="17"/>
  <c r="N36" i="17"/>
  <c r="O36" i="17"/>
  <c r="P36" i="17"/>
  <c r="Q36" i="17"/>
  <c r="R36" i="17"/>
  <c r="S36" i="17"/>
  <c r="T36" i="17"/>
  <c r="U36" i="17"/>
  <c r="V36" i="17"/>
  <c r="W36" i="17"/>
  <c r="X36" i="17"/>
  <c r="Y36" i="17"/>
  <c r="Z36" i="17"/>
  <c r="AA36" i="17"/>
  <c r="AB36" i="17"/>
  <c r="AC36" i="17"/>
  <c r="AD36" i="17"/>
  <c r="AE36" i="17"/>
  <c r="AF36" i="17"/>
  <c r="AG36" i="17"/>
  <c r="G38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Z38" i="17"/>
  <c r="AA38" i="17"/>
  <c r="AB38" i="17"/>
  <c r="AC38" i="17"/>
  <c r="AD38" i="17"/>
  <c r="AE38" i="17"/>
  <c r="AF38" i="17"/>
  <c r="AG38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V42" i="17"/>
  <c r="W42" i="17"/>
  <c r="X42" i="17"/>
  <c r="Y42" i="17"/>
  <c r="Z42" i="17"/>
  <c r="AA42" i="17"/>
  <c r="AB42" i="17"/>
  <c r="AC42" i="17"/>
  <c r="AD42" i="17"/>
  <c r="AE42" i="17"/>
  <c r="AF42" i="17"/>
  <c r="G43" i="17"/>
  <c r="H43" i="17"/>
  <c r="I43" i="17"/>
  <c r="J43" i="17"/>
  <c r="K43" i="17"/>
  <c r="L43" i="17"/>
  <c r="M43" i="17"/>
  <c r="N43" i="17"/>
  <c r="O43" i="17"/>
  <c r="P43" i="17"/>
  <c r="Q43" i="17"/>
  <c r="R43" i="17"/>
  <c r="S43" i="17"/>
  <c r="T43" i="17"/>
  <c r="U43" i="17"/>
  <c r="V43" i="17"/>
  <c r="W43" i="17"/>
  <c r="X43" i="17"/>
  <c r="Y43" i="17"/>
  <c r="Z43" i="17"/>
  <c r="AA43" i="17"/>
  <c r="AB43" i="17"/>
  <c r="AC43" i="17"/>
  <c r="AD43" i="17"/>
  <c r="AE43" i="17"/>
  <c r="AF43" i="17"/>
  <c r="G44" i="17"/>
  <c r="H44" i="17"/>
  <c r="I44" i="17"/>
  <c r="J44" i="17"/>
  <c r="K44" i="17"/>
  <c r="L44" i="17"/>
  <c r="M44" i="17"/>
  <c r="N44" i="17"/>
  <c r="O44" i="17"/>
  <c r="P44" i="17"/>
  <c r="Q44" i="17"/>
  <c r="R44" i="17"/>
  <c r="S44" i="17"/>
  <c r="T44" i="17"/>
  <c r="U44" i="17"/>
  <c r="V44" i="17"/>
  <c r="W44" i="17"/>
  <c r="X44" i="17"/>
  <c r="Y44" i="17"/>
  <c r="Z44" i="17"/>
  <c r="AA44" i="17"/>
  <c r="AB44" i="17"/>
  <c r="AC44" i="17"/>
  <c r="AD44" i="17"/>
  <c r="AE44" i="17"/>
  <c r="AF44" i="17"/>
  <c r="AG44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X46" i="17"/>
  <c r="Y46" i="17"/>
  <c r="Z46" i="17"/>
  <c r="AA46" i="17"/>
  <c r="AB46" i="17"/>
  <c r="AC46" i="17"/>
  <c r="AD46" i="17"/>
  <c r="AE46" i="17"/>
  <c r="AF46" i="17"/>
  <c r="AG46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U47" i="17"/>
  <c r="V47" i="17"/>
  <c r="W47" i="17"/>
  <c r="X47" i="17"/>
  <c r="Y47" i="17"/>
  <c r="Z47" i="17"/>
  <c r="AA47" i="17"/>
  <c r="AB47" i="17"/>
  <c r="AC47" i="17"/>
  <c r="AD47" i="17"/>
  <c r="AE47" i="17"/>
  <c r="AF47" i="17"/>
  <c r="AG47" i="17"/>
  <c r="G48" i="17"/>
  <c r="H48" i="17"/>
  <c r="I48" i="17"/>
  <c r="J48" i="17"/>
  <c r="K48" i="17"/>
  <c r="L48" i="17"/>
  <c r="M48" i="17"/>
  <c r="N48" i="17"/>
  <c r="O48" i="17"/>
  <c r="P48" i="17"/>
  <c r="Q48" i="17"/>
  <c r="R48" i="17"/>
  <c r="S48" i="17"/>
  <c r="T48" i="17"/>
  <c r="U48" i="17"/>
  <c r="V48" i="17"/>
  <c r="W48" i="17"/>
  <c r="X48" i="17"/>
  <c r="Y48" i="17"/>
  <c r="Z48" i="17"/>
  <c r="AA48" i="17"/>
  <c r="AB48" i="17"/>
  <c r="AC48" i="17"/>
  <c r="AD48" i="17"/>
  <c r="AE48" i="17"/>
  <c r="AF48" i="17"/>
  <c r="AG48" i="17"/>
  <c r="G49" i="17"/>
  <c r="H49" i="17"/>
  <c r="I49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W49" i="17"/>
  <c r="X49" i="17"/>
  <c r="Y49" i="17"/>
  <c r="Z49" i="17"/>
  <c r="AA49" i="17"/>
  <c r="AB49" i="17"/>
  <c r="AC49" i="17"/>
  <c r="AD49" i="17"/>
  <c r="AE49" i="17"/>
  <c r="AF49" i="17"/>
  <c r="AG49" i="17"/>
  <c r="G50" i="17"/>
  <c r="H50" i="17"/>
  <c r="I50" i="17"/>
  <c r="J50" i="17"/>
  <c r="K50" i="17"/>
  <c r="L50" i="17"/>
  <c r="M50" i="17"/>
  <c r="N50" i="17"/>
  <c r="O50" i="17"/>
  <c r="P50" i="17"/>
  <c r="Q50" i="17"/>
  <c r="R50" i="17"/>
  <c r="S50" i="17"/>
  <c r="T50" i="17"/>
  <c r="U50" i="17"/>
  <c r="V50" i="17"/>
  <c r="W50" i="17"/>
  <c r="X50" i="17"/>
  <c r="Y50" i="17"/>
  <c r="Z50" i="17"/>
  <c r="AA50" i="17"/>
  <c r="AB50" i="17"/>
  <c r="AC50" i="17"/>
  <c r="AD50" i="17"/>
  <c r="AE50" i="17"/>
  <c r="AF50" i="17"/>
  <c r="AG50" i="17"/>
  <c r="G51" i="17"/>
  <c r="H51" i="17"/>
  <c r="I51" i="17"/>
  <c r="J51" i="17"/>
  <c r="K51" i="17"/>
  <c r="L51" i="17"/>
  <c r="M51" i="17"/>
  <c r="N51" i="17"/>
  <c r="O51" i="17"/>
  <c r="P51" i="17"/>
  <c r="Q51" i="17"/>
  <c r="R51" i="17"/>
  <c r="S51" i="17"/>
  <c r="T51" i="17"/>
  <c r="U51" i="17"/>
  <c r="V51" i="17"/>
  <c r="W51" i="17"/>
  <c r="X51" i="17"/>
  <c r="Y51" i="17"/>
  <c r="Z51" i="17"/>
  <c r="AA51" i="17"/>
  <c r="AB51" i="17"/>
  <c r="AC51" i="17"/>
  <c r="AD51" i="17"/>
  <c r="AE51" i="17"/>
  <c r="AF51" i="17"/>
  <c r="AG51" i="17"/>
  <c r="G53" i="17"/>
  <c r="H53" i="17"/>
  <c r="I53" i="17"/>
  <c r="J53" i="17"/>
  <c r="K53" i="17"/>
  <c r="L53" i="17"/>
  <c r="M53" i="17"/>
  <c r="N53" i="17"/>
  <c r="O53" i="17"/>
  <c r="P53" i="17"/>
  <c r="Q53" i="17"/>
  <c r="R53" i="17"/>
  <c r="S53" i="17"/>
  <c r="T53" i="17"/>
  <c r="U53" i="17"/>
  <c r="V53" i="17"/>
  <c r="W53" i="17"/>
  <c r="X53" i="17"/>
  <c r="Y53" i="17"/>
  <c r="Z53" i="17"/>
  <c r="AA53" i="17"/>
  <c r="AB53" i="17"/>
  <c r="AC53" i="17"/>
  <c r="AD53" i="17"/>
  <c r="AE53" i="17"/>
  <c r="AF53" i="17"/>
  <c r="AG53" i="17"/>
  <c r="G54" i="17"/>
  <c r="H54" i="17"/>
  <c r="I54" i="17"/>
  <c r="J54" i="17"/>
  <c r="K54" i="17"/>
  <c r="L54" i="17"/>
  <c r="M54" i="17"/>
  <c r="N54" i="17"/>
  <c r="O54" i="17"/>
  <c r="P54" i="17"/>
  <c r="Q54" i="17"/>
  <c r="R54" i="17"/>
  <c r="S54" i="17"/>
  <c r="T54" i="17"/>
  <c r="U54" i="17"/>
  <c r="V54" i="17"/>
  <c r="W54" i="17"/>
  <c r="X54" i="17"/>
  <c r="Y54" i="17"/>
  <c r="Z54" i="17"/>
  <c r="AA54" i="17"/>
  <c r="AB54" i="17"/>
  <c r="AC54" i="17"/>
  <c r="AD54" i="17"/>
  <c r="AE54" i="17"/>
  <c r="AF54" i="17"/>
  <c r="AG54" i="17"/>
  <c r="G55" i="17"/>
  <c r="H55" i="17"/>
  <c r="I55" i="17"/>
  <c r="J55" i="17"/>
  <c r="K55" i="17"/>
  <c r="L55" i="17"/>
  <c r="M55" i="17"/>
  <c r="N55" i="17"/>
  <c r="O55" i="17"/>
  <c r="P55" i="17"/>
  <c r="Q55" i="17"/>
  <c r="R55" i="17"/>
  <c r="S55" i="17"/>
  <c r="T55" i="17"/>
  <c r="U55" i="17"/>
  <c r="V55" i="17"/>
  <c r="W55" i="17"/>
  <c r="X55" i="17"/>
  <c r="Y55" i="17"/>
  <c r="Z55" i="17"/>
  <c r="AA55" i="17"/>
  <c r="AB55" i="17"/>
  <c r="AC55" i="17"/>
  <c r="AD55" i="17"/>
  <c r="AE55" i="17"/>
  <c r="AF55" i="17"/>
  <c r="AG55" i="17"/>
  <c r="AG56" i="17"/>
  <c r="G57" i="17"/>
  <c r="H57" i="17"/>
  <c r="I57" i="17"/>
  <c r="J57" i="17"/>
  <c r="K57" i="17"/>
  <c r="L57" i="17"/>
  <c r="M57" i="17"/>
  <c r="N57" i="17"/>
  <c r="O57" i="17"/>
  <c r="P57" i="17"/>
  <c r="Q57" i="17"/>
  <c r="R57" i="17"/>
  <c r="S57" i="17"/>
  <c r="T57" i="17"/>
  <c r="U57" i="17"/>
  <c r="V57" i="17"/>
  <c r="W57" i="17"/>
  <c r="X57" i="17"/>
  <c r="Y57" i="17"/>
  <c r="Z57" i="17"/>
  <c r="AA57" i="17"/>
  <c r="AB57" i="17"/>
  <c r="AC57" i="17"/>
  <c r="AD57" i="17"/>
  <c r="AE57" i="17"/>
  <c r="AF57" i="17"/>
  <c r="AG57" i="17"/>
  <c r="G62" i="17"/>
  <c r="H62" i="17"/>
  <c r="I62" i="17"/>
  <c r="J62" i="17"/>
  <c r="K62" i="17"/>
  <c r="L62" i="17"/>
  <c r="M62" i="17"/>
  <c r="N62" i="17"/>
  <c r="O62" i="17"/>
  <c r="P62" i="17"/>
  <c r="Q62" i="17"/>
  <c r="R62" i="17"/>
  <c r="S62" i="17"/>
  <c r="T62" i="17"/>
  <c r="U62" i="17"/>
  <c r="V62" i="17"/>
  <c r="W62" i="17"/>
  <c r="X62" i="17"/>
  <c r="Y62" i="17"/>
  <c r="Z62" i="17"/>
  <c r="AA62" i="17"/>
  <c r="AB62" i="17"/>
  <c r="AC62" i="17"/>
  <c r="AD62" i="17"/>
  <c r="AE62" i="17"/>
  <c r="AF62" i="17"/>
  <c r="G63" i="17"/>
  <c r="H63" i="17"/>
  <c r="I63" i="17"/>
  <c r="J63" i="17"/>
  <c r="K63" i="17"/>
  <c r="L63" i="17"/>
  <c r="M63" i="17"/>
  <c r="N63" i="17"/>
  <c r="O63" i="17"/>
  <c r="P63" i="17"/>
  <c r="Q63" i="17"/>
  <c r="R63" i="17"/>
  <c r="S63" i="17"/>
  <c r="T63" i="17"/>
  <c r="U63" i="17"/>
  <c r="V63" i="17"/>
  <c r="W63" i="17"/>
  <c r="X63" i="17"/>
  <c r="Y63" i="17"/>
  <c r="Z63" i="17"/>
  <c r="AA63" i="17"/>
  <c r="AB63" i="17"/>
  <c r="AC63" i="17"/>
  <c r="AD63" i="17"/>
  <c r="AE63" i="17"/>
  <c r="AF63" i="17"/>
  <c r="G65" i="17"/>
  <c r="H65" i="17"/>
  <c r="I65" i="17"/>
  <c r="J65" i="17"/>
  <c r="K65" i="17"/>
  <c r="L65" i="17"/>
  <c r="M65" i="17"/>
  <c r="N65" i="17"/>
  <c r="O65" i="17"/>
  <c r="P65" i="17"/>
  <c r="Q65" i="17"/>
  <c r="R65" i="17"/>
  <c r="S65" i="17"/>
  <c r="T65" i="17"/>
  <c r="U65" i="17"/>
  <c r="V65" i="17"/>
  <c r="W65" i="17"/>
  <c r="X65" i="17"/>
  <c r="Y65" i="17"/>
  <c r="Z65" i="17"/>
  <c r="AA65" i="17"/>
  <c r="AB65" i="17"/>
  <c r="AC65" i="17"/>
  <c r="AD65" i="17"/>
  <c r="AE65" i="17"/>
  <c r="AF65" i="17"/>
  <c r="AG65" i="17"/>
  <c r="G66" i="17"/>
  <c r="H66" i="17"/>
  <c r="I66" i="17"/>
  <c r="J66" i="17"/>
  <c r="K66" i="17"/>
  <c r="L66" i="17"/>
  <c r="M66" i="17"/>
  <c r="N66" i="17"/>
  <c r="O66" i="17"/>
  <c r="P66" i="17"/>
  <c r="Q66" i="17"/>
  <c r="R66" i="17"/>
  <c r="S66" i="17"/>
  <c r="T66" i="17"/>
  <c r="U66" i="17"/>
  <c r="V66" i="17"/>
  <c r="W66" i="17"/>
  <c r="X66" i="17"/>
  <c r="Y66" i="17"/>
  <c r="Z66" i="17"/>
  <c r="AA66" i="17"/>
  <c r="AB66" i="17"/>
  <c r="AC66" i="17"/>
  <c r="AD66" i="17"/>
  <c r="AE66" i="17"/>
  <c r="AF66" i="17"/>
  <c r="AG66" i="17"/>
  <c r="G67" i="17"/>
  <c r="H67" i="17"/>
  <c r="I67" i="17"/>
  <c r="J67" i="17"/>
  <c r="K67" i="17"/>
  <c r="L67" i="17"/>
  <c r="M67" i="17"/>
  <c r="N67" i="17"/>
  <c r="O67" i="17"/>
  <c r="P67" i="17"/>
  <c r="Q67" i="17"/>
  <c r="R67" i="17"/>
  <c r="S67" i="17"/>
  <c r="T67" i="17"/>
  <c r="U67" i="17"/>
  <c r="V67" i="17"/>
  <c r="W67" i="17"/>
  <c r="X67" i="17"/>
  <c r="Y67" i="17"/>
  <c r="Z67" i="17"/>
  <c r="AA67" i="17"/>
  <c r="AB67" i="17"/>
  <c r="AC67" i="17"/>
  <c r="AD67" i="17"/>
  <c r="AE67" i="17"/>
  <c r="AF67" i="17"/>
  <c r="AG67" i="17"/>
  <c r="G68" i="17"/>
  <c r="H68" i="17"/>
  <c r="I68" i="17"/>
  <c r="J68" i="17"/>
  <c r="K68" i="17"/>
  <c r="L68" i="17"/>
  <c r="M68" i="17"/>
  <c r="N68" i="17"/>
  <c r="O68" i="17"/>
  <c r="P68" i="17"/>
  <c r="Q68" i="17"/>
  <c r="R68" i="17"/>
  <c r="S68" i="17"/>
  <c r="T68" i="17"/>
  <c r="U68" i="17"/>
  <c r="V68" i="17"/>
  <c r="W68" i="17"/>
  <c r="X68" i="17"/>
  <c r="Y68" i="17"/>
  <c r="Z68" i="17"/>
  <c r="AA68" i="17"/>
  <c r="AB68" i="17"/>
  <c r="AC68" i="17"/>
  <c r="AD68" i="17"/>
  <c r="AE68" i="17"/>
  <c r="AF68" i="17"/>
  <c r="G69" i="17"/>
  <c r="H69" i="17"/>
  <c r="I69" i="17"/>
  <c r="J69" i="17"/>
  <c r="K69" i="17"/>
  <c r="L69" i="17"/>
  <c r="M69" i="17"/>
  <c r="N69" i="17"/>
  <c r="O69" i="17"/>
  <c r="P69" i="17"/>
  <c r="Q69" i="17"/>
  <c r="R69" i="17"/>
  <c r="S69" i="17"/>
  <c r="T69" i="17"/>
  <c r="U69" i="17"/>
  <c r="V69" i="17"/>
  <c r="W69" i="17"/>
  <c r="X69" i="17"/>
  <c r="Y69" i="17"/>
  <c r="Z69" i="17"/>
  <c r="AA69" i="17"/>
  <c r="AB69" i="17"/>
  <c r="AC69" i="17"/>
  <c r="AD69" i="17"/>
  <c r="AE69" i="17"/>
  <c r="AF69" i="17"/>
  <c r="AG69" i="17"/>
  <c r="G70" i="17"/>
  <c r="H70" i="17"/>
  <c r="I70" i="17"/>
  <c r="J70" i="17"/>
  <c r="K70" i="17"/>
  <c r="L70" i="17"/>
  <c r="M70" i="17"/>
  <c r="N70" i="17"/>
  <c r="O70" i="17"/>
  <c r="P70" i="17"/>
  <c r="Q70" i="17"/>
  <c r="R70" i="17"/>
  <c r="S70" i="17"/>
  <c r="T70" i="17"/>
  <c r="U70" i="17"/>
  <c r="V70" i="17"/>
  <c r="W70" i="17"/>
  <c r="X70" i="17"/>
  <c r="Y70" i="17"/>
  <c r="Z70" i="17"/>
  <c r="AA70" i="17"/>
  <c r="AB70" i="17"/>
  <c r="AC70" i="17"/>
  <c r="AD70" i="17"/>
  <c r="AE70" i="17"/>
  <c r="AF70" i="17"/>
  <c r="AG70" i="17"/>
  <c r="G71" i="17"/>
  <c r="H71" i="17"/>
  <c r="I71" i="17"/>
  <c r="J71" i="17"/>
  <c r="K71" i="17"/>
  <c r="L71" i="17"/>
  <c r="M71" i="17"/>
  <c r="N71" i="17"/>
  <c r="O71" i="17"/>
  <c r="P71" i="17"/>
  <c r="Q71" i="17"/>
  <c r="R71" i="17"/>
  <c r="S71" i="17"/>
  <c r="T71" i="17"/>
  <c r="U71" i="17"/>
  <c r="V71" i="17"/>
  <c r="W71" i="17"/>
  <c r="X71" i="17"/>
  <c r="Y71" i="17"/>
  <c r="Z71" i="17"/>
  <c r="AA71" i="17"/>
  <c r="AB71" i="17"/>
  <c r="AC71" i="17"/>
  <c r="AD71" i="17"/>
  <c r="AE71" i="17"/>
  <c r="AF71" i="17"/>
  <c r="AG71" i="17"/>
  <c r="G74" i="17"/>
  <c r="H74" i="17"/>
  <c r="I74" i="17"/>
  <c r="J74" i="17"/>
  <c r="K74" i="17"/>
  <c r="L74" i="17"/>
  <c r="M74" i="17"/>
  <c r="N74" i="17"/>
  <c r="O74" i="17"/>
  <c r="P74" i="17"/>
  <c r="Q74" i="17"/>
  <c r="R74" i="17"/>
  <c r="S74" i="17"/>
  <c r="T74" i="17"/>
  <c r="U74" i="17"/>
  <c r="V74" i="17"/>
  <c r="W74" i="17"/>
  <c r="X74" i="17"/>
  <c r="Y74" i="17"/>
  <c r="Z74" i="17"/>
  <c r="AA74" i="17"/>
  <c r="AB74" i="17"/>
  <c r="AC74" i="17"/>
  <c r="AD74" i="17"/>
  <c r="AE74" i="17"/>
  <c r="AF74" i="17"/>
  <c r="AG74" i="17"/>
  <c r="G75" i="17"/>
  <c r="AG75" i="17"/>
  <c r="AG76" i="17"/>
  <c r="AG77" i="17"/>
  <c r="AG78" i="17"/>
  <c r="AG79" i="17"/>
  <c r="AG80" i="17"/>
  <c r="G81" i="17"/>
  <c r="AG81" i="17"/>
  <c r="G82" i="17"/>
  <c r="AG82" i="17"/>
  <c r="G83" i="17"/>
  <c r="H83" i="17"/>
  <c r="I83" i="17"/>
  <c r="J83" i="17"/>
  <c r="K83" i="17"/>
  <c r="L83" i="17"/>
  <c r="M83" i="17"/>
  <c r="N83" i="17"/>
  <c r="O83" i="17"/>
  <c r="P83" i="17"/>
  <c r="Q83" i="17"/>
  <c r="R83" i="17"/>
  <c r="S83" i="17"/>
  <c r="T83" i="17"/>
  <c r="U83" i="17"/>
  <c r="V83" i="17"/>
  <c r="W83" i="17"/>
  <c r="X83" i="17"/>
  <c r="Y83" i="17"/>
  <c r="Z83" i="17"/>
  <c r="AA83" i="17"/>
  <c r="AB83" i="17"/>
  <c r="AC83" i="17"/>
  <c r="AD83" i="17"/>
  <c r="AE83" i="17"/>
  <c r="AF83" i="17"/>
  <c r="AG83" i="17"/>
  <c r="G84" i="17"/>
  <c r="H84" i="17"/>
  <c r="I84" i="17"/>
  <c r="J84" i="17"/>
  <c r="K84" i="17"/>
  <c r="L84" i="17"/>
  <c r="M84" i="17"/>
  <c r="N84" i="17"/>
  <c r="O84" i="17"/>
  <c r="P84" i="17"/>
  <c r="Q84" i="17"/>
  <c r="R84" i="17"/>
  <c r="S84" i="17"/>
  <c r="T84" i="17"/>
  <c r="U84" i="17"/>
  <c r="V84" i="17"/>
  <c r="W84" i="17"/>
  <c r="X84" i="17"/>
  <c r="Y84" i="17"/>
  <c r="Z84" i="17"/>
  <c r="AA84" i="17"/>
  <c r="AB84" i="17"/>
  <c r="AC84" i="17"/>
  <c r="AD84" i="17"/>
  <c r="AE84" i="17"/>
  <c r="AF84" i="17"/>
  <c r="AG84" i="17"/>
  <c r="G86" i="17"/>
  <c r="H86" i="17"/>
  <c r="I86" i="17"/>
  <c r="J86" i="17"/>
  <c r="K86" i="17"/>
  <c r="L86" i="17"/>
  <c r="M86" i="17"/>
  <c r="N86" i="17"/>
  <c r="O86" i="17"/>
  <c r="P86" i="17"/>
  <c r="Q86" i="17"/>
  <c r="R86" i="17"/>
  <c r="S86" i="17"/>
  <c r="T86" i="17"/>
  <c r="U86" i="17"/>
  <c r="V86" i="17"/>
  <c r="W86" i="17"/>
  <c r="X86" i="17"/>
  <c r="Y86" i="17"/>
  <c r="Z86" i="17"/>
  <c r="AA86" i="17"/>
  <c r="AB86" i="17"/>
  <c r="AC86" i="17"/>
  <c r="AD86" i="17"/>
  <c r="AE86" i="17"/>
  <c r="AF86" i="17"/>
  <c r="AG86" i="17"/>
  <c r="H88" i="17"/>
  <c r="I88" i="17"/>
  <c r="J88" i="17"/>
  <c r="K88" i="17"/>
  <c r="L88" i="17"/>
  <c r="M88" i="17"/>
  <c r="N88" i="17"/>
  <c r="O88" i="17"/>
  <c r="P88" i="17"/>
  <c r="Q88" i="17"/>
  <c r="R88" i="17"/>
  <c r="S88" i="17"/>
  <c r="T88" i="17"/>
  <c r="U88" i="17"/>
  <c r="V88" i="17"/>
  <c r="W88" i="17"/>
  <c r="X88" i="17"/>
  <c r="Y88" i="17"/>
  <c r="Z88" i="17"/>
  <c r="AA88" i="17"/>
  <c r="AB88" i="17"/>
  <c r="AC88" i="17"/>
  <c r="AD88" i="17"/>
  <c r="AE88" i="17"/>
  <c r="AF88" i="17"/>
  <c r="AG88" i="17"/>
  <c r="G90" i="17"/>
  <c r="H90" i="17"/>
  <c r="I90" i="17"/>
  <c r="J90" i="17"/>
  <c r="K90" i="17"/>
  <c r="L90" i="17"/>
  <c r="M90" i="17"/>
  <c r="N90" i="17"/>
  <c r="O90" i="17"/>
  <c r="P90" i="17"/>
  <c r="Q90" i="17"/>
  <c r="R90" i="17"/>
  <c r="S90" i="17"/>
  <c r="T90" i="17"/>
  <c r="U90" i="17"/>
  <c r="V90" i="17"/>
  <c r="W90" i="17"/>
  <c r="X90" i="17"/>
  <c r="Y90" i="17"/>
  <c r="Z90" i="17"/>
  <c r="AA90" i="17"/>
  <c r="AB90" i="17"/>
  <c r="AC90" i="17"/>
  <c r="AD90" i="17"/>
  <c r="AE90" i="17"/>
  <c r="AF90" i="17"/>
  <c r="AG90" i="17"/>
  <c r="A2" i="7"/>
  <c r="A3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B38" i="7"/>
  <c r="C38" i="7"/>
  <c r="AD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2" i="16"/>
  <c r="A3" i="16"/>
  <c r="C6" i="16"/>
  <c r="D6" i="16"/>
  <c r="E6" i="16"/>
  <c r="C7" i="16"/>
  <c r="D7" i="16"/>
  <c r="E7" i="16"/>
  <c r="C8" i="16"/>
  <c r="D8" i="16"/>
  <c r="E8" i="16"/>
  <c r="C9" i="16"/>
  <c r="D9" i="16"/>
  <c r="E9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V12" i="16"/>
  <c r="W12" i="16"/>
  <c r="X12" i="16"/>
  <c r="Y12" i="16"/>
  <c r="Z12" i="16"/>
  <c r="AA12" i="16"/>
  <c r="AB12" i="16"/>
  <c r="AC12" i="16"/>
  <c r="AD12" i="16"/>
  <c r="AE12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AD13" i="16"/>
  <c r="AE13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AB18" i="16"/>
  <c r="AC18" i="16"/>
  <c r="AD18" i="16"/>
  <c r="AE18" i="16"/>
  <c r="AF18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Z19" i="16"/>
  <c r="AA19" i="16"/>
  <c r="AB19" i="16"/>
  <c r="AC19" i="16"/>
  <c r="AD19" i="16"/>
  <c r="AE19" i="16"/>
  <c r="AF19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X20" i="16"/>
  <c r="Y20" i="16"/>
  <c r="Z20" i="16"/>
  <c r="AA20" i="16"/>
  <c r="AB20" i="16"/>
  <c r="AC20" i="16"/>
  <c r="AD20" i="16"/>
  <c r="AE20" i="16"/>
  <c r="AF20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Z21" i="16"/>
  <c r="AA21" i="16"/>
  <c r="AB21" i="16"/>
  <c r="AC21" i="16"/>
  <c r="AD21" i="16"/>
  <c r="AE21" i="16"/>
  <c r="AF21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AE22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F25" i="16"/>
  <c r="AF25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V26" i="16"/>
  <c r="W26" i="16"/>
  <c r="X26" i="16"/>
  <c r="Y26" i="16"/>
  <c r="Z26" i="16"/>
  <c r="AA26" i="16"/>
  <c r="AB26" i="16"/>
  <c r="AC26" i="16"/>
  <c r="AD26" i="16"/>
  <c r="AE26" i="16"/>
  <c r="AF26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W27" i="16"/>
  <c r="X27" i="16"/>
  <c r="Y27" i="16"/>
  <c r="Z27" i="16"/>
  <c r="AA27" i="16"/>
  <c r="AB27" i="16"/>
  <c r="AC27" i="16"/>
  <c r="AD27" i="16"/>
  <c r="AE27" i="16"/>
  <c r="E31" i="16"/>
  <c r="F31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S31" i="16"/>
  <c r="T31" i="16"/>
  <c r="U31" i="16"/>
  <c r="V31" i="16"/>
  <c r="W31" i="16"/>
  <c r="X31" i="16"/>
  <c r="Y31" i="16"/>
  <c r="Z31" i="16"/>
  <c r="AA31" i="16"/>
  <c r="AB31" i="16"/>
  <c r="AC31" i="16"/>
  <c r="AD31" i="16"/>
  <c r="AE31" i="16"/>
  <c r="AF31" i="16"/>
  <c r="E32" i="16"/>
  <c r="F32" i="16"/>
  <c r="G32" i="16"/>
  <c r="H32" i="16"/>
  <c r="I32" i="16"/>
  <c r="J32" i="16"/>
  <c r="K32" i="16"/>
  <c r="L32" i="16"/>
  <c r="M32" i="16"/>
  <c r="N32" i="16"/>
  <c r="O32" i="16"/>
  <c r="P32" i="16"/>
  <c r="Q32" i="16"/>
  <c r="R32" i="16"/>
  <c r="S32" i="16"/>
  <c r="T32" i="16"/>
  <c r="U32" i="16"/>
  <c r="V32" i="16"/>
  <c r="W32" i="16"/>
  <c r="X32" i="16"/>
  <c r="Y32" i="16"/>
  <c r="Z32" i="16"/>
  <c r="AA32" i="16"/>
  <c r="AB32" i="16"/>
  <c r="AC32" i="16"/>
  <c r="AD32" i="16"/>
  <c r="AE32" i="16"/>
  <c r="AF32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S33" i="16"/>
  <c r="T33" i="16"/>
  <c r="U33" i="16"/>
  <c r="V33" i="16"/>
  <c r="W33" i="16"/>
  <c r="X33" i="16"/>
  <c r="Y33" i="16"/>
  <c r="Z33" i="16"/>
  <c r="AA33" i="16"/>
  <c r="AB33" i="16"/>
  <c r="AC33" i="16"/>
  <c r="AD33" i="16"/>
  <c r="AE33" i="16"/>
  <c r="AF33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X34" i="16"/>
  <c r="Y34" i="16"/>
  <c r="Z34" i="16"/>
  <c r="AA34" i="16"/>
  <c r="AB34" i="16"/>
  <c r="AC34" i="16"/>
  <c r="AD34" i="16"/>
  <c r="AE34" i="16"/>
  <c r="AF34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V35" i="16"/>
  <c r="W35" i="16"/>
  <c r="X35" i="16"/>
  <c r="Y35" i="16"/>
  <c r="Z35" i="16"/>
  <c r="AA35" i="16"/>
  <c r="AB35" i="16"/>
  <c r="AC35" i="16"/>
  <c r="AD35" i="16"/>
  <c r="AE35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T37" i="16"/>
  <c r="U37" i="16"/>
  <c r="V37" i="16"/>
  <c r="W37" i="16"/>
  <c r="X37" i="16"/>
  <c r="Y37" i="16"/>
  <c r="Z37" i="16"/>
  <c r="AA37" i="16"/>
  <c r="AB37" i="16"/>
  <c r="AC37" i="16"/>
  <c r="AD37" i="16"/>
  <c r="AE37" i="16"/>
  <c r="F38" i="16"/>
  <c r="AF38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V39" i="16"/>
  <c r="W39" i="16"/>
  <c r="X39" i="16"/>
  <c r="Y39" i="16"/>
  <c r="Z39" i="16"/>
  <c r="AA39" i="16"/>
  <c r="AB39" i="16"/>
  <c r="AC39" i="16"/>
  <c r="AD39" i="16"/>
  <c r="AE39" i="16"/>
  <c r="AF39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T40" i="16"/>
  <c r="U40" i="16"/>
  <c r="V40" i="16"/>
  <c r="W40" i="16"/>
  <c r="X40" i="16"/>
  <c r="Y40" i="16"/>
  <c r="Z40" i="16"/>
  <c r="AA40" i="16"/>
  <c r="AB40" i="16"/>
  <c r="AC40" i="16"/>
  <c r="AD40" i="16"/>
  <c r="AE40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Q44" i="16"/>
  <c r="R44" i="16"/>
  <c r="S44" i="16"/>
  <c r="T44" i="16"/>
  <c r="U44" i="16"/>
  <c r="V44" i="16"/>
  <c r="W44" i="16"/>
  <c r="X44" i="16"/>
  <c r="Y44" i="16"/>
  <c r="Z44" i="16"/>
  <c r="AA44" i="16"/>
  <c r="AB44" i="16"/>
  <c r="AC44" i="16"/>
  <c r="AD44" i="16"/>
  <c r="AE44" i="16"/>
  <c r="AF44" i="16"/>
  <c r="E45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T45" i="16"/>
  <c r="U45" i="16"/>
  <c r="V45" i="16"/>
  <c r="W45" i="16"/>
  <c r="X45" i="16"/>
  <c r="Y45" i="16"/>
  <c r="Z45" i="16"/>
  <c r="AA45" i="16"/>
  <c r="AB45" i="16"/>
  <c r="AC45" i="16"/>
  <c r="AD45" i="16"/>
  <c r="AE45" i="16"/>
  <c r="AF45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AB46" i="16"/>
  <c r="AC46" i="16"/>
  <c r="AD46" i="16"/>
  <c r="AE46" i="16"/>
  <c r="AF46" i="16"/>
  <c r="E47" i="16"/>
  <c r="F47" i="16"/>
  <c r="G47" i="16"/>
  <c r="H47" i="16"/>
  <c r="I47" i="16"/>
  <c r="J47" i="16"/>
  <c r="K47" i="16"/>
  <c r="L47" i="16"/>
  <c r="M47" i="16"/>
  <c r="N47" i="16"/>
  <c r="O47" i="16"/>
  <c r="P47" i="16"/>
  <c r="Q47" i="16"/>
  <c r="R47" i="16"/>
  <c r="S47" i="16"/>
  <c r="T47" i="16"/>
  <c r="U47" i="16"/>
  <c r="V47" i="16"/>
  <c r="W47" i="16"/>
  <c r="X47" i="16"/>
  <c r="Y47" i="16"/>
  <c r="Z47" i="16"/>
  <c r="AA47" i="16"/>
  <c r="AB47" i="16"/>
  <c r="AC47" i="16"/>
  <c r="AD47" i="16"/>
  <c r="AE47" i="16"/>
  <c r="AF47" i="16"/>
  <c r="F48" i="16"/>
  <c r="G48" i="16"/>
  <c r="H48" i="16"/>
  <c r="I48" i="16"/>
  <c r="J48" i="16"/>
  <c r="K48" i="16"/>
  <c r="L48" i="16"/>
  <c r="M48" i="16"/>
  <c r="N48" i="16"/>
  <c r="O48" i="16"/>
  <c r="P48" i="16"/>
  <c r="Q48" i="16"/>
  <c r="R48" i="16"/>
  <c r="S48" i="16"/>
  <c r="T48" i="16"/>
  <c r="U48" i="16"/>
  <c r="V48" i="16"/>
  <c r="W48" i="16"/>
  <c r="X48" i="16"/>
  <c r="Y48" i="16"/>
  <c r="Z48" i="16"/>
  <c r="AA48" i="16"/>
  <c r="AB48" i="16"/>
  <c r="AC48" i="16"/>
  <c r="AD48" i="16"/>
  <c r="AE48" i="16"/>
  <c r="G50" i="16"/>
  <c r="H50" i="16"/>
  <c r="I50" i="16"/>
  <c r="J50" i="16"/>
  <c r="K50" i="16"/>
  <c r="L50" i="16"/>
  <c r="M50" i="16"/>
  <c r="N50" i="16"/>
  <c r="O50" i="16"/>
  <c r="P50" i="16"/>
  <c r="Q50" i="16"/>
  <c r="R50" i="16"/>
  <c r="S50" i="16"/>
  <c r="T50" i="16"/>
  <c r="U50" i="16"/>
  <c r="V50" i="16"/>
  <c r="W50" i="16"/>
  <c r="X50" i="16"/>
  <c r="Y50" i="16"/>
  <c r="Z50" i="16"/>
  <c r="AA50" i="16"/>
  <c r="AB50" i="16"/>
  <c r="AC50" i="16"/>
  <c r="AD50" i="16"/>
  <c r="AE50" i="16"/>
  <c r="F51" i="16"/>
  <c r="AF51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S52" i="16"/>
  <c r="T52" i="16"/>
  <c r="U52" i="16"/>
  <c r="V52" i="16"/>
  <c r="W52" i="16"/>
  <c r="X52" i="16"/>
  <c r="Y52" i="16"/>
  <c r="Z52" i="16"/>
  <c r="AA52" i="16"/>
  <c r="AB52" i="16"/>
  <c r="AC52" i="16"/>
  <c r="AD52" i="16"/>
  <c r="AE52" i="16"/>
  <c r="AF52" i="16"/>
  <c r="F53" i="16"/>
  <c r="G53" i="16"/>
  <c r="H53" i="16"/>
  <c r="I53" i="16"/>
  <c r="J53" i="16"/>
  <c r="K53" i="16"/>
  <c r="L53" i="16"/>
  <c r="M53" i="16"/>
  <c r="N53" i="16"/>
  <c r="O53" i="16"/>
  <c r="P53" i="16"/>
  <c r="Q53" i="16"/>
  <c r="R53" i="16"/>
  <c r="S53" i="16"/>
  <c r="T53" i="16"/>
  <c r="U53" i="16"/>
  <c r="V53" i="16"/>
  <c r="W53" i="16"/>
  <c r="X53" i="16"/>
  <c r="Y53" i="16"/>
  <c r="Z53" i="16"/>
  <c r="AA53" i="16"/>
  <c r="AB53" i="16"/>
  <c r="AC53" i="16"/>
  <c r="AD53" i="16"/>
  <c r="AE53" i="16"/>
  <c r="A2" i="12"/>
  <c r="A3" i="12"/>
  <c r="D5" i="12"/>
  <c r="B10" i="12"/>
  <c r="E10" i="12"/>
  <c r="F10" i="12"/>
  <c r="G10" i="12"/>
  <c r="A11" i="12"/>
  <c r="B11" i="12"/>
  <c r="E11" i="12"/>
  <c r="F11" i="12"/>
  <c r="G11" i="12"/>
  <c r="A12" i="12"/>
  <c r="B12" i="12"/>
  <c r="E12" i="12"/>
  <c r="F12" i="12"/>
  <c r="G12" i="12"/>
  <c r="A13" i="12"/>
  <c r="B13" i="12"/>
  <c r="E13" i="12"/>
  <c r="F13" i="12"/>
  <c r="G13" i="12"/>
  <c r="A14" i="12"/>
  <c r="B14" i="12"/>
  <c r="E14" i="12"/>
  <c r="F14" i="12"/>
  <c r="G14" i="12"/>
  <c r="A15" i="12"/>
  <c r="B15" i="12"/>
  <c r="E15" i="12"/>
  <c r="F15" i="12"/>
  <c r="G15" i="12"/>
  <c r="A16" i="12"/>
  <c r="B16" i="12"/>
  <c r="E16" i="12"/>
  <c r="F16" i="12"/>
  <c r="G16" i="12"/>
  <c r="A17" i="12"/>
  <c r="B17" i="12"/>
  <c r="E17" i="12"/>
  <c r="F17" i="12"/>
  <c r="G17" i="12"/>
  <c r="A18" i="12"/>
  <c r="B18" i="12"/>
  <c r="E18" i="12"/>
  <c r="F18" i="12"/>
  <c r="G18" i="12"/>
  <c r="A19" i="12"/>
  <c r="B19" i="12"/>
  <c r="E19" i="12"/>
  <c r="F19" i="12"/>
  <c r="G19" i="12"/>
  <c r="A20" i="12"/>
  <c r="B20" i="12"/>
  <c r="E20" i="12"/>
  <c r="F20" i="12"/>
  <c r="G20" i="12"/>
  <c r="A21" i="12"/>
  <c r="B21" i="12"/>
  <c r="E21" i="12"/>
  <c r="F21" i="12"/>
  <c r="G21" i="12"/>
  <c r="A22" i="12"/>
  <c r="B22" i="12"/>
  <c r="E22" i="12"/>
  <c r="F22" i="12"/>
  <c r="G22" i="12"/>
  <c r="A23" i="12"/>
  <c r="B23" i="12"/>
  <c r="E23" i="12"/>
  <c r="F23" i="12"/>
  <c r="G23" i="12"/>
  <c r="A24" i="12"/>
  <c r="B24" i="12"/>
  <c r="E24" i="12"/>
  <c r="F24" i="12"/>
  <c r="G24" i="12"/>
  <c r="A25" i="12"/>
  <c r="B25" i="12"/>
  <c r="E25" i="12"/>
  <c r="F25" i="12"/>
  <c r="G25" i="12"/>
  <c r="A26" i="12"/>
  <c r="B26" i="12"/>
  <c r="E26" i="12"/>
  <c r="F26" i="12"/>
  <c r="G26" i="12"/>
  <c r="A27" i="12"/>
  <c r="B27" i="12"/>
  <c r="E27" i="12"/>
  <c r="F27" i="12"/>
  <c r="G27" i="12"/>
  <c r="A28" i="12"/>
  <c r="B28" i="12"/>
  <c r="E28" i="12"/>
  <c r="F28" i="12"/>
  <c r="G28" i="12"/>
  <c r="A29" i="12"/>
  <c r="B29" i="12"/>
  <c r="E29" i="12"/>
  <c r="F29" i="12"/>
  <c r="G29" i="12"/>
  <c r="A30" i="12"/>
  <c r="B30" i="12"/>
  <c r="E30" i="12"/>
  <c r="F30" i="12"/>
  <c r="G30" i="12"/>
  <c r="A31" i="12"/>
  <c r="B31" i="12"/>
  <c r="E31" i="12"/>
  <c r="F31" i="12"/>
  <c r="G31" i="12"/>
  <c r="A32" i="12"/>
  <c r="B32" i="12"/>
  <c r="E32" i="12"/>
  <c r="F32" i="12"/>
  <c r="G32" i="12"/>
  <c r="A33" i="12"/>
  <c r="B33" i="12"/>
  <c r="E33" i="12"/>
  <c r="F33" i="12"/>
  <c r="G33" i="12"/>
  <c r="A34" i="12"/>
  <c r="B34" i="12"/>
  <c r="E34" i="12"/>
  <c r="F34" i="12"/>
  <c r="G34" i="12"/>
  <c r="A35" i="12"/>
  <c r="B35" i="12"/>
  <c r="E35" i="12"/>
  <c r="F35" i="12"/>
  <c r="G35" i="12"/>
  <c r="A36" i="12"/>
  <c r="B36" i="12"/>
  <c r="E36" i="12"/>
  <c r="F36" i="12"/>
  <c r="G36" i="12"/>
  <c r="A37" i="12"/>
  <c r="B37" i="12"/>
  <c r="E37" i="12"/>
  <c r="F37" i="12"/>
  <c r="G37" i="12"/>
  <c r="A38" i="12"/>
  <c r="B38" i="12"/>
  <c r="E38" i="12"/>
  <c r="F38" i="12"/>
  <c r="G38" i="12"/>
  <c r="A39" i="12"/>
  <c r="B39" i="12"/>
  <c r="E39" i="12"/>
  <c r="F39" i="12"/>
  <c r="G39" i="12"/>
  <c r="A40" i="12"/>
  <c r="B40" i="12"/>
  <c r="E40" i="12"/>
  <c r="F40" i="12"/>
  <c r="G40" i="12"/>
  <c r="A41" i="12"/>
  <c r="B41" i="12"/>
  <c r="E41" i="12"/>
  <c r="F41" i="12"/>
  <c r="G41" i="12"/>
  <c r="A42" i="12"/>
  <c r="B42" i="12"/>
  <c r="E42" i="12"/>
  <c r="F42" i="12"/>
  <c r="G42" i="12"/>
  <c r="A43" i="12"/>
  <c r="B43" i="12"/>
  <c r="E43" i="12"/>
  <c r="F43" i="12"/>
  <c r="G43" i="12"/>
  <c r="A44" i="12"/>
  <c r="B44" i="12"/>
  <c r="E44" i="12"/>
  <c r="F44" i="12"/>
  <c r="G44" i="12"/>
  <c r="A45" i="12"/>
  <c r="B45" i="12"/>
  <c r="E45" i="12"/>
  <c r="F45" i="12"/>
  <c r="G45" i="12"/>
  <c r="A46" i="12"/>
  <c r="B46" i="12"/>
  <c r="E46" i="12"/>
  <c r="F46" i="12"/>
  <c r="G46" i="12"/>
  <c r="A47" i="12"/>
  <c r="B47" i="12"/>
  <c r="E47" i="12"/>
  <c r="F47" i="12"/>
  <c r="G47" i="12"/>
  <c r="A48" i="12"/>
  <c r="B48" i="12"/>
  <c r="E48" i="12"/>
  <c r="F48" i="12"/>
  <c r="G48" i="12"/>
  <c r="A49" i="12"/>
  <c r="B49" i="12"/>
  <c r="E49" i="12"/>
  <c r="F49" i="12"/>
  <c r="G49" i="12"/>
  <c r="A50" i="12"/>
  <c r="B50" i="12"/>
  <c r="E50" i="12"/>
  <c r="F50" i="12"/>
  <c r="G50" i="12"/>
  <c r="A51" i="12"/>
  <c r="B51" i="12"/>
  <c r="E51" i="12"/>
  <c r="F51" i="12"/>
  <c r="G51" i="12"/>
  <c r="A52" i="12"/>
  <c r="B52" i="12"/>
  <c r="E52" i="12"/>
  <c r="F52" i="12"/>
  <c r="G52" i="12"/>
  <c r="A53" i="12"/>
  <c r="B53" i="12"/>
  <c r="E53" i="12"/>
  <c r="F53" i="12"/>
  <c r="G53" i="12"/>
  <c r="A54" i="12"/>
  <c r="B54" i="12"/>
  <c r="E54" i="12"/>
  <c r="F54" i="12"/>
  <c r="G54" i="12"/>
  <c r="A55" i="12"/>
  <c r="B55" i="12"/>
  <c r="E55" i="12"/>
  <c r="F55" i="12"/>
  <c r="G55" i="12"/>
  <c r="A56" i="12"/>
  <c r="B56" i="12"/>
  <c r="E56" i="12"/>
  <c r="F56" i="12"/>
  <c r="G56" i="12"/>
  <c r="A57" i="12"/>
  <c r="B57" i="12"/>
  <c r="E57" i="12"/>
  <c r="F57" i="12"/>
  <c r="G57" i="12"/>
  <c r="A58" i="12"/>
  <c r="B58" i="12"/>
  <c r="E58" i="12"/>
  <c r="F58" i="12"/>
  <c r="G58" i="12"/>
  <c r="A59" i="12"/>
  <c r="B59" i="12"/>
  <c r="E59" i="12"/>
  <c r="F59" i="12"/>
  <c r="G59" i="12"/>
  <c r="A60" i="12"/>
  <c r="B60" i="12"/>
  <c r="E60" i="12"/>
  <c r="F60" i="12"/>
  <c r="G60" i="12"/>
  <c r="A61" i="12"/>
  <c r="B61" i="12"/>
  <c r="E61" i="12"/>
  <c r="F61" i="12"/>
  <c r="G61" i="12"/>
  <c r="A62" i="12"/>
  <c r="B62" i="12"/>
  <c r="E62" i="12"/>
  <c r="F62" i="12"/>
  <c r="G62" i="12"/>
  <c r="A63" i="12"/>
  <c r="B63" i="12"/>
  <c r="E63" i="12"/>
  <c r="F63" i="12"/>
  <c r="G63" i="12"/>
  <c r="A64" i="12"/>
  <c r="B64" i="12"/>
  <c r="E64" i="12"/>
  <c r="F64" i="12"/>
  <c r="G64" i="12"/>
  <c r="A65" i="12"/>
  <c r="B65" i="12"/>
  <c r="E65" i="12"/>
  <c r="F65" i="12"/>
  <c r="G65" i="12"/>
  <c r="A66" i="12"/>
  <c r="B66" i="12"/>
  <c r="E66" i="12"/>
  <c r="F66" i="12"/>
  <c r="G66" i="12"/>
  <c r="A67" i="12"/>
  <c r="B67" i="12"/>
  <c r="E67" i="12"/>
  <c r="F67" i="12"/>
  <c r="G67" i="12"/>
  <c r="A68" i="12"/>
  <c r="B68" i="12"/>
  <c r="E68" i="12"/>
  <c r="F68" i="12"/>
  <c r="G68" i="12"/>
  <c r="A69" i="12"/>
  <c r="B69" i="12"/>
  <c r="E69" i="12"/>
  <c r="F69" i="12"/>
  <c r="G69" i="12"/>
  <c r="E71" i="12"/>
  <c r="F71" i="12"/>
  <c r="B74" i="12"/>
  <c r="C74" i="12"/>
  <c r="D74" i="12"/>
  <c r="E74" i="12"/>
  <c r="F74" i="12"/>
  <c r="G74" i="12"/>
  <c r="A2" i="14"/>
  <c r="A3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Z5" i="14"/>
  <c r="AA5" i="14"/>
  <c r="AB5" i="14"/>
  <c r="AC5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Z12" i="14"/>
  <c r="AA12" i="14"/>
  <c r="AB12" i="14"/>
  <c r="AC12" i="14"/>
  <c r="AD12" i="14"/>
  <c r="C15" i="14"/>
  <c r="G15" i="14"/>
  <c r="K15" i="14"/>
  <c r="O15" i="14"/>
  <c r="S15" i="14"/>
  <c r="W15" i="14"/>
  <c r="E16" i="14"/>
  <c r="I16" i="14"/>
  <c r="M16" i="14"/>
  <c r="Q16" i="14"/>
  <c r="U16" i="14"/>
  <c r="Y16" i="14"/>
  <c r="E17" i="14"/>
  <c r="I17" i="14"/>
  <c r="M17" i="14"/>
  <c r="Q17" i="14"/>
  <c r="U17" i="14"/>
  <c r="Y17" i="14"/>
  <c r="E18" i="14"/>
  <c r="I18" i="14"/>
  <c r="M18" i="14"/>
  <c r="Q18" i="14"/>
  <c r="U18" i="14"/>
  <c r="Y18" i="14"/>
  <c r="E19" i="14"/>
  <c r="I19" i="14"/>
  <c r="M19" i="14"/>
  <c r="Q19" i="14"/>
  <c r="U19" i="14"/>
  <c r="Y19" i="14"/>
  <c r="C20" i="14"/>
  <c r="G20" i="14"/>
  <c r="K20" i="14"/>
  <c r="O20" i="14"/>
  <c r="S20" i="14"/>
  <c r="W20" i="14"/>
  <c r="A23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24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25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26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27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28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29" i="14"/>
  <c r="B29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30" i="14"/>
  <c r="B30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31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32" i="14"/>
  <c r="B32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33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34" i="14"/>
  <c r="B34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35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36" i="14"/>
  <c r="B36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37" i="14"/>
  <c r="B37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38" i="14"/>
  <c r="B38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39" i="14"/>
  <c r="B39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40" i="14"/>
  <c r="B40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41" i="14"/>
  <c r="B41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42" i="14"/>
  <c r="B42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43" i="14"/>
  <c r="B43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44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45" i="14"/>
  <c r="B45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46" i="14"/>
  <c r="B46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47" i="14"/>
  <c r="B47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Y47" i="14"/>
  <c r="Z47" i="14"/>
  <c r="A48" i="14"/>
  <c r="B48" i="14"/>
  <c r="C48" i="14"/>
  <c r="D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49" i="14"/>
  <c r="B49" i="14"/>
  <c r="C49" i="14"/>
  <c r="D49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50" i="14"/>
  <c r="B50" i="14"/>
  <c r="C50" i="14"/>
  <c r="D50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51" i="14"/>
  <c r="B51" i="14"/>
  <c r="C51" i="14"/>
  <c r="D51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U51" i="14"/>
  <c r="V51" i="14"/>
  <c r="W51" i="14"/>
  <c r="X51" i="14"/>
  <c r="Y51" i="14"/>
  <c r="Z51" i="14"/>
  <c r="A52" i="14"/>
  <c r="B52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AB52" i="14"/>
  <c r="A53" i="14"/>
  <c r="B53" i="14"/>
  <c r="C53" i="14"/>
  <c r="D53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54" i="14"/>
  <c r="B54" i="14"/>
  <c r="C54" i="14"/>
  <c r="D54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55" i="14"/>
  <c r="B55" i="14"/>
  <c r="C55" i="14"/>
  <c r="D55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56" i="14"/>
  <c r="B56" i="14"/>
  <c r="C56" i="14"/>
  <c r="D56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57" i="14"/>
  <c r="B57" i="14"/>
  <c r="C57" i="14"/>
  <c r="D57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58" i="14"/>
  <c r="B58" i="14"/>
  <c r="C58" i="14"/>
  <c r="D58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S58" i="14"/>
  <c r="T58" i="14"/>
  <c r="U58" i="14"/>
  <c r="V58" i="14"/>
  <c r="W58" i="14"/>
  <c r="X58" i="14"/>
  <c r="Y58" i="14"/>
  <c r="Z58" i="14"/>
  <c r="AA58" i="14"/>
  <c r="AB58" i="14"/>
  <c r="A59" i="14"/>
  <c r="B59" i="14"/>
  <c r="C59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60" i="14"/>
  <c r="B60" i="14"/>
  <c r="C60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X60" i="14"/>
  <c r="Y60" i="14"/>
  <c r="Z60" i="14"/>
  <c r="AA60" i="14"/>
  <c r="AB60" i="14"/>
  <c r="A61" i="14"/>
  <c r="B61" i="14"/>
  <c r="C61" i="14"/>
  <c r="D61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S61" i="14"/>
  <c r="T61" i="14"/>
  <c r="U61" i="14"/>
  <c r="V61" i="14"/>
  <c r="W61" i="14"/>
  <c r="X61" i="14"/>
  <c r="Y61" i="14"/>
  <c r="Z61" i="14"/>
  <c r="A62" i="14"/>
  <c r="B62" i="14"/>
  <c r="C62" i="14"/>
  <c r="D62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W62" i="14"/>
  <c r="X62" i="14"/>
  <c r="Y62" i="14"/>
  <c r="Z62" i="14"/>
  <c r="AA62" i="14"/>
  <c r="AB62" i="14"/>
  <c r="D63" i="14"/>
  <c r="E63" i="14"/>
  <c r="H63" i="14"/>
  <c r="I63" i="14"/>
  <c r="L63" i="14"/>
  <c r="M63" i="14"/>
  <c r="P63" i="14"/>
  <c r="Q63" i="14"/>
  <c r="T63" i="14"/>
  <c r="U63" i="14"/>
  <c r="X63" i="14"/>
  <c r="Y63" i="14"/>
  <c r="AA63" i="14"/>
  <c r="AB63" i="14"/>
  <c r="A2" i="13"/>
  <c r="A3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P8" i="13"/>
  <c r="AP9" i="13"/>
  <c r="AP10" i="13"/>
  <c r="B11" i="13"/>
  <c r="D11" i="13"/>
  <c r="AP11" i="13"/>
  <c r="D12" i="13"/>
  <c r="AP12" i="13"/>
  <c r="B13" i="13"/>
  <c r="AP13" i="13"/>
  <c r="AP14" i="13"/>
  <c r="AP15" i="13"/>
  <c r="AP16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P17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P20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P21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P22" i="13"/>
  <c r="AP23" i="13"/>
  <c r="AP24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P25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AB28" i="13"/>
  <c r="AC28" i="13"/>
  <c r="AD28" i="13"/>
  <c r="AE28" i="13"/>
  <c r="AF28" i="13"/>
  <c r="AG28" i="13"/>
  <c r="AH28" i="13"/>
  <c r="AI28" i="13"/>
  <c r="AJ28" i="13"/>
  <c r="AK28" i="13"/>
  <c r="AL28" i="13"/>
  <c r="AM28" i="13"/>
  <c r="AN28" i="13"/>
  <c r="AP28" i="13"/>
  <c r="AP29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AC31" i="13"/>
  <c r="AD31" i="13"/>
  <c r="AE31" i="13"/>
  <c r="AF31" i="13"/>
  <c r="AG31" i="13"/>
  <c r="AH31" i="13"/>
  <c r="AI31" i="13"/>
  <c r="AJ31" i="13"/>
  <c r="AK31" i="13"/>
  <c r="AL31" i="13"/>
  <c r="AM31" i="13"/>
  <c r="AN31" i="13"/>
  <c r="AP31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P33" i="13"/>
  <c r="AP34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P35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AB36" i="13"/>
  <c r="AC36" i="13"/>
  <c r="AD36" i="13"/>
  <c r="AE36" i="13"/>
  <c r="AF36" i="13"/>
  <c r="AG36" i="13"/>
  <c r="AH36" i="13"/>
  <c r="AI36" i="13"/>
  <c r="AJ36" i="13"/>
  <c r="AK36" i="13"/>
  <c r="AL36" i="13"/>
  <c r="AM36" i="13"/>
  <c r="AN36" i="13"/>
  <c r="AO36" i="13"/>
  <c r="AP36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AI37" i="13"/>
  <c r="AJ37" i="13"/>
  <c r="AK37" i="13"/>
  <c r="AL37" i="13"/>
  <c r="AM37" i="13"/>
  <c r="AN37" i="13"/>
  <c r="AO37" i="13"/>
  <c r="AP37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P38" i="13"/>
  <c r="D40" i="13"/>
  <c r="D41" i="13"/>
  <c r="A2" i="8"/>
  <c r="A3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I6" i="8"/>
  <c r="AI7" i="8"/>
  <c r="AI8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I11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I12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I13" i="8"/>
  <c r="AI14" i="8"/>
  <c r="C15" i="8"/>
  <c r="D15" i="8"/>
  <c r="AI15" i="8"/>
  <c r="D16" i="8"/>
  <c r="AI16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I17" i="8"/>
  <c r="AI18" i="8"/>
  <c r="AI19" i="8"/>
  <c r="AI20" i="8"/>
  <c r="A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I21" i="8"/>
  <c r="A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I22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I23" i="8"/>
  <c r="AL23" i="8"/>
  <c r="AG24" i="8"/>
  <c r="AI24" i="8"/>
  <c r="AL24" i="8"/>
  <c r="D25" i="8"/>
  <c r="E25" i="8"/>
  <c r="F25" i="8"/>
  <c r="G25" i="8"/>
  <c r="H25" i="8"/>
  <c r="AG25" i="8"/>
  <c r="AI25" i="8"/>
  <c r="AL25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I26" i="8"/>
  <c r="AL26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I27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I28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I29" i="8"/>
  <c r="AI30" i="8"/>
  <c r="C31" i="8"/>
  <c r="D31" i="8"/>
  <c r="AI31" i="8"/>
  <c r="D32" i="8"/>
  <c r="AI32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I33" i="8"/>
  <c r="AI34" i="8"/>
  <c r="AI35" i="8"/>
  <c r="AI36" i="8"/>
  <c r="A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I37" i="8"/>
  <c r="A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I38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I39" i="8"/>
  <c r="AL39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I40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I41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I42" i="8"/>
  <c r="AI43" i="8"/>
  <c r="C44" i="8"/>
  <c r="D44" i="8"/>
  <c r="AI44" i="8"/>
  <c r="D45" i="8"/>
  <c r="AI45" i="8"/>
  <c r="AI46" i="8"/>
  <c r="AI47" i="8"/>
  <c r="AI48" i="8"/>
  <c r="A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I49" i="8"/>
  <c r="A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I50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I51" i="8"/>
  <c r="AL51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I52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I53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I54" i="8"/>
  <c r="AI55" i="8"/>
  <c r="C56" i="8"/>
  <c r="D56" i="8"/>
  <c r="AI56" i="8"/>
  <c r="D57" i="8"/>
  <c r="AI57" i="8"/>
  <c r="A2" i="15"/>
  <c r="A3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Z6" i="15"/>
  <c r="AA6" i="15"/>
  <c r="AB6" i="15"/>
  <c r="AC6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Z10" i="15"/>
  <c r="AA10" i="15"/>
  <c r="AB10" i="15"/>
  <c r="AC10" i="15"/>
  <c r="AD10" i="15"/>
  <c r="AE10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AA11" i="15"/>
  <c r="AB11" i="15"/>
  <c r="AC11" i="15"/>
  <c r="AD11" i="15"/>
  <c r="AE11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Z12" i="15"/>
  <c r="AA12" i="15"/>
  <c r="AB12" i="15"/>
  <c r="AC12" i="15"/>
  <c r="AD12" i="15"/>
  <c r="AE12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Z13" i="15"/>
  <c r="AA13" i="15"/>
  <c r="AB13" i="15"/>
  <c r="AC13" i="15"/>
  <c r="AD13" i="15"/>
  <c r="AE13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Z14" i="15"/>
  <c r="AA14" i="15"/>
  <c r="AB14" i="15"/>
  <c r="AC14" i="15"/>
  <c r="AD14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A17" i="15"/>
  <c r="AB17" i="15"/>
  <c r="AC17" i="15"/>
  <c r="AD17" i="15"/>
  <c r="B24" i="15"/>
  <c r="E24" i="15"/>
  <c r="F24" i="15"/>
  <c r="G24" i="15"/>
  <c r="H24" i="15"/>
  <c r="C25" i="15"/>
  <c r="D25" i="15"/>
  <c r="F25" i="15"/>
  <c r="G25" i="15"/>
  <c r="H25" i="15"/>
  <c r="C26" i="15"/>
  <c r="D26" i="15"/>
  <c r="F26" i="15"/>
  <c r="G26" i="15"/>
  <c r="H26" i="15"/>
  <c r="C27" i="15"/>
  <c r="D27" i="15"/>
  <c r="F27" i="15"/>
  <c r="G27" i="15"/>
  <c r="H27" i="15"/>
  <c r="C28" i="15"/>
  <c r="D28" i="15"/>
  <c r="F28" i="15"/>
  <c r="G28" i="15"/>
  <c r="H28" i="15"/>
  <c r="C29" i="15"/>
  <c r="D29" i="15"/>
  <c r="F29" i="15"/>
  <c r="G29" i="15"/>
  <c r="H29" i="15"/>
  <c r="C30" i="15"/>
  <c r="D30" i="15"/>
  <c r="F30" i="15"/>
  <c r="G30" i="15"/>
  <c r="H30" i="15"/>
  <c r="C31" i="15"/>
  <c r="D31" i="15"/>
  <c r="F31" i="15"/>
  <c r="G31" i="15"/>
  <c r="H31" i="15"/>
  <c r="B32" i="15"/>
  <c r="C32" i="15"/>
  <c r="D32" i="15"/>
  <c r="F32" i="15"/>
  <c r="G32" i="15"/>
  <c r="H32" i="15"/>
  <c r="C33" i="15"/>
  <c r="D33" i="15"/>
  <c r="F33" i="15"/>
  <c r="G33" i="15"/>
  <c r="H33" i="15"/>
  <c r="C34" i="15"/>
  <c r="D34" i="15"/>
  <c r="F34" i="15"/>
  <c r="G34" i="15"/>
  <c r="H34" i="15"/>
  <c r="C35" i="15"/>
  <c r="D35" i="15"/>
  <c r="F35" i="15"/>
  <c r="G35" i="15"/>
  <c r="H35" i="15"/>
  <c r="C36" i="15"/>
  <c r="D36" i="15"/>
  <c r="F36" i="15"/>
  <c r="G36" i="15"/>
  <c r="H36" i="15"/>
  <c r="C37" i="15"/>
  <c r="D37" i="15"/>
  <c r="F37" i="15"/>
  <c r="G37" i="15"/>
  <c r="H37" i="15"/>
  <c r="C38" i="15"/>
  <c r="D38" i="15"/>
  <c r="F38" i="15"/>
  <c r="G38" i="15"/>
  <c r="H38" i="15"/>
  <c r="C39" i="15"/>
  <c r="D39" i="15"/>
  <c r="F39" i="15"/>
  <c r="G39" i="15"/>
  <c r="H39" i="15"/>
  <c r="C40" i="15"/>
  <c r="D40" i="15"/>
  <c r="F40" i="15"/>
  <c r="G40" i="15"/>
  <c r="H40" i="15"/>
  <c r="C41" i="15"/>
  <c r="D41" i="15"/>
  <c r="F41" i="15"/>
  <c r="G41" i="15"/>
  <c r="H41" i="15"/>
  <c r="C42" i="15"/>
  <c r="D42" i="15"/>
  <c r="F42" i="15"/>
  <c r="G42" i="15"/>
  <c r="H42" i="15"/>
  <c r="C43" i="15"/>
  <c r="D43" i="15"/>
  <c r="F43" i="15"/>
  <c r="G43" i="15"/>
  <c r="H43" i="15"/>
  <c r="C44" i="15"/>
  <c r="D44" i="15"/>
  <c r="F44" i="15"/>
  <c r="G44" i="15"/>
  <c r="H44" i="15"/>
  <c r="C45" i="15"/>
  <c r="D45" i="15"/>
  <c r="F45" i="15"/>
  <c r="G45" i="15"/>
  <c r="H45" i="15"/>
  <c r="C46" i="15"/>
  <c r="D46" i="15"/>
  <c r="F46" i="15"/>
  <c r="G46" i="15"/>
  <c r="H46" i="15"/>
  <c r="C47" i="15"/>
  <c r="D47" i="15"/>
  <c r="F47" i="15"/>
  <c r="G47" i="15"/>
  <c r="H47" i="15"/>
  <c r="C48" i="15"/>
  <c r="D48" i="15"/>
  <c r="F48" i="15"/>
  <c r="G48" i="15"/>
  <c r="H48" i="15"/>
  <c r="C49" i="15"/>
  <c r="D49" i="15"/>
  <c r="F49" i="15"/>
  <c r="G49" i="15"/>
  <c r="H49" i="15"/>
  <c r="C50" i="15"/>
  <c r="D50" i="15"/>
  <c r="F50" i="15"/>
  <c r="G50" i="15"/>
  <c r="H50" i="15"/>
  <c r="C51" i="15"/>
  <c r="D51" i="15"/>
  <c r="F51" i="15"/>
  <c r="G51" i="15"/>
  <c r="H51" i="15"/>
  <c r="C52" i="15"/>
  <c r="D52" i="15"/>
  <c r="F52" i="15"/>
  <c r="G52" i="15"/>
  <c r="H52" i="15"/>
  <c r="C53" i="15"/>
  <c r="D53" i="15"/>
  <c r="F53" i="15"/>
  <c r="G53" i="15"/>
  <c r="H53" i="15"/>
  <c r="C54" i="15"/>
  <c r="D54" i="15"/>
  <c r="F54" i="15"/>
  <c r="G54" i="15"/>
  <c r="H54" i="15"/>
  <c r="C55" i="15"/>
  <c r="D55" i="15"/>
  <c r="F55" i="15"/>
  <c r="G55" i="15"/>
  <c r="H55" i="15"/>
  <c r="C56" i="15"/>
  <c r="D56" i="15"/>
  <c r="F56" i="15"/>
  <c r="G56" i="15"/>
  <c r="H56" i="15"/>
  <c r="C57" i="15"/>
  <c r="D57" i="15"/>
  <c r="F57" i="15"/>
  <c r="G57" i="15"/>
  <c r="H57" i="15"/>
  <c r="C58" i="15"/>
  <c r="D58" i="15"/>
  <c r="F58" i="15"/>
  <c r="G58" i="15"/>
  <c r="H58" i="15"/>
  <c r="C59" i="15"/>
  <c r="D59" i="15"/>
  <c r="F59" i="15"/>
  <c r="G59" i="15"/>
  <c r="H59" i="15"/>
  <c r="C60" i="15"/>
  <c r="D60" i="15"/>
  <c r="F60" i="15"/>
  <c r="G60" i="15"/>
  <c r="H60" i="15"/>
  <c r="C61" i="15"/>
  <c r="D61" i="15"/>
  <c r="F61" i="15"/>
  <c r="G61" i="15"/>
  <c r="H61" i="15"/>
  <c r="C62" i="15"/>
  <c r="D62" i="15"/>
  <c r="F62" i="15"/>
  <c r="G62" i="15"/>
  <c r="H62" i="15"/>
  <c r="C63" i="15"/>
  <c r="D63" i="15"/>
  <c r="F63" i="15"/>
  <c r="G63" i="15"/>
  <c r="H63" i="15"/>
  <c r="C64" i="15"/>
  <c r="D64" i="15"/>
  <c r="F64" i="15"/>
  <c r="G64" i="15"/>
  <c r="H64" i="15"/>
  <c r="C65" i="15"/>
  <c r="D65" i="15"/>
  <c r="F65" i="15"/>
  <c r="G65" i="15"/>
  <c r="H65" i="15"/>
  <c r="C66" i="15"/>
  <c r="D66" i="15"/>
  <c r="F66" i="15"/>
  <c r="G66" i="15"/>
  <c r="H66" i="15"/>
  <c r="C67" i="15"/>
  <c r="D67" i="15"/>
  <c r="F67" i="15"/>
  <c r="G67" i="15"/>
  <c r="H67" i="15"/>
  <c r="C68" i="15"/>
  <c r="D68" i="15"/>
  <c r="F68" i="15"/>
  <c r="G68" i="15"/>
  <c r="H68" i="15"/>
  <c r="C69" i="15"/>
  <c r="D69" i="15"/>
  <c r="F69" i="15"/>
  <c r="G69" i="15"/>
  <c r="H69" i="15"/>
  <c r="C70" i="15"/>
  <c r="D70" i="15"/>
  <c r="F70" i="15"/>
  <c r="G70" i="15"/>
  <c r="H70" i="15"/>
  <c r="C71" i="15"/>
  <c r="D71" i="15"/>
  <c r="F71" i="15"/>
  <c r="G71" i="15"/>
  <c r="H71" i="15"/>
  <c r="C72" i="15"/>
  <c r="D72" i="15"/>
  <c r="F72" i="15"/>
  <c r="G72" i="15"/>
  <c r="H72" i="15"/>
  <c r="C73" i="15"/>
  <c r="D73" i="15"/>
  <c r="F73" i="15"/>
  <c r="G73" i="15"/>
  <c r="H73" i="15"/>
  <c r="C74" i="15"/>
  <c r="D74" i="15"/>
  <c r="F74" i="15"/>
  <c r="G74" i="15"/>
  <c r="H74" i="15"/>
  <c r="C75" i="15"/>
  <c r="D75" i="15"/>
  <c r="F75" i="15"/>
  <c r="G75" i="15"/>
  <c r="H75" i="15"/>
  <c r="C76" i="15"/>
  <c r="D76" i="15"/>
  <c r="F76" i="15"/>
  <c r="G76" i="15"/>
  <c r="H76" i="15"/>
  <c r="C77" i="15"/>
  <c r="D77" i="15"/>
  <c r="F77" i="15"/>
  <c r="G77" i="15"/>
  <c r="H77" i="15"/>
  <c r="C78" i="15"/>
  <c r="D78" i="15"/>
  <c r="F78" i="15"/>
  <c r="G78" i="15"/>
  <c r="H78" i="15"/>
  <c r="C79" i="15"/>
  <c r="D79" i="15"/>
  <c r="F79" i="15"/>
  <c r="G79" i="15"/>
  <c r="H79" i="15"/>
  <c r="C80" i="15"/>
  <c r="D80" i="15"/>
  <c r="F80" i="15"/>
  <c r="G80" i="15"/>
  <c r="H80" i="15"/>
  <c r="C81" i="15"/>
  <c r="D81" i="15"/>
  <c r="F81" i="15"/>
  <c r="G81" i="15"/>
  <c r="H81" i="15"/>
  <c r="C82" i="15"/>
  <c r="D82" i="15"/>
  <c r="F82" i="15"/>
  <c r="G82" i="15"/>
  <c r="H82" i="15"/>
  <c r="C83" i="15"/>
  <c r="D83" i="15"/>
  <c r="F83" i="15"/>
  <c r="G83" i="15"/>
  <c r="H83" i="15"/>
  <c r="E84" i="15"/>
  <c r="F84" i="15"/>
  <c r="H84" i="15"/>
</calcChain>
</file>

<file path=xl/comments1.xml><?xml version="1.0" encoding="utf-8"?>
<comments xmlns="http://schemas.openxmlformats.org/spreadsheetml/2006/main">
  <authors>
    <author>cwatts</author>
    <author>Todd Neugebauer</author>
  </authors>
  <commentList>
    <comment ref="R1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Includes land options, circuit breaker options, tower, and circuit  breakers</t>
        </r>
      </text>
    </comment>
    <comment ref="C2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fixed capacity payment needs to be confirmed.
</t>
        </r>
      </text>
    </comment>
    <comment ref="A37" authorId="1" shapeId="0">
      <text>
        <r>
          <rPr>
            <b/>
            <sz val="8"/>
            <color indexed="81"/>
            <rFont val="Tahoma"/>
          </rPr>
          <t>Todd Neugebauer:</t>
        </r>
        <r>
          <rPr>
            <sz val="8"/>
            <color indexed="81"/>
            <rFont val="Tahoma"/>
          </rPr>
          <t xml:space="preserve">
This will come from Nus load flow studies.</t>
        </r>
      </text>
    </comment>
    <comment ref="R40" authorId="1" shapeId="0">
      <text>
        <r>
          <rPr>
            <b/>
            <sz val="8"/>
            <color indexed="81"/>
            <rFont val="Tahoma"/>
          </rPr>
          <t>Todd Neugebauer:</t>
        </r>
        <r>
          <rPr>
            <sz val="8"/>
            <color indexed="81"/>
            <rFont val="Tahoma"/>
          </rPr>
          <t xml:space="preserve">
O&amp;M Mobilization Fee</t>
        </r>
      </text>
    </comment>
    <comment ref="C52" authorId="1" shapeId="0">
      <text>
        <r>
          <rPr>
            <b/>
            <sz val="8"/>
            <color indexed="81"/>
            <rFont val="Tahoma"/>
          </rPr>
          <t>Todd Neugebauer:</t>
        </r>
        <r>
          <rPr>
            <sz val="8"/>
            <color indexed="81"/>
            <rFont val="Tahoma"/>
          </rPr>
          <t xml:space="preserve">
Not used curretly-Rate is hard coded on CF page</t>
        </r>
      </text>
    </comment>
  </commentList>
</comments>
</file>

<file path=xl/comments2.xml><?xml version="1.0" encoding="utf-8"?>
<comments xmlns="http://schemas.openxmlformats.org/spreadsheetml/2006/main">
  <authors>
    <author>Todd Neugebauer</author>
  </authors>
  <commentList>
    <comment ref="A27" authorId="0" shapeId="0">
      <text>
        <r>
          <rPr>
            <b/>
            <sz val="8"/>
            <color indexed="81"/>
            <rFont val="Tahoma"/>
          </rPr>
          <t>Todd Neugebauer:</t>
        </r>
        <r>
          <rPr>
            <sz val="8"/>
            <color indexed="81"/>
            <rFont val="Tahoma"/>
          </rPr>
          <t xml:space="preserve">
Was calculated on units delivered.</t>
        </r>
      </text>
    </comment>
    <comment ref="A35" authorId="0" shapeId="0">
      <text>
        <r>
          <rPr>
            <b/>
            <sz val="8"/>
            <color indexed="81"/>
            <rFont val="Tahoma"/>
          </rPr>
          <t>Todd Neugebauer:</t>
        </r>
        <r>
          <rPr>
            <sz val="8"/>
            <color indexed="81"/>
            <rFont val="Tahoma"/>
          </rPr>
          <t xml:space="preserve">
Pull this from Baseload Neptune Model.</t>
        </r>
      </text>
    </comment>
    <comment ref="A98" authorId="0" shapeId="0">
      <text>
        <r>
          <rPr>
            <b/>
            <sz val="8"/>
            <color indexed="81"/>
            <rFont val="Tahoma"/>
          </rPr>
          <t>Todd Neugebauer:</t>
        </r>
        <r>
          <rPr>
            <sz val="8"/>
            <color indexed="81"/>
            <rFont val="Tahoma"/>
          </rPr>
          <t xml:space="preserve">
Both Coverage ratios add back maintenance expense because there is a reserve for it.</t>
        </r>
      </text>
    </comment>
  </commentList>
</comments>
</file>

<file path=xl/sharedStrings.xml><?xml version="1.0" encoding="utf-8"?>
<sst xmlns="http://schemas.openxmlformats.org/spreadsheetml/2006/main" count="710" uniqueCount="463">
  <si>
    <t>BASE MODEL</t>
  </si>
  <si>
    <t>Interest During Construction</t>
  </si>
  <si>
    <t>Depreciation</t>
  </si>
  <si>
    <t xml:space="preserve">   Total</t>
  </si>
  <si>
    <t>Project IRR</t>
  </si>
  <si>
    <t>Enron IRR</t>
  </si>
  <si>
    <t>ASSUMPTIONS</t>
  </si>
  <si>
    <t xml:space="preserve"> </t>
  </si>
  <si>
    <t xml:space="preserve">                                                                                       </t>
  </si>
  <si>
    <t>Taxes</t>
  </si>
  <si>
    <t>Amount</t>
  </si>
  <si>
    <t>Project and Enron Economics ($000)</t>
  </si>
  <si>
    <t>Disc Rate</t>
  </si>
  <si>
    <t>IRR</t>
  </si>
  <si>
    <t>NPV</t>
  </si>
  <si>
    <t>Converge of Numbers</t>
  </si>
  <si>
    <t>Values</t>
  </si>
  <si>
    <t>Inputs</t>
  </si>
  <si>
    <t>Difference</t>
  </si>
  <si>
    <t>Capacity</t>
  </si>
  <si>
    <t>MW</t>
  </si>
  <si>
    <t>Project Costs ($000)</t>
  </si>
  <si>
    <t xml:space="preserve">   IDC </t>
  </si>
  <si>
    <t>Availability</t>
  </si>
  <si>
    <t>ASSUME EXEMPT</t>
  </si>
  <si>
    <t xml:space="preserve">  Major Mechanical &amp; Elec. Equip.</t>
  </si>
  <si>
    <t>PROJECT</t>
  </si>
  <si>
    <t>IRR LOOPFACTOR</t>
  </si>
  <si>
    <t xml:space="preserve">   Withholding Tax on IDC</t>
  </si>
  <si>
    <t>Heat Rate</t>
  </si>
  <si>
    <t>HHV</t>
  </si>
  <si>
    <t>Btu/kWh</t>
  </si>
  <si>
    <t xml:space="preserve">  Electrical Equip.</t>
  </si>
  <si>
    <t>Target IRR</t>
  </si>
  <si>
    <t xml:space="preserve">   Financing Costs</t>
  </si>
  <si>
    <t xml:space="preserve">Dispatch </t>
  </si>
  <si>
    <t xml:space="preserve">  Import Duties </t>
  </si>
  <si>
    <t xml:space="preserve">   Commitment Fee</t>
  </si>
  <si>
    <t xml:space="preserve">Enron </t>
  </si>
  <si>
    <t xml:space="preserve">   Development Fees</t>
  </si>
  <si>
    <t xml:space="preserve">   TOTAL POWER PLANT EQUIPMENT, DUTIES &amp; VAT</t>
  </si>
  <si>
    <t>Ptr 1 - Other</t>
  </si>
  <si>
    <t xml:space="preserve">   TOTAL PROJECT COSTS</t>
  </si>
  <si>
    <t>Project Operations</t>
  </si>
  <si>
    <t xml:space="preserve">  Operations Mobilization</t>
  </si>
  <si>
    <t xml:space="preserve">   Start of Construction</t>
  </si>
  <si>
    <t>Gross Receipts Tax</t>
  </si>
  <si>
    <t xml:space="preserve">   TOTAL CONSTRUCTION COSTS</t>
  </si>
  <si>
    <t>TOTAL PARTNERS</t>
  </si>
  <si>
    <t xml:space="preserve">   Term of Construction (Mos)</t>
  </si>
  <si>
    <t xml:space="preserve">  Transmission Line</t>
  </si>
  <si>
    <t xml:space="preserve">   Start of Operations - Month / Year</t>
  </si>
  <si>
    <t>US Taxes</t>
  </si>
  <si>
    <t xml:space="preserve">  Construction Costs</t>
  </si>
  <si>
    <t>Plus:  Withholding Tax on Dividends</t>
  </si>
  <si>
    <t xml:space="preserve">   Term of Contract (Yrs)</t>
  </si>
  <si>
    <t xml:space="preserve">   Federal Income Tax</t>
  </si>
  <si>
    <t xml:space="preserve">  Transmission Mobilization</t>
  </si>
  <si>
    <t>Plus:  Political Risk Insurance</t>
  </si>
  <si>
    <t xml:space="preserve">   Type of Contract</t>
  </si>
  <si>
    <t xml:space="preserve">   TOTAL TRANSMISSION LINE COSTS</t>
  </si>
  <si>
    <t>Less:  Development Fees</t>
  </si>
  <si>
    <t>Depreciation Assumptions</t>
  </si>
  <si>
    <t>Basis ($000)</t>
  </si>
  <si>
    <t>Life (Yrs)</t>
  </si>
  <si>
    <t>Method</t>
  </si>
  <si>
    <t>Less:  Tax Cost/(Benefit) on (1)s above</t>
  </si>
  <si>
    <t>Pricing</t>
  </si>
  <si>
    <t xml:space="preserve">  Lateral Pipe</t>
  </si>
  <si>
    <t>Sub-total Partner Level Adjustments</t>
  </si>
  <si>
    <t>Capacity Payments:</t>
  </si>
  <si>
    <t>Escalation</t>
  </si>
  <si>
    <t>Tax:</t>
  </si>
  <si>
    <t>Asset 1 - Plant</t>
  </si>
  <si>
    <t>S/L</t>
  </si>
  <si>
    <t>Loop Factor</t>
  </si>
  <si>
    <t xml:space="preserve">Fixed Capacity </t>
  </si>
  <si>
    <t xml:space="preserve"> /kW-Mon</t>
  </si>
  <si>
    <t xml:space="preserve">Asset 2 </t>
  </si>
  <si>
    <t>RECONCILED PROJECT NPV</t>
  </si>
  <si>
    <t xml:space="preserve">   (includes ROE, Taxes, Debt Service, Fixed O&amp;M)</t>
  </si>
  <si>
    <t xml:space="preserve">Asset 3 </t>
  </si>
  <si>
    <t xml:space="preserve">  Pipeline Mobilization</t>
  </si>
  <si>
    <t>Unlocated Difference</t>
  </si>
  <si>
    <t>Energy (Variable) Payments:</t>
  </si>
  <si>
    <t xml:space="preserve">   TOTAL PIPELINE COSTS</t>
  </si>
  <si>
    <t>Variable O&amp;M</t>
  </si>
  <si>
    <t xml:space="preserve"> /kWh</t>
  </si>
  <si>
    <t>Book:</t>
  </si>
  <si>
    <t>DS Coverage Ratios:</t>
  </si>
  <si>
    <t>Pre-Tax</t>
  </si>
  <si>
    <t>After-Tax</t>
  </si>
  <si>
    <t xml:space="preserve">  Withholding Tax on IDC</t>
  </si>
  <si>
    <t xml:space="preserve">         Minimum</t>
  </si>
  <si>
    <t>Target</t>
  </si>
  <si>
    <t>Other</t>
  </si>
  <si>
    <t xml:space="preserve">  Financing Costs</t>
  </si>
  <si>
    <t xml:space="preserve">         Average</t>
  </si>
  <si>
    <t xml:space="preserve">  Misc Lenders' Expenses</t>
  </si>
  <si>
    <t>US GAAP:</t>
  </si>
  <si>
    <t xml:space="preserve">  Commitment Fee</t>
  </si>
  <si>
    <t>Financing ($000)</t>
  </si>
  <si>
    <t xml:space="preserve">  Bank Environmental Consultant</t>
  </si>
  <si>
    <t>W Avg Cost of Financing...</t>
  </si>
  <si>
    <t xml:space="preserve">  Bank Independent Engineer</t>
  </si>
  <si>
    <t>Cost of Funds</t>
  </si>
  <si>
    <t>Margin</t>
  </si>
  <si>
    <t xml:space="preserve">  Completion Bond</t>
  </si>
  <si>
    <t xml:space="preserve">   Tranche 1:</t>
  </si>
  <si>
    <t>1=SL 2=MTG</t>
  </si>
  <si>
    <t xml:space="preserve">Project Ownership </t>
  </si>
  <si>
    <t>% of Equity</t>
  </si>
  <si>
    <t>% of Cash Flow</t>
  </si>
  <si>
    <t>Equity $s</t>
  </si>
  <si>
    <t xml:space="preserve">  Overheads</t>
  </si>
  <si>
    <t xml:space="preserve">         Amount</t>
  </si>
  <si>
    <t>Enron</t>
  </si>
  <si>
    <t xml:space="preserve">         Term - Years</t>
  </si>
  <si>
    <t xml:space="preserve">  Permits &amp; Licenses</t>
  </si>
  <si>
    <t xml:space="preserve">         Average Life of Loan (including Construction)</t>
  </si>
  <si>
    <t>Operating Expenses ($000)</t>
  </si>
  <si>
    <t xml:space="preserve">CPI Rate: </t>
  </si>
  <si>
    <t xml:space="preserve">  Legal Fees </t>
  </si>
  <si>
    <t xml:space="preserve">         Grace Period  (excluding construction)</t>
  </si>
  <si>
    <t>Payments</t>
  </si>
  <si>
    <t xml:space="preserve">   TOTAL THIRD PARTY DEVMT/FINANCING COSTS</t>
  </si>
  <si>
    <t xml:space="preserve">         Rate </t>
  </si>
  <si>
    <t>Fixed:</t>
  </si>
  <si>
    <t xml:space="preserve">  Development Fees</t>
  </si>
  <si>
    <t xml:space="preserve">         Financing Fees</t>
  </si>
  <si>
    <t>Miscellaneous O&amp;M</t>
  </si>
  <si>
    <t xml:space="preserve">  Development Costs</t>
  </si>
  <si>
    <t xml:space="preserve">         Commitment Fees</t>
  </si>
  <si>
    <t>Miscellaneous G&amp;A</t>
  </si>
  <si>
    <t xml:space="preserve">  Financial Advisor</t>
  </si>
  <si>
    <t xml:space="preserve">   Tranche 2:</t>
  </si>
  <si>
    <t>Maintenance Reserve</t>
  </si>
  <si>
    <t xml:space="preserve">  Profit</t>
  </si>
  <si>
    <t xml:space="preserve">         Amount </t>
  </si>
  <si>
    <t>(U.S. Content)</t>
  </si>
  <si>
    <t>Plant Insurance</t>
  </si>
  <si>
    <t xml:space="preserve">  Commission &amp; Startup (Operator)</t>
  </si>
  <si>
    <t>Payroll</t>
  </si>
  <si>
    <t xml:space="preserve">   TOTAL ENRON COSTS</t>
  </si>
  <si>
    <t xml:space="preserve">Spare Parts </t>
  </si>
  <si>
    <t xml:space="preserve">  Vendor Reps</t>
  </si>
  <si>
    <t>Water &amp; Chemicals</t>
  </si>
  <si>
    <t xml:space="preserve">  Owner's Engineer Services</t>
  </si>
  <si>
    <t xml:space="preserve">   TOTAL TURNKEY OTHER COSTS</t>
  </si>
  <si>
    <t xml:space="preserve">  Working Capital</t>
  </si>
  <si>
    <t>Pipeline Operations</t>
  </si>
  <si>
    <t xml:space="preserve">  Spare Parts &amp; Other Costs</t>
  </si>
  <si>
    <t xml:space="preserve">   Tranche 3: Other</t>
  </si>
  <si>
    <t xml:space="preserve">  Spare Parts - Duties</t>
  </si>
  <si>
    <t xml:space="preserve">  Spare Parts - VAT</t>
  </si>
  <si>
    <t xml:space="preserve">   TOTAL OTHER COSTS</t>
  </si>
  <si>
    <t>Variable:</t>
  </si>
  <si>
    <t xml:space="preserve">  Contingency -  </t>
  </si>
  <si>
    <t xml:space="preserve">  Contingency -</t>
  </si>
  <si>
    <t xml:space="preserve">         Rate</t>
  </si>
  <si>
    <t xml:space="preserve">   TOTAL CONTINGENCY</t>
  </si>
  <si>
    <t xml:space="preserve">   Tranche 4: Other</t>
  </si>
  <si>
    <t xml:space="preserve">   TOTAL PROJECT COSTS ($/kw)</t>
  </si>
  <si>
    <t xml:space="preserve">         Rate (5 Yr)</t>
  </si>
  <si>
    <t xml:space="preserve">   Tranche 5: Other</t>
  </si>
  <si>
    <t xml:space="preserve">   Tranche 6: Other</t>
  </si>
  <si>
    <t xml:space="preserve">   Debt</t>
  </si>
  <si>
    <t xml:space="preserve">   Equity</t>
  </si>
  <si>
    <t xml:space="preserve">   Total Investment</t>
  </si>
  <si>
    <t>:pss9~qlbcaqqrsROI~g</t>
  </si>
  <si>
    <t>:pss10~qlbcaqqrsNDC~g</t>
  </si>
  <si>
    <t>:pss11~qlbcaqqrsFIN~g</t>
  </si>
  <si>
    <t>CASH FLOW - PROJECT</t>
  </si>
  <si>
    <t>Current Year</t>
  </si>
  <si>
    <t>Calendar Year</t>
  </si>
  <si>
    <t>Totals</t>
  </si>
  <si>
    <t>Months of Operation</t>
  </si>
  <si>
    <t>Capacity (MW) - Gross</t>
  </si>
  <si>
    <t>Units Produced (MWhr)</t>
  </si>
  <si>
    <t>REVENUES:</t>
  </si>
  <si>
    <t>Fixed Payments:</t>
  </si>
  <si>
    <t>Based on Units Produced</t>
  </si>
  <si>
    <t xml:space="preserve">     Total Variable Payments</t>
  </si>
  <si>
    <t>Calculated on Units Delivered (after Line Loss)</t>
  </si>
  <si>
    <t>Fixed Payment</t>
  </si>
  <si>
    <t xml:space="preserve">         All-In Tariff (c/kWh)</t>
  </si>
  <si>
    <t>EXPENSES:</t>
  </si>
  <si>
    <t>Operation and Maintenance:</t>
  </si>
  <si>
    <t>Fixed O&amp;M:</t>
  </si>
  <si>
    <t>Total Fixed O&amp;M</t>
  </si>
  <si>
    <t>Variable O&amp;M:</t>
  </si>
  <si>
    <t>Total Variable O&amp;M</t>
  </si>
  <si>
    <t xml:space="preserve">     Total Operations &amp; Maintenance</t>
  </si>
  <si>
    <t xml:space="preserve">          TOTAL EXPENSES</t>
  </si>
  <si>
    <t>Total O&amp;M (c/kWh)</t>
  </si>
  <si>
    <t xml:space="preserve">   Less:  Book Depreciation Expense</t>
  </si>
  <si>
    <t>Earnings Before Int &amp; Taxes (EBIT)</t>
  </si>
  <si>
    <t xml:space="preserve">   Less:  Interest Expense (before W/H Tax)</t>
  </si>
  <si>
    <t xml:space="preserve">   Less:  Withholding Tax - Interest Payments Abroad</t>
  </si>
  <si>
    <t>Earnings Before Taxes (EBT)</t>
  </si>
  <si>
    <t xml:space="preserve">  Less:  Book Provision for Income Taxes</t>
  </si>
  <si>
    <t>PROJECT BOOK INCOME</t>
  </si>
  <si>
    <t>Plus:  Book Depreciation</t>
  </si>
  <si>
    <t>Plus:  Spare Parts</t>
  </si>
  <si>
    <t>Plus:  VAT Refund</t>
  </si>
  <si>
    <t>Plus:  Liquidation Proceeds</t>
  </si>
  <si>
    <t>(Working Capital)</t>
  </si>
  <si>
    <t>Plus:  Book Provision for Income Taxes</t>
  </si>
  <si>
    <t>Less:  Cash Taxes</t>
  </si>
  <si>
    <t>Less:  Principal Payments</t>
  </si>
  <si>
    <t>NET A-T CASH FLOW DISTRIBUTED</t>
  </si>
  <si>
    <t>Pre-Tax Debt Coverage</t>
  </si>
  <si>
    <t>(EBDIT/(Debt Serv+W/H Tax))</t>
  </si>
  <si>
    <t>After-Tax Debt Coverage</t>
  </si>
  <si>
    <t>((EBDIT-Taxes)/(Debt Serv+W/H Tax))</t>
  </si>
  <si>
    <t>RETURNS</t>
  </si>
  <si>
    <t xml:space="preserve">Current Year </t>
  </si>
  <si>
    <t>PROJECT RETURNS</t>
  </si>
  <si>
    <t>Equity Injection</t>
  </si>
  <si>
    <t>Net A-T Cash Flow</t>
  </si>
  <si>
    <t>Total Cash Flow</t>
  </si>
  <si>
    <t>20 Year Running NPV</t>
  </si>
  <si>
    <t>20 Year Running IRR</t>
  </si>
  <si>
    <t>Discounted Payback Year</t>
  </si>
  <si>
    <t>ENRON RETURNS</t>
  </si>
  <si>
    <t>Less:  Withholding Tax - Dividends</t>
  </si>
  <si>
    <t>Less:  Political Risk Insurance</t>
  </si>
  <si>
    <t>(1)</t>
  </si>
  <si>
    <t>Plus:  Development Fees</t>
  </si>
  <si>
    <t>Less:  Tax Cost/(Benefit) on (1)s Above</t>
  </si>
  <si>
    <t>PTNR 1 RETURNS</t>
  </si>
  <si>
    <t>Partner 1 IRR</t>
  </si>
  <si>
    <t>PARTNER 2 RETURNS</t>
  </si>
  <si>
    <t>Partner 2 IRR</t>
  </si>
  <si>
    <t>DRAWDOWN SCHEDULE</t>
  </si>
  <si>
    <t>Total Cost Excluding IDC</t>
  </si>
  <si>
    <t>PROJECT COSTS</t>
  </si>
  <si>
    <t>Monthly</t>
  </si>
  <si>
    <t>Cumulative</t>
  </si>
  <si>
    <t>Description</t>
  </si>
  <si>
    <t>% of</t>
  </si>
  <si>
    <t>Cost</t>
  </si>
  <si>
    <t>Month</t>
  </si>
  <si>
    <t>of Activity</t>
  </si>
  <si>
    <t>Total Cost</t>
  </si>
  <si>
    <t>($ 000's)</t>
  </si>
  <si>
    <t>Start of Construction</t>
  </si>
  <si>
    <t>TOTAL</t>
  </si>
  <si>
    <t>INTEREST DURING CONSTRUCTION</t>
  </si>
  <si>
    <t>Current Month</t>
  </si>
  <si>
    <t>Calendar Month</t>
  </si>
  <si>
    <t>(excl IDC)</t>
  </si>
  <si>
    <t>Total</t>
  </si>
  <si>
    <t>Project Cost</t>
  </si>
  <si>
    <t>Interest Rate</t>
  </si>
  <si>
    <t>Construction Balance</t>
  </si>
  <si>
    <t>Beginning Construction Balance</t>
  </si>
  <si>
    <t>Construction Drawdown</t>
  </si>
  <si>
    <t>Ending Construction Balance</t>
  </si>
  <si>
    <t xml:space="preserve">  Cumulative % complete (excl IDC &amp; Prepayment)</t>
  </si>
  <si>
    <t xml:space="preserve">  All-In Cumulative % Complete (excl Prepayment)</t>
  </si>
  <si>
    <t>Debt Balance</t>
  </si>
  <si>
    <t>Beginning Debt Balance</t>
  </si>
  <si>
    <t>Plus:  Debt Proceeds</t>
  </si>
  <si>
    <t>Pus:  Interest During Construction - Debt Only</t>
  </si>
  <si>
    <t>Ending Balance Debt Only</t>
  </si>
  <si>
    <t>Interest During Construction - Monthly</t>
  </si>
  <si>
    <t>Withholding Tax on Interest</t>
  </si>
  <si>
    <t>Equity Balance</t>
  </si>
  <si>
    <t>Beginning Equity Balance</t>
  </si>
  <si>
    <t>Plus:  Equity Proceeds</t>
  </si>
  <si>
    <t>Plus:  Interest During Construction - Equity Only</t>
  </si>
  <si>
    <t>Ending Equity Balance</t>
  </si>
  <si>
    <t>Total Interest During Construction</t>
  </si>
  <si>
    <t>Total Withholding Tax on Interest</t>
  </si>
  <si>
    <t>FINANCING</t>
  </si>
  <si>
    <t xml:space="preserve">Totals  </t>
  </si>
  <si>
    <t>DEBT SERVICE</t>
  </si>
  <si>
    <t xml:space="preserve">   Interest</t>
  </si>
  <si>
    <t xml:space="preserve">   Principal</t>
  </si>
  <si>
    <t xml:space="preserve">         Total Debt Service</t>
  </si>
  <si>
    <t>PRINCIPAL</t>
  </si>
  <si>
    <t>REPAYMENT</t>
  </si>
  <si>
    <t xml:space="preserve">Term </t>
  </si>
  <si>
    <t>Years</t>
  </si>
  <si>
    <t>Grace Period:</t>
  </si>
  <si>
    <t>Year</t>
  </si>
  <si>
    <t>Period</t>
  </si>
  <si>
    <t>Begin Bal</t>
  </si>
  <si>
    <t>Interest</t>
  </si>
  <si>
    <t>Principal</t>
  </si>
  <si>
    <t>End Bal</t>
  </si>
  <si>
    <t>TOTALS</t>
  </si>
  <si>
    <t>CASH TAXES, COMMITMENT FEE</t>
  </si>
  <si>
    <t>CASH TAXES</t>
  </si>
  <si>
    <t xml:space="preserve">  EBDIT</t>
  </si>
  <si>
    <t xml:space="preserve">  Less:  Tax Depreciation</t>
  </si>
  <si>
    <t xml:space="preserve">  Less:  Interest Expense (before W/H Tax)</t>
  </si>
  <si>
    <t xml:space="preserve">  Less:  Withholding Tax - Interest Payments Abroad</t>
  </si>
  <si>
    <t xml:space="preserve">  Taxable Income</t>
  </si>
  <si>
    <t xml:space="preserve">  Times:  Tax Rate</t>
  </si>
  <si>
    <t>TOTAL CASH TAXES PAID</t>
  </si>
  <si>
    <t xml:space="preserve">COMMITMENT FEE </t>
  </si>
  <si>
    <t>Plus</t>
  </si>
  <si>
    <t>Less</t>
  </si>
  <si>
    <t>Beginning</t>
  </si>
  <si>
    <t>Ending</t>
  </si>
  <si>
    <t>Commitment</t>
  </si>
  <si>
    <t>Weighted Avg</t>
  </si>
  <si>
    <t>Committed $'s</t>
  </si>
  <si>
    <t>Committed</t>
  </si>
  <si>
    <t>Advanced</t>
  </si>
  <si>
    <t>Fee</t>
  </si>
  <si>
    <t>Fee Rate</t>
  </si>
  <si>
    <t>Total Commitment Fee</t>
  </si>
  <si>
    <t>DEPRECIATION CALCULATIONS</t>
  </si>
  <si>
    <t>Tax</t>
  </si>
  <si>
    <t>Book</t>
  </si>
  <si>
    <t>US GAAP</t>
  </si>
  <si>
    <t>Total Project Cost</t>
  </si>
  <si>
    <t>Less:  VAT to be Refunded</t>
  </si>
  <si>
    <t>Less:  Spare Parts</t>
  </si>
  <si>
    <t>Less:  Working Capital</t>
  </si>
  <si>
    <t>Total Depreciable Basis</t>
  </si>
  <si>
    <t>Tax Depreciation:</t>
  </si>
  <si>
    <t>Original</t>
  </si>
  <si>
    <t>Current Tax Depreciation:</t>
  </si>
  <si>
    <t xml:space="preserve">Basis  </t>
  </si>
  <si>
    <t>Total Current Tax Depreciation</t>
  </si>
  <si>
    <t>Accumulated Tax Depreciation</t>
  </si>
  <si>
    <t>Beginning Tax Basis</t>
  </si>
  <si>
    <t>Plus:  New Additions</t>
  </si>
  <si>
    <t>Less: Current Depreciation</t>
  </si>
  <si>
    <t>Ending Tax Basis</t>
  </si>
  <si>
    <t>Book Depreciation:</t>
  </si>
  <si>
    <t>Current Book Depreciation:</t>
  </si>
  <si>
    <t>Total Current Book Depreciation</t>
  </si>
  <si>
    <t>Accumulated Book Depreciation</t>
  </si>
  <si>
    <t>Beginning Book Basis</t>
  </si>
  <si>
    <t>Ending Book Basis</t>
  </si>
  <si>
    <t>US GAAP Depreciation:</t>
  </si>
  <si>
    <t>BALANCE SHEET</t>
  </si>
  <si>
    <t>Opening</t>
  </si>
  <si>
    <t>Balance</t>
  </si>
  <si>
    <t>Assets:</t>
  </si>
  <si>
    <t>Cash and cash equivalents</t>
  </si>
  <si>
    <t>Accounts Receivable</t>
  </si>
  <si>
    <t>Inventory</t>
  </si>
  <si>
    <t>Construction in progress</t>
  </si>
  <si>
    <t>Property, plant and equipment</t>
  </si>
  <si>
    <t>Accumulated depreciation</t>
  </si>
  <si>
    <t>Property, plant, and equipment, net</t>
  </si>
  <si>
    <t>Land</t>
  </si>
  <si>
    <t>Total Assets</t>
  </si>
  <si>
    <t>Liabilities:</t>
  </si>
  <si>
    <t>Accounts Payable</t>
  </si>
  <si>
    <t>Interest Payable</t>
  </si>
  <si>
    <t>Income taxes payable</t>
  </si>
  <si>
    <t>Long-term debt</t>
  </si>
  <si>
    <t>Other liabilities</t>
  </si>
  <si>
    <t>Total liabilities</t>
  </si>
  <si>
    <t>Stockholders' equity:</t>
  </si>
  <si>
    <t>Capital Stock</t>
  </si>
  <si>
    <t>Dividends</t>
  </si>
  <si>
    <t>Retained earnings</t>
  </si>
  <si>
    <t>Total stockholders' equity</t>
  </si>
  <si>
    <t>Total liabilities and stockholders' equity</t>
  </si>
  <si>
    <t>Balance Check:</t>
  </si>
  <si>
    <t>INCOME STATEMENT</t>
  </si>
  <si>
    <t>Fixed O&amp;M</t>
  </si>
  <si>
    <t>Fuel expense</t>
  </si>
  <si>
    <t>Interest expense</t>
  </si>
  <si>
    <t>Total expenses</t>
  </si>
  <si>
    <t>Income before income taxes</t>
  </si>
  <si>
    <t>Provision for income taxes (income &amp; surtax)</t>
  </si>
  <si>
    <t>Credits against taxes (VAT)</t>
  </si>
  <si>
    <t>Net income</t>
  </si>
  <si>
    <t>STATEMENT OF CASH FLOWS</t>
  </si>
  <si>
    <t>Cash flows from operating activities:</t>
  </si>
  <si>
    <t>Cash received from customers</t>
  </si>
  <si>
    <t>Cash paid to suppliers and employees</t>
  </si>
  <si>
    <t>Spare Parts</t>
  </si>
  <si>
    <t>Interest paid</t>
  </si>
  <si>
    <t>Income taxes paid</t>
  </si>
  <si>
    <t>Net cash provided by operating activities</t>
  </si>
  <si>
    <t>Cash flows from financing activities:</t>
  </si>
  <si>
    <t>Principal payments under long-term debt obligations</t>
  </si>
  <si>
    <t>Proceeds from issuance of long-term debt</t>
  </si>
  <si>
    <t>Proceeds from refinancing of long-term debt</t>
  </si>
  <si>
    <t>Loans to Shareholders - Trapped Cash</t>
  </si>
  <si>
    <t>Loans to Shareholders - Legal Reserve</t>
  </si>
  <si>
    <t>Interest Income - Loans to Shareholders</t>
  </si>
  <si>
    <t>Increase/(Decrease) in Labor Liability</t>
  </si>
  <si>
    <t>Capital contributions</t>
  </si>
  <si>
    <t>Dividends paid</t>
  </si>
  <si>
    <t>Net cash provided by financing activities</t>
  </si>
  <si>
    <t>Net increase in cash and cash equivalents</t>
  </si>
  <si>
    <t>Cash and cash equivalents at beginning of year</t>
  </si>
  <si>
    <t>Cash and cash equivalents at end of year</t>
  </si>
  <si>
    <t>Debt/Equity Structure</t>
  </si>
  <si>
    <t xml:space="preserve">   Debt/Equity Structure</t>
  </si>
  <si>
    <t>(pari-passu, equity last, etc.)</t>
  </si>
  <si>
    <t/>
  </si>
  <si>
    <t>Cumulative Interest During Construction</t>
  </si>
  <si>
    <t>Enron NPV                         discount rate =</t>
  </si>
  <si>
    <t>Partner 1 NPV                   discount rate =</t>
  </si>
  <si>
    <t>Project NPV                       discount rate =</t>
  </si>
  <si>
    <t>Partner 2 NPV                   discount rate =</t>
  </si>
  <si>
    <t>Project Earnings Before Depr, Int &amp; Taxes (EBDIT)</t>
  </si>
  <si>
    <t>Project Company Tax Position</t>
  </si>
  <si>
    <t xml:space="preserve">   Enron's Tax Position</t>
  </si>
  <si>
    <t>All-in-Cost</t>
  </si>
  <si>
    <t>Cents/kWh</t>
  </si>
  <si>
    <t>BOO</t>
  </si>
  <si>
    <t xml:space="preserve">  IDC (Interest During Construction)</t>
  </si>
  <si>
    <t>MACRS</t>
  </si>
  <si>
    <t>Transmission Capacity Pmt.</t>
  </si>
  <si>
    <t>Deferred Taxes</t>
  </si>
  <si>
    <t>Maintenance Excluding (Major Maint)</t>
  </si>
  <si>
    <t>Plant Operations (O&amp;M Fee)</t>
  </si>
  <si>
    <t>Units Delivered (MWhr) --Line Loss</t>
  </si>
  <si>
    <t xml:space="preserve">Ptr 2 - </t>
  </si>
  <si>
    <t>=IF(ASS!$J$23=0, 0,IF(F12&lt;ASS!$J$23+1, SLN(ASS!$I$23,0,ASS!$J$23)*F14/12, IF(F12=ASS!$J$23+1, SLN(ASS!$I$23,0,ASS!$J$23)*(12-F14)/12, 0)))</t>
  </si>
  <si>
    <t>=IF(ASS!$J$23=0, 0, IF(G12=ASS!$J$23,$E$18-SUM($F$18:F18),IF(G12&gt;TERM,0,IF(G12&lt;ASS!$J$23+1, SLN(ASS!$I$23,0,ASS!$J$23)*G14/12, IF(G12=ASS!$J$23+1, SLN(ASS!$I$23,0,ASS!$J$23)*(12-G14)/12, 0)))))</t>
  </si>
  <si>
    <t>Less:  Major Maintenance Margin</t>
  </si>
  <si>
    <t>Major Maintenance Margin Adjustment</t>
  </si>
  <si>
    <t>Major Maintenance Reserve</t>
  </si>
  <si>
    <t xml:space="preserve">  Insurance -Builders Risk (30 BP on Total Cost)  and delay of operation (.25 of 1st yr DS)</t>
  </si>
  <si>
    <t>Interest on Maintenance Reserve Account</t>
  </si>
  <si>
    <t xml:space="preserve">         TOTAL REVENUES (+int inc.)</t>
  </si>
  <si>
    <t>Interest Income</t>
  </si>
  <si>
    <t>Sales/Revenues (includes int. inc.)</t>
  </si>
  <si>
    <t xml:space="preserve">  Mainline Pipe - 20"</t>
  </si>
  <si>
    <t>=D25-D70</t>
  </si>
  <si>
    <t>=CF!D25</t>
  </si>
  <si>
    <t>Property Tax</t>
  </si>
  <si>
    <t>MACRS Schedule</t>
  </si>
  <si>
    <t xml:space="preserve">     Replacement Power Cost</t>
  </si>
  <si>
    <t>Grid compensation for losses</t>
  </si>
  <si>
    <t>Power Line Data</t>
  </si>
  <si>
    <t>Line Losses After Upgrade</t>
  </si>
  <si>
    <t>Line Losses Before Upgrade</t>
  </si>
  <si>
    <t>New Plant/Upgrade Comparison</t>
  </si>
  <si>
    <t>Historical Dispatch</t>
  </si>
  <si>
    <t>Losses (MW)</t>
  </si>
  <si>
    <t xml:space="preserve">   New Plant All in Power Cost (c/kWh)</t>
  </si>
  <si>
    <t xml:space="preserve">   Upgrade All in Power Cost (c/kWh)</t>
  </si>
  <si>
    <t>Differential</t>
  </si>
  <si>
    <t>PV 10</t>
  </si>
  <si>
    <t>Power Cost</t>
  </si>
  <si>
    <t>Line Loss (Cross-Sound Cable Only)</t>
  </si>
  <si>
    <t>Conn. Existing Line Data Only</t>
  </si>
  <si>
    <t>Misc</t>
  </si>
  <si>
    <t>Variable O&amp;M+Acquired Power</t>
  </si>
  <si>
    <t>NEPOOL Generation Curve (MWhr) MID</t>
  </si>
  <si>
    <t>8 or 10</t>
  </si>
  <si>
    <t xml:space="preserve">   State Corporate Tax</t>
  </si>
  <si>
    <t xml:space="preserve">AL/MS Corporate Net Income Tax </t>
  </si>
  <si>
    <t>5% or 3%-5%</t>
  </si>
  <si>
    <t>Margin to SOCO/FL</t>
  </si>
  <si>
    <t>Lower transmission costs</t>
  </si>
  <si>
    <t>Decrease transmission losses</t>
  </si>
  <si>
    <t>hardcoded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</si>
</sst>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5" formatCode="&quot;$&quot;#,##0.0000_);[Red]\(&quot;$&quot;#,##0.0000\)"/>
    <numFmt numFmtId="166" formatCode="#,##0.000"/>
    <numFmt numFmtId="167" formatCode="0.0%"/>
    <numFmt numFmtId="170" formatCode=";;;"/>
    <numFmt numFmtId="180" formatCode="0.000%"/>
    <numFmt numFmtId="187" formatCode="0.000"/>
    <numFmt numFmtId="188" formatCode="#,##0.000_);\(#,##0.000\)"/>
    <numFmt numFmtId="200" formatCode="_(* #,##0.0000_);_(* \(#,##0.0000\);_(* &quot;-&quot;??_);_(@_)"/>
    <numFmt numFmtId="202" formatCode="mm/dd/yy"/>
    <numFmt numFmtId="203" formatCode="_(* #,##0_);_(* \(#,##0\);_(* &quot;-&quot;??_);_(@_)"/>
  </numFmts>
  <fonts count="50" x14ac:knownFonts="1">
    <font>
      <sz val="10"/>
      <name val="Arial"/>
    </font>
    <font>
      <i/>
      <sz val="10"/>
      <name val="Arial"/>
    </font>
    <font>
      <sz val="10"/>
      <name val="Arial"/>
    </font>
    <font>
      <b/>
      <sz val="10"/>
      <name val="Times"/>
      <family val="1"/>
    </font>
    <font>
      <sz val="10"/>
      <name val="Times"/>
      <family val="1"/>
    </font>
    <font>
      <b/>
      <sz val="10"/>
      <name val="Times"/>
    </font>
    <font>
      <u/>
      <sz val="10"/>
      <name val="Times"/>
      <family val="1"/>
    </font>
    <font>
      <b/>
      <u/>
      <sz val="10"/>
      <name val="Times"/>
      <family val="1"/>
    </font>
    <font>
      <u val="double"/>
      <sz val="10"/>
      <name val="Times"/>
      <family val="1"/>
    </font>
    <font>
      <b/>
      <sz val="12"/>
      <name val="Times"/>
      <family val="1"/>
    </font>
    <font>
      <b/>
      <sz val="12"/>
      <color indexed="39"/>
      <name val="Times"/>
      <family val="1"/>
    </font>
    <font>
      <sz val="10"/>
      <color indexed="39"/>
      <name val="Times"/>
      <family val="1"/>
    </font>
    <font>
      <u/>
      <sz val="10"/>
      <color indexed="39"/>
      <name val="Times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u/>
      <sz val="10"/>
      <name val="Times New Roman"/>
      <family val="1"/>
    </font>
    <font>
      <sz val="10"/>
      <color indexed="39"/>
      <name val="Times New Roman"/>
      <family val="1"/>
    </font>
    <font>
      <u val="double"/>
      <sz val="10"/>
      <color indexed="39"/>
      <name val="Times"/>
      <family val="1"/>
    </font>
    <font>
      <b/>
      <sz val="12"/>
      <color indexed="39"/>
      <name val="Times New Roman"/>
      <family val="1"/>
    </font>
    <font>
      <b/>
      <sz val="12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i/>
      <sz val="10"/>
      <name val="Times New Roman"/>
      <family val="1"/>
    </font>
    <font>
      <i/>
      <sz val="8"/>
      <name val="Times New Roman"/>
      <family val="1"/>
    </font>
    <font>
      <b/>
      <sz val="10"/>
      <color indexed="8"/>
      <name val="Times New Roman"/>
      <family val="1"/>
    </font>
    <font>
      <sz val="8"/>
      <name val="Times New Roman"/>
      <family val="1"/>
    </font>
    <font>
      <u/>
      <sz val="8"/>
      <name val="Times New Roman"/>
      <family val="1"/>
    </font>
    <font>
      <sz val="6"/>
      <name val="Times New Roman"/>
      <family val="1"/>
    </font>
    <font>
      <b/>
      <u/>
      <sz val="8"/>
      <name val="Times New Roman"/>
      <family val="1"/>
    </font>
    <font>
      <i/>
      <sz val="10"/>
      <name val="Times New Roman"/>
      <family val="1"/>
    </font>
    <font>
      <u val="double"/>
      <sz val="10"/>
      <name val="Times New Roman"/>
      <family val="1"/>
    </font>
    <font>
      <b/>
      <sz val="10"/>
      <name val="Times New Roman"/>
    </font>
    <font>
      <u/>
      <sz val="10"/>
      <name val="Times"/>
    </font>
    <font>
      <sz val="10"/>
      <color indexed="10"/>
      <name val="Times"/>
    </font>
    <font>
      <sz val="10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color indexed="8"/>
      <name val="Times New Roman"/>
      <family val="1"/>
    </font>
    <font>
      <i/>
      <sz val="10"/>
      <name val="Times New Roman"/>
    </font>
    <font>
      <b/>
      <u/>
      <sz val="10"/>
      <name val="Times New Roman"/>
    </font>
    <font>
      <b/>
      <sz val="10"/>
      <name val="Arial"/>
      <family val="2"/>
    </font>
    <font>
      <b/>
      <u/>
      <sz val="10"/>
      <name val="Times"/>
    </font>
    <font>
      <u/>
      <sz val="10"/>
      <color indexed="10"/>
      <name val="Times"/>
    </font>
    <font>
      <i/>
      <sz val="10"/>
      <name val="Times"/>
    </font>
    <font>
      <i/>
      <sz val="10"/>
      <name val="Times"/>
      <family val="1"/>
    </font>
    <font>
      <sz val="8"/>
      <color indexed="81"/>
      <name val="Tahoma"/>
    </font>
    <font>
      <sz val="10"/>
      <color indexed="56"/>
      <name val="Times New Roman"/>
      <family val="1"/>
    </font>
    <font>
      <u/>
      <sz val="10"/>
      <color indexed="56"/>
      <name val="Times New Roman"/>
      <family val="1"/>
    </font>
    <font>
      <b/>
      <sz val="10"/>
      <color indexed="56"/>
      <name val="Times New Roman"/>
      <family val="1"/>
    </font>
    <font>
      <b/>
      <sz val="8"/>
      <color indexed="81"/>
      <name val="Tahoma"/>
    </font>
    <font>
      <b/>
      <i/>
      <sz val="14"/>
      <color indexed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22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0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5" fillId="0" borderId="7" xfId="0" applyFont="1" applyBorder="1"/>
    <xf numFmtId="0" fontId="4" fillId="0" borderId="0" xfId="0" applyFont="1" applyAlignment="1">
      <alignment horizontal="center"/>
    </xf>
    <xf numFmtId="10" fontId="4" fillId="0" borderId="0" xfId="0" applyNumberFormat="1" applyFont="1" applyBorder="1"/>
    <xf numFmtId="0" fontId="5" fillId="0" borderId="1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7" xfId="0" applyFont="1" applyBorder="1"/>
    <xf numFmtId="0" fontId="5" fillId="0" borderId="3" xfId="0" applyFont="1" applyBorder="1"/>
    <xf numFmtId="0" fontId="5" fillId="0" borderId="0" xfId="0" applyFont="1" applyBorder="1"/>
    <xf numFmtId="0" fontId="5" fillId="0" borderId="4" xfId="0" applyFont="1" applyBorder="1"/>
    <xf numFmtId="0" fontId="5" fillId="0" borderId="5" xfId="0" applyFont="1" applyBorder="1"/>
    <xf numFmtId="0" fontId="4" fillId="0" borderId="0" xfId="0" applyFont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5" fillId="0" borderId="11" xfId="0" applyFont="1" applyBorder="1" applyAlignment="1">
      <alignment horizontal="center"/>
    </xf>
    <xf numFmtId="0" fontId="5" fillId="0" borderId="17" xfId="0" applyFont="1" applyBorder="1"/>
    <xf numFmtId="3" fontId="5" fillId="0" borderId="18" xfId="0" applyNumberFormat="1" applyFont="1" applyBorder="1"/>
    <xf numFmtId="0" fontId="6" fillId="0" borderId="0" xfId="0" applyFont="1" applyBorder="1" applyAlignment="1">
      <alignment horizontal="right"/>
    </xf>
    <xf numFmtId="0" fontId="3" fillId="0" borderId="0" xfId="0" applyFont="1"/>
    <xf numFmtId="0" fontId="3" fillId="0" borderId="19" xfId="0" applyFont="1" applyBorder="1" applyAlignment="1">
      <alignment horizontal="center"/>
    </xf>
    <xf numFmtId="37" fontId="4" fillId="0" borderId="0" xfId="0" applyNumberFormat="1" applyFont="1" applyBorder="1"/>
    <xf numFmtId="37" fontId="4" fillId="0" borderId="20" xfId="0" applyNumberFormat="1" applyFont="1" applyBorder="1"/>
    <xf numFmtId="37" fontId="4" fillId="0" borderId="10" xfId="0" applyNumberFormat="1" applyFont="1" applyBorder="1"/>
    <xf numFmtId="37" fontId="6" fillId="0" borderId="0" xfId="0" applyNumberFormat="1" applyFont="1" applyBorder="1"/>
    <xf numFmtId="37" fontId="8" fillId="0" borderId="0" xfId="0" applyNumberFormat="1" applyFont="1" applyBorder="1"/>
    <xf numFmtId="37" fontId="4" fillId="0" borderId="9" xfId="0" applyNumberFormat="1" applyFont="1" applyBorder="1"/>
    <xf numFmtId="37" fontId="4" fillId="0" borderId="21" xfId="0" applyNumberFormat="1" applyFont="1" applyBorder="1"/>
    <xf numFmtId="0" fontId="3" fillId="0" borderId="10" xfId="0" applyFont="1" applyBorder="1" applyAlignment="1">
      <alignment horizontal="center"/>
    </xf>
    <xf numFmtId="37" fontId="6" fillId="0" borderId="10" xfId="0" applyNumberFormat="1" applyFont="1" applyBorder="1"/>
    <xf numFmtId="37" fontId="4" fillId="0" borderId="5" xfId="0" applyNumberFormat="1" applyFont="1" applyBorder="1"/>
    <xf numFmtId="37" fontId="4" fillId="0" borderId="19" xfId="0" applyNumberFormat="1" applyFont="1" applyBorder="1"/>
    <xf numFmtId="37" fontId="4" fillId="0" borderId="1" xfId="0" applyNumberFormat="1" applyFont="1" applyBorder="1"/>
    <xf numFmtId="0" fontId="14" fillId="0" borderId="0" xfId="0" applyFont="1"/>
    <xf numFmtId="0" fontId="14" fillId="0" borderId="11" xfId="0" applyFont="1" applyBorder="1"/>
    <xf numFmtId="0" fontId="15" fillId="0" borderId="10" xfId="0" applyFont="1" applyBorder="1" applyAlignment="1">
      <alignment horizontal="center"/>
    </xf>
    <xf numFmtId="0" fontId="14" fillId="0" borderId="10" xfId="0" applyFont="1" applyBorder="1"/>
    <xf numFmtId="0" fontId="13" fillId="0" borderId="0" xfId="0" applyFont="1"/>
    <xf numFmtId="0" fontId="14" fillId="0" borderId="7" xfId="0" applyFont="1" applyBorder="1"/>
    <xf numFmtId="0" fontId="14" fillId="0" borderId="2" xfId="0" applyFont="1" applyBorder="1"/>
    <xf numFmtId="0" fontId="13" fillId="0" borderId="7" xfId="0" applyFont="1" applyBorder="1" applyAlignment="1">
      <alignment horizontal="centerContinuous"/>
    </xf>
    <xf numFmtId="0" fontId="14" fillId="0" borderId="1" xfId="0" applyFont="1" applyBorder="1" applyAlignment="1">
      <alignment horizontal="centerContinuous"/>
    </xf>
    <xf numFmtId="0" fontId="14" fillId="0" borderId="2" xfId="0" applyFont="1" applyBorder="1" applyAlignment="1">
      <alignment horizontal="centerContinuous"/>
    </xf>
    <xf numFmtId="0" fontId="13" fillId="0" borderId="1" xfId="0" applyFont="1" applyBorder="1" applyAlignment="1">
      <alignment horizontal="centerContinuous"/>
    </xf>
    <xf numFmtId="0" fontId="13" fillId="0" borderId="2" xfId="0" applyFont="1" applyBorder="1" applyAlignment="1">
      <alignment horizontal="centerContinuous"/>
    </xf>
    <xf numFmtId="0" fontId="14" fillId="0" borderId="1" xfId="0" applyFont="1" applyBorder="1"/>
    <xf numFmtId="0" fontId="14" fillId="0" borderId="3" xfId="0" applyFont="1" applyBorder="1"/>
    <xf numFmtId="0" fontId="14" fillId="0" borderId="20" xfId="0" applyFont="1" applyBorder="1"/>
    <xf numFmtId="0" fontId="14" fillId="0" borderId="0" xfId="0" applyFont="1" applyBorder="1"/>
    <xf numFmtId="6" fontId="14" fillId="0" borderId="0" xfId="0" applyNumberFormat="1" applyFont="1" applyBorder="1"/>
    <xf numFmtId="10" fontId="14" fillId="0" borderId="0" xfId="0" applyNumberFormat="1" applyFont="1" applyBorder="1"/>
    <xf numFmtId="0" fontId="13" fillId="0" borderId="0" xfId="0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6" fontId="14" fillId="0" borderId="20" xfId="0" applyNumberFormat="1" applyFont="1" applyBorder="1"/>
    <xf numFmtId="0" fontId="14" fillId="0" borderId="4" xfId="0" applyFont="1" applyBorder="1"/>
    <xf numFmtId="0" fontId="14" fillId="0" borderId="6" xfId="0" applyFont="1" applyBorder="1"/>
    <xf numFmtId="37" fontId="8" fillId="0" borderId="10" xfId="0" applyNumberFormat="1" applyFont="1" applyBorder="1"/>
    <xf numFmtId="37" fontId="11" fillId="0" borderId="0" xfId="0" applyNumberFormat="1" applyFont="1" applyBorder="1"/>
    <xf numFmtId="37" fontId="12" fillId="0" borderId="0" xfId="0" applyNumberFormat="1" applyFont="1" applyBorder="1"/>
    <xf numFmtId="37" fontId="17" fillId="0" borderId="0" xfId="0" applyNumberFormat="1" applyFont="1" applyBorder="1"/>
    <xf numFmtId="37" fontId="11" fillId="0" borderId="9" xfId="0" applyNumberFormat="1" applyFont="1" applyBorder="1"/>
    <xf numFmtId="37" fontId="4" fillId="0" borderId="11" xfId="0" applyNumberFormat="1" applyFont="1" applyBorder="1"/>
    <xf numFmtId="0" fontId="14" fillId="0" borderId="5" xfId="0" applyFont="1" applyBorder="1"/>
    <xf numFmtId="3" fontId="14" fillId="0" borderId="5" xfId="0" applyNumberFormat="1" applyFont="1" applyBorder="1"/>
    <xf numFmtId="0" fontId="20" fillId="0" borderId="0" xfId="0" applyFont="1"/>
    <xf numFmtId="37" fontId="14" fillId="0" borderId="0" xfId="0" applyNumberFormat="1" applyFont="1"/>
    <xf numFmtId="37" fontId="14" fillId="0" borderId="10" xfId="0" applyNumberFormat="1" applyFont="1" applyBorder="1"/>
    <xf numFmtId="37" fontId="13" fillId="0" borderId="10" xfId="0" applyNumberFormat="1" applyFont="1" applyBorder="1"/>
    <xf numFmtId="0" fontId="13" fillId="0" borderId="8" xfId="0" applyFont="1" applyBorder="1"/>
    <xf numFmtId="0" fontId="13" fillId="0" borderId="9" xfId="0" applyFont="1" applyBorder="1"/>
    <xf numFmtId="0" fontId="13" fillId="0" borderId="0" xfId="0" applyFont="1" applyBorder="1"/>
    <xf numFmtId="0" fontId="14" fillId="0" borderId="8" xfId="0" applyFont="1" applyBorder="1"/>
    <xf numFmtId="0" fontId="14" fillId="0" borderId="9" xfId="0" applyFont="1" applyBorder="1"/>
    <xf numFmtId="37" fontId="20" fillId="0" borderId="10" xfId="0" applyNumberFormat="1" applyFont="1" applyBorder="1"/>
    <xf numFmtId="0" fontId="14" fillId="0" borderId="22" xfId="0" applyFont="1" applyBorder="1"/>
    <xf numFmtId="2" fontId="14" fillId="0" borderId="8" xfId="0" applyNumberFormat="1" applyFont="1" applyBorder="1"/>
    <xf numFmtId="0" fontId="14" fillId="0" borderId="21" xfId="0" applyFont="1" applyBorder="1"/>
    <xf numFmtId="37" fontId="15" fillId="0" borderId="10" xfId="0" applyNumberFormat="1" applyFont="1" applyBorder="1"/>
    <xf numFmtId="10" fontId="14" fillId="0" borderId="0" xfId="0" applyNumberFormat="1" applyFont="1"/>
    <xf numFmtId="38" fontId="14" fillId="0" borderId="0" xfId="0" applyNumberFormat="1" applyFont="1"/>
    <xf numFmtId="0" fontId="14" fillId="0" borderId="19" xfId="0" applyFont="1" applyBorder="1"/>
    <xf numFmtId="0" fontId="21" fillId="0" borderId="0" xfId="0" applyFont="1"/>
    <xf numFmtId="0" fontId="13" fillId="0" borderId="7" xfId="0" applyFont="1" applyBorder="1"/>
    <xf numFmtId="0" fontId="13" fillId="0" borderId="1" xfId="0" applyFont="1" applyBorder="1"/>
    <xf numFmtId="0" fontId="15" fillId="0" borderId="1" xfId="0" applyFont="1" applyBorder="1" applyAlignment="1">
      <alignment horizontal="right"/>
    </xf>
    <xf numFmtId="0" fontId="22" fillId="0" borderId="2" xfId="0" applyFont="1" applyBorder="1" applyAlignment="1">
      <alignment horizontal="center"/>
    </xf>
    <xf numFmtId="0" fontId="13" fillId="0" borderId="23" xfId="0" applyFont="1" applyBorder="1"/>
    <xf numFmtId="0" fontId="14" fillId="0" borderId="24" xfId="0" applyFont="1" applyBorder="1"/>
    <xf numFmtId="0" fontId="15" fillId="0" borderId="24" xfId="0" applyFont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3" xfId="0" applyFont="1" applyBorder="1"/>
    <xf numFmtId="0" fontId="14" fillId="0" borderId="26" xfId="0" applyFont="1" applyBorder="1"/>
    <xf numFmtId="0" fontId="14" fillId="0" borderId="27" xfId="0" applyFont="1" applyBorder="1"/>
    <xf numFmtId="0" fontId="23" fillId="0" borderId="0" xfId="0" applyFont="1" applyBorder="1"/>
    <xf numFmtId="0" fontId="23" fillId="0" borderId="0" xfId="0" applyFont="1" applyBorder="1" applyAlignment="1">
      <alignment horizontal="center"/>
    </xf>
    <xf numFmtId="0" fontId="13" fillId="0" borderId="26" xfId="0" applyFont="1" applyBorder="1"/>
    <xf numFmtId="10" fontId="13" fillId="0" borderId="0" xfId="0" applyNumberFormat="1" applyFont="1" applyBorder="1" applyAlignment="1">
      <alignment horizontal="right"/>
    </xf>
    <xf numFmtId="5" fontId="24" fillId="0" borderId="27" xfId="0" applyNumberFormat="1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0" fontId="14" fillId="0" borderId="27" xfId="0" applyFont="1" applyBorder="1" applyAlignment="1">
      <alignment horizontal="left"/>
    </xf>
    <xf numFmtId="5" fontId="14" fillId="0" borderId="27" xfId="0" applyNumberFormat="1" applyFont="1" applyBorder="1"/>
    <xf numFmtId="0" fontId="16" fillId="0" borderId="20" xfId="0" applyFont="1" applyBorder="1"/>
    <xf numFmtId="0" fontId="14" fillId="0" borderId="28" xfId="0" applyFont="1" applyBorder="1"/>
    <xf numFmtId="0" fontId="14" fillId="0" borderId="29" xfId="0" applyFont="1" applyBorder="1"/>
    <xf numFmtId="10" fontId="14" fillId="0" borderId="29" xfId="0" applyNumberFormat="1" applyFont="1" applyBorder="1"/>
    <xf numFmtId="5" fontId="14" fillId="0" borderId="30" xfId="0" applyNumberFormat="1" applyFont="1" applyBorder="1"/>
    <xf numFmtId="0" fontId="14" fillId="0" borderId="25" xfId="0" applyFont="1" applyBorder="1"/>
    <xf numFmtId="0" fontId="15" fillId="0" borderId="1" xfId="0" applyFont="1" applyBorder="1" applyAlignment="1">
      <alignment horizontal="center"/>
    </xf>
    <xf numFmtId="2" fontId="14" fillId="0" borderId="0" xfId="0" applyNumberFormat="1" applyFont="1" applyBorder="1"/>
    <xf numFmtId="0" fontId="20" fillId="0" borderId="3" xfId="0" applyFont="1" applyBorder="1"/>
    <xf numFmtId="2" fontId="14" fillId="0" borderId="29" xfId="0" applyNumberFormat="1" applyFont="1" applyBorder="1"/>
    <xf numFmtId="0" fontId="14" fillId="0" borderId="30" xfId="0" applyFont="1" applyBorder="1"/>
    <xf numFmtId="0" fontId="14" fillId="0" borderId="0" xfId="0" applyFont="1" applyBorder="1" applyAlignment="1">
      <alignment horizontal="left"/>
    </xf>
    <xf numFmtId="0" fontId="25" fillId="0" borderId="3" xfId="0" applyFont="1" applyBorder="1"/>
    <xf numFmtId="0" fontId="13" fillId="0" borderId="31" xfId="0" applyFont="1" applyBorder="1" applyAlignment="1">
      <alignment horizontal="centerContinuous"/>
    </xf>
    <xf numFmtId="0" fontId="14" fillId="0" borderId="32" xfId="0" applyFont="1" applyBorder="1" applyAlignment="1">
      <alignment horizontal="centerContinuous"/>
    </xf>
    <xf numFmtId="0" fontId="23" fillId="0" borderId="3" xfId="0" applyFont="1" applyBorder="1" applyAlignment="1">
      <alignment horizontal="centerContinuous"/>
    </xf>
    <xf numFmtId="10" fontId="23" fillId="0" borderId="0" xfId="0" applyNumberFormat="1" applyFont="1" applyBorder="1"/>
    <xf numFmtId="10" fontId="23" fillId="0" borderId="20" xfId="0" applyNumberFormat="1" applyFont="1" applyBorder="1"/>
    <xf numFmtId="38" fontId="13" fillId="0" borderId="28" xfId="0" applyNumberFormat="1" applyFont="1" applyBorder="1" applyAlignment="1">
      <alignment horizontal="centerContinuous"/>
    </xf>
    <xf numFmtId="0" fontId="14" fillId="0" borderId="30" xfId="0" applyFont="1" applyBorder="1" applyAlignment="1">
      <alignment horizontal="centerContinuous"/>
    </xf>
    <xf numFmtId="165" fontId="14" fillId="0" borderId="0" xfId="0" applyNumberFormat="1" applyFont="1" applyBorder="1"/>
    <xf numFmtId="0" fontId="15" fillId="0" borderId="2" xfId="0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6" fontId="20" fillId="0" borderId="20" xfId="0" applyNumberFormat="1" applyFont="1" applyBorder="1"/>
    <xf numFmtId="3" fontId="14" fillId="0" borderId="0" xfId="0" applyNumberFormat="1" applyFont="1" applyBorder="1"/>
    <xf numFmtId="0" fontId="14" fillId="0" borderId="20" xfId="0" applyFont="1" applyBorder="1" applyAlignment="1">
      <alignment horizontal="right"/>
    </xf>
    <xf numFmtId="0" fontId="14" fillId="0" borderId="0" xfId="0" applyFont="1" applyBorder="1" applyAlignment="1">
      <alignment horizontal="center"/>
    </xf>
    <xf numFmtId="0" fontId="15" fillId="0" borderId="3" xfId="0" applyFont="1" applyBorder="1"/>
    <xf numFmtId="10" fontId="16" fillId="0" borderId="0" xfId="0" applyNumberFormat="1" applyFont="1" applyBorder="1" applyAlignment="1">
      <alignment horizontal="center"/>
    </xf>
    <xf numFmtId="10" fontId="14" fillId="0" borderId="20" xfId="0" applyNumberFormat="1" applyFont="1" applyBorder="1"/>
    <xf numFmtId="0" fontId="28" fillId="0" borderId="1" xfId="0" applyFont="1" applyBorder="1" applyAlignment="1">
      <alignment horizontal="center"/>
    </xf>
    <xf numFmtId="0" fontId="13" fillId="0" borderId="1" xfId="0" applyFont="1" applyBorder="1" applyAlignment="1">
      <alignment horizontal="right"/>
    </xf>
    <xf numFmtId="0" fontId="29" fillId="0" borderId="0" xfId="0" applyFont="1" applyBorder="1"/>
    <xf numFmtId="0" fontId="14" fillId="0" borderId="3" xfId="0" applyFont="1" applyFill="1" applyBorder="1"/>
    <xf numFmtId="0" fontId="14" fillId="0" borderId="0" xfId="0" applyFont="1" applyFill="1" applyBorder="1" applyAlignment="1">
      <alignment horizontal="center"/>
    </xf>
    <xf numFmtId="0" fontId="14" fillId="0" borderId="20" xfId="0" applyFont="1" applyFill="1" applyBorder="1"/>
    <xf numFmtId="0" fontId="13" fillId="0" borderId="4" xfId="0" applyFont="1" applyBorder="1"/>
    <xf numFmtId="0" fontId="13" fillId="0" borderId="5" xfId="0" applyFont="1" applyBorder="1"/>
    <xf numFmtId="6" fontId="13" fillId="0" borderId="6" xfId="0" applyNumberFormat="1" applyFont="1" applyBorder="1"/>
    <xf numFmtId="8" fontId="14" fillId="0" borderId="22" xfId="0" applyNumberFormat="1" applyFont="1" applyBorder="1"/>
    <xf numFmtId="10" fontId="14" fillId="0" borderId="0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10" fontId="30" fillId="0" borderId="5" xfId="0" applyNumberFormat="1" applyFont="1" applyBorder="1" applyAlignment="1">
      <alignment horizontal="center"/>
    </xf>
    <xf numFmtId="6" fontId="30" fillId="0" borderId="6" xfId="0" applyNumberFormat="1" applyFont="1" applyBorder="1"/>
    <xf numFmtId="37" fontId="14" fillId="0" borderId="0" xfId="0" applyNumberFormat="1" applyFont="1" applyBorder="1"/>
    <xf numFmtId="37" fontId="20" fillId="0" borderId="0" xfId="0" applyNumberFormat="1" applyFont="1" applyBorder="1"/>
    <xf numFmtId="37" fontId="30" fillId="0" borderId="0" xfId="0" applyNumberFormat="1" applyFont="1" applyBorder="1"/>
    <xf numFmtId="37" fontId="30" fillId="0" borderId="10" xfId="0" applyNumberFormat="1" applyFont="1" applyBorder="1"/>
    <xf numFmtId="167" fontId="14" fillId="0" borderId="0" xfId="0" applyNumberFormat="1" applyFont="1" applyBorder="1"/>
    <xf numFmtId="10" fontId="13" fillId="0" borderId="3" xfId="0" applyNumberFormat="1" applyFont="1" applyBorder="1" applyAlignment="1">
      <alignment horizontal="right"/>
    </xf>
    <xf numFmtId="37" fontId="14" fillId="0" borderId="20" xfId="0" applyNumberFormat="1" applyFont="1" applyBorder="1"/>
    <xf numFmtId="37" fontId="20" fillId="0" borderId="20" xfId="0" applyNumberFormat="1" applyFont="1" applyBorder="1"/>
    <xf numFmtId="0" fontId="30" fillId="0" borderId="3" xfId="0" applyFont="1" applyBorder="1"/>
    <xf numFmtId="37" fontId="30" fillId="0" borderId="20" xfId="0" applyNumberFormat="1" applyFont="1" applyBorder="1"/>
    <xf numFmtId="0" fontId="30" fillId="0" borderId="0" xfId="0" applyFont="1"/>
    <xf numFmtId="0" fontId="14" fillId="0" borderId="3" xfId="0" applyFont="1" applyBorder="1" applyAlignment="1">
      <alignment horizontal="right"/>
    </xf>
    <xf numFmtId="0" fontId="20" fillId="0" borderId="3" xfId="0" applyFont="1" applyBorder="1" applyAlignment="1">
      <alignment horizontal="right"/>
    </xf>
    <xf numFmtId="0" fontId="30" fillId="0" borderId="3" xfId="0" applyFont="1" applyBorder="1" applyAlignment="1">
      <alignment horizontal="right"/>
    </xf>
    <xf numFmtId="0" fontId="14" fillId="0" borderId="9" xfId="0" applyFont="1" applyBorder="1" applyAlignment="1">
      <alignment horizontal="centerContinuous"/>
    </xf>
    <xf numFmtId="0" fontId="14" fillId="0" borderId="22" xfId="0" applyFont="1" applyBorder="1" applyAlignment="1">
      <alignment horizontal="centerContinuous"/>
    </xf>
    <xf numFmtId="0" fontId="14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17" fontId="14" fillId="0" borderId="10" xfId="0" applyNumberFormat="1" applyFont="1" applyBorder="1"/>
    <xf numFmtId="167" fontId="14" fillId="0" borderId="3" xfId="0" applyNumberFormat="1" applyFont="1" applyBorder="1"/>
    <xf numFmtId="5" fontId="14" fillId="0" borderId="3" xfId="0" applyNumberFormat="1" applyFont="1" applyBorder="1"/>
    <xf numFmtId="5" fontId="14" fillId="0" borderId="0" xfId="0" applyNumberFormat="1" applyFont="1" applyBorder="1"/>
    <xf numFmtId="5" fontId="14" fillId="0" borderId="20" xfId="0" applyNumberFormat="1" applyFont="1" applyBorder="1"/>
    <xf numFmtId="5" fontId="14" fillId="0" borderId="4" xfId="0" applyNumberFormat="1" applyFont="1" applyBorder="1"/>
    <xf numFmtId="5" fontId="14" fillId="0" borderId="5" xfId="0" applyNumberFormat="1" applyFont="1" applyBorder="1"/>
    <xf numFmtId="5" fontId="14" fillId="0" borderId="6" xfId="0" applyNumberFormat="1" applyFont="1" applyBorder="1"/>
    <xf numFmtId="0" fontId="31" fillId="0" borderId="23" xfId="0" applyFont="1" applyBorder="1" applyAlignment="1">
      <alignment horizontal="centerContinuous"/>
    </xf>
    <xf numFmtId="0" fontId="31" fillId="0" borderId="25" xfId="0" applyFont="1" applyBorder="1" applyAlignment="1">
      <alignment horizontal="centerContinuous"/>
    </xf>
    <xf numFmtId="0" fontId="31" fillId="0" borderId="28" xfId="0" applyFont="1" applyBorder="1" applyAlignment="1">
      <alignment horizontal="centerContinuous"/>
    </xf>
    <xf numFmtId="0" fontId="31" fillId="0" borderId="30" xfId="0" applyFont="1" applyBorder="1" applyAlignment="1">
      <alignment horizontal="centerContinuous"/>
    </xf>
    <xf numFmtId="170" fontId="14" fillId="0" borderId="0" xfId="0" applyNumberFormat="1" applyFont="1"/>
    <xf numFmtId="170" fontId="16" fillId="0" borderId="0" xfId="0" applyNumberFormat="1" applyFont="1" applyBorder="1"/>
    <xf numFmtId="37" fontId="32" fillId="0" borderId="10" xfId="0" applyNumberFormat="1" applyFont="1" applyBorder="1"/>
    <xf numFmtId="37" fontId="32" fillId="0" borderId="0" xfId="0" applyNumberFormat="1" applyFont="1" applyBorder="1"/>
    <xf numFmtId="38" fontId="21" fillId="0" borderId="0" xfId="0" applyNumberFormat="1" applyFont="1"/>
    <xf numFmtId="0" fontId="33" fillId="0" borderId="0" xfId="0" applyFont="1"/>
    <xf numFmtId="0" fontId="14" fillId="0" borderId="4" xfId="0" applyFont="1" applyBorder="1" applyAlignment="1">
      <alignment horizontal="right"/>
    </xf>
    <xf numFmtId="0" fontId="19" fillId="0" borderId="1" xfId="0" applyFont="1" applyBorder="1"/>
    <xf numFmtId="0" fontId="19" fillId="0" borderId="4" xfId="0" applyFont="1" applyBorder="1"/>
    <xf numFmtId="0" fontId="19" fillId="0" borderId="5" xfId="0" applyFont="1" applyBorder="1"/>
    <xf numFmtId="0" fontId="13" fillId="0" borderId="2" xfId="0" applyFont="1" applyBorder="1"/>
    <xf numFmtId="0" fontId="19" fillId="0" borderId="3" xfId="0" applyFont="1" applyBorder="1"/>
    <xf numFmtId="0" fontId="19" fillId="0" borderId="0" xfId="0" applyFont="1" applyBorder="1"/>
    <xf numFmtId="0" fontId="13" fillId="0" borderId="20" xfId="0" applyFont="1" applyBorder="1"/>
    <xf numFmtId="0" fontId="13" fillId="0" borderId="6" xfId="0" applyFont="1" applyBorder="1"/>
    <xf numFmtId="0" fontId="35" fillId="0" borderId="7" xfId="0" applyFont="1" applyBorder="1"/>
    <xf numFmtId="37" fontId="13" fillId="0" borderId="0" xfId="0" applyNumberFormat="1" applyFont="1" applyBorder="1"/>
    <xf numFmtId="37" fontId="34" fillId="0" borderId="0" xfId="0" applyNumberFormat="1" applyFont="1" applyBorder="1"/>
    <xf numFmtId="10" fontId="14" fillId="0" borderId="0" xfId="2" applyNumberFormat="1" applyFont="1" applyBorder="1"/>
    <xf numFmtId="10" fontId="14" fillId="0" borderId="20" xfId="2" applyNumberFormat="1" applyFont="1" applyBorder="1"/>
    <xf numFmtId="37" fontId="13" fillId="0" borderId="20" xfId="0" applyNumberFormat="1" applyFont="1" applyBorder="1"/>
    <xf numFmtId="37" fontId="14" fillId="0" borderId="5" xfId="0" applyNumberFormat="1" applyFont="1" applyBorder="1"/>
    <xf numFmtId="37" fontId="14" fillId="0" borderId="6" xfId="0" applyNumberFormat="1" applyFont="1" applyBorder="1"/>
    <xf numFmtId="10" fontId="14" fillId="0" borderId="5" xfId="0" applyNumberFormat="1" applyFont="1" applyBorder="1"/>
    <xf numFmtId="170" fontId="14" fillId="0" borderId="0" xfId="0" applyNumberFormat="1" applyFont="1" applyBorder="1" applyAlignment="1">
      <alignment horizontal="center"/>
    </xf>
    <xf numFmtId="170" fontId="14" fillId="0" borderId="0" xfId="0" applyNumberFormat="1" applyFont="1" applyBorder="1"/>
    <xf numFmtId="170" fontId="0" fillId="0" borderId="0" xfId="0" applyNumberFormat="1"/>
    <xf numFmtId="0" fontId="18" fillId="0" borderId="7" xfId="0" applyFont="1" applyFill="1" applyBorder="1"/>
    <xf numFmtId="0" fontId="19" fillId="0" borderId="1" xfId="0" applyFont="1" applyFill="1" applyBorder="1"/>
    <xf numFmtId="0" fontId="19" fillId="0" borderId="2" xfId="0" applyFont="1" applyFill="1" applyBorder="1"/>
    <xf numFmtId="0" fontId="18" fillId="0" borderId="3" xfId="0" applyFont="1" applyFill="1" applyBorder="1"/>
    <xf numFmtId="0" fontId="19" fillId="0" borderId="0" xfId="0" applyFont="1" applyFill="1" applyBorder="1"/>
    <xf numFmtId="0" fontId="19" fillId="0" borderId="20" xfId="0" applyFont="1" applyFill="1" applyBorder="1"/>
    <xf numFmtId="0" fontId="18" fillId="0" borderId="4" xfId="0" applyFont="1" applyFill="1" applyBorder="1"/>
    <xf numFmtId="0" fontId="19" fillId="0" borderId="5" xfId="0" applyFont="1" applyFill="1" applyBorder="1"/>
    <xf numFmtId="0" fontId="19" fillId="0" borderId="6" xfId="0" applyFont="1" applyFill="1" applyBorder="1"/>
    <xf numFmtId="0" fontId="14" fillId="0" borderId="0" xfId="0" applyFont="1" applyFill="1" applyBorder="1"/>
    <xf numFmtId="0" fontId="14" fillId="0" borderId="20" xfId="0" applyFont="1" applyFill="1" applyBorder="1" applyAlignment="1">
      <alignment horizontal="right"/>
    </xf>
    <xf numFmtId="3" fontId="14" fillId="0" borderId="0" xfId="0" applyNumberFormat="1" applyFont="1" applyFill="1" applyBorder="1"/>
    <xf numFmtId="0" fontId="16" fillId="0" borderId="0" xfId="0" applyFont="1" applyFill="1" applyBorder="1"/>
    <xf numFmtId="0" fontId="14" fillId="0" borderId="4" xfId="0" applyFont="1" applyFill="1" applyBorder="1"/>
    <xf numFmtId="0" fontId="14" fillId="0" borderId="5" xfId="0" applyFont="1" applyFill="1" applyBorder="1"/>
    <xf numFmtId="0" fontId="14" fillId="0" borderId="6" xfId="0" applyFont="1" applyFill="1" applyBorder="1" applyAlignment="1">
      <alignment horizontal="right"/>
    </xf>
    <xf numFmtId="0" fontId="13" fillId="0" borderId="3" xfId="0" applyFont="1" applyFill="1" applyBorder="1"/>
    <xf numFmtId="0" fontId="13" fillId="0" borderId="0" xfId="0" applyFont="1" applyFill="1" applyBorder="1"/>
    <xf numFmtId="6" fontId="13" fillId="0" borderId="20" xfId="0" applyNumberFormat="1" applyFont="1" applyFill="1" applyBorder="1"/>
    <xf numFmtId="6" fontId="15" fillId="0" borderId="20" xfId="0" applyNumberFormat="1" applyFont="1" applyFill="1" applyBorder="1"/>
    <xf numFmtId="0" fontId="29" fillId="0" borderId="20" xfId="0" applyFont="1" applyBorder="1" applyAlignment="1">
      <alignment horizontal="left"/>
    </xf>
    <xf numFmtId="0" fontId="14" fillId="0" borderId="0" xfId="0" quotePrefix="1" applyFont="1" applyBorder="1" applyAlignment="1">
      <alignment horizontal="center"/>
    </xf>
    <xf numFmtId="0" fontId="13" fillId="0" borderId="2" xfId="0" applyFont="1" applyFill="1" applyBorder="1"/>
    <xf numFmtId="0" fontId="19" fillId="0" borderId="3" xfId="0" applyFont="1" applyFill="1" applyBorder="1"/>
    <xf numFmtId="0" fontId="13" fillId="0" borderId="20" xfId="0" applyFont="1" applyFill="1" applyBorder="1"/>
    <xf numFmtId="0" fontId="19" fillId="0" borderId="4" xfId="0" applyFont="1" applyFill="1" applyBorder="1"/>
    <xf numFmtId="0" fontId="13" fillId="0" borderId="6" xfId="0" applyFont="1" applyFill="1" applyBorder="1"/>
    <xf numFmtId="37" fontId="21" fillId="0" borderId="0" xfId="0" applyNumberFormat="1" applyFont="1" applyFill="1" applyBorder="1"/>
    <xf numFmtId="167" fontId="14" fillId="0" borderId="20" xfId="0" applyNumberFormat="1" applyFont="1" applyBorder="1"/>
    <xf numFmtId="37" fontId="14" fillId="0" borderId="5" xfId="1" applyNumberFormat="1" applyFont="1" applyBorder="1"/>
    <xf numFmtId="37" fontId="14" fillId="0" borderId="6" xfId="1" applyNumberFormat="1" applyFont="1" applyBorder="1"/>
    <xf numFmtId="0" fontId="13" fillId="0" borderId="19" xfId="0" applyFont="1" applyBorder="1" applyAlignment="1">
      <alignment horizontal="center"/>
    </xf>
    <xf numFmtId="37" fontId="13" fillId="0" borderId="25" xfId="0" applyNumberFormat="1" applyFont="1" applyBorder="1"/>
    <xf numFmtId="10" fontId="13" fillId="0" borderId="27" xfId="0" applyNumberFormat="1" applyFont="1" applyBorder="1"/>
    <xf numFmtId="0" fontId="13" fillId="0" borderId="28" xfId="0" applyFont="1" applyBorder="1"/>
    <xf numFmtId="37" fontId="13" fillId="0" borderId="30" xfId="1" applyNumberFormat="1" applyFont="1" applyBorder="1"/>
    <xf numFmtId="0" fontId="13" fillId="0" borderId="29" xfId="0" applyFont="1" applyBorder="1"/>
    <xf numFmtId="37" fontId="13" fillId="0" borderId="30" xfId="0" applyNumberFormat="1" applyFont="1" applyBorder="1"/>
    <xf numFmtId="0" fontId="13" fillId="0" borderId="7" xfId="0" applyFont="1" applyBorder="1" applyAlignment="1">
      <alignment horizontal="left"/>
    </xf>
    <xf numFmtId="10" fontId="13" fillId="0" borderId="30" xfId="0" applyNumberFormat="1" applyFont="1" applyBorder="1"/>
    <xf numFmtId="0" fontId="14" fillId="0" borderId="2" xfId="0" applyFont="1" applyFill="1" applyBorder="1"/>
    <xf numFmtId="0" fontId="14" fillId="0" borderId="6" xfId="0" applyFont="1" applyFill="1" applyBorder="1"/>
    <xf numFmtId="5" fontId="20" fillId="0" borderId="27" xfId="0" applyNumberFormat="1" applyFont="1" applyBorder="1"/>
    <xf numFmtId="0" fontId="24" fillId="0" borderId="8" xfId="0" applyFont="1" applyFill="1" applyBorder="1"/>
    <xf numFmtId="0" fontId="24" fillId="0" borderId="9" xfId="0" applyFont="1" applyFill="1" applyBorder="1"/>
    <xf numFmtId="37" fontId="24" fillId="0" borderId="9" xfId="0" applyNumberFormat="1" applyFont="1" applyFill="1" applyBorder="1"/>
    <xf numFmtId="37" fontId="24" fillId="0" borderId="21" xfId="0" applyNumberFormat="1" applyFont="1" applyFill="1" applyBorder="1"/>
    <xf numFmtId="37" fontId="14" fillId="0" borderId="10" xfId="0" quotePrefix="1" applyNumberFormat="1" applyFont="1" applyBorder="1"/>
    <xf numFmtId="0" fontId="13" fillId="0" borderId="8" xfId="0" applyFont="1" applyFill="1" applyBorder="1"/>
    <xf numFmtId="0" fontId="13" fillId="0" borderId="9" xfId="0" applyFont="1" applyFill="1" applyBorder="1"/>
    <xf numFmtId="37" fontId="13" fillId="0" borderId="9" xfId="0" applyNumberFormat="1" applyFont="1" applyFill="1" applyBorder="1"/>
    <xf numFmtId="37" fontId="13" fillId="0" borderId="21" xfId="0" applyNumberFormat="1" applyFont="1" applyFill="1" applyBorder="1"/>
    <xf numFmtId="0" fontId="13" fillId="0" borderId="1" xfId="0" applyFont="1" applyFill="1" applyBorder="1"/>
    <xf numFmtId="0" fontId="13" fillId="0" borderId="5" xfId="0" applyFont="1" applyFill="1" applyBorder="1"/>
    <xf numFmtId="37" fontId="31" fillId="0" borderId="10" xfId="0" applyNumberFormat="1" applyFont="1" applyBorder="1"/>
    <xf numFmtId="0" fontId="27" fillId="0" borderId="0" xfId="0" applyFont="1" applyFill="1" applyBorder="1" applyAlignment="1">
      <alignment horizontal="center"/>
    </xf>
    <xf numFmtId="6" fontId="14" fillId="0" borderId="20" xfId="0" applyNumberFormat="1" applyFont="1" applyFill="1" applyBorder="1"/>
    <xf numFmtId="170" fontId="14" fillId="0" borderId="0" xfId="0" applyNumberFormat="1" applyFont="1" applyFill="1" applyBorder="1" applyAlignment="1">
      <alignment horizontal="center"/>
    </xf>
    <xf numFmtId="10" fontId="16" fillId="0" borderId="0" xfId="0" applyNumberFormat="1" applyFont="1" applyFill="1" applyBorder="1" applyAlignment="1">
      <alignment horizontal="center"/>
    </xf>
    <xf numFmtId="10" fontId="14" fillId="0" borderId="20" xfId="0" applyNumberFormat="1" applyFont="1" applyFill="1" applyBorder="1"/>
    <xf numFmtId="0" fontId="10" fillId="0" borderId="7" xfId="0" applyFont="1" applyFill="1" applyBorder="1"/>
    <xf numFmtId="0" fontId="5" fillId="0" borderId="1" xfId="0" applyFont="1" applyFill="1" applyBorder="1"/>
    <xf numFmtId="0" fontId="5" fillId="0" borderId="2" xfId="0" applyFont="1" applyFill="1" applyBorder="1"/>
    <xf numFmtId="0" fontId="9" fillId="0" borderId="3" xfId="0" applyFont="1" applyFill="1" applyBorder="1"/>
    <xf numFmtId="0" fontId="5" fillId="0" borderId="0" xfId="0" applyFont="1" applyFill="1" applyBorder="1"/>
    <xf numFmtId="0" fontId="5" fillId="0" borderId="20" xfId="0" applyFont="1" applyFill="1" applyBorder="1"/>
    <xf numFmtId="0" fontId="9" fillId="0" borderId="4" xfId="0" applyFont="1" applyFill="1" applyBorder="1"/>
    <xf numFmtId="0" fontId="5" fillId="0" borderId="5" xfId="0" applyFont="1" applyFill="1" applyBorder="1"/>
    <xf numFmtId="0" fontId="5" fillId="0" borderId="6" xfId="0" applyFont="1" applyFill="1" applyBorder="1"/>
    <xf numFmtId="0" fontId="9" fillId="0" borderId="0" xfId="0" applyFont="1" applyFill="1" applyBorder="1"/>
    <xf numFmtId="0" fontId="7" fillId="0" borderId="0" xfId="0" applyFont="1" applyBorder="1" applyAlignment="1">
      <alignment horizontal="right"/>
    </xf>
    <xf numFmtId="0" fontId="7" fillId="0" borderId="20" xfId="0" applyFont="1" applyBorder="1" applyAlignment="1">
      <alignment horizontal="right"/>
    </xf>
    <xf numFmtId="0" fontId="4" fillId="0" borderId="19" xfId="0" applyFont="1" applyBorder="1"/>
    <xf numFmtId="3" fontId="5" fillId="0" borderId="5" xfId="0" applyNumberFormat="1" applyFont="1" applyBorder="1"/>
    <xf numFmtId="3" fontId="5" fillId="0" borderId="19" xfId="0" applyNumberFormat="1" applyFont="1" applyBorder="1"/>
    <xf numFmtId="0" fontId="4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0" fontId="4" fillId="0" borderId="6" xfId="0" applyNumberFormat="1" applyFont="1" applyBorder="1"/>
    <xf numFmtId="0" fontId="5" fillId="0" borderId="12" xfId="0" applyFont="1" applyBorder="1"/>
    <xf numFmtId="0" fontId="5" fillId="0" borderId="15" xfId="0" applyFont="1" applyBorder="1"/>
    <xf numFmtId="0" fontId="4" fillId="0" borderId="33" xfId="0" applyFont="1" applyBorder="1"/>
    <xf numFmtId="0" fontId="4" fillId="0" borderId="34" xfId="0" applyFont="1" applyBorder="1"/>
    <xf numFmtId="37" fontId="4" fillId="0" borderId="34" xfId="0" applyNumberFormat="1" applyFont="1" applyBorder="1"/>
    <xf numFmtId="37" fontId="4" fillId="0" borderId="35" xfId="0" applyNumberFormat="1" applyFont="1" applyBorder="1"/>
    <xf numFmtId="0" fontId="3" fillId="0" borderId="1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20" xfId="0" applyFont="1" applyFill="1" applyBorder="1"/>
    <xf numFmtId="0" fontId="3" fillId="0" borderId="5" xfId="0" applyFont="1" applyFill="1" applyBorder="1"/>
    <xf numFmtId="0" fontId="3" fillId="0" borderId="6" xfId="0" applyFont="1" applyFill="1" applyBorder="1"/>
    <xf numFmtId="6" fontId="5" fillId="0" borderId="3" xfId="0" applyNumberFormat="1" applyFont="1" applyBorder="1"/>
    <xf numFmtId="0" fontId="5" fillId="0" borderId="20" xfId="0" applyFont="1" applyBorder="1"/>
    <xf numFmtId="0" fontId="0" fillId="0" borderId="0" xfId="0" applyBorder="1"/>
    <xf numFmtId="0" fontId="4" fillId="0" borderId="1" xfId="0" applyFont="1" applyFill="1" applyBorder="1"/>
    <xf numFmtId="0" fontId="4" fillId="0" borderId="0" xfId="0" applyFont="1" applyFill="1" applyBorder="1"/>
    <xf numFmtId="0" fontId="4" fillId="0" borderId="5" xfId="0" applyFont="1" applyFill="1" applyBorder="1"/>
    <xf numFmtId="0" fontId="10" fillId="0" borderId="8" xfId="0" applyFont="1" applyFill="1" applyBorder="1"/>
    <xf numFmtId="0" fontId="3" fillId="0" borderId="9" xfId="0" applyFont="1" applyFill="1" applyBorder="1"/>
    <xf numFmtId="0" fontId="3" fillId="0" borderId="22" xfId="0" applyFont="1" applyFill="1" applyBorder="1"/>
    <xf numFmtId="0" fontId="16" fillId="0" borderId="1" xfId="0" applyFont="1" applyBorder="1"/>
    <xf numFmtId="0" fontId="15" fillId="0" borderId="0" xfId="0" applyFont="1" applyBorder="1"/>
    <xf numFmtId="0" fontId="15" fillId="0" borderId="20" xfId="0" applyFont="1" applyBorder="1"/>
    <xf numFmtId="0" fontId="15" fillId="0" borderId="5" xfId="0" applyFont="1" applyBorder="1"/>
    <xf numFmtId="17" fontId="13" fillId="0" borderId="5" xfId="0" applyNumberFormat="1" applyFont="1" applyBorder="1" applyAlignment="1">
      <alignment horizontal="center"/>
    </xf>
    <xf numFmtId="6" fontId="31" fillId="0" borderId="3" xfId="0" applyNumberFormat="1" applyFont="1" applyBorder="1"/>
    <xf numFmtId="0" fontId="31" fillId="0" borderId="7" xfId="0" applyFont="1" applyBorder="1"/>
    <xf numFmtId="0" fontId="31" fillId="0" borderId="3" xfId="0" applyFont="1" applyBorder="1"/>
    <xf numFmtId="0" fontId="31" fillId="0" borderId="33" xfId="0" applyFont="1" applyBorder="1" applyAlignment="1">
      <alignment horizontal="centerContinuous"/>
    </xf>
    <xf numFmtId="0" fontId="14" fillId="0" borderId="34" xfId="0" applyFont="1" applyBorder="1" applyAlignment="1">
      <alignment horizontal="centerContinuous"/>
    </xf>
    <xf numFmtId="0" fontId="14" fillId="0" borderId="34" xfId="0" applyFont="1" applyBorder="1"/>
    <xf numFmtId="5" fontId="14" fillId="0" borderId="34" xfId="0" applyNumberFormat="1" applyFont="1" applyBorder="1"/>
    <xf numFmtId="5" fontId="14" fillId="0" borderId="35" xfId="0" applyNumberFormat="1" applyFont="1" applyBorder="1"/>
    <xf numFmtId="0" fontId="37" fillId="0" borderId="0" xfId="0" applyFont="1" applyBorder="1"/>
    <xf numFmtId="37" fontId="14" fillId="0" borderId="0" xfId="0" quotePrefix="1" applyNumberFormat="1" applyFont="1" applyBorder="1"/>
    <xf numFmtId="0" fontId="31" fillId="0" borderId="4" xfId="0" applyFont="1" applyBorder="1"/>
    <xf numFmtId="0" fontId="14" fillId="0" borderId="36" xfId="0" applyFont="1" applyBorder="1" applyAlignment="1">
      <alignment horizontal="center"/>
    </xf>
    <xf numFmtId="0" fontId="14" fillId="0" borderId="37" xfId="0" applyFont="1" applyBorder="1"/>
    <xf numFmtId="167" fontId="14" fillId="0" borderId="38" xfId="0" applyNumberFormat="1" applyFont="1" applyBorder="1"/>
    <xf numFmtId="6" fontId="14" fillId="0" borderId="34" xfId="0" applyNumberFormat="1" applyFont="1" applyBorder="1"/>
    <xf numFmtId="0" fontId="31" fillId="0" borderId="8" xfId="0" applyFont="1" applyBorder="1"/>
    <xf numFmtId="6" fontId="31" fillId="0" borderId="22" xfId="0" applyNumberFormat="1" applyFont="1" applyBorder="1"/>
    <xf numFmtId="0" fontId="31" fillId="0" borderId="8" xfId="0" applyFont="1" applyBorder="1" applyAlignment="1">
      <alignment horizontal="centerContinuous"/>
    </xf>
    <xf numFmtId="0" fontId="38" fillId="0" borderId="10" xfId="0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31" fillId="0" borderId="3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1" fillId="0" borderId="2" xfId="0" applyFont="1" applyBorder="1" applyAlignment="1">
      <alignment horizontal="center"/>
    </xf>
    <xf numFmtId="0" fontId="31" fillId="0" borderId="20" xfId="0" applyFont="1" applyBorder="1" applyAlignment="1">
      <alignment horizontal="center"/>
    </xf>
    <xf numFmtId="0" fontId="14" fillId="0" borderId="3" xfId="0" applyFont="1" applyBorder="1" applyAlignment="1"/>
    <xf numFmtId="0" fontId="13" fillId="0" borderId="4" xfId="0" applyFont="1" applyFill="1" applyBorder="1"/>
    <xf numFmtId="37" fontId="13" fillId="0" borderId="5" xfId="0" applyNumberFormat="1" applyFont="1" applyFill="1" applyBorder="1"/>
    <xf numFmtId="37" fontId="13" fillId="0" borderId="19" xfId="0" applyNumberFormat="1" applyFont="1" applyFill="1" applyBorder="1"/>
    <xf numFmtId="0" fontId="37" fillId="0" borderId="20" xfId="0" applyFont="1" applyBorder="1"/>
    <xf numFmtId="0" fontId="31" fillId="0" borderId="33" xfId="0" applyFont="1" applyBorder="1"/>
    <xf numFmtId="0" fontId="31" fillId="0" borderId="34" xfId="0" applyFont="1" applyBorder="1"/>
    <xf numFmtId="0" fontId="31" fillId="0" borderId="35" xfId="0" applyFont="1" applyBorder="1" applyAlignment="1">
      <alignment horizontal="center"/>
    </xf>
    <xf numFmtId="0" fontId="31" fillId="0" borderId="39" xfId="0" applyFont="1" applyBorder="1" applyAlignment="1">
      <alignment horizontal="center"/>
    </xf>
    <xf numFmtId="0" fontId="31" fillId="0" borderId="37" xfId="0" applyFont="1" applyBorder="1" applyAlignment="1">
      <alignment horizontal="center"/>
    </xf>
    <xf numFmtId="37" fontId="4" fillId="0" borderId="40" xfId="0" applyNumberFormat="1" applyFont="1" applyBorder="1"/>
    <xf numFmtId="37" fontId="4" fillId="0" borderId="16" xfId="0" applyNumberFormat="1" applyFont="1" applyBorder="1"/>
    <xf numFmtId="37" fontId="4" fillId="0" borderId="18" xfId="0" applyNumberFormat="1" applyFont="1" applyBorder="1"/>
    <xf numFmtId="0" fontId="36" fillId="0" borderId="0" xfId="0" applyFont="1" applyBorder="1"/>
    <xf numFmtId="0" fontId="14" fillId="0" borderId="0" xfId="0" applyNumberFormat="1" applyFont="1" applyBorder="1" applyAlignment="1">
      <alignment horizontal="center"/>
    </xf>
    <xf numFmtId="5" fontId="21" fillId="0" borderId="5" xfId="0" applyNumberFormat="1" applyFont="1" applyBorder="1"/>
    <xf numFmtId="0" fontId="34" fillId="0" borderId="0" xfId="0" applyFont="1"/>
    <xf numFmtId="38" fontId="20" fillId="0" borderId="0" xfId="0" applyNumberFormat="1" applyFont="1" applyBorder="1"/>
    <xf numFmtId="38" fontId="20" fillId="0" borderId="20" xfId="0" applyNumberFormat="1" applyFont="1" applyBorder="1"/>
    <xf numFmtId="0" fontId="13" fillId="0" borderId="12" xfId="0" applyFont="1" applyBorder="1"/>
    <xf numFmtId="0" fontId="14" fillId="0" borderId="13" xfId="0" applyFont="1" applyBorder="1"/>
    <xf numFmtId="37" fontId="13" fillId="0" borderId="17" xfId="0" applyNumberFormat="1" applyFont="1" applyBorder="1"/>
    <xf numFmtId="0" fontId="31" fillId="0" borderId="15" xfId="0" applyFont="1" applyBorder="1"/>
    <xf numFmtId="0" fontId="0" fillId="0" borderId="16" xfId="0" applyBorder="1"/>
    <xf numFmtId="37" fontId="13" fillId="0" borderId="18" xfId="0" applyNumberFormat="1" applyFont="1" applyBorder="1"/>
    <xf numFmtId="0" fontId="31" fillId="0" borderId="23" xfId="0" applyFont="1" applyBorder="1"/>
    <xf numFmtId="37" fontId="31" fillId="0" borderId="25" xfId="0" applyNumberFormat="1" applyFont="1" applyBorder="1"/>
    <xf numFmtId="0" fontId="31" fillId="0" borderId="28" xfId="0" applyFont="1" applyBorder="1"/>
    <xf numFmtId="0" fontId="31" fillId="0" borderId="29" xfId="0" applyFont="1" applyBorder="1"/>
    <xf numFmtId="10" fontId="31" fillId="0" borderId="30" xfId="0" applyNumberFormat="1" applyFont="1" applyBorder="1"/>
    <xf numFmtId="0" fontId="27" fillId="0" borderId="0" xfId="0" applyFont="1"/>
    <xf numFmtId="6" fontId="14" fillId="0" borderId="0" xfId="0" applyNumberFormat="1" applyFont="1"/>
    <xf numFmtId="0" fontId="28" fillId="0" borderId="2" xfId="0" applyFont="1" applyBorder="1" applyAlignment="1">
      <alignment horizontal="center"/>
    </xf>
    <xf numFmtId="0" fontId="40" fillId="0" borderId="13" xfId="0" applyFont="1" applyBorder="1" applyAlignment="1">
      <alignment horizontal="center"/>
    </xf>
    <xf numFmtId="0" fontId="40" fillId="0" borderId="17" xfId="0" applyFont="1" applyBorder="1" applyAlignment="1">
      <alignment horizontal="center"/>
    </xf>
    <xf numFmtId="37" fontId="33" fillId="0" borderId="0" xfId="0" applyNumberFormat="1" applyFont="1" applyBorder="1"/>
    <xf numFmtId="37" fontId="4" fillId="0" borderId="0" xfId="0" quotePrefix="1" applyNumberFormat="1" applyFont="1" applyBorder="1"/>
    <xf numFmtId="37" fontId="41" fillId="0" borderId="0" xfId="0" applyNumberFormat="1" applyFont="1" applyBorder="1"/>
    <xf numFmtId="0" fontId="42" fillId="0" borderId="0" xfId="0" applyFont="1" applyBorder="1"/>
    <xf numFmtId="37" fontId="42" fillId="0" borderId="0" xfId="0" applyNumberFormat="1" applyFont="1" applyBorder="1"/>
    <xf numFmtId="0" fontId="43" fillId="0" borderId="0" xfId="0" applyFont="1" applyBorder="1"/>
    <xf numFmtId="0" fontId="1" fillId="0" borderId="0" xfId="0" applyFont="1" applyBorder="1"/>
    <xf numFmtId="37" fontId="43" fillId="0" borderId="10" xfId="0" applyNumberFormat="1" applyFont="1" applyBorder="1"/>
    <xf numFmtId="37" fontId="43" fillId="0" borderId="0" xfId="0" applyNumberFormat="1" applyFont="1" applyBorder="1"/>
    <xf numFmtId="5" fontId="14" fillId="0" borderId="11" xfId="0" applyNumberFormat="1" applyFont="1" applyBorder="1"/>
    <xf numFmtId="5" fontId="14" fillId="0" borderId="10" xfId="0" applyNumberFormat="1" applyFont="1" applyBorder="1"/>
    <xf numFmtId="37" fontId="14" fillId="0" borderId="2" xfId="0" applyNumberFormat="1" applyFont="1" applyBorder="1" applyAlignment="1">
      <alignment horizontal="right"/>
    </xf>
    <xf numFmtId="37" fontId="14" fillId="0" borderId="20" xfId="0" applyNumberFormat="1" applyFont="1" applyBorder="1" applyAlignment="1">
      <alignment horizontal="right"/>
    </xf>
    <xf numFmtId="5" fontId="14" fillId="0" borderId="19" xfId="0" applyNumberFormat="1" applyFont="1" applyBorder="1"/>
    <xf numFmtId="0" fontId="45" fillId="2" borderId="0" xfId="0" applyFont="1" applyFill="1" applyBorder="1"/>
    <xf numFmtId="9" fontId="45" fillId="2" borderId="0" xfId="0" applyNumberFormat="1" applyFont="1" applyFill="1" applyBorder="1"/>
    <xf numFmtId="3" fontId="45" fillId="2" borderId="0" xfId="0" applyNumberFormat="1" applyFont="1" applyFill="1" applyBorder="1"/>
    <xf numFmtId="16" fontId="45" fillId="2" borderId="0" xfId="0" applyNumberFormat="1" applyFont="1" applyFill="1" applyBorder="1"/>
    <xf numFmtId="0" fontId="45" fillId="2" borderId="20" xfId="0" applyFont="1" applyFill="1" applyBorder="1"/>
    <xf numFmtId="0" fontId="45" fillId="2" borderId="6" xfId="0" applyFont="1" applyFill="1" applyBorder="1" applyAlignment="1">
      <alignment horizontal="right"/>
    </xf>
    <xf numFmtId="10" fontId="45" fillId="2" borderId="20" xfId="0" applyNumberFormat="1" applyFont="1" applyFill="1" applyBorder="1"/>
    <xf numFmtId="10" fontId="45" fillId="2" borderId="6" xfId="0" applyNumberFormat="1" applyFont="1" applyFill="1" applyBorder="1"/>
    <xf numFmtId="10" fontId="47" fillId="2" borderId="2" xfId="0" applyNumberFormat="1" applyFont="1" applyFill="1" applyBorder="1"/>
    <xf numFmtId="6" fontId="45" fillId="2" borderId="0" xfId="0" applyNumberFormat="1" applyFont="1" applyFill="1" applyBorder="1"/>
    <xf numFmtId="6" fontId="45" fillId="2" borderId="5" xfId="0" applyNumberFormat="1" applyFont="1" applyFill="1" applyBorder="1"/>
    <xf numFmtId="10" fontId="45" fillId="2" borderId="5" xfId="0" applyNumberFormat="1" applyFont="1" applyFill="1" applyBorder="1"/>
    <xf numFmtId="10" fontId="45" fillId="2" borderId="0" xfId="0" applyNumberFormat="1" applyFont="1" applyFill="1" applyBorder="1"/>
    <xf numFmtId="0" fontId="45" fillId="2" borderId="5" xfId="0" applyFont="1" applyFill="1" applyBorder="1"/>
    <xf numFmtId="6" fontId="47" fillId="2" borderId="0" xfId="0" applyNumberFormat="1" applyFont="1" applyFill="1" applyBorder="1"/>
    <xf numFmtId="6" fontId="45" fillId="2" borderId="20" xfId="0" applyNumberFormat="1" applyFont="1" applyFill="1" applyBorder="1"/>
    <xf numFmtId="6" fontId="46" fillId="2" borderId="20" xfId="0" applyNumberFormat="1" applyFont="1" applyFill="1" applyBorder="1"/>
    <xf numFmtId="2" fontId="45" fillId="2" borderId="0" xfId="0" applyNumberFormat="1" applyFont="1" applyFill="1" applyBorder="1"/>
    <xf numFmtId="0" fontId="45" fillId="2" borderId="29" xfId="0" applyFont="1" applyFill="1" applyBorder="1"/>
    <xf numFmtId="10" fontId="45" fillId="2" borderId="0" xfId="0" applyNumberFormat="1" applyFont="1" applyFill="1" applyBorder="1" applyAlignment="1">
      <alignment horizontal="right"/>
    </xf>
    <xf numFmtId="10" fontId="47" fillId="2" borderId="0" xfId="0" applyNumberFormat="1" applyFont="1" applyFill="1" applyBorder="1" applyAlignment="1">
      <alignment horizontal="right"/>
    </xf>
    <xf numFmtId="0" fontId="45" fillId="2" borderId="0" xfId="0" applyFont="1" applyFill="1" applyBorder="1" applyAlignment="1">
      <alignment horizontal="center"/>
    </xf>
    <xf numFmtId="9" fontId="45" fillId="2" borderId="0" xfId="0" applyNumberFormat="1" applyFont="1" applyFill="1" applyBorder="1" applyAlignment="1">
      <alignment horizontal="center"/>
    </xf>
    <xf numFmtId="10" fontId="45" fillId="2" borderId="0" xfId="0" applyNumberFormat="1" applyFont="1" applyFill="1" applyBorder="1" applyAlignment="1">
      <alignment horizontal="center"/>
    </xf>
    <xf numFmtId="10" fontId="46" fillId="2" borderId="0" xfId="0" applyNumberFormat="1" applyFont="1" applyFill="1" applyBorder="1" applyAlignment="1">
      <alignment horizontal="center"/>
    </xf>
    <xf numFmtId="10" fontId="30" fillId="0" borderId="0" xfId="0" applyNumberFormat="1" applyFont="1" applyBorder="1" applyAlignment="1">
      <alignment horizontal="center"/>
    </xf>
    <xf numFmtId="6" fontId="30" fillId="0" borderId="0" xfId="0" applyNumberFormat="1" applyFont="1" applyBorder="1"/>
    <xf numFmtId="10" fontId="13" fillId="0" borderId="20" xfId="2" applyNumberFormat="1" applyFont="1" applyBorder="1"/>
    <xf numFmtId="0" fontId="27" fillId="0" borderId="0" xfId="0" applyFont="1" applyFill="1" applyBorder="1" applyAlignment="1">
      <alignment horizontal="left"/>
    </xf>
    <xf numFmtId="167" fontId="14" fillId="0" borderId="0" xfId="0" applyNumberFormat="1" applyFont="1" applyBorder="1" applyAlignment="1">
      <alignment horizontal="right"/>
    </xf>
    <xf numFmtId="167" fontId="13" fillId="0" borderId="0" xfId="0" applyNumberFormat="1" applyFont="1" applyBorder="1" applyAlignment="1">
      <alignment horizontal="right"/>
    </xf>
    <xf numFmtId="167" fontId="13" fillId="0" borderId="0" xfId="0" applyNumberFormat="1" applyFont="1" applyBorder="1" applyAlignment="1">
      <alignment horizontal="left"/>
    </xf>
    <xf numFmtId="9" fontId="25" fillId="0" borderId="24" xfId="2" applyFont="1" applyBorder="1"/>
    <xf numFmtId="2" fontId="14" fillId="0" borderId="0" xfId="0" applyNumberFormat="1" applyFont="1"/>
    <xf numFmtId="2" fontId="14" fillId="0" borderId="9" xfId="0" applyNumberFormat="1" applyFont="1" applyBorder="1" applyAlignment="1">
      <alignment horizontal="right"/>
    </xf>
    <xf numFmtId="2" fontId="14" fillId="0" borderId="5" xfId="0" applyNumberFormat="1" applyFont="1" applyBorder="1" applyAlignment="1">
      <alignment horizontal="right"/>
    </xf>
    <xf numFmtId="7" fontId="45" fillId="2" borderId="0" xfId="0" applyNumberFormat="1" applyFont="1" applyFill="1" applyBorder="1"/>
    <xf numFmtId="200" fontId="13" fillId="0" borderId="9" xfId="1" applyNumberFormat="1" applyFont="1" applyBorder="1"/>
    <xf numFmtId="10" fontId="45" fillId="0" borderId="22" xfId="0" applyNumberFormat="1" applyFont="1" applyFill="1" applyBorder="1"/>
    <xf numFmtId="1" fontId="14" fillId="0" borderId="1" xfId="0" applyNumberFormat="1" applyFont="1" applyBorder="1"/>
    <xf numFmtId="202" fontId="14" fillId="0" borderId="0" xfId="0" applyNumberFormat="1" applyFont="1"/>
    <xf numFmtId="0" fontId="14" fillId="3" borderId="0" xfId="0" applyFont="1" applyFill="1"/>
    <xf numFmtId="0" fontId="14" fillId="3" borderId="1" xfId="0" applyFont="1" applyFill="1" applyBorder="1"/>
    <xf numFmtId="0" fontId="15" fillId="3" borderId="0" xfId="0" applyFont="1" applyFill="1" applyBorder="1"/>
    <xf numFmtId="0" fontId="14" fillId="3" borderId="5" xfId="0" applyFont="1" applyFill="1" applyBorder="1"/>
    <xf numFmtId="0" fontId="14" fillId="3" borderId="0" xfId="0" applyFont="1" applyFill="1" applyBorder="1"/>
    <xf numFmtId="3" fontId="14" fillId="3" borderId="5" xfId="0" applyNumberFormat="1" applyFont="1" applyFill="1" applyBorder="1"/>
    <xf numFmtId="37" fontId="14" fillId="0" borderId="0" xfId="0" quotePrefix="1" applyNumberFormat="1" applyFont="1" applyFill="1" applyBorder="1"/>
    <xf numFmtId="0" fontId="4" fillId="4" borderId="0" xfId="0" applyFont="1" applyFill="1" applyBorder="1"/>
    <xf numFmtId="0" fontId="14" fillId="0" borderId="0" xfId="0" applyFont="1" applyFill="1"/>
    <xf numFmtId="0" fontId="14" fillId="0" borderId="1" xfId="0" applyFont="1" applyFill="1" applyBorder="1"/>
    <xf numFmtId="0" fontId="15" fillId="0" borderId="0" xfId="0" applyFont="1" applyFill="1" applyBorder="1"/>
    <xf numFmtId="3" fontId="14" fillId="0" borderId="5" xfId="0" applyNumberFormat="1" applyFont="1" applyFill="1" applyBorder="1"/>
    <xf numFmtId="3" fontId="14" fillId="3" borderId="0" xfId="0" applyNumberFormat="1" applyFont="1" applyFill="1" applyBorder="1"/>
    <xf numFmtId="3" fontId="14" fillId="0" borderId="6" xfId="0" applyNumberFormat="1" applyFont="1" applyBorder="1"/>
    <xf numFmtId="9" fontId="4" fillId="0" borderId="0" xfId="2" applyFont="1"/>
    <xf numFmtId="180" fontId="4" fillId="0" borderId="0" xfId="2" applyNumberFormat="1" applyFont="1"/>
    <xf numFmtId="37" fontId="33" fillId="0" borderId="0" xfId="0" quotePrefix="1" applyNumberFormat="1" applyFont="1" applyBorder="1"/>
    <xf numFmtId="37" fontId="21" fillId="0" borderId="0" xfId="0" quotePrefix="1" applyNumberFormat="1" applyFont="1" applyBorder="1"/>
    <xf numFmtId="1" fontId="14" fillId="0" borderId="0" xfId="0" applyNumberFormat="1" applyFont="1"/>
    <xf numFmtId="9" fontId="14" fillId="0" borderId="0" xfId="2" applyFont="1"/>
    <xf numFmtId="0" fontId="13" fillId="5" borderId="8" xfId="0" applyFont="1" applyFill="1" applyBorder="1"/>
    <xf numFmtId="0" fontId="13" fillId="5" borderId="9" xfId="0" applyFont="1" applyFill="1" applyBorder="1"/>
    <xf numFmtId="0" fontId="13" fillId="5" borderId="21" xfId="0" applyFont="1" applyFill="1" applyBorder="1" applyAlignment="1">
      <alignment horizontal="right"/>
    </xf>
    <xf numFmtId="0" fontId="13" fillId="5" borderId="10" xfId="0" applyFont="1" applyFill="1" applyBorder="1"/>
    <xf numFmtId="0" fontId="14" fillId="5" borderId="3" xfId="0" applyFont="1" applyFill="1" applyBorder="1"/>
    <xf numFmtId="0" fontId="14" fillId="5" borderId="0" xfId="0" applyFont="1" applyFill="1" applyBorder="1"/>
    <xf numFmtId="166" fontId="14" fillId="5" borderId="10" xfId="0" applyNumberFormat="1" applyFont="1" applyFill="1" applyBorder="1"/>
    <xf numFmtId="166" fontId="14" fillId="5" borderId="0" xfId="0" applyNumberFormat="1" applyFont="1" applyFill="1" applyBorder="1"/>
    <xf numFmtId="0" fontId="14" fillId="5" borderId="10" xfId="0" applyFont="1" applyFill="1" applyBorder="1"/>
    <xf numFmtId="0" fontId="14" fillId="5" borderId="8" xfId="0" applyFont="1" applyFill="1" applyBorder="1"/>
    <xf numFmtId="0" fontId="14" fillId="5" borderId="9" xfId="0" applyFont="1" applyFill="1" applyBorder="1"/>
    <xf numFmtId="166" fontId="14" fillId="5" borderId="21" xfId="0" applyNumberFormat="1" applyFont="1" applyFill="1" applyBorder="1"/>
    <xf numFmtId="166" fontId="14" fillId="5" borderId="9" xfId="0" applyNumberFormat="1" applyFont="1" applyFill="1" applyBorder="1"/>
    <xf numFmtId="203" fontId="14" fillId="0" borderId="0" xfId="1" applyNumberFormat="1" applyFont="1" applyBorder="1"/>
    <xf numFmtId="5" fontId="24" fillId="0" borderId="0" xfId="0" applyNumberFormat="1" applyFont="1" applyBorder="1" applyAlignment="1">
      <alignment horizontal="right"/>
    </xf>
    <xf numFmtId="37" fontId="13" fillId="0" borderId="0" xfId="0" quotePrefix="1" applyNumberFormat="1" applyFont="1" applyBorder="1"/>
    <xf numFmtId="0" fontId="39" fillId="0" borderId="0" xfId="0" applyFont="1" applyBorder="1"/>
    <xf numFmtId="37" fontId="4" fillId="0" borderId="1" xfId="0" quotePrefix="1" applyNumberFormat="1" applyFont="1" applyBorder="1"/>
    <xf numFmtId="1" fontId="20" fillId="0" borderId="0" xfId="0" applyNumberFormat="1" applyFont="1"/>
    <xf numFmtId="8" fontId="14" fillId="0" borderId="0" xfId="0" applyNumberFormat="1" applyFont="1"/>
    <xf numFmtId="1" fontId="14" fillId="0" borderId="0" xfId="0" applyNumberFormat="1" applyFont="1" applyBorder="1"/>
    <xf numFmtId="43" fontId="14" fillId="0" borderId="0" xfId="0" applyNumberFormat="1" applyFont="1" applyBorder="1"/>
    <xf numFmtId="0" fontId="4" fillId="0" borderId="23" xfId="0" applyFont="1" applyBorder="1"/>
    <xf numFmtId="0" fontId="4" fillId="0" borderId="24" xfId="0" applyFont="1" applyBorder="1"/>
    <xf numFmtId="0" fontId="4" fillId="0" borderId="25" xfId="0" applyFont="1" applyBorder="1"/>
    <xf numFmtId="180" fontId="4" fillId="6" borderId="28" xfId="2" applyNumberFormat="1" applyFont="1" applyFill="1" applyBorder="1"/>
    <xf numFmtId="180" fontId="4" fillId="6" borderId="29" xfId="2" applyNumberFormat="1" applyFont="1" applyFill="1" applyBorder="1"/>
    <xf numFmtId="0" fontId="4" fillId="6" borderId="29" xfId="0" applyFont="1" applyFill="1" applyBorder="1"/>
    <xf numFmtId="0" fontId="4" fillId="6" borderId="30" xfId="0" applyFont="1" applyFill="1" applyBorder="1"/>
    <xf numFmtId="0" fontId="20" fillId="0" borderId="0" xfId="0" applyFont="1" applyFill="1" applyBorder="1" applyAlignment="1">
      <alignment horizontal="center"/>
    </xf>
    <xf numFmtId="8" fontId="45" fillId="0" borderId="0" xfId="0" applyNumberFormat="1" applyFont="1" applyFill="1" applyBorder="1"/>
    <xf numFmtId="8" fontId="46" fillId="0" borderId="0" xfId="0" applyNumberFormat="1" applyFont="1" applyFill="1" applyBorder="1"/>
    <xf numFmtId="10" fontId="45" fillId="0" borderId="20" xfId="0" applyNumberFormat="1" applyFont="1" applyFill="1" applyBorder="1"/>
    <xf numFmtId="10" fontId="13" fillId="0" borderId="0" xfId="0" applyNumberFormat="1" applyFont="1" applyBorder="1"/>
    <xf numFmtId="37" fontId="31" fillId="0" borderId="0" xfId="0" applyNumberFormat="1" applyFont="1" applyBorder="1"/>
    <xf numFmtId="10" fontId="31" fillId="0" borderId="0" xfId="0" applyNumberFormat="1" applyFont="1" applyBorder="1"/>
    <xf numFmtId="8" fontId="14" fillId="0" borderId="5" xfId="0" applyNumberFormat="1" applyFont="1" applyFill="1" applyBorder="1"/>
    <xf numFmtId="187" fontId="14" fillId="0" borderId="0" xfId="0" applyNumberFormat="1" applyFont="1" applyBorder="1"/>
    <xf numFmtId="187" fontId="14" fillId="0" borderId="0" xfId="1" applyNumberFormat="1" applyFont="1" applyBorder="1"/>
    <xf numFmtId="187" fontId="14" fillId="0" borderId="5" xfId="0" applyNumberFormat="1" applyFont="1" applyBorder="1"/>
    <xf numFmtId="187" fontId="14" fillId="0" borderId="5" xfId="1" applyNumberFormat="1" applyFont="1" applyBorder="1"/>
    <xf numFmtId="187" fontId="14" fillId="0" borderId="6" xfId="0" applyNumberFormat="1" applyFont="1" applyBorder="1"/>
    <xf numFmtId="37" fontId="14" fillId="7" borderId="0" xfId="0" applyNumberFormat="1" applyFont="1" applyFill="1" applyBorder="1"/>
    <xf numFmtId="8" fontId="14" fillId="0" borderId="0" xfId="0" applyNumberFormat="1" applyFont="1" applyBorder="1"/>
    <xf numFmtId="0" fontId="49" fillId="0" borderId="0" xfId="0" applyFont="1" applyFill="1" applyBorder="1"/>
    <xf numFmtId="0" fontId="21" fillId="0" borderId="3" xfId="0" applyFont="1" applyBorder="1"/>
    <xf numFmtId="9" fontId="45" fillId="2" borderId="0" xfId="2" applyFont="1" applyFill="1" applyBorder="1"/>
    <xf numFmtId="9" fontId="45" fillId="2" borderId="5" xfId="2" applyFont="1" applyFill="1" applyBorder="1"/>
    <xf numFmtId="203" fontId="45" fillId="2" borderId="0" xfId="1" applyNumberFormat="1" applyFont="1" applyFill="1" applyBorder="1"/>
    <xf numFmtId="37" fontId="14" fillId="0" borderId="41" xfId="1" applyNumberFormat="1" applyFont="1" applyBorder="1"/>
    <xf numFmtId="188" fontId="14" fillId="7" borderId="0" xfId="0" applyNumberFormat="1" applyFont="1" applyFill="1" applyBorder="1"/>
    <xf numFmtId="10" fontId="45" fillId="2" borderId="5" xfId="0" applyNumberFormat="1" applyFont="1" applyFill="1" applyBorder="1" applyAlignment="1">
      <alignment horizontal="right"/>
    </xf>
    <xf numFmtId="0" fontId="21" fillId="0" borderId="0" xfId="0" applyFont="1" applyBorder="1"/>
    <xf numFmtId="6" fontId="47" fillId="0" borderId="0" xfId="0" applyNumberFormat="1" applyFont="1" applyFill="1" applyBorder="1"/>
    <xf numFmtId="9" fontId="14" fillId="3" borderId="0" xfId="0" applyNumberFormat="1" applyFont="1" applyFill="1" applyBorder="1"/>
    <xf numFmtId="0" fontId="29" fillId="0" borderId="0" xfId="0" applyFont="1" applyBorder="1" applyAlignment="1">
      <alignment horizontal="center"/>
    </xf>
    <xf numFmtId="0" fontId="45" fillId="2" borderId="0" xfId="0" quotePrefix="1" applyFont="1" applyFill="1" applyBorder="1" applyAlignment="1">
      <alignment horizontal="center"/>
    </xf>
    <xf numFmtId="0" fontId="45" fillId="2" borderId="20" xfId="0" applyFont="1" applyFill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655320</xdr:colOff>
          <xdr:row>0</xdr:row>
          <xdr:rowOff>22860</xdr:rowOff>
        </xdr:from>
        <xdr:to>
          <xdr:col>2</xdr:col>
          <xdr:colOff>45720</xdr:colOff>
          <xdr:row>1</xdr:row>
          <xdr:rowOff>160020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CONVERGE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144780</xdr:colOff>
          <xdr:row>0</xdr:row>
          <xdr:rowOff>7620</xdr:rowOff>
        </xdr:from>
        <xdr:to>
          <xdr:col>1</xdr:col>
          <xdr:colOff>510540</xdr:colOff>
          <xdr:row>1</xdr:row>
          <xdr:rowOff>144780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ALL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.P.T\Transmission%20Models\Sensitiviti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3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3:AL144"/>
  <sheetViews>
    <sheetView tabSelected="1" topLeftCell="O1" workbookViewId="0">
      <selection activeCell="D23" sqref="D23"/>
    </sheetView>
  </sheetViews>
  <sheetFormatPr defaultColWidth="9.109375" defaultRowHeight="13.2" x14ac:dyDescent="0.25"/>
  <cols>
    <col min="1" max="1" width="9.109375" style="48"/>
    <col min="2" max="2" width="22.109375" style="48" customWidth="1"/>
    <col min="3" max="3" width="9.33203125" style="48" customWidth="1"/>
    <col min="4" max="4" width="10" style="48" customWidth="1"/>
    <col min="5" max="5" width="9.33203125" style="48" customWidth="1"/>
    <col min="6" max="6" width="2.6640625" style="48" customWidth="1"/>
    <col min="7" max="7" width="12.88671875" style="48" customWidth="1"/>
    <col min="8" max="8" width="22.44140625" style="48" customWidth="1"/>
    <col min="9" max="9" width="10.6640625" style="48" customWidth="1"/>
    <col min="10" max="10" width="12.44140625" style="48" customWidth="1"/>
    <col min="11" max="11" width="10.6640625" style="48" customWidth="1"/>
    <col min="12" max="12" width="2.6640625" style="48" customWidth="1"/>
    <col min="13" max="13" width="11.6640625" style="48" customWidth="1"/>
    <col min="14" max="14" width="16.88671875" style="48" customWidth="1"/>
    <col min="15" max="15" width="12.88671875" style="48" customWidth="1"/>
    <col min="16" max="16" width="16.6640625" style="48" customWidth="1"/>
    <col min="17" max="17" width="8.5546875" style="48" customWidth="1"/>
    <col min="18" max="18" width="9" style="48" customWidth="1"/>
    <col min="19" max="19" width="2.6640625" style="48" customWidth="1"/>
    <col min="20" max="20" width="19.109375" style="48" customWidth="1"/>
    <col min="21" max="21" width="12.5546875" style="48" customWidth="1"/>
    <col min="22" max="22" width="8.5546875" style="48" customWidth="1"/>
    <col min="23" max="23" width="13.109375" style="48" customWidth="1"/>
    <col min="24" max="24" width="11.33203125" style="48" customWidth="1"/>
    <col min="25" max="25" width="8" style="48" customWidth="1"/>
    <col min="26" max="26" width="9.109375" style="48"/>
    <col min="27" max="27" width="10.5546875" style="48" customWidth="1"/>
    <col min="28" max="29" width="9.109375" style="48"/>
    <col min="30" max="30" width="18.109375" style="48" customWidth="1"/>
    <col min="31" max="16384" width="9.109375" style="48"/>
  </cols>
  <sheetData>
    <row r="3" spans="1:33" ht="15.6" x14ac:dyDescent="0.3">
      <c r="A3" s="221" t="s">
        <v>6</v>
      </c>
      <c r="B3" s="222"/>
      <c r="C3" s="223"/>
      <c r="D3" s="99" t="e">
        <f>IF(loopfactor=0," ", "WARNING:  MODEL HAS NOT BEEN CONVERGED")</f>
        <v>#REF!</v>
      </c>
      <c r="H3"/>
      <c r="J3" s="99" t="e">
        <f>IF((X34+X42+X50+X58+X66+X74)=DEBT," ","WARNING:  THE SUM OF THE DEBT LISTED IN THE TRANCHES DOES NOT EQUAL TOTAL DEBT")</f>
        <v>#REF!</v>
      </c>
      <c r="L3" s="48" t="s">
        <v>7</v>
      </c>
      <c r="M3" s="52" t="s">
        <v>7</v>
      </c>
      <c r="P3" s="99" t="e">
        <f ca="1">IF(X24&gt;1,"WARNING:  NPV DOES NOT RECONCILE"," ")</f>
        <v>#REF!</v>
      </c>
    </row>
    <row r="4" spans="1:33" ht="15.6" x14ac:dyDescent="0.3">
      <c r="A4" s="224"/>
      <c r="B4" s="225"/>
      <c r="C4" s="226"/>
      <c r="D4" s="99" t="e">
        <f>IF(ABS(SUM(BS_IS!F38:AG38))&lt;0.01," ","WARNING:  BALANCE SHEET IS NOT BALANCED")</f>
        <v>#REF!</v>
      </c>
      <c r="H4"/>
      <c r="J4" s="99" t="e">
        <f ca="1">IF(ABS(RETURNS!AG9+EQUITY)&lt;0.1," ","WARNING:  EQUITY DISTRIBUTED IN THE RETURNS CALC DOES NOT EQUAL TOTAL EQUITY")</f>
        <v>#N/A</v>
      </c>
      <c r="M4" s="52"/>
    </row>
    <row r="5" spans="1:33" ht="15.6" x14ac:dyDescent="0.3">
      <c r="A5" s="227" t="s">
        <v>0</v>
      </c>
      <c r="B5" s="228"/>
      <c r="C5" s="229"/>
      <c r="D5" s="99" t="str">
        <f>IF(V27&lt;W27,"WARNING:  A-TAX TARGET MINIMUM DCR HAS NOT BEEN MET"," ")</f>
        <v xml:space="preserve"> </v>
      </c>
      <c r="H5"/>
      <c r="J5" s="99" t="str">
        <f>IF(V28&lt;W28,"WARNING:  A-TAX TARGET AVERAGE DCR HAS NOT BEEN MET"," ")</f>
        <v xml:space="preserve"> </v>
      </c>
      <c r="M5" s="52"/>
    </row>
    <row r="6" spans="1:33" ht="13.8" thickBot="1" x14ac:dyDescent="0.3">
      <c r="A6" s="48" t="s">
        <v>8</v>
      </c>
      <c r="AC6" s="48" t="s">
        <v>7</v>
      </c>
    </row>
    <row r="7" spans="1:33" ht="15" thickTop="1" thickBot="1" x14ac:dyDescent="0.35">
      <c r="A7" s="100" t="s">
        <v>439</v>
      </c>
      <c r="B7" s="101"/>
      <c r="C7" s="60"/>
      <c r="D7" s="102">
        <f>2000</f>
        <v>2000</v>
      </c>
      <c r="E7" s="54"/>
      <c r="G7" s="100" t="s">
        <v>9</v>
      </c>
      <c r="H7" s="101"/>
      <c r="I7" s="60"/>
      <c r="J7" s="60"/>
      <c r="K7" s="54"/>
      <c r="M7" s="53"/>
      <c r="N7" s="60"/>
      <c r="O7" s="60"/>
      <c r="P7" s="60"/>
      <c r="Q7" s="60"/>
      <c r="R7" s="103" t="s">
        <v>10</v>
      </c>
      <c r="S7" s="48" t="s">
        <v>7</v>
      </c>
      <c r="T7" s="104" t="s">
        <v>11</v>
      </c>
      <c r="U7" s="105"/>
      <c r="V7" s="106" t="s">
        <v>12</v>
      </c>
      <c r="W7" s="106" t="s">
        <v>13</v>
      </c>
      <c r="X7" s="107" t="s">
        <v>14</v>
      </c>
      <c r="AC7" s="357" t="s">
        <v>15</v>
      </c>
      <c r="AD7" s="358"/>
      <c r="AE7" s="360" t="s">
        <v>16</v>
      </c>
      <c r="AF7" s="361" t="s">
        <v>17</v>
      </c>
      <c r="AG7" s="359" t="s">
        <v>18</v>
      </c>
    </row>
    <row r="8" spans="1:33" ht="14.4" thickTop="1" thickBot="1" x14ac:dyDescent="0.3">
      <c r="A8" s="61" t="s">
        <v>19</v>
      </c>
      <c r="B8" s="63"/>
      <c r="C8" s="63"/>
      <c r="D8" s="401">
        <v>475</v>
      </c>
      <c r="E8" s="356" t="s">
        <v>20</v>
      </c>
      <c r="G8" s="61" t="s">
        <v>409</v>
      </c>
      <c r="H8" s="63"/>
      <c r="I8" s="401"/>
      <c r="J8" s="112" t="s">
        <v>24</v>
      </c>
      <c r="K8" s="62"/>
      <c r="M8" s="109" t="s">
        <v>21</v>
      </c>
      <c r="N8" s="63"/>
      <c r="O8" s="70"/>
      <c r="P8" s="63"/>
      <c r="Q8" s="63"/>
      <c r="R8" s="69">
        <f>$E$15</f>
        <v>2000</v>
      </c>
      <c r="T8" s="110"/>
      <c r="U8" s="63"/>
      <c r="V8" s="63"/>
      <c r="W8" s="63"/>
      <c r="X8" s="111"/>
      <c r="AC8" s="53" t="s">
        <v>22</v>
      </c>
      <c r="AD8" s="60"/>
      <c r="AE8" s="396">
        <v>2397.2819434873818</v>
      </c>
      <c r="AF8" s="396" t="e">
        <f>IDC!$D$40</f>
        <v>#REF!</v>
      </c>
      <c r="AG8" s="398" t="e">
        <f>AF8-EST_IDC</f>
        <v>#REF!</v>
      </c>
    </row>
    <row r="9" spans="1:33" x14ac:dyDescent="0.25">
      <c r="A9" s="61" t="s">
        <v>23</v>
      </c>
      <c r="B9" s="63"/>
      <c r="C9" s="63"/>
      <c r="D9" s="402">
        <v>1</v>
      </c>
      <c r="E9" s="62"/>
      <c r="G9" s="61" t="s">
        <v>457</v>
      </c>
      <c r="H9" s="63"/>
      <c r="I9" s="413" t="s">
        <v>458</v>
      </c>
      <c r="K9" s="62"/>
      <c r="M9" s="61" t="s">
        <v>25</v>
      </c>
      <c r="N9" s="63"/>
      <c r="O9" s="515"/>
      <c r="P9" s="113"/>
      <c r="Q9" s="63"/>
      <c r="R9" s="71">
        <f>O9*(1+CPI)^($R$8-$O$8)</f>
        <v>0</v>
      </c>
      <c r="T9" s="114" t="s">
        <v>26</v>
      </c>
      <c r="U9" s="63"/>
      <c r="V9" s="421">
        <v>0.1</v>
      </c>
      <c r="W9" s="115" t="e">
        <f ca="1">RETURNS!D16</f>
        <v>#VALUE!</v>
      </c>
      <c r="X9" s="116" t="e">
        <f ca="1">RETURNS!D15</f>
        <v>#N/A</v>
      </c>
      <c r="Z9" s="190" t="s">
        <v>27</v>
      </c>
      <c r="AA9" s="191"/>
      <c r="AC9" s="61" t="s">
        <v>28</v>
      </c>
      <c r="AD9" s="63"/>
      <c r="AE9" s="397">
        <v>0</v>
      </c>
      <c r="AF9" s="397" t="e">
        <f>IDC!D41</f>
        <v>#REF!</v>
      </c>
      <c r="AG9" s="399" t="e">
        <f>AF9-AE9</f>
        <v>#REF!</v>
      </c>
    </row>
    <row r="10" spans="1:33" ht="13.8" thickBot="1" x14ac:dyDescent="0.3">
      <c r="A10" s="61" t="s">
        <v>29</v>
      </c>
      <c r="B10" s="63"/>
      <c r="C10" s="117" t="s">
        <v>30</v>
      </c>
      <c r="D10" s="403">
        <v>10830</v>
      </c>
      <c r="E10" s="241" t="s">
        <v>31</v>
      </c>
      <c r="G10" s="72" t="s">
        <v>46</v>
      </c>
      <c r="H10" s="80"/>
      <c r="I10" s="412">
        <v>0</v>
      </c>
      <c r="J10" s="80"/>
      <c r="K10" s="62"/>
      <c r="M10" s="61" t="s">
        <v>32</v>
      </c>
      <c r="N10" s="63"/>
      <c r="O10" s="230"/>
      <c r="P10" s="113"/>
      <c r="Q10" s="63"/>
      <c r="R10" s="416">
        <v>0</v>
      </c>
      <c r="T10" s="110"/>
      <c r="U10" s="63"/>
      <c r="V10" s="63"/>
      <c r="W10" s="420">
        <v>0.1</v>
      </c>
      <c r="X10" s="118" t="s">
        <v>33</v>
      </c>
      <c r="Z10" s="192" t="e">
        <f ca="1">IF(ROUND(IRR,3)&gt;ROUND(TARGET+0.0003,3),1,IF(ROUND(IRR,4)&lt;ROUND(TARGET-0.0005,3),-1,0))</f>
        <v>#VALUE!</v>
      </c>
      <c r="AA10" s="193"/>
      <c r="AC10" s="61" t="s">
        <v>34</v>
      </c>
      <c r="AD10" s="63"/>
      <c r="AE10" s="397">
        <v>554.28167105453065</v>
      </c>
      <c r="AF10" s="397">
        <f>R25</f>
        <v>0</v>
      </c>
      <c r="AG10" s="399">
        <f>AF10-EST_FIN</f>
        <v>0</v>
      </c>
    </row>
    <row r="11" spans="1:33" x14ac:dyDescent="0.25">
      <c r="A11" s="61" t="s">
        <v>35</v>
      </c>
      <c r="B11" s="514"/>
      <c r="C11" s="514"/>
      <c r="D11" s="516">
        <v>1</v>
      </c>
      <c r="E11" s="62"/>
      <c r="M11" s="61" t="s">
        <v>36</v>
      </c>
      <c r="N11" s="63"/>
      <c r="O11" s="230"/>
      <c r="P11" s="113"/>
      <c r="Q11" s="63"/>
      <c r="R11" s="416">
        <v>0</v>
      </c>
      <c r="T11" s="110"/>
      <c r="U11" s="63"/>
      <c r="V11" s="63"/>
      <c r="W11" s="63"/>
      <c r="X11" s="111"/>
      <c r="AC11" s="61" t="s">
        <v>37</v>
      </c>
      <c r="AD11" s="63"/>
      <c r="AE11" s="397">
        <v>0</v>
      </c>
      <c r="AF11" s="397" t="e">
        <f>TAXES_FEES!B32</f>
        <v>#REF!</v>
      </c>
      <c r="AG11" s="399" t="e">
        <f>AF11-EST_COMMITT</f>
        <v>#REF!</v>
      </c>
    </row>
    <row r="12" spans="1:33" x14ac:dyDescent="0.25">
      <c r="A12" s="72" t="s">
        <v>450</v>
      </c>
      <c r="B12" s="80"/>
      <c r="C12" s="80"/>
      <c r="D12" s="513">
        <v>0.03</v>
      </c>
      <c r="E12" s="73"/>
      <c r="G12" s="100" t="s">
        <v>52</v>
      </c>
      <c r="H12" s="60"/>
      <c r="I12" s="60"/>
      <c r="J12" s="60"/>
      <c r="K12" s="54"/>
      <c r="M12" s="237" t="s">
        <v>40</v>
      </c>
      <c r="N12" s="238"/>
      <c r="O12" s="238"/>
      <c r="P12" s="238"/>
      <c r="Q12" s="238"/>
      <c r="R12" s="239">
        <f>SUM(R9:R11)</f>
        <v>0</v>
      </c>
      <c r="T12" s="110" t="s">
        <v>38</v>
      </c>
      <c r="U12" s="63"/>
      <c r="V12" s="65">
        <f>DISC</f>
        <v>0.1</v>
      </c>
      <c r="W12" s="65" t="e">
        <f ca="1">RETURNS!D32</f>
        <v>#N/A</v>
      </c>
      <c r="X12" s="119" t="e">
        <f>RETURNS!D31</f>
        <v>#REF!</v>
      </c>
      <c r="AC12" s="61" t="s">
        <v>39</v>
      </c>
      <c r="AD12" s="63"/>
      <c r="AE12" s="397">
        <v>2558.2137753666084</v>
      </c>
      <c r="AF12" s="397" t="e">
        <f>COST*P36</f>
        <v>#REF!</v>
      </c>
      <c r="AG12" s="399" t="e">
        <f>AF12-EST_DEV</f>
        <v>#REF!</v>
      </c>
    </row>
    <row r="13" spans="1:33" x14ac:dyDescent="0.25">
      <c r="G13" s="61" t="s">
        <v>410</v>
      </c>
      <c r="H13" s="63"/>
      <c r="I13" s="401"/>
      <c r="J13"/>
      <c r="K13" s="62"/>
      <c r="M13" s="61" t="s">
        <v>44</v>
      </c>
      <c r="N13" s="63"/>
      <c r="O13" s="515"/>
      <c r="P13" s="63"/>
      <c r="Q13" s="63"/>
      <c r="R13" s="143">
        <f>O13*(1+CPI)^($R$8-$O$8)</f>
        <v>0</v>
      </c>
      <c r="T13" s="110" t="s">
        <v>41</v>
      </c>
      <c r="U13" s="63" t="s">
        <v>7</v>
      </c>
      <c r="V13" s="65">
        <f>DISC</f>
        <v>0.1</v>
      </c>
      <c r="W13" s="65" t="e">
        <f>RETURNS!D45</f>
        <v>#VALUE!</v>
      </c>
      <c r="X13" s="119" t="e">
        <f>RETURNS!D44</f>
        <v>#REF!</v>
      </c>
      <c r="AC13" s="61" t="s">
        <v>42</v>
      </c>
      <c r="AD13" s="63"/>
      <c r="AE13" s="397">
        <v>85273.792512220287</v>
      </c>
      <c r="AF13" s="397" t="e">
        <f>COST</f>
        <v>#REF!</v>
      </c>
      <c r="AG13" s="399" t="e">
        <f>AF13-EST_COST</f>
        <v>#REF!</v>
      </c>
    </row>
    <row r="14" spans="1:33" x14ac:dyDescent="0.25">
      <c r="A14" s="100" t="s">
        <v>43</v>
      </c>
      <c r="B14" s="60"/>
      <c r="C14" s="60"/>
      <c r="D14" s="60"/>
      <c r="E14" s="54"/>
      <c r="G14" s="61" t="s">
        <v>456</v>
      </c>
      <c r="H14" s="63"/>
      <c r="I14" s="401"/>
      <c r="J14"/>
      <c r="K14" s="62"/>
      <c r="M14" s="237" t="s">
        <v>47</v>
      </c>
      <c r="N14" s="238"/>
      <c r="O14" s="238"/>
      <c r="P14" s="238"/>
      <c r="Q14" s="238"/>
      <c r="R14" s="239">
        <f>SUM(R13:R13)</f>
        <v>0</v>
      </c>
      <c r="T14" s="110" t="s">
        <v>421</v>
      </c>
      <c r="U14" s="63"/>
      <c r="V14" s="65">
        <f>DISC</f>
        <v>0.1</v>
      </c>
      <c r="W14" s="65" t="e">
        <f>RETURNS!D57</f>
        <v>#VALUE!</v>
      </c>
      <c r="X14" s="263" t="e">
        <f>RETURNS!D56</f>
        <v>#REF!</v>
      </c>
      <c r="AC14" s="61" t="str">
        <f>T33</f>
        <v xml:space="preserve">   Tranche 1:</v>
      </c>
      <c r="AD14" s="63"/>
      <c r="AE14" s="397">
        <v>55427.965132943187</v>
      </c>
      <c r="AF14" s="397" t="e">
        <f>X34</f>
        <v>#REF!</v>
      </c>
      <c r="AG14" s="170" t="e">
        <f>AF14-EST_D1</f>
        <v>#REF!</v>
      </c>
    </row>
    <row r="15" spans="1:33" x14ac:dyDescent="0.25">
      <c r="A15" s="61" t="s">
        <v>45</v>
      </c>
      <c r="B15" s="63"/>
      <c r="C15" s="63"/>
      <c r="D15" s="404">
        <f>DATE(E15-1900,12,1)</f>
        <v>36861</v>
      </c>
      <c r="E15" s="405">
        <v>2000</v>
      </c>
      <c r="G15" s="72" t="s">
        <v>56</v>
      </c>
      <c r="H15" s="80"/>
      <c r="I15" s="412">
        <v>0.35</v>
      </c>
      <c r="J15" s="80"/>
      <c r="K15" s="73"/>
      <c r="M15" s="61" t="s">
        <v>50</v>
      </c>
      <c r="N15" s="63"/>
      <c r="O15" s="515"/>
      <c r="P15" s="63"/>
      <c r="Q15" s="63"/>
      <c r="R15" s="71">
        <f>O15*(1+CPI)^($R$8-$O$8)</f>
        <v>0</v>
      </c>
      <c r="T15" s="110" t="s">
        <v>48</v>
      </c>
      <c r="U15" s="63"/>
      <c r="V15" s="65"/>
      <c r="W15" s="65"/>
      <c r="X15" s="119" t="e">
        <f>SUM(X12:X14)</f>
        <v>#REF!</v>
      </c>
      <c r="AC15" s="61" t="str">
        <f>T41</f>
        <v xml:space="preserve">   Tranche 2:</v>
      </c>
      <c r="AD15" s="63"/>
      <c r="AE15" s="397">
        <v>0</v>
      </c>
      <c r="AF15" s="397" t="e">
        <f>X42</f>
        <v>#REF!</v>
      </c>
      <c r="AG15" s="170" t="e">
        <f>AF15-EST_EXIM</f>
        <v>#REF!</v>
      </c>
    </row>
    <row r="16" spans="1:33" x14ac:dyDescent="0.25">
      <c r="A16" s="61" t="s">
        <v>49</v>
      </c>
      <c r="B16" s="63"/>
      <c r="C16" s="63"/>
      <c r="D16" s="63"/>
      <c r="E16" s="405">
        <v>6</v>
      </c>
      <c r="M16" s="61" t="s">
        <v>53</v>
      </c>
      <c r="N16" s="63"/>
      <c r="O16" s="230"/>
      <c r="P16" s="63"/>
      <c r="Q16" s="63"/>
      <c r="R16" s="416">
        <v>13000</v>
      </c>
      <c r="T16" s="110"/>
      <c r="U16" s="63"/>
      <c r="V16" s="65"/>
      <c r="W16" s="65"/>
      <c r="X16" s="119"/>
      <c r="AC16" s="61" t="str">
        <f>T49</f>
        <v xml:space="preserve">   Tranche 3: Other</v>
      </c>
      <c r="AD16" s="63"/>
      <c r="AE16" s="397">
        <v>0</v>
      </c>
      <c r="AF16" s="397" t="e">
        <f>X50</f>
        <v>#REF!</v>
      </c>
      <c r="AG16" s="170" t="e">
        <f>AF16-EST_D3</f>
        <v>#REF!</v>
      </c>
    </row>
    <row r="17" spans="1:36" x14ac:dyDescent="0.25">
      <c r="A17" s="61" t="s">
        <v>51</v>
      </c>
      <c r="B17" s="63"/>
      <c r="C17" s="63"/>
      <c r="D17" s="401">
        <v>6</v>
      </c>
      <c r="E17" s="405">
        <v>2001</v>
      </c>
      <c r="G17" s="100" t="s">
        <v>62</v>
      </c>
      <c r="H17" s="60"/>
      <c r="I17" s="126" t="s">
        <v>63</v>
      </c>
      <c r="J17" s="126" t="s">
        <v>64</v>
      </c>
      <c r="K17" s="141" t="s">
        <v>65</v>
      </c>
      <c r="M17" s="61" t="s">
        <v>57</v>
      </c>
      <c r="N17" s="63"/>
      <c r="O17" s="515"/>
      <c r="P17" s="63"/>
      <c r="Q17" s="63"/>
      <c r="R17" s="143">
        <f>O17*(1+CPI)^($R$8-$O$8)</f>
        <v>0</v>
      </c>
      <c r="T17" s="110" t="s">
        <v>54</v>
      </c>
      <c r="U17" s="63"/>
      <c r="V17" s="65"/>
      <c r="W17" s="65"/>
      <c r="X17" s="119" t="e">
        <f>-RETURNS!AL23-RETURNS!AL39-RETURNS!AL51</f>
        <v>#REF!</v>
      </c>
      <c r="AC17" s="61" t="str">
        <f>T57</f>
        <v xml:space="preserve">   Tranche 4: Other</v>
      </c>
      <c r="AD17" s="63"/>
      <c r="AE17" s="397">
        <v>0</v>
      </c>
      <c r="AF17" s="397" t="e">
        <f>X58</f>
        <v>#REF!</v>
      </c>
      <c r="AG17" s="170" t="e">
        <f>AF17-EST_D4</f>
        <v>#REF!</v>
      </c>
    </row>
    <row r="18" spans="1:36" x14ac:dyDescent="0.25">
      <c r="A18" s="61" t="s">
        <v>55</v>
      </c>
      <c r="B18" s="63"/>
      <c r="C18" s="63"/>
      <c r="D18" s="63"/>
      <c r="E18" s="405" t="s">
        <v>455</v>
      </c>
      <c r="G18" s="61"/>
      <c r="H18" s="63"/>
      <c r="I18" s="63"/>
      <c r="J18" s="63"/>
      <c r="K18" s="62"/>
      <c r="M18" s="237" t="s">
        <v>60</v>
      </c>
      <c r="N18" s="238"/>
      <c r="O18" s="238"/>
      <c r="P18" s="238"/>
      <c r="Q18" s="238"/>
      <c r="R18" s="239">
        <f>SUM(R15:R17)</f>
        <v>13000</v>
      </c>
      <c r="T18" s="110" t="s">
        <v>58</v>
      </c>
      <c r="U18" s="63"/>
      <c r="V18" s="65"/>
      <c r="W18" s="65"/>
      <c r="X18" s="119">
        <f>-RETURNS!AL24</f>
        <v>0</v>
      </c>
      <c r="AC18" s="61" t="str">
        <f>T65</f>
        <v xml:space="preserve">   Tranche 5: Other</v>
      </c>
      <c r="AD18" s="63"/>
      <c r="AE18" s="397">
        <v>0</v>
      </c>
      <c r="AF18" s="397" t="e">
        <f>X66</f>
        <v>#REF!</v>
      </c>
      <c r="AG18" s="170" t="e">
        <f>AF18-EST_D5</f>
        <v>#REF!</v>
      </c>
    </row>
    <row r="19" spans="1:36" x14ac:dyDescent="0.25">
      <c r="A19" s="72" t="s">
        <v>59</v>
      </c>
      <c r="B19" s="80"/>
      <c r="C19" s="80"/>
      <c r="D19" s="80"/>
      <c r="E19" s="406" t="s">
        <v>413</v>
      </c>
      <c r="G19" s="61" t="s">
        <v>72</v>
      </c>
      <c r="H19" s="63" t="s">
        <v>73</v>
      </c>
      <c r="I19" s="403">
        <v>13000</v>
      </c>
      <c r="J19" s="401"/>
      <c r="K19" s="145" t="s">
        <v>415</v>
      </c>
      <c r="M19" s="61" t="s">
        <v>432</v>
      </c>
      <c r="N19" s="63"/>
      <c r="O19" s="515"/>
      <c r="P19" s="113"/>
      <c r="Q19" s="63"/>
      <c r="R19" s="71">
        <f>O19*(1+CPI)^($R$8-$O$8)</f>
        <v>0</v>
      </c>
      <c r="T19" s="110" t="s">
        <v>61</v>
      </c>
      <c r="U19" s="63"/>
      <c r="V19" s="65"/>
      <c r="W19" s="65"/>
      <c r="X19" s="119">
        <f>-RETURNS!AL25</f>
        <v>0</v>
      </c>
      <c r="AC19" s="72" t="str">
        <f>T73</f>
        <v xml:space="preserve">   Tranche 6: Other</v>
      </c>
      <c r="AD19" s="80"/>
      <c r="AE19" s="400">
        <v>0</v>
      </c>
      <c r="AF19" s="400" t="e">
        <f>X74</f>
        <v>#REF!</v>
      </c>
      <c r="AG19" s="216" t="e">
        <f>AF19-EST_D6</f>
        <v>#REF!</v>
      </c>
    </row>
    <row r="20" spans="1:36" x14ac:dyDescent="0.25">
      <c r="B20" s="96" t="e">
        <f ca="1">W12</f>
        <v>#N/A</v>
      </c>
      <c r="C20" s="194">
        <f>E20+0.01</f>
        <v>32.379999999999995</v>
      </c>
      <c r="D20" s="194">
        <f>E20-0.01</f>
        <v>32.36</v>
      </c>
      <c r="E20" s="195">
        <v>32.369999999999997</v>
      </c>
      <c r="G20" s="61"/>
      <c r="H20" s="63" t="s">
        <v>78</v>
      </c>
      <c r="I20" s="401">
        <v>0</v>
      </c>
      <c r="J20" s="401">
        <v>0</v>
      </c>
      <c r="K20" s="145" t="s">
        <v>74</v>
      </c>
      <c r="M20" s="61" t="s">
        <v>68</v>
      </c>
      <c r="N20" s="63"/>
      <c r="O20" s="238"/>
      <c r="P20" s="113"/>
      <c r="Q20" s="63"/>
      <c r="R20" s="416">
        <v>0</v>
      </c>
      <c r="T20" s="110" t="s">
        <v>66</v>
      </c>
      <c r="U20" s="63"/>
      <c r="V20" s="65"/>
      <c r="W20" s="65"/>
      <c r="X20" s="263">
        <f>-RETURNS!AL26</f>
        <v>0</v>
      </c>
    </row>
    <row r="21" spans="1:36" ht="13.8" thickBot="1" x14ac:dyDescent="0.3">
      <c r="A21" s="100" t="s">
        <v>67</v>
      </c>
      <c r="B21" s="60"/>
      <c r="C21" s="126">
        <v>2000</v>
      </c>
      <c r="D21" s="60"/>
      <c r="E21" s="69" t="s">
        <v>71</v>
      </c>
      <c r="G21" s="61"/>
      <c r="H21" s="63" t="s">
        <v>81</v>
      </c>
      <c r="I21" s="401">
        <v>0</v>
      </c>
      <c r="J21" s="401">
        <v>0</v>
      </c>
      <c r="K21" s="145" t="s">
        <v>74</v>
      </c>
      <c r="M21" s="61" t="s">
        <v>82</v>
      </c>
      <c r="N21" s="63"/>
      <c r="O21" s="515"/>
      <c r="P21" s="63"/>
      <c r="Q21" s="63"/>
      <c r="R21" s="143">
        <f>O21*(1+CPI)^($R$8-$O$8)</f>
        <v>0</v>
      </c>
      <c r="T21" s="110" t="s">
        <v>69</v>
      </c>
      <c r="U21" s="63"/>
      <c r="V21" s="65"/>
      <c r="W21" s="65"/>
      <c r="X21" s="119" t="e">
        <f>SUM(X17:X20)</f>
        <v>#REF!</v>
      </c>
    </row>
    <row r="22" spans="1:36" ht="13.8" thickBot="1" x14ac:dyDescent="0.3">
      <c r="A22" s="61" t="s">
        <v>459</v>
      </c>
      <c r="B22" s="63"/>
      <c r="C22" s="517" t="s">
        <v>462</v>
      </c>
      <c r="D22" s="63"/>
      <c r="G22" s="153"/>
      <c r="H22" s="230"/>
      <c r="I22" s="230"/>
      <c r="J22" s="230"/>
      <c r="K22" s="231"/>
      <c r="M22" s="237" t="s">
        <v>85</v>
      </c>
      <c r="N22" s="238"/>
      <c r="O22" s="238"/>
      <c r="P22" s="238"/>
      <c r="Q22" s="238"/>
      <c r="R22" s="239">
        <f>SUM(R19:R21)</f>
        <v>0</v>
      </c>
      <c r="T22" s="110"/>
      <c r="U22" s="63"/>
      <c r="V22" s="65"/>
      <c r="W22" s="65"/>
      <c r="X22" s="119"/>
      <c r="AB22" s="88"/>
      <c r="AC22" s="88"/>
      <c r="AD22" s="63"/>
      <c r="AE22" s="63"/>
      <c r="AF22" s="63"/>
      <c r="AI22" s="133" t="s">
        <v>75</v>
      </c>
      <c r="AJ22" s="134"/>
    </row>
    <row r="23" spans="1:36" ht="13.8" thickBot="1" x14ac:dyDescent="0.3">
      <c r="A23" s="61" t="s">
        <v>460</v>
      </c>
      <c r="B23" s="63"/>
      <c r="C23" s="517" t="s">
        <v>462</v>
      </c>
      <c r="D23" s="63"/>
      <c r="E23" s="62"/>
      <c r="G23" s="153" t="s">
        <v>88</v>
      </c>
      <c r="H23" s="230" t="s">
        <v>73</v>
      </c>
      <c r="I23" s="403">
        <v>13000</v>
      </c>
      <c r="J23" s="401"/>
      <c r="K23" s="231" t="s">
        <v>74</v>
      </c>
      <c r="M23" s="61" t="s">
        <v>414</v>
      </c>
      <c r="N23" s="63"/>
      <c r="O23" s="63"/>
      <c r="P23" s="63"/>
      <c r="Q23" s="63"/>
      <c r="R23" s="71"/>
      <c r="T23" s="110" t="s">
        <v>79</v>
      </c>
      <c r="U23" s="63"/>
      <c r="V23" s="65"/>
      <c r="W23" s="65"/>
      <c r="X23" s="119" t="e">
        <f>X15+X21</f>
        <v>#REF!</v>
      </c>
      <c r="AB23" s="115"/>
      <c r="AC23" s="476"/>
      <c r="AD23" s="478"/>
      <c r="AE23" s="314"/>
      <c r="AF23" s="63"/>
      <c r="AI23" s="138" t="e">
        <f>IF(ABS(SUM(AG8:AG19))&lt;0.05,0,1)</f>
        <v>#REF!</v>
      </c>
      <c r="AJ23" s="139"/>
    </row>
    <row r="24" spans="1:36" ht="13.8" thickBot="1" x14ac:dyDescent="0.3">
      <c r="A24" s="61" t="s">
        <v>461</v>
      </c>
      <c r="B24" s="63"/>
      <c r="C24" s="517" t="s">
        <v>462</v>
      </c>
      <c r="D24" s="63"/>
      <c r="E24" s="62"/>
      <c r="G24" s="153"/>
      <c r="H24" s="230" t="s">
        <v>78</v>
      </c>
      <c r="I24" s="401">
        <v>0</v>
      </c>
      <c r="J24" s="401">
        <v>0</v>
      </c>
      <c r="K24" s="231" t="s">
        <v>74</v>
      </c>
      <c r="M24" s="61" t="s">
        <v>92</v>
      </c>
      <c r="N24" s="63"/>
      <c r="O24" s="63"/>
      <c r="P24" s="63"/>
      <c r="Q24" s="63"/>
      <c r="R24" s="71">
        <f>AE9</f>
        <v>0</v>
      </c>
      <c r="T24" s="121" t="s">
        <v>83</v>
      </c>
      <c r="U24" s="122"/>
      <c r="V24" s="123"/>
      <c r="W24" s="123"/>
      <c r="X24" s="124" t="e">
        <f ca="1">X23-X9</f>
        <v>#REF!</v>
      </c>
      <c r="Y24" s="96" t="e">
        <f>X34/DEBT</f>
        <v>#REF!</v>
      </c>
      <c r="AB24" s="115"/>
      <c r="AC24" s="476"/>
      <c r="AD24" s="478"/>
      <c r="AE24" s="314"/>
      <c r="AF24" s="63"/>
    </row>
    <row r="25" spans="1:36" ht="13.8" thickBot="1" x14ac:dyDescent="0.3">
      <c r="A25" s="128" t="s">
        <v>70</v>
      </c>
      <c r="B25" s="63"/>
      <c r="C25" s="314"/>
      <c r="D25" s="63"/>
      <c r="G25" s="153"/>
      <c r="H25" s="230" t="s">
        <v>81</v>
      </c>
      <c r="I25" s="401">
        <v>0</v>
      </c>
      <c r="J25" s="401">
        <v>0</v>
      </c>
      <c r="K25" s="231" t="s">
        <v>74</v>
      </c>
      <c r="M25" s="61" t="s">
        <v>96</v>
      </c>
      <c r="N25" s="63"/>
      <c r="O25"/>
      <c r="P25"/>
      <c r="Q25" s="63"/>
      <c r="R25" s="71">
        <f>((+X39*EST_D1)+(X47*EST_EXIM)+(X55*EST_D3)+(X63*EST_D4)+(X71*EST_D5)+(X79*EST_D6))</f>
        <v>0</v>
      </c>
      <c r="AB25" s="115"/>
      <c r="AC25" s="476"/>
      <c r="AD25" s="478"/>
      <c r="AE25" s="314"/>
      <c r="AF25" s="63"/>
    </row>
    <row r="26" spans="1:36" x14ac:dyDescent="0.25">
      <c r="A26" s="61" t="s">
        <v>76</v>
      </c>
      <c r="B26" s="63"/>
      <c r="C26" s="437"/>
      <c r="D26" s="131" t="s">
        <v>77</v>
      </c>
      <c r="E26" s="407">
        <v>0.02</v>
      </c>
      <c r="G26" s="153"/>
      <c r="H26" s="230"/>
      <c r="I26" s="233"/>
      <c r="J26" s="233"/>
      <c r="K26" s="231"/>
      <c r="M26" s="61" t="s">
        <v>98</v>
      </c>
      <c r="N26" s="63"/>
      <c r="O26" s="63"/>
      <c r="P26" s="63"/>
      <c r="Q26" s="63"/>
      <c r="R26" s="416">
        <v>0</v>
      </c>
      <c r="T26" s="104" t="s">
        <v>89</v>
      </c>
      <c r="U26" s="106" t="s">
        <v>90</v>
      </c>
      <c r="V26" s="106" t="s">
        <v>91</v>
      </c>
      <c r="W26" s="106" t="s">
        <v>91</v>
      </c>
      <c r="X26" s="125"/>
      <c r="AB26" s="115"/>
      <c r="AC26" s="476"/>
      <c r="AD26" s="478"/>
      <c r="AE26" s="314"/>
      <c r="AF26" s="63"/>
    </row>
    <row r="27" spans="1:36" x14ac:dyDescent="0.25">
      <c r="A27" s="132" t="s">
        <v>80</v>
      </c>
      <c r="B27" s="63"/>
      <c r="C27" s="63"/>
      <c r="D27" s="63"/>
      <c r="E27" s="62"/>
      <c r="G27" s="153" t="s">
        <v>99</v>
      </c>
      <c r="H27" s="230" t="s">
        <v>73</v>
      </c>
      <c r="I27" s="403">
        <v>13000</v>
      </c>
      <c r="J27" s="401"/>
      <c r="K27" s="231" t="s">
        <v>74</v>
      </c>
      <c r="M27" s="61" t="s">
        <v>100</v>
      </c>
      <c r="N27" s="63"/>
      <c r="O27" s="63"/>
      <c r="P27" s="63"/>
      <c r="Q27" s="63"/>
      <c r="R27" s="71">
        <f>EST_COMMITT</f>
        <v>0</v>
      </c>
      <c r="T27" s="110" t="s">
        <v>93</v>
      </c>
      <c r="U27" s="127">
        <f>MIN(CF!D98:AC98)</f>
        <v>0</v>
      </c>
      <c r="V27" s="127">
        <f>MIN(CF!D99:AC99)</f>
        <v>0</v>
      </c>
      <c r="W27" s="418"/>
      <c r="X27" s="111" t="s">
        <v>94</v>
      </c>
      <c r="AB27" s="115"/>
      <c r="AC27" s="476"/>
      <c r="AD27" s="314"/>
      <c r="AE27" s="314"/>
      <c r="AF27" s="63"/>
    </row>
    <row r="28" spans="1:36" ht="13.8" thickBot="1" x14ac:dyDescent="0.3">
      <c r="A28" s="128" t="s">
        <v>84</v>
      </c>
      <c r="B28" s="63"/>
      <c r="C28" s="63"/>
      <c r="D28" s="63"/>
      <c r="E28" s="62"/>
      <c r="G28" s="153"/>
      <c r="H28" s="230" t="s">
        <v>78</v>
      </c>
      <c r="I28" s="401">
        <v>0</v>
      </c>
      <c r="J28" s="401">
        <v>0</v>
      </c>
      <c r="K28" s="231" t="s">
        <v>74</v>
      </c>
      <c r="M28" s="61" t="s">
        <v>102</v>
      </c>
      <c r="N28" s="63"/>
      <c r="O28" s="63"/>
      <c r="P28" s="63"/>
      <c r="Q28" s="63"/>
      <c r="R28" s="416">
        <v>0</v>
      </c>
      <c r="T28" s="121" t="s">
        <v>97</v>
      </c>
      <c r="U28" s="129">
        <f>AVERAGE(CF!D98:AC98)</f>
        <v>0</v>
      </c>
      <c r="V28" s="129">
        <f>AVERAGE(CF!D99:AC99)</f>
        <v>0</v>
      </c>
      <c r="W28" s="419"/>
      <c r="X28" s="130" t="s">
        <v>94</v>
      </c>
      <c r="AB28" s="63"/>
      <c r="AC28" s="314"/>
      <c r="AD28" s="314"/>
      <c r="AE28" s="314"/>
      <c r="AF28" s="63"/>
    </row>
    <row r="29" spans="1:36" x14ac:dyDescent="0.25">
      <c r="A29" s="61" t="s">
        <v>86</v>
      </c>
      <c r="B29" s="63"/>
      <c r="C29" s="140">
        <f>SUM(C58:C62)/(8760*avail*dispatch*capacity)</f>
        <v>1.5380918048546021E-4</v>
      </c>
      <c r="D29" s="63" t="s">
        <v>87</v>
      </c>
      <c r="E29" s="407">
        <v>0.02</v>
      </c>
      <c r="G29" s="234"/>
      <c r="H29" s="235" t="s">
        <v>81</v>
      </c>
      <c r="I29" s="414">
        <v>0</v>
      </c>
      <c r="J29" s="414">
        <v>0</v>
      </c>
      <c r="K29" s="236" t="s">
        <v>74</v>
      </c>
      <c r="M29" s="61" t="s">
        <v>104</v>
      </c>
      <c r="N29" s="63"/>
      <c r="O29" s="63"/>
      <c r="P29" s="63"/>
      <c r="Q29" s="63"/>
      <c r="R29" s="416">
        <v>0</v>
      </c>
      <c r="AC29"/>
      <c r="AD29"/>
      <c r="AE29"/>
    </row>
    <row r="30" spans="1:36" x14ac:dyDescent="0.25">
      <c r="A30" s="61" t="s">
        <v>452</v>
      </c>
      <c r="B30" s="63"/>
      <c r="C30" s="140">
        <v>0</v>
      </c>
      <c r="D30" s="63" t="s">
        <v>87</v>
      </c>
      <c r="E30" s="407">
        <v>0.02</v>
      </c>
      <c r="M30" s="61" t="s">
        <v>107</v>
      </c>
      <c r="N30" s="63"/>
      <c r="O30" s="63"/>
      <c r="P30" s="63"/>
      <c r="Q30" s="63"/>
      <c r="R30" s="416">
        <v>0</v>
      </c>
      <c r="T30" s="100" t="s">
        <v>101</v>
      </c>
      <c r="U30" s="60"/>
      <c r="V30" s="60"/>
      <c r="W30" s="60"/>
      <c r="X30" s="54"/>
      <c r="Y30" s="96" t="e">
        <f>X42/DEBT</f>
        <v>#REF!</v>
      </c>
      <c r="AC30"/>
      <c r="AD30"/>
      <c r="AE30"/>
    </row>
    <row r="31" spans="1:36" x14ac:dyDescent="0.25">
      <c r="A31" s="61" t="s">
        <v>95</v>
      </c>
      <c r="B31" s="63"/>
      <c r="C31" s="140">
        <v>0</v>
      </c>
      <c r="D31" s="63" t="s">
        <v>87</v>
      </c>
      <c r="E31" s="407">
        <v>0.02</v>
      </c>
      <c r="G31" s="100" t="s">
        <v>110</v>
      </c>
      <c r="H31" s="60"/>
      <c r="I31" s="150" t="s">
        <v>111</v>
      </c>
      <c r="J31" s="150" t="s">
        <v>112</v>
      </c>
      <c r="K31" s="384" t="s">
        <v>113</v>
      </c>
      <c r="M31" s="61" t="s">
        <v>114</v>
      </c>
      <c r="N31" s="63"/>
      <c r="O31" s="63"/>
      <c r="P31" s="63"/>
      <c r="Q31" s="63"/>
      <c r="R31" s="416">
        <v>0</v>
      </c>
      <c r="T31" s="135" t="s">
        <v>103</v>
      </c>
      <c r="U31" s="136" t="e">
        <f>(($X$50*U54)+($X$42*U46)+($X$34*U38)+($X$58*U62)+($X$66*U70)+($X$74*U78))/($X$34+$X$42+$X$50+$X$58+$X$74+$X$66)</f>
        <v>#REF!</v>
      </c>
      <c r="V31" s="136" t="e">
        <f>(($X$50*V54)+($X$42*V46)+($X$34*V38)+($X$58*V62)+($X$66*V70)+($X$74*V78))/($X$34+$X$42+$X$50+$X$58+$X$66+$X$74)</f>
        <v>#REF!</v>
      </c>
      <c r="W31" s="63"/>
      <c r="X31" s="137" t="e">
        <f>(($X$50*X54)+($X$42*X46)+($X$34*X38)+($X$58*X62)+($X$66*X70)+($X$74*X78))/($X$34+$X$42+$X$50+$X$58+$X$66+$X$74)</f>
        <v>#REF!</v>
      </c>
      <c r="AE31" s="96"/>
    </row>
    <row r="32" spans="1:36" x14ac:dyDescent="0.25">
      <c r="A32" s="86" t="s">
        <v>411</v>
      </c>
      <c r="B32" s="90"/>
      <c r="C32" s="438">
        <f>CF!D28/(1+E26)^(STARTYR-C21)+(C29+C30)*100</f>
        <v>1.5380918048546022E-2</v>
      </c>
      <c r="D32" s="87" t="s">
        <v>412</v>
      </c>
      <c r="E32" s="439"/>
      <c r="G32" s="61" t="s">
        <v>116</v>
      </c>
      <c r="H32" s="63"/>
      <c r="I32" s="413">
        <v>1</v>
      </c>
      <c r="J32" s="413">
        <v>1</v>
      </c>
      <c r="K32" s="186" t="e">
        <f>I32*EQUITY</f>
        <v>#REF!</v>
      </c>
      <c r="M32" s="61" t="s">
        <v>427</v>
      </c>
      <c r="N32" s="63"/>
      <c r="O32" s="63" t="s">
        <v>7</v>
      </c>
      <c r="P32" s="185"/>
      <c r="Q32" s="63"/>
      <c r="R32" s="416">
        <v>0</v>
      </c>
      <c r="T32" s="61"/>
      <c r="U32" s="142" t="s">
        <v>105</v>
      </c>
      <c r="V32" s="142" t="s">
        <v>106</v>
      </c>
      <c r="W32" s="63"/>
      <c r="X32" s="62"/>
    </row>
    <row r="33" spans="1:31" x14ac:dyDescent="0.25">
      <c r="G33" s="72" t="s">
        <v>3</v>
      </c>
      <c r="H33" s="80"/>
      <c r="I33" s="217">
        <f>SUM(I32:I32)</f>
        <v>1</v>
      </c>
      <c r="J33" s="217">
        <f>SUM(J32:J32)</f>
        <v>1</v>
      </c>
      <c r="K33" s="189" t="e">
        <f>SUM(K32:K32)</f>
        <v>#REF!</v>
      </c>
      <c r="M33" s="61" t="s">
        <v>118</v>
      </c>
      <c r="N33" s="63"/>
      <c r="O33" s="63" t="s">
        <v>7</v>
      </c>
      <c r="P33" s="63"/>
      <c r="Q33" s="63"/>
      <c r="R33" s="416">
        <v>0</v>
      </c>
      <c r="T33" s="61" t="s">
        <v>108</v>
      </c>
      <c r="U33" s="63"/>
      <c r="V33" s="63"/>
      <c r="W33" s="422"/>
      <c r="X33" s="62" t="s">
        <v>109</v>
      </c>
    </row>
    <row r="34" spans="1:31" x14ac:dyDescent="0.25">
      <c r="A34" s="100" t="s">
        <v>451</v>
      </c>
      <c r="B34" s="451"/>
      <c r="C34" s="451"/>
      <c r="D34" s="102">
        <f>D7</f>
        <v>2000</v>
      </c>
      <c r="E34" s="261"/>
      <c r="K34" s="99" t="e">
        <f>IF(ABS(K33-EQUITY)&gt;0.01,"CHECK"," ")</f>
        <v>#REF!</v>
      </c>
      <c r="M34" s="61" t="s">
        <v>122</v>
      </c>
      <c r="N34" s="63"/>
      <c r="O34" s="152" t="s">
        <v>7</v>
      </c>
      <c r="P34" s="152"/>
      <c r="Q34" s="63"/>
      <c r="R34" s="417">
        <v>0</v>
      </c>
      <c r="T34" s="61" t="s">
        <v>115</v>
      </c>
      <c r="U34" s="63"/>
      <c r="V34" s="63"/>
      <c r="W34" s="423"/>
      <c r="X34" s="71" t="e">
        <f>DEBT*W34</f>
        <v>#REF!</v>
      </c>
    </row>
    <row r="35" spans="1:31" x14ac:dyDescent="0.25">
      <c r="A35" s="153" t="s">
        <v>19</v>
      </c>
      <c r="B35" s="230"/>
      <c r="C35" s="491"/>
      <c r="D35" s="510"/>
      <c r="E35" s="356" t="s">
        <v>20</v>
      </c>
      <c r="M35" s="237" t="s">
        <v>125</v>
      </c>
      <c r="N35" s="238"/>
      <c r="O35" s="238"/>
      <c r="P35" s="238"/>
      <c r="Q35" s="238"/>
      <c r="R35" s="239">
        <f>SUM(R23:R34)</f>
        <v>0</v>
      </c>
      <c r="T35" s="61" t="s">
        <v>117</v>
      </c>
      <c r="U35" s="63"/>
      <c r="V35" s="63"/>
      <c r="W35" s="146"/>
      <c r="X35" s="405"/>
      <c r="AC35" s="48" t="s">
        <v>7</v>
      </c>
      <c r="AE35" s="48" t="s">
        <v>7</v>
      </c>
    </row>
    <row r="36" spans="1:31" x14ac:dyDescent="0.25">
      <c r="A36" s="153" t="s">
        <v>23</v>
      </c>
      <c r="B36" s="230"/>
      <c r="C36" s="492"/>
      <c r="D36" s="508"/>
      <c r="E36" s="155"/>
      <c r="M36" s="61" t="s">
        <v>128</v>
      </c>
      <c r="N36" s="63"/>
      <c r="O36" s="65"/>
      <c r="P36" s="413">
        <v>0.03</v>
      </c>
      <c r="Q36" s="63"/>
      <c r="R36" s="71"/>
      <c r="T36" s="61" t="s">
        <v>119</v>
      </c>
      <c r="U36" s="63"/>
      <c r="V36" s="63"/>
      <c r="W36" s="218"/>
      <c r="X36" s="62" t="e">
        <f>IF(X34=0,0,ROUND(X35/2+(TERM_C/12)-0.5,1))</f>
        <v>#REF!</v>
      </c>
      <c r="Y36" s="96" t="e">
        <f>X50/DEBT</f>
        <v>#REF!</v>
      </c>
    </row>
    <row r="37" spans="1:31" x14ac:dyDescent="0.25">
      <c r="A37" s="61" t="s">
        <v>443</v>
      </c>
      <c r="B37" s="63"/>
      <c r="C37" s="63"/>
      <c r="D37" s="508"/>
      <c r="E37" s="155"/>
      <c r="M37" s="61" t="s">
        <v>131</v>
      </c>
      <c r="N37" s="63"/>
      <c r="O37" s="63"/>
      <c r="P37" s="65" t="s">
        <v>7</v>
      </c>
      <c r="Q37" s="63"/>
      <c r="R37" s="416">
        <v>0</v>
      </c>
      <c r="T37" s="61" t="s">
        <v>123</v>
      </c>
      <c r="U37" s="63"/>
      <c r="V37" s="63"/>
      <c r="W37" s="366" t="s">
        <v>124</v>
      </c>
      <c r="X37" s="405">
        <v>0</v>
      </c>
    </row>
    <row r="38" spans="1:31" x14ac:dyDescent="0.25">
      <c r="A38" s="153" t="s">
        <v>441</v>
      </c>
      <c r="B38" s="230"/>
      <c r="C38" s="493"/>
      <c r="D38" s="508"/>
      <c r="E38" s="494"/>
      <c r="M38" s="61" t="s">
        <v>134</v>
      </c>
      <c r="N38" s="63"/>
      <c r="O38" s="413">
        <v>0</v>
      </c>
      <c r="P38" s="63"/>
      <c r="Q38" s="63"/>
      <c r="R38" s="71" t="e">
        <f>(R12+R14+R35+R44+R49)*O38</f>
        <v>#REF!</v>
      </c>
      <c r="T38" s="61" t="s">
        <v>126</v>
      </c>
      <c r="U38" s="424"/>
      <c r="V38" s="148"/>
      <c r="W38" s="146"/>
      <c r="X38" s="149">
        <f>V38+U38</f>
        <v>0</v>
      </c>
    </row>
    <row r="39" spans="1:31" x14ac:dyDescent="0.25">
      <c r="A39" s="234" t="s">
        <v>440</v>
      </c>
      <c r="B39" s="235"/>
      <c r="C39" s="498"/>
      <c r="D39" s="509"/>
      <c r="E39" s="262"/>
      <c r="M39" s="61" t="s">
        <v>137</v>
      </c>
      <c r="N39" s="63"/>
      <c r="O39" s="63" t="s">
        <v>7</v>
      </c>
      <c r="P39" s="63"/>
      <c r="Q39" s="63"/>
      <c r="R39" s="416">
        <v>0</v>
      </c>
      <c r="T39" s="61" t="s">
        <v>129</v>
      </c>
      <c r="U39" s="146"/>
      <c r="V39" s="146"/>
      <c r="W39" s="146"/>
      <c r="X39" s="407"/>
    </row>
    <row r="40" spans="1:31" x14ac:dyDescent="0.25">
      <c r="M40" s="61" t="s">
        <v>141</v>
      </c>
      <c r="N40" s="63"/>
      <c r="O40" s="63" t="s">
        <v>7</v>
      </c>
      <c r="P40" s="112" t="s">
        <v>7</v>
      </c>
      <c r="Q40" s="63"/>
      <c r="R40" s="417">
        <v>0</v>
      </c>
      <c r="T40" s="61" t="s">
        <v>132</v>
      </c>
      <c r="U40" s="146"/>
      <c r="V40" s="146"/>
      <c r="W40" s="146"/>
      <c r="X40" s="407"/>
    </row>
    <row r="41" spans="1:31" x14ac:dyDescent="0.25">
      <c r="A41" s="100" t="s">
        <v>120</v>
      </c>
      <c r="B41" s="60"/>
      <c r="C41" s="60"/>
      <c r="D41" s="151" t="s">
        <v>121</v>
      </c>
      <c r="E41" s="409">
        <v>0.02</v>
      </c>
      <c r="M41" s="237" t="s">
        <v>143</v>
      </c>
      <c r="N41" s="238"/>
      <c r="O41" s="238"/>
      <c r="P41" s="238"/>
      <c r="Q41" s="238"/>
      <c r="R41" s="239" t="e">
        <f>R36+R37+R38+R39+R40</f>
        <v>#REF!</v>
      </c>
      <c r="T41" s="153" t="s">
        <v>135</v>
      </c>
      <c r="U41" s="154"/>
      <c r="V41" s="154"/>
      <c r="W41" s="422"/>
      <c r="X41" s="155" t="s">
        <v>109</v>
      </c>
    </row>
    <row r="42" spans="1:31" x14ac:dyDescent="0.25">
      <c r="A42" s="61"/>
      <c r="B42" s="63"/>
      <c r="C42" s="63"/>
      <c r="D42" s="63"/>
      <c r="E42" s="62"/>
      <c r="M42" s="61" t="s">
        <v>145</v>
      </c>
      <c r="N42" s="63"/>
      <c r="O42" s="63" t="s">
        <v>7</v>
      </c>
      <c r="P42" s="63"/>
      <c r="Q42" s="63"/>
      <c r="R42" s="416">
        <v>0</v>
      </c>
      <c r="T42" s="153" t="s">
        <v>138</v>
      </c>
      <c r="U42" s="276" t="s">
        <v>139</v>
      </c>
      <c r="V42" s="154"/>
      <c r="W42" s="423"/>
      <c r="X42" s="277" t="e">
        <f>DEBT*W42</f>
        <v>#REF!</v>
      </c>
      <c r="Y42" s="96" t="e">
        <f>X58/DEBT</f>
        <v>#REF!</v>
      </c>
    </row>
    <row r="43" spans="1:31" x14ac:dyDescent="0.25">
      <c r="A43" s="147" t="s">
        <v>127</v>
      </c>
      <c r="B43" s="63"/>
      <c r="C43" s="70">
        <v>2000</v>
      </c>
      <c r="D43" s="63"/>
      <c r="E43" s="69" t="s">
        <v>71</v>
      </c>
      <c r="M43" s="61" t="s">
        <v>147</v>
      </c>
      <c r="N43" s="63"/>
      <c r="O43" s="63" t="s">
        <v>7</v>
      </c>
      <c r="P43" s="63"/>
      <c r="Q43" s="63"/>
      <c r="R43" s="417">
        <v>0</v>
      </c>
      <c r="T43" s="153" t="s">
        <v>117</v>
      </c>
      <c r="U43" s="154"/>
      <c r="V43" s="154"/>
      <c r="W43" s="154"/>
      <c r="X43" s="405"/>
    </row>
    <row r="44" spans="1:31" x14ac:dyDescent="0.25">
      <c r="A44" s="61" t="s">
        <v>130</v>
      </c>
      <c r="B44" s="63"/>
      <c r="C44" s="410">
        <v>0</v>
      </c>
      <c r="D44" s="63"/>
      <c r="E44" s="407">
        <f t="shared" ref="E44:E56" si="0">CPI</f>
        <v>0.02</v>
      </c>
      <c r="M44" s="237" t="s">
        <v>148</v>
      </c>
      <c r="N44" s="238"/>
      <c r="O44" s="238"/>
      <c r="P44" s="238"/>
      <c r="Q44" s="238"/>
      <c r="R44" s="239">
        <f>SUM(R42:R43)</f>
        <v>0</v>
      </c>
      <c r="T44" s="153" t="s">
        <v>119</v>
      </c>
      <c r="U44" s="154"/>
      <c r="V44" s="154"/>
      <c r="W44" s="278"/>
      <c r="X44" s="155" t="e">
        <f>IF(X42=0,0,ROUND(X43/2+(TERM_C/12)-0.5,1))</f>
        <v>#REF!</v>
      </c>
    </row>
    <row r="45" spans="1:31" x14ac:dyDescent="0.25">
      <c r="A45" s="61" t="s">
        <v>133</v>
      </c>
      <c r="B45" s="63"/>
      <c r="C45" s="410">
        <v>0</v>
      </c>
      <c r="D45" s="63"/>
      <c r="E45" s="407">
        <f t="shared" si="0"/>
        <v>0.02</v>
      </c>
      <c r="M45" s="61" t="s">
        <v>149</v>
      </c>
      <c r="N45" s="63"/>
      <c r="O45" s="63" t="s">
        <v>7</v>
      </c>
      <c r="P45" s="63"/>
      <c r="Q45" s="63"/>
      <c r="R45" s="416">
        <v>0</v>
      </c>
      <c r="T45" s="153" t="s">
        <v>123</v>
      </c>
      <c r="U45" s="154"/>
      <c r="V45" s="154"/>
      <c r="W45" s="366" t="s">
        <v>124</v>
      </c>
      <c r="X45" s="405"/>
      <c r="Z45" s="48" t="s">
        <v>7</v>
      </c>
    </row>
    <row r="46" spans="1:31" x14ac:dyDescent="0.25">
      <c r="A46" s="61" t="s">
        <v>136</v>
      </c>
      <c r="B46" s="63"/>
      <c r="C46" s="410">
        <v>0</v>
      </c>
      <c r="D46" s="63"/>
      <c r="E46" s="407">
        <f t="shared" si="0"/>
        <v>0.02</v>
      </c>
      <c r="M46" s="61" t="s">
        <v>151</v>
      </c>
      <c r="N46" s="63"/>
      <c r="O46" s="415">
        <v>0</v>
      </c>
      <c r="P46" s="63"/>
      <c r="Q46" s="63"/>
      <c r="R46" s="71">
        <f>O46*(1+CPI)^($R$8-$O$8)</f>
        <v>0</v>
      </c>
      <c r="T46" s="153" t="s">
        <v>126</v>
      </c>
      <c r="U46" s="424"/>
      <c r="V46" s="279"/>
      <c r="W46" s="154"/>
      <c r="X46" s="280">
        <f>V46+U46</f>
        <v>0</v>
      </c>
    </row>
    <row r="47" spans="1:31" x14ac:dyDescent="0.25">
      <c r="A47" s="61" t="s">
        <v>140</v>
      </c>
      <c r="B47" s="63"/>
      <c r="C47" s="410">
        <v>0</v>
      </c>
      <c r="D47"/>
      <c r="E47" s="407">
        <f t="shared" si="0"/>
        <v>0.02</v>
      </c>
      <c r="M47" s="61" t="s">
        <v>153</v>
      </c>
      <c r="N47" s="63"/>
      <c r="O47" s="63"/>
      <c r="P47" s="63"/>
      <c r="Q47" s="63"/>
      <c r="R47" s="71" t="e">
        <f>R46*DUTIES</f>
        <v>#REF!</v>
      </c>
      <c r="T47" s="153" t="s">
        <v>129</v>
      </c>
      <c r="U47" s="154"/>
      <c r="V47" s="154"/>
      <c r="W47" s="154"/>
      <c r="X47" s="407"/>
    </row>
    <row r="48" spans="1:31" x14ac:dyDescent="0.25">
      <c r="A48" s="61" t="s">
        <v>142</v>
      </c>
      <c r="B48" s="63"/>
      <c r="C48" s="410">
        <v>0</v>
      </c>
      <c r="D48" s="63"/>
      <c r="E48" s="407">
        <f t="shared" si="0"/>
        <v>0.02</v>
      </c>
      <c r="M48" s="61" t="s">
        <v>154</v>
      </c>
      <c r="N48" s="63"/>
      <c r="O48" s="63"/>
      <c r="P48" s="63"/>
      <c r="Q48" s="63"/>
      <c r="R48" s="143" t="e">
        <f>(R46+R47)*#REF!</f>
        <v>#REF!</v>
      </c>
      <c r="T48" s="153" t="s">
        <v>132</v>
      </c>
      <c r="U48" s="154"/>
      <c r="V48" s="154"/>
      <c r="W48" s="154"/>
      <c r="X48" s="407"/>
      <c r="Y48" s="96" t="e">
        <f>X66/DEBT</f>
        <v>#REF!</v>
      </c>
    </row>
    <row r="49" spans="1:25" x14ac:dyDescent="0.25">
      <c r="A49" s="61" t="s">
        <v>144</v>
      </c>
      <c r="B49" s="63"/>
      <c r="C49" s="410">
        <v>0</v>
      </c>
      <c r="D49"/>
      <c r="E49" s="407">
        <f t="shared" si="0"/>
        <v>0.02</v>
      </c>
      <c r="F49" s="48" t="s">
        <v>7</v>
      </c>
      <c r="M49" s="237" t="s">
        <v>155</v>
      </c>
      <c r="N49" s="238"/>
      <c r="O49" s="238"/>
      <c r="P49" s="238"/>
      <c r="Q49" s="238"/>
      <c r="R49" s="239" t="e">
        <f>SUM(R45:R48)</f>
        <v>#REF!</v>
      </c>
      <c r="T49" s="153" t="s">
        <v>152</v>
      </c>
      <c r="U49" s="154"/>
      <c r="V49" s="154"/>
      <c r="W49" s="422"/>
      <c r="X49" s="155" t="s">
        <v>109</v>
      </c>
    </row>
    <row r="50" spans="1:25" x14ac:dyDescent="0.25">
      <c r="A50" s="61" t="s">
        <v>146</v>
      </c>
      <c r="B50" s="63"/>
      <c r="C50" s="410">
        <v>0</v>
      </c>
      <c r="D50" s="63"/>
      <c r="E50" s="407">
        <f t="shared" si="0"/>
        <v>0.02</v>
      </c>
      <c r="M50" s="61" t="s">
        <v>157</v>
      </c>
      <c r="N50" s="63"/>
      <c r="O50" s="63"/>
      <c r="P50" s="219">
        <v>776012.56952960149</v>
      </c>
      <c r="Q50" s="63"/>
      <c r="R50" s="416">
        <v>0</v>
      </c>
      <c r="T50" s="153" t="s">
        <v>115</v>
      </c>
      <c r="U50" s="154"/>
      <c r="V50" s="154"/>
      <c r="W50" s="423"/>
      <c r="X50" s="277" t="e">
        <f>DEBT*W50</f>
        <v>#REF!</v>
      </c>
    </row>
    <row r="51" spans="1:25" x14ac:dyDescent="0.25">
      <c r="A51" s="61" t="s">
        <v>419</v>
      </c>
      <c r="B51" s="63"/>
      <c r="C51" s="410">
        <v>0</v>
      </c>
      <c r="D51" s="63"/>
      <c r="E51" s="407">
        <f t="shared" si="0"/>
        <v>0.02</v>
      </c>
      <c r="M51" s="61" t="s">
        <v>158</v>
      </c>
      <c r="N51" s="63"/>
      <c r="O51" s="63"/>
      <c r="P51" s="63"/>
      <c r="Q51" s="63"/>
      <c r="R51" s="416">
        <v>0</v>
      </c>
      <c r="T51" s="153" t="s">
        <v>117</v>
      </c>
      <c r="U51" s="154"/>
      <c r="V51" s="154"/>
      <c r="W51" s="154"/>
      <c r="X51" s="405"/>
    </row>
    <row r="52" spans="1:25" x14ac:dyDescent="0.25">
      <c r="A52" s="61" t="s">
        <v>416</v>
      </c>
      <c r="B52" s="63"/>
      <c r="C52" s="410">
        <v>0</v>
      </c>
      <c r="D52" s="63"/>
      <c r="E52" s="407">
        <f t="shared" si="0"/>
        <v>0.02</v>
      </c>
      <c r="M52" s="61" t="s">
        <v>158</v>
      </c>
      <c r="N52" s="63"/>
      <c r="O52" s="63"/>
      <c r="P52" s="63"/>
      <c r="Q52" s="63"/>
      <c r="R52" s="417">
        <v>0</v>
      </c>
      <c r="T52" s="153" t="s">
        <v>119</v>
      </c>
      <c r="U52" s="154"/>
      <c r="V52" s="154"/>
      <c r="W52" s="278"/>
      <c r="X52" s="155" t="e">
        <f>IF(X50=0,0,ROUND(X51/2+(TERM_C/12)-0.5,1))</f>
        <v>#REF!</v>
      </c>
    </row>
    <row r="53" spans="1:25" x14ac:dyDescent="0.25">
      <c r="A53" s="61" t="s">
        <v>150</v>
      </c>
      <c r="B53" s="63"/>
      <c r="C53" s="410">
        <v>0</v>
      </c>
      <c r="D53" s="63"/>
      <c r="E53" s="407">
        <f t="shared" si="0"/>
        <v>0.02</v>
      </c>
      <c r="M53" s="237" t="s">
        <v>160</v>
      </c>
      <c r="N53" s="238"/>
      <c r="O53" s="238"/>
      <c r="P53" s="238"/>
      <c r="Q53" s="238"/>
      <c r="R53" s="240">
        <f>SUM(R50:R52)</f>
        <v>0</v>
      </c>
      <c r="T53" s="153" t="s">
        <v>123</v>
      </c>
      <c r="U53" s="154"/>
      <c r="V53" s="154"/>
      <c r="W53" s="366" t="s">
        <v>124</v>
      </c>
      <c r="X53" s="405"/>
    </row>
    <row r="54" spans="1:25" x14ac:dyDescent="0.25">
      <c r="A54" s="61" t="s">
        <v>95</v>
      </c>
      <c r="B54" s="63"/>
      <c r="C54" s="410">
        <v>0</v>
      </c>
      <c r="D54" s="63"/>
      <c r="E54" s="407">
        <f t="shared" si="0"/>
        <v>0.02</v>
      </c>
      <c r="M54" s="156" t="s">
        <v>42</v>
      </c>
      <c r="N54" s="157"/>
      <c r="O54" s="157"/>
      <c r="P54" s="157"/>
      <c r="Q54" s="80"/>
      <c r="R54" s="158" t="e">
        <f>SUM(R12+R14+R18+R22+R35+R41+R44+R49+R53)</f>
        <v>#REF!</v>
      </c>
      <c r="T54" s="153" t="s">
        <v>159</v>
      </c>
      <c r="U54" s="424"/>
      <c r="V54" s="279"/>
      <c r="W54" s="154"/>
      <c r="X54" s="280">
        <f>V54+U54</f>
        <v>0</v>
      </c>
      <c r="Y54" s="96" t="e">
        <f>X74/DEBT</f>
        <v>#REF!</v>
      </c>
    </row>
    <row r="55" spans="1:25" x14ac:dyDescent="0.25">
      <c r="A55" s="61" t="s">
        <v>435</v>
      </c>
      <c r="B55" s="63"/>
      <c r="C55" s="410">
        <v>0</v>
      </c>
      <c r="D55" s="63"/>
      <c r="E55" s="407">
        <f t="shared" si="0"/>
        <v>0.02</v>
      </c>
      <c r="M55" s="89"/>
      <c r="N55" s="90"/>
      <c r="O55" s="90"/>
      <c r="P55" s="90"/>
      <c r="Q55" s="80"/>
      <c r="R55" s="92"/>
      <c r="T55" s="153" t="s">
        <v>129</v>
      </c>
      <c r="U55" s="154"/>
      <c r="V55" s="154"/>
      <c r="W55" s="154"/>
      <c r="X55" s="407"/>
    </row>
    <row r="56" spans="1:25" x14ac:dyDescent="0.25">
      <c r="A56" s="61" t="s">
        <v>189</v>
      </c>
      <c r="B56" s="63"/>
      <c r="C56" s="410">
        <v>45</v>
      </c>
      <c r="D56" s="63"/>
      <c r="E56" s="407">
        <f t="shared" si="0"/>
        <v>0.02</v>
      </c>
      <c r="M56" s="86" t="s">
        <v>162</v>
      </c>
      <c r="N56" s="90"/>
      <c r="O56" s="90"/>
      <c r="P56" s="90"/>
      <c r="Q56" s="80"/>
      <c r="R56" s="159" t="e">
        <f>COST/capacity</f>
        <v>#REF!</v>
      </c>
      <c r="T56" s="153" t="s">
        <v>132</v>
      </c>
      <c r="U56" s="154"/>
      <c r="V56" s="154"/>
      <c r="W56" s="154"/>
      <c r="X56" s="407"/>
    </row>
    <row r="57" spans="1:25" x14ac:dyDescent="0.25">
      <c r="A57" s="61"/>
      <c r="B57" s="63"/>
      <c r="C57" s="63"/>
      <c r="D57" s="63"/>
      <c r="E57" s="120"/>
      <c r="T57" s="153" t="s">
        <v>161</v>
      </c>
      <c r="U57" s="154"/>
      <c r="V57" s="154"/>
      <c r="W57" s="422"/>
      <c r="X57" s="155" t="s">
        <v>109</v>
      </c>
    </row>
    <row r="58" spans="1:25" x14ac:dyDescent="0.25">
      <c r="A58" s="147" t="s">
        <v>156</v>
      </c>
      <c r="B58" s="63"/>
      <c r="C58" s="410">
        <v>0</v>
      </c>
      <c r="D58" s="63"/>
      <c r="E58" s="407">
        <f>CPI</f>
        <v>0.02</v>
      </c>
      <c r="G58"/>
      <c r="H58"/>
      <c r="I58"/>
      <c r="J58"/>
      <c r="K58"/>
      <c r="T58" s="153" t="s">
        <v>115</v>
      </c>
      <c r="U58" s="154"/>
      <c r="V58" s="154"/>
      <c r="W58" s="423"/>
      <c r="X58" s="277" t="e">
        <f>W58*DEBT</f>
        <v>#REF!</v>
      </c>
    </row>
    <row r="59" spans="1:25" x14ac:dyDescent="0.25">
      <c r="A59" s="61" t="s">
        <v>449</v>
      </c>
      <c r="B59" s="63"/>
      <c r="C59" s="410">
        <v>0</v>
      </c>
      <c r="D59" s="63"/>
      <c r="E59" s="407">
        <f>CPI</f>
        <v>0.02</v>
      </c>
      <c r="G59"/>
      <c r="H59"/>
      <c r="I59"/>
      <c r="J59"/>
      <c r="K59"/>
      <c r="T59" s="153" t="s">
        <v>117</v>
      </c>
      <c r="U59" s="154"/>
      <c r="V59" s="154"/>
      <c r="W59" s="154"/>
      <c r="X59" s="405"/>
    </row>
    <row r="60" spans="1:25" x14ac:dyDescent="0.25">
      <c r="A60" s="61" t="s">
        <v>136</v>
      </c>
      <c r="B60" s="63"/>
      <c r="C60" s="410">
        <v>640</v>
      </c>
      <c r="D60" s="63"/>
      <c r="E60" s="407">
        <f>CPI</f>
        <v>0.02</v>
      </c>
      <c r="G60"/>
      <c r="H60"/>
      <c r="I60"/>
      <c r="J60"/>
      <c r="K60"/>
      <c r="T60" s="153" t="s">
        <v>119</v>
      </c>
      <c r="U60" s="154"/>
      <c r="V60" s="154"/>
      <c r="W60" s="278"/>
      <c r="X60" s="155" t="e">
        <f>IF(X58=0,0,ROUND(X59/2+(TERM_C/12)-0.5,1))</f>
        <v>#REF!</v>
      </c>
    </row>
    <row r="61" spans="1:25" x14ac:dyDescent="0.25">
      <c r="A61" s="61" t="s">
        <v>418</v>
      </c>
      <c r="B61" s="63"/>
      <c r="C61" s="410">
        <v>0</v>
      </c>
      <c r="D61" s="63"/>
      <c r="E61" s="407">
        <f>CPI</f>
        <v>0.02</v>
      </c>
      <c r="G61"/>
      <c r="H61"/>
      <c r="I61"/>
      <c r="J61"/>
      <c r="K61"/>
      <c r="T61" s="153" t="s">
        <v>123</v>
      </c>
      <c r="U61" s="154"/>
      <c r="V61" s="154"/>
      <c r="W61" s="366" t="s">
        <v>124</v>
      </c>
      <c r="X61" s="405"/>
    </row>
    <row r="62" spans="1:25" x14ac:dyDescent="0.25">
      <c r="A62" s="61" t="s">
        <v>95</v>
      </c>
      <c r="B62" s="80"/>
      <c r="C62" s="411">
        <v>0</v>
      </c>
      <c r="D62" s="80"/>
      <c r="E62" s="408">
        <f>CPI</f>
        <v>0.02</v>
      </c>
      <c r="G62"/>
      <c r="H62"/>
      <c r="I62"/>
      <c r="J62"/>
      <c r="K62"/>
      <c r="T62" s="153" t="s">
        <v>163</v>
      </c>
      <c r="U62" s="424"/>
      <c r="V62" s="279"/>
      <c r="W62" s="154"/>
      <c r="X62" s="280">
        <f>V62+U62</f>
        <v>0</v>
      </c>
      <c r="Y62" s="96" t="e">
        <f>SUM(Y23:Y61)</f>
        <v>#REF!</v>
      </c>
    </row>
    <row r="63" spans="1:25" x14ac:dyDescent="0.25">
      <c r="A63" s="72" t="s">
        <v>95</v>
      </c>
      <c r="G63"/>
      <c r="H63"/>
      <c r="I63"/>
      <c r="J63"/>
      <c r="K63"/>
      <c r="T63" s="153" t="s">
        <v>129</v>
      </c>
      <c r="U63" s="154"/>
      <c r="V63" s="154"/>
      <c r="W63" s="154"/>
      <c r="X63" s="407"/>
    </row>
    <row r="64" spans="1:25" x14ac:dyDescent="0.25">
      <c r="D64" s="96">
        <v>0.04</v>
      </c>
      <c r="G64"/>
      <c r="H64"/>
      <c r="I64"/>
      <c r="J64"/>
      <c r="K64"/>
      <c r="T64" s="153" t="s">
        <v>132</v>
      </c>
      <c r="U64" s="154"/>
      <c r="V64" s="154"/>
      <c r="W64" s="154"/>
      <c r="X64" s="407"/>
    </row>
    <row r="65" spans="1:24" x14ac:dyDescent="0.25">
      <c r="A65" s="48" t="s">
        <v>428</v>
      </c>
      <c r="G65"/>
      <c r="H65"/>
      <c r="I65"/>
      <c r="J65"/>
      <c r="K65"/>
      <c r="M65"/>
      <c r="T65" s="153" t="s">
        <v>164</v>
      </c>
      <c r="U65" s="154"/>
      <c r="V65" s="154"/>
      <c r="W65" s="422"/>
      <c r="X65" s="155" t="s">
        <v>109</v>
      </c>
    </row>
    <row r="66" spans="1:24" x14ac:dyDescent="0.25">
      <c r="G66"/>
      <c r="H66"/>
      <c r="I66"/>
      <c r="J66"/>
      <c r="K66"/>
      <c r="M66"/>
      <c r="T66" s="153" t="s">
        <v>115</v>
      </c>
      <c r="U66" s="154"/>
      <c r="V66" s="154"/>
      <c r="W66" s="423"/>
      <c r="X66" s="277" t="e">
        <f>W66*DEBT</f>
        <v>#REF!</v>
      </c>
    </row>
    <row r="67" spans="1:24" x14ac:dyDescent="0.25">
      <c r="G67"/>
      <c r="H67"/>
      <c r="I67"/>
      <c r="J67"/>
      <c r="K67"/>
      <c r="M67"/>
      <c r="T67" s="153" t="s">
        <v>117</v>
      </c>
      <c r="U67" s="154"/>
      <c r="V67" s="154"/>
      <c r="W67" s="154"/>
      <c r="X67" s="405"/>
    </row>
    <row r="68" spans="1:24" x14ac:dyDescent="0.25">
      <c r="F68"/>
      <c r="G68"/>
      <c r="H68"/>
      <c r="I68"/>
      <c r="J68"/>
      <c r="K68"/>
      <c r="L68"/>
      <c r="M68"/>
      <c r="T68" s="153" t="s">
        <v>119</v>
      </c>
      <c r="U68" s="154"/>
      <c r="V68" s="154"/>
      <c r="W68" s="278"/>
      <c r="X68" s="155" t="e">
        <f>IF(X66=0,0,ROUND(X67/2+(TERM_C/12)-0.5,1))</f>
        <v>#REF!</v>
      </c>
    </row>
    <row r="69" spans="1:24" x14ac:dyDescent="0.25">
      <c r="F69"/>
      <c r="G69"/>
      <c r="H69"/>
      <c r="I69"/>
      <c r="J69"/>
      <c r="K69"/>
      <c r="L69"/>
      <c r="M69"/>
      <c r="T69" s="153" t="s">
        <v>123</v>
      </c>
      <c r="U69" s="154"/>
      <c r="V69" s="154"/>
      <c r="W69" s="366" t="s">
        <v>124</v>
      </c>
      <c r="X69" s="405"/>
    </row>
    <row r="70" spans="1:24" x14ac:dyDescent="0.25">
      <c r="F70"/>
      <c r="G70"/>
      <c r="H70"/>
      <c r="I70"/>
      <c r="J70"/>
      <c r="K70"/>
      <c r="L70"/>
      <c r="M70"/>
      <c r="T70" s="153" t="s">
        <v>159</v>
      </c>
      <c r="U70" s="424"/>
      <c r="V70" s="279"/>
      <c r="W70" s="154"/>
      <c r="X70" s="280">
        <f>V70+U70</f>
        <v>0</v>
      </c>
    </row>
    <row r="71" spans="1:24" x14ac:dyDescent="0.25">
      <c r="B71"/>
      <c r="C71"/>
      <c r="D71"/>
      <c r="E71"/>
      <c r="F71"/>
      <c r="G71"/>
      <c r="H71"/>
      <c r="I71"/>
      <c r="J71"/>
      <c r="K71"/>
      <c r="L71"/>
      <c r="M71"/>
      <c r="T71" s="153" t="s">
        <v>129</v>
      </c>
      <c r="U71" s="154"/>
      <c r="V71" s="154"/>
      <c r="W71" s="154"/>
      <c r="X71" s="407"/>
    </row>
    <row r="72" spans="1:24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T72" s="153" t="s">
        <v>132</v>
      </c>
      <c r="U72" s="154"/>
      <c r="V72" s="154"/>
      <c r="W72" s="154"/>
      <c r="X72" s="407"/>
    </row>
    <row r="73" spans="1:24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T73" s="153" t="s">
        <v>165</v>
      </c>
      <c r="U73" s="154"/>
      <c r="V73" s="154"/>
      <c r="W73" s="422"/>
      <c r="X73" s="155" t="s">
        <v>109</v>
      </c>
    </row>
    <row r="74" spans="1:24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T74" s="153" t="s">
        <v>115</v>
      </c>
      <c r="U74" s="154"/>
      <c r="V74" s="154"/>
      <c r="W74" s="423"/>
      <c r="X74" s="277" t="e">
        <f>W74*DEBT</f>
        <v>#REF!</v>
      </c>
    </row>
    <row r="75" spans="1:24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T75" s="153" t="s">
        <v>117</v>
      </c>
      <c r="U75" s="154"/>
      <c r="V75" s="154"/>
      <c r="W75" s="154"/>
      <c r="X75" s="405"/>
    </row>
    <row r="76" spans="1:24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T76" s="153" t="s">
        <v>119</v>
      </c>
      <c r="U76" s="154"/>
      <c r="V76" s="154"/>
      <c r="W76" s="278"/>
      <c r="X76" s="155" t="e">
        <f>IF(X74=0,0,ROUND(X75/2+(TERM_C/12)-0.5,1))</f>
        <v>#REF!</v>
      </c>
    </row>
    <row r="77" spans="1:24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T77" s="153" t="s">
        <v>123</v>
      </c>
      <c r="U77" s="154"/>
      <c r="V77" s="154"/>
      <c r="W77" s="366" t="s">
        <v>124</v>
      </c>
      <c r="X77" s="405"/>
    </row>
    <row r="78" spans="1:24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T78" s="153" t="s">
        <v>163</v>
      </c>
      <c r="U78" s="424"/>
      <c r="V78" s="279"/>
      <c r="W78" s="154"/>
      <c r="X78" s="280">
        <f>V78+U78</f>
        <v>0</v>
      </c>
    </row>
    <row r="79" spans="1:24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T79" s="153" t="s">
        <v>129</v>
      </c>
      <c r="U79" s="154"/>
      <c r="V79" s="154"/>
      <c r="W79" s="154"/>
      <c r="X79" s="407"/>
    </row>
    <row r="80" spans="1:24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T80" s="153" t="s">
        <v>132</v>
      </c>
      <c r="U80" s="154"/>
      <c r="V80" s="154"/>
      <c r="W80" s="154"/>
      <c r="X80" s="407"/>
    </row>
    <row r="81" spans="1:2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T81" s="153"/>
      <c r="U81" s="154"/>
      <c r="V81" s="154"/>
      <c r="W81" s="154"/>
      <c r="X81" s="62"/>
    </row>
    <row r="82" spans="1:2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T82" s="153" t="s">
        <v>400</v>
      </c>
      <c r="U82" s="429" t="s">
        <v>401</v>
      </c>
      <c r="V82" s="154"/>
      <c r="W82" s="518" t="s">
        <v>402</v>
      </c>
      <c r="X82" s="519"/>
    </row>
    <row r="83" spans="1:2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T83" s="61"/>
      <c r="U83" s="146"/>
      <c r="V83" s="146"/>
      <c r="W83" s="146"/>
      <c r="X83" s="62"/>
    </row>
    <row r="84" spans="1:2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T84" s="61" t="s">
        <v>166</v>
      </c>
      <c r="U84" s="146"/>
      <c r="V84" s="160">
        <f>1-equityperc</f>
        <v>0</v>
      </c>
      <c r="W84" s="146"/>
      <c r="X84" s="71" t="e">
        <f>COST*DEBTPERC</f>
        <v>#REF!</v>
      </c>
      <c r="Y84" s="383"/>
    </row>
    <row r="85" spans="1:2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T85" s="61" t="s">
        <v>167</v>
      </c>
      <c r="U85" s="146"/>
      <c r="V85" s="425">
        <v>1</v>
      </c>
      <c r="W85" s="146"/>
      <c r="X85" s="143" t="e">
        <f>COST*equityperc</f>
        <v>#REF!</v>
      </c>
    </row>
    <row r="86" spans="1:2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T86" s="72" t="s">
        <v>168</v>
      </c>
      <c r="U86" s="161"/>
      <c r="V86" s="162">
        <f>DEBTPERC+equityperc</f>
        <v>1</v>
      </c>
      <c r="W86" s="161"/>
      <c r="X86" s="163" t="e">
        <f>SUM(X84:X85)</f>
        <v>#REF!</v>
      </c>
    </row>
    <row r="87" spans="1:2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T87" s="63"/>
      <c r="U87" s="146"/>
      <c r="V87" s="426"/>
      <c r="W87" s="146"/>
      <c r="X87" s="427"/>
    </row>
    <row r="88" spans="1:2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U88" s="108"/>
      <c r="V88" s="108"/>
      <c r="W88" s="108"/>
    </row>
    <row r="89" spans="1:2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U89" s="108"/>
      <c r="V89" s="108"/>
      <c r="W89" s="108"/>
    </row>
    <row r="90" spans="1:2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U90" s="108"/>
      <c r="V90" s="108"/>
      <c r="W90" s="108"/>
    </row>
    <row r="91" spans="1:2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U91" s="108"/>
      <c r="V91" s="108"/>
    </row>
    <row r="92" spans="1:2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U92" s="108"/>
      <c r="V92" s="108"/>
    </row>
    <row r="93" spans="1:2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U93" s="108"/>
      <c r="V93" s="108"/>
    </row>
    <row r="94" spans="1:2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U94" s="108"/>
      <c r="V94" s="108"/>
    </row>
    <row r="95" spans="1:2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U95" s="108"/>
      <c r="V95" s="108"/>
    </row>
    <row r="96" spans="1:2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U96" s="108"/>
      <c r="V96" s="108"/>
    </row>
    <row r="97" spans="1:33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U97" s="108"/>
      <c r="V97" s="108"/>
    </row>
    <row r="98" spans="1:33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U98" s="108"/>
      <c r="V98" s="108"/>
    </row>
    <row r="99" spans="1:33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U99" s="108"/>
      <c r="V99" s="108"/>
    </row>
    <row r="100" spans="1:33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U100" s="108"/>
      <c r="V100" s="108"/>
    </row>
    <row r="101" spans="1:33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</row>
    <row r="102" spans="1:33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</row>
    <row r="103" spans="1:33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</row>
    <row r="104" spans="1:33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O104" s="48" t="s">
        <v>169</v>
      </c>
    </row>
    <row r="105" spans="1:33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O105" s="48" t="s">
        <v>170</v>
      </c>
      <c r="AD105"/>
    </row>
    <row r="106" spans="1:33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O106" s="48" t="s">
        <v>171</v>
      </c>
      <c r="AD106"/>
    </row>
    <row r="107" spans="1:33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AD107"/>
    </row>
    <row r="108" spans="1:33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AD108"/>
    </row>
    <row r="109" spans="1:33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</row>
    <row r="110" spans="1:33" x14ac:dyDescent="0.25">
      <c r="A110"/>
      <c r="B110"/>
      <c r="C110"/>
      <c r="D110"/>
      <c r="E110"/>
      <c r="F110"/>
      <c r="L110"/>
      <c r="M110"/>
    </row>
    <row r="111" spans="1:33" x14ac:dyDescent="0.25">
      <c r="A111"/>
      <c r="B111"/>
      <c r="C111"/>
      <c r="D111"/>
      <c r="E111"/>
      <c r="F111"/>
      <c r="L111"/>
      <c r="M111"/>
    </row>
    <row r="112" spans="1:33" x14ac:dyDescent="0.25">
      <c r="A112"/>
      <c r="B112"/>
      <c r="C112"/>
      <c r="D112"/>
      <c r="E112"/>
      <c r="F112"/>
      <c r="L112"/>
      <c r="M112"/>
      <c r="AD112"/>
      <c r="AE112"/>
      <c r="AF112"/>
      <c r="AG112"/>
    </row>
    <row r="113" spans="1:38" x14ac:dyDescent="0.25">
      <c r="A113"/>
      <c r="B113"/>
      <c r="C113"/>
      <c r="D113"/>
      <c r="E113"/>
      <c r="F113"/>
      <c r="L113"/>
      <c r="M113"/>
      <c r="AD113"/>
      <c r="AE113"/>
      <c r="AF113"/>
      <c r="AG113"/>
    </row>
    <row r="114" spans="1:38" x14ac:dyDescent="0.25">
      <c r="A114"/>
      <c r="B114"/>
      <c r="C114"/>
      <c r="D114"/>
      <c r="E114"/>
      <c r="F114"/>
      <c r="L114"/>
      <c r="M114"/>
      <c r="AD114"/>
      <c r="AE114"/>
      <c r="AF114"/>
      <c r="AG114"/>
      <c r="AH114"/>
      <c r="AI114"/>
      <c r="AJ114"/>
      <c r="AK114"/>
    </row>
    <row r="115" spans="1:38" x14ac:dyDescent="0.25">
      <c r="A115"/>
      <c r="B115"/>
      <c r="C115"/>
      <c r="D115"/>
      <c r="E115"/>
      <c r="F115"/>
      <c r="L115"/>
      <c r="M115"/>
      <c r="AD115"/>
      <c r="AE115"/>
      <c r="AF115"/>
      <c r="AG115"/>
      <c r="AH115"/>
      <c r="AI115"/>
      <c r="AJ115"/>
      <c r="AK115"/>
    </row>
    <row r="116" spans="1:38" x14ac:dyDescent="0.25">
      <c r="A116"/>
      <c r="B116"/>
      <c r="C116"/>
      <c r="D116"/>
      <c r="E116"/>
      <c r="F116"/>
      <c r="L116"/>
      <c r="M116"/>
      <c r="AD116"/>
      <c r="AE116"/>
      <c r="AF116"/>
      <c r="AG116"/>
      <c r="AH116"/>
      <c r="AI116"/>
      <c r="AJ116"/>
      <c r="AK116"/>
    </row>
    <row r="117" spans="1:38" x14ac:dyDescent="0.25">
      <c r="A117"/>
      <c r="B117"/>
      <c r="C117"/>
      <c r="D117"/>
      <c r="E117"/>
      <c r="F117"/>
      <c r="L117"/>
      <c r="AD117"/>
      <c r="AE117"/>
      <c r="AF117"/>
      <c r="AG117"/>
      <c r="AH117"/>
      <c r="AI117"/>
      <c r="AJ117"/>
      <c r="AK117"/>
    </row>
    <row r="118" spans="1:38" x14ac:dyDescent="0.25">
      <c r="A118"/>
      <c r="B118"/>
      <c r="C118"/>
      <c r="D118"/>
      <c r="E118"/>
      <c r="F118"/>
      <c r="L118"/>
      <c r="AD118"/>
      <c r="AE118"/>
      <c r="AF118"/>
      <c r="AG118"/>
      <c r="AH118"/>
      <c r="AI118"/>
      <c r="AJ118"/>
      <c r="AK118"/>
      <c r="AL118" s="48">
        <v>2</v>
      </c>
    </row>
    <row r="119" spans="1:38" x14ac:dyDescent="0.25">
      <c r="A119"/>
      <c r="B119"/>
      <c r="C119"/>
      <c r="D119"/>
      <c r="E119"/>
      <c r="F119"/>
      <c r="L119"/>
      <c r="AD119"/>
      <c r="AE119"/>
      <c r="AF119"/>
      <c r="AG119"/>
      <c r="AH119"/>
      <c r="AI119"/>
      <c r="AJ119"/>
      <c r="AK119"/>
    </row>
    <row r="120" spans="1:38" x14ac:dyDescent="0.25">
      <c r="A120"/>
      <c r="B120"/>
      <c r="C120"/>
      <c r="D120"/>
      <c r="E120"/>
      <c r="AD120"/>
      <c r="AE120"/>
      <c r="AF120"/>
      <c r="AG120"/>
      <c r="AH120"/>
      <c r="AI120"/>
      <c r="AJ120"/>
      <c r="AK120"/>
      <c r="AL120" s="48">
        <v>3</v>
      </c>
    </row>
    <row r="121" spans="1:38" x14ac:dyDescent="0.25">
      <c r="A121"/>
      <c r="B121"/>
      <c r="C121"/>
      <c r="D121"/>
      <c r="E121"/>
      <c r="AD121"/>
      <c r="AE121"/>
      <c r="AF121"/>
      <c r="AG121"/>
      <c r="AH121"/>
      <c r="AI121"/>
      <c r="AJ121"/>
      <c r="AK121"/>
    </row>
    <row r="122" spans="1:38" x14ac:dyDescent="0.25">
      <c r="A122"/>
      <c r="B122"/>
      <c r="C122"/>
      <c r="D122"/>
      <c r="E122"/>
      <c r="AD122"/>
      <c r="AE122"/>
      <c r="AF122"/>
      <c r="AG122"/>
      <c r="AH122"/>
      <c r="AI122"/>
      <c r="AJ122"/>
      <c r="AK122"/>
      <c r="AL122" s="48">
        <v>4</v>
      </c>
    </row>
    <row r="123" spans="1:38" x14ac:dyDescent="0.25">
      <c r="A123"/>
      <c r="AD123"/>
      <c r="AE123"/>
      <c r="AF123"/>
      <c r="AG123"/>
      <c r="AH123"/>
      <c r="AI123"/>
      <c r="AJ123"/>
      <c r="AK123"/>
    </row>
    <row r="124" spans="1:38" x14ac:dyDescent="0.25">
      <c r="AD124"/>
      <c r="AE124"/>
      <c r="AF124"/>
      <c r="AG124"/>
      <c r="AH124"/>
      <c r="AI124"/>
      <c r="AJ124"/>
      <c r="AK124"/>
      <c r="AL124" s="48">
        <v>5</v>
      </c>
    </row>
    <row r="125" spans="1:38" x14ac:dyDescent="0.25">
      <c r="AD125"/>
      <c r="AE125"/>
      <c r="AF125"/>
      <c r="AG125"/>
      <c r="AH125"/>
      <c r="AI125"/>
      <c r="AJ125"/>
      <c r="AK125"/>
    </row>
    <row r="126" spans="1:38" x14ac:dyDescent="0.25">
      <c r="AD126"/>
      <c r="AE126"/>
      <c r="AF126"/>
      <c r="AG126"/>
      <c r="AH126"/>
      <c r="AI126"/>
      <c r="AJ126"/>
      <c r="AK126"/>
      <c r="AL126" s="48">
        <v>6</v>
      </c>
    </row>
    <row r="127" spans="1:38" x14ac:dyDescent="0.25">
      <c r="AD127"/>
      <c r="AE127"/>
      <c r="AF127"/>
      <c r="AG127"/>
      <c r="AH127"/>
      <c r="AI127"/>
      <c r="AJ127"/>
      <c r="AK127"/>
    </row>
    <row r="128" spans="1:38" x14ac:dyDescent="0.25">
      <c r="AD128"/>
      <c r="AE128"/>
      <c r="AF128"/>
      <c r="AG128"/>
      <c r="AH128"/>
      <c r="AI128"/>
      <c r="AJ128"/>
      <c r="AK128"/>
      <c r="AL128" s="48">
        <v>7</v>
      </c>
    </row>
    <row r="129" spans="30:38" x14ac:dyDescent="0.25">
      <c r="AD129"/>
      <c r="AE129"/>
      <c r="AF129"/>
      <c r="AG129"/>
      <c r="AH129"/>
      <c r="AI129"/>
      <c r="AJ129"/>
      <c r="AK129"/>
    </row>
    <row r="130" spans="30:38" x14ac:dyDescent="0.25">
      <c r="AD130"/>
      <c r="AE130"/>
      <c r="AF130"/>
      <c r="AG130"/>
      <c r="AH130"/>
      <c r="AI130"/>
      <c r="AJ130"/>
      <c r="AK130"/>
      <c r="AL130" s="48">
        <v>8</v>
      </c>
    </row>
    <row r="131" spans="30:38" x14ac:dyDescent="0.25">
      <c r="AD131"/>
      <c r="AE131"/>
      <c r="AF131"/>
      <c r="AG131"/>
      <c r="AH131"/>
      <c r="AI131"/>
      <c r="AJ131"/>
      <c r="AK131"/>
    </row>
    <row r="132" spans="30:38" x14ac:dyDescent="0.25">
      <c r="AD132"/>
      <c r="AE132"/>
      <c r="AF132"/>
      <c r="AG132"/>
      <c r="AH132"/>
      <c r="AI132"/>
      <c r="AJ132"/>
      <c r="AK132"/>
    </row>
    <row r="133" spans="30:38" x14ac:dyDescent="0.25">
      <c r="AD133"/>
      <c r="AE133"/>
      <c r="AF133"/>
      <c r="AG133"/>
      <c r="AH133"/>
      <c r="AI133"/>
      <c r="AJ133"/>
      <c r="AK133"/>
    </row>
    <row r="134" spans="30:38" x14ac:dyDescent="0.25">
      <c r="AD134"/>
      <c r="AE134"/>
      <c r="AF134"/>
      <c r="AG134"/>
      <c r="AH134"/>
      <c r="AI134"/>
      <c r="AJ134"/>
      <c r="AK134"/>
    </row>
    <row r="135" spans="30:38" x14ac:dyDescent="0.25">
      <c r="AD135"/>
      <c r="AE135"/>
      <c r="AF135"/>
      <c r="AG135"/>
      <c r="AH135"/>
      <c r="AI135"/>
      <c r="AJ135"/>
      <c r="AK135"/>
    </row>
    <row r="136" spans="30:38" x14ac:dyDescent="0.25">
      <c r="AD136"/>
      <c r="AE136"/>
      <c r="AF136"/>
      <c r="AG136"/>
      <c r="AH136"/>
      <c r="AI136"/>
      <c r="AJ136"/>
      <c r="AK136"/>
    </row>
    <row r="137" spans="30:38" x14ac:dyDescent="0.25">
      <c r="AD137"/>
      <c r="AE137"/>
      <c r="AF137"/>
      <c r="AG137"/>
      <c r="AH137"/>
      <c r="AI137"/>
      <c r="AJ137"/>
      <c r="AK137"/>
    </row>
    <row r="138" spans="30:38" x14ac:dyDescent="0.25">
      <c r="AD138"/>
      <c r="AE138"/>
      <c r="AF138"/>
      <c r="AG138"/>
      <c r="AH138"/>
      <c r="AI138"/>
      <c r="AJ138"/>
      <c r="AK138"/>
    </row>
    <row r="139" spans="30:38" x14ac:dyDescent="0.25">
      <c r="AD139"/>
      <c r="AE139"/>
      <c r="AF139"/>
      <c r="AG139"/>
      <c r="AH139"/>
      <c r="AI139"/>
      <c r="AJ139"/>
      <c r="AK139"/>
    </row>
    <row r="140" spans="30:38" x14ac:dyDescent="0.25">
      <c r="AD140"/>
      <c r="AE140"/>
      <c r="AF140"/>
      <c r="AG140"/>
      <c r="AH140"/>
      <c r="AI140"/>
      <c r="AJ140"/>
      <c r="AK140"/>
    </row>
    <row r="141" spans="30:38" x14ac:dyDescent="0.25">
      <c r="AD141"/>
      <c r="AE141"/>
      <c r="AF141"/>
      <c r="AG141"/>
      <c r="AH141"/>
      <c r="AI141"/>
      <c r="AJ141"/>
      <c r="AK141"/>
    </row>
    <row r="142" spans="30:38" x14ac:dyDescent="0.25">
      <c r="AD142"/>
      <c r="AE142"/>
      <c r="AF142"/>
      <c r="AG142"/>
      <c r="AH142"/>
      <c r="AI142"/>
      <c r="AJ142"/>
      <c r="AK142"/>
    </row>
    <row r="143" spans="30:38" x14ac:dyDescent="0.25">
      <c r="AH143"/>
      <c r="AI143"/>
      <c r="AJ143"/>
      <c r="AK143"/>
    </row>
    <row r="144" spans="30:38" x14ac:dyDescent="0.25">
      <c r="AH144"/>
      <c r="AI144"/>
      <c r="AJ144"/>
      <c r="AK144"/>
    </row>
  </sheetData>
  <mergeCells count="1">
    <mergeCell ref="W82:X82"/>
  </mergeCells>
  <printOptions horizontalCentered="1"/>
  <pageMargins left="0.25" right="0.25" top="0.25" bottom="0.25" header="0.5" footer="0.5"/>
  <pageSetup scale="45" orientation="landscape" horizontalDpi="4294967292" r:id="rId1"/>
  <headerFooter alignWithMargins="0">
    <oddHeader>&amp;C &amp;R&amp;D &amp;T</oddHeader>
    <oddFooter>&amp;Ldev_fin/base/&amp;F&amp;C &amp;RPage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CONVERGE">
                <anchor moveWithCells="1" sizeWithCells="1">
                  <from>
                    <xdr:col>1</xdr:col>
                    <xdr:colOff>655320</xdr:colOff>
                    <xdr:row>0</xdr:row>
                    <xdr:rowOff>22860</xdr:rowOff>
                  </from>
                  <to>
                    <xdr:col>2</xdr:col>
                    <xdr:colOff>45720</xdr:colOff>
                    <xdr:row>1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PRINTALL">
                <anchor moveWithCells="1" sizeWithCells="1">
                  <from>
                    <xdr:col>0</xdr:col>
                    <xdr:colOff>144780</xdr:colOff>
                    <xdr:row>0</xdr:row>
                    <xdr:rowOff>7620</xdr:rowOff>
                  </from>
                  <to>
                    <xdr:col>1</xdr:col>
                    <xdr:colOff>510540</xdr:colOff>
                    <xdr:row>1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AF111"/>
  <sheetViews>
    <sheetView workbookViewId="0">
      <selection activeCell="E108" sqref="E108"/>
    </sheetView>
  </sheetViews>
  <sheetFormatPr defaultColWidth="9.109375" defaultRowHeight="13.2" x14ac:dyDescent="0.25"/>
  <cols>
    <col min="1" max="1" width="29.6640625" style="48" customWidth="1"/>
    <col min="2" max="2" width="13.6640625" style="48" customWidth="1"/>
    <col min="3" max="3" width="20.5546875" style="48" customWidth="1"/>
    <col min="4" max="30" width="10.6640625" style="48" customWidth="1"/>
    <col min="31" max="16384" width="9.109375" style="48"/>
  </cols>
  <sheetData>
    <row r="1" spans="1:30" ht="15.6" x14ac:dyDescent="0.3">
      <c r="A1" s="221" t="s">
        <v>172</v>
      </c>
      <c r="B1" s="261"/>
    </row>
    <row r="2" spans="1:30" ht="15.6" x14ac:dyDescent="0.3">
      <c r="A2" s="244">
        <f>ASS!A4</f>
        <v>0</v>
      </c>
      <c r="B2" s="155"/>
    </row>
    <row r="3" spans="1:30" ht="15.6" x14ac:dyDescent="0.3">
      <c r="A3" s="246" t="str">
        <f>ASS!A5</f>
        <v>BASE MODEL</v>
      </c>
      <c r="B3" s="262"/>
    </row>
    <row r="4" spans="1:30" ht="15.6" x14ac:dyDescent="0.3">
      <c r="A4" s="225"/>
      <c r="B4" s="230"/>
      <c r="N4" s="450"/>
      <c r="S4" s="442"/>
    </row>
    <row r="5" spans="1:30" x14ac:dyDescent="0.25">
      <c r="A5" s="53" t="s">
        <v>173</v>
      </c>
      <c r="B5" s="60"/>
      <c r="C5" s="60"/>
      <c r="D5" s="321">
        <v>1</v>
      </c>
      <c r="E5" s="60">
        <f>D5+1</f>
        <v>2</v>
      </c>
      <c r="F5" s="60">
        <f t="shared" ref="F5:U5" si="0">E5+1</f>
        <v>3</v>
      </c>
      <c r="G5" s="60">
        <f t="shared" si="0"/>
        <v>4</v>
      </c>
      <c r="H5" s="60">
        <f t="shared" si="0"/>
        <v>5</v>
      </c>
      <c r="I5" s="60">
        <f t="shared" si="0"/>
        <v>6</v>
      </c>
      <c r="J5" s="60">
        <f t="shared" si="0"/>
        <v>7</v>
      </c>
      <c r="K5" s="60">
        <f t="shared" si="0"/>
        <v>8</v>
      </c>
      <c r="L5" s="60">
        <f t="shared" si="0"/>
        <v>9</v>
      </c>
      <c r="M5" s="60">
        <f t="shared" si="0"/>
        <v>10</v>
      </c>
      <c r="N5" s="451">
        <f t="shared" si="0"/>
        <v>11</v>
      </c>
      <c r="O5" s="60">
        <f t="shared" si="0"/>
        <v>12</v>
      </c>
      <c r="P5" s="60">
        <f t="shared" si="0"/>
        <v>13</v>
      </c>
      <c r="Q5" s="60">
        <f t="shared" si="0"/>
        <v>14</v>
      </c>
      <c r="R5" s="60">
        <f t="shared" si="0"/>
        <v>15</v>
      </c>
      <c r="S5" s="443">
        <f t="shared" si="0"/>
        <v>16</v>
      </c>
      <c r="T5" s="60">
        <f t="shared" si="0"/>
        <v>17</v>
      </c>
      <c r="U5" s="60">
        <f t="shared" si="0"/>
        <v>18</v>
      </c>
      <c r="V5" s="60">
        <f t="shared" ref="V5:AC5" si="1">U5+1</f>
        <v>19</v>
      </c>
      <c r="W5" s="60">
        <f t="shared" si="1"/>
        <v>20</v>
      </c>
      <c r="X5" s="60">
        <f t="shared" si="1"/>
        <v>21</v>
      </c>
      <c r="Y5" s="60">
        <f t="shared" si="1"/>
        <v>22</v>
      </c>
      <c r="Z5" s="60">
        <f t="shared" si="1"/>
        <v>23</v>
      </c>
      <c r="AA5" s="60">
        <f t="shared" si="1"/>
        <v>24</v>
      </c>
      <c r="AB5" s="60">
        <f t="shared" si="1"/>
        <v>25</v>
      </c>
      <c r="AC5" s="54">
        <f t="shared" si="1"/>
        <v>26</v>
      </c>
      <c r="AD5" s="49"/>
    </row>
    <row r="6" spans="1:30" x14ac:dyDescent="0.25">
      <c r="A6" s="326" t="s">
        <v>174</v>
      </c>
      <c r="B6" s="63"/>
      <c r="C6" s="63"/>
      <c r="D6" s="322">
        <f>STARTYR</f>
        <v>2001</v>
      </c>
      <c r="E6" s="322">
        <f>IF(D6+1-$D$6&gt;TERM, 0, IF(D6&gt;0, D6+1, 0))</f>
        <v>2002</v>
      </c>
      <c r="F6" s="322">
        <f t="shared" ref="F6:U6" si="2">IF(E6+1-$D$6&gt;TERM, 0, IF(E6&gt;0, E6+1, 0))</f>
        <v>2003</v>
      </c>
      <c r="G6" s="322">
        <f t="shared" si="2"/>
        <v>2004</v>
      </c>
      <c r="H6" s="322">
        <f t="shared" si="2"/>
        <v>2005</v>
      </c>
      <c r="I6" s="322">
        <f t="shared" si="2"/>
        <v>2006</v>
      </c>
      <c r="J6" s="322">
        <f t="shared" si="2"/>
        <v>2007</v>
      </c>
      <c r="K6" s="322">
        <f t="shared" si="2"/>
        <v>2008</v>
      </c>
      <c r="L6" s="322">
        <f t="shared" si="2"/>
        <v>2009</v>
      </c>
      <c r="M6" s="322">
        <f t="shared" si="2"/>
        <v>2010</v>
      </c>
      <c r="N6" s="452">
        <f t="shared" si="2"/>
        <v>2011</v>
      </c>
      <c r="O6" s="322">
        <f t="shared" si="2"/>
        <v>2012</v>
      </c>
      <c r="P6" s="322">
        <f t="shared" si="2"/>
        <v>2013</v>
      </c>
      <c r="Q6" s="322">
        <f t="shared" si="2"/>
        <v>2014</v>
      </c>
      <c r="R6" s="322">
        <f t="shared" si="2"/>
        <v>2015</v>
      </c>
      <c r="S6" s="444">
        <f t="shared" si="2"/>
        <v>2016</v>
      </c>
      <c r="T6" s="322">
        <f t="shared" si="2"/>
        <v>2017</v>
      </c>
      <c r="U6" s="322">
        <f t="shared" si="2"/>
        <v>2018</v>
      </c>
      <c r="V6" s="322">
        <f t="shared" ref="V6:AC6" si="3">IF(U6+1-$D$6&gt;TERM, 0, IF(U6&gt;0, U6+1, 0))</f>
        <v>2019</v>
      </c>
      <c r="W6" s="322">
        <f t="shared" si="3"/>
        <v>2020</v>
      </c>
      <c r="X6" s="322">
        <f t="shared" si="3"/>
        <v>2021</v>
      </c>
      <c r="Y6" s="322">
        <f t="shared" si="3"/>
        <v>2022</v>
      </c>
      <c r="Z6" s="322">
        <f t="shared" si="3"/>
        <v>2023</v>
      </c>
      <c r="AA6" s="322">
        <f t="shared" si="3"/>
        <v>2024</v>
      </c>
      <c r="AB6" s="322">
        <f t="shared" si="3"/>
        <v>2025</v>
      </c>
      <c r="AC6" s="323">
        <f t="shared" si="3"/>
        <v>2026</v>
      </c>
      <c r="AD6" s="50" t="s">
        <v>175</v>
      </c>
    </row>
    <row r="7" spans="1:30" x14ac:dyDescent="0.25">
      <c r="A7" s="72" t="s">
        <v>176</v>
      </c>
      <c r="B7" s="80"/>
      <c r="C7" s="80"/>
      <c r="D7" s="80">
        <f>12-MOSYR1+1</f>
        <v>7</v>
      </c>
      <c r="E7" s="80">
        <f>IF(E5&lt;=TERM, 12, IF(E5=TERM+1, +MOSYR1-1,))</f>
        <v>12</v>
      </c>
      <c r="F7" s="80">
        <f t="shared" ref="F7:U7" si="4">IF(F5&lt;=TERM, 12, IF(F5=TERM+1, +MOSYR1-1,))</f>
        <v>12</v>
      </c>
      <c r="G7" s="80">
        <f t="shared" si="4"/>
        <v>12</v>
      </c>
      <c r="H7" s="80">
        <f t="shared" si="4"/>
        <v>12</v>
      </c>
      <c r="I7" s="80">
        <f t="shared" si="4"/>
        <v>12</v>
      </c>
      <c r="J7" s="80">
        <f t="shared" si="4"/>
        <v>12</v>
      </c>
      <c r="K7" s="80">
        <f t="shared" si="4"/>
        <v>12</v>
      </c>
      <c r="L7" s="80">
        <f t="shared" si="4"/>
        <v>12</v>
      </c>
      <c r="M7" s="80">
        <f t="shared" si="4"/>
        <v>12</v>
      </c>
      <c r="N7" s="235">
        <f t="shared" si="4"/>
        <v>12</v>
      </c>
      <c r="O7" s="80">
        <f t="shared" si="4"/>
        <v>12</v>
      </c>
      <c r="P7" s="80">
        <f t="shared" si="4"/>
        <v>12</v>
      </c>
      <c r="Q7" s="80">
        <f t="shared" si="4"/>
        <v>12</v>
      </c>
      <c r="R7" s="80">
        <f t="shared" si="4"/>
        <v>12</v>
      </c>
      <c r="S7" s="445">
        <f t="shared" si="4"/>
        <v>12</v>
      </c>
      <c r="T7" s="80">
        <f t="shared" si="4"/>
        <v>12</v>
      </c>
      <c r="U7" s="80">
        <f t="shared" si="4"/>
        <v>12</v>
      </c>
      <c r="V7" s="80">
        <f t="shared" ref="V7:AB7" si="5">IF(V5&lt;=TERM, 12, IF(V5=TERM+1, +MOSYR1-1,))</f>
        <v>12</v>
      </c>
      <c r="W7" s="80">
        <f t="shared" si="5"/>
        <v>12</v>
      </c>
      <c r="X7" s="80">
        <f t="shared" si="5"/>
        <v>12</v>
      </c>
      <c r="Y7" s="80">
        <f t="shared" si="5"/>
        <v>12</v>
      </c>
      <c r="Z7" s="80">
        <f t="shared" si="5"/>
        <v>12</v>
      </c>
      <c r="AA7" s="80">
        <f t="shared" si="5"/>
        <v>12</v>
      </c>
      <c r="AB7" s="80">
        <f t="shared" si="5"/>
        <v>12</v>
      </c>
      <c r="AC7" s="73">
        <v>0</v>
      </c>
      <c r="AD7" s="98"/>
    </row>
    <row r="8" spans="1:30" x14ac:dyDescent="0.25">
      <c r="A8" s="61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230"/>
      <c r="O8" s="63"/>
      <c r="P8" s="63"/>
      <c r="Q8" s="63"/>
      <c r="R8" s="63"/>
      <c r="S8" s="446"/>
      <c r="T8" s="63"/>
      <c r="U8" s="63"/>
      <c r="V8" s="63"/>
      <c r="W8" s="63"/>
      <c r="X8" s="63"/>
      <c r="Y8" s="63"/>
      <c r="Z8" s="63"/>
      <c r="AA8" s="63"/>
      <c r="AB8" s="63"/>
      <c r="AC8" s="62"/>
      <c r="AD8" s="62"/>
    </row>
    <row r="9" spans="1:30" x14ac:dyDescent="0.25">
      <c r="A9" s="53" t="s">
        <v>177</v>
      </c>
      <c r="B9" s="60"/>
      <c r="C9" s="60"/>
      <c r="D9" s="60">
        <f>IF(D5&gt;TERM,0,capacity)</f>
        <v>475</v>
      </c>
      <c r="E9" s="60">
        <f t="shared" ref="E9:T9" si="6">IF(E5&gt;TERM,0,capacity)</f>
        <v>475</v>
      </c>
      <c r="F9" s="60">
        <f t="shared" si="6"/>
        <v>475</v>
      </c>
      <c r="G9" s="60">
        <f t="shared" si="6"/>
        <v>475</v>
      </c>
      <c r="H9" s="60">
        <f t="shared" si="6"/>
        <v>475</v>
      </c>
      <c r="I9" s="60">
        <f t="shared" si="6"/>
        <v>475</v>
      </c>
      <c r="J9" s="60">
        <f t="shared" si="6"/>
        <v>475</v>
      </c>
      <c r="K9" s="60">
        <f t="shared" si="6"/>
        <v>475</v>
      </c>
      <c r="L9" s="60">
        <f t="shared" si="6"/>
        <v>475</v>
      </c>
      <c r="M9" s="60">
        <f t="shared" si="6"/>
        <v>475</v>
      </c>
      <c r="N9" s="451">
        <f>IF(N5&gt;TERM,0,capacity)</f>
        <v>475</v>
      </c>
      <c r="O9" s="60">
        <f t="shared" si="6"/>
        <v>475</v>
      </c>
      <c r="P9" s="60">
        <f t="shared" si="6"/>
        <v>475</v>
      </c>
      <c r="Q9" s="60">
        <f t="shared" si="6"/>
        <v>475</v>
      </c>
      <c r="R9" s="60">
        <f t="shared" si="6"/>
        <v>475</v>
      </c>
      <c r="S9" s="443" t="e">
        <f>IF(S5&gt;TERM+1,0,capacity)</f>
        <v>#VALUE!</v>
      </c>
      <c r="T9" s="60">
        <f t="shared" si="6"/>
        <v>475</v>
      </c>
      <c r="U9" s="60">
        <f t="shared" ref="U9:AC9" si="7">IF(U5&gt;TERM,0,capacity)</f>
        <v>475</v>
      </c>
      <c r="V9" s="60">
        <f t="shared" si="7"/>
        <v>475</v>
      </c>
      <c r="W9" s="60">
        <f t="shared" si="7"/>
        <v>475</v>
      </c>
      <c r="X9" s="60">
        <f t="shared" si="7"/>
        <v>475</v>
      </c>
      <c r="Y9" s="60">
        <f t="shared" si="7"/>
        <v>475</v>
      </c>
      <c r="Z9" s="60">
        <f t="shared" si="7"/>
        <v>475</v>
      </c>
      <c r="AA9" s="60">
        <f t="shared" si="7"/>
        <v>475</v>
      </c>
      <c r="AB9" s="60">
        <f t="shared" si="7"/>
        <v>475</v>
      </c>
      <c r="AC9" s="60">
        <f t="shared" si="7"/>
        <v>475</v>
      </c>
      <c r="AD9" s="49"/>
    </row>
    <row r="10" spans="1:30" x14ac:dyDescent="0.25">
      <c r="A10" s="63" t="s">
        <v>178</v>
      </c>
      <c r="B10" s="63"/>
      <c r="C10" s="63"/>
      <c r="D10" s="144">
        <f>24*365*D9*avail*dispatch*D7/12</f>
        <v>2427250</v>
      </c>
      <c r="E10" s="144">
        <f t="shared" ref="E10:T10" si="8">24*365*E9*avail*dispatch*E7/12</f>
        <v>4161000</v>
      </c>
      <c r="F10" s="144">
        <f t="shared" si="8"/>
        <v>4161000</v>
      </c>
      <c r="G10" s="144">
        <f t="shared" si="8"/>
        <v>4161000</v>
      </c>
      <c r="H10" s="144">
        <f t="shared" si="8"/>
        <v>4161000</v>
      </c>
      <c r="I10" s="144">
        <f t="shared" si="8"/>
        <v>4161000</v>
      </c>
      <c r="J10" s="144">
        <f t="shared" si="8"/>
        <v>4161000</v>
      </c>
      <c r="K10" s="144">
        <f t="shared" si="8"/>
        <v>4161000</v>
      </c>
      <c r="L10" s="144">
        <f t="shared" si="8"/>
        <v>4161000</v>
      </c>
      <c r="M10" s="144">
        <f t="shared" si="8"/>
        <v>4161000</v>
      </c>
      <c r="N10" s="232">
        <f t="shared" si="8"/>
        <v>4161000</v>
      </c>
      <c r="O10" s="144">
        <f t="shared" si="8"/>
        <v>4161000</v>
      </c>
      <c r="P10" s="144">
        <f t="shared" si="8"/>
        <v>4161000</v>
      </c>
      <c r="Q10" s="144">
        <f t="shared" si="8"/>
        <v>4161000</v>
      </c>
      <c r="R10" s="144">
        <f t="shared" si="8"/>
        <v>4161000</v>
      </c>
      <c r="S10" s="454" t="e">
        <f t="shared" si="8"/>
        <v>#VALUE!</v>
      </c>
      <c r="T10" s="144">
        <f t="shared" si="8"/>
        <v>4161000</v>
      </c>
      <c r="U10" s="144">
        <f t="shared" ref="U10:AB10" si="9">24*365*U9*avail*dispatch*U7/12</f>
        <v>4161000</v>
      </c>
      <c r="V10" s="144">
        <f t="shared" si="9"/>
        <v>4161000</v>
      </c>
      <c r="W10" s="144">
        <f t="shared" si="9"/>
        <v>4161000</v>
      </c>
      <c r="X10" s="144">
        <f t="shared" si="9"/>
        <v>4161000</v>
      </c>
      <c r="Y10" s="144">
        <f t="shared" si="9"/>
        <v>4161000</v>
      </c>
      <c r="Z10" s="144">
        <f t="shared" si="9"/>
        <v>4161000</v>
      </c>
      <c r="AA10" s="144">
        <f t="shared" si="9"/>
        <v>4161000</v>
      </c>
      <c r="AB10" s="144">
        <f t="shared" si="9"/>
        <v>4161000</v>
      </c>
      <c r="AC10" s="144">
        <f>24*365*AC9</f>
        <v>4161000</v>
      </c>
      <c r="AD10" s="51"/>
    </row>
    <row r="11" spans="1:30" x14ac:dyDescent="0.25">
      <c r="A11" s="72" t="s">
        <v>420</v>
      </c>
      <c r="B11" s="80"/>
      <c r="C11" s="80"/>
      <c r="D11" s="81">
        <f>D10*(1-Loss-ASS!$D$39)</f>
        <v>2354432.5</v>
      </c>
      <c r="E11" s="81">
        <f>E10*(1-Loss-ASS!$D$39)</f>
        <v>4036170</v>
      </c>
      <c r="F11" s="81">
        <f>F10*(1-Loss-ASS!$D$39)</f>
        <v>4036170</v>
      </c>
      <c r="G11" s="81">
        <f>G10*(1-Loss-ASS!$D$39)</f>
        <v>4036170</v>
      </c>
      <c r="H11" s="81">
        <f>H10*(1-Loss-ASS!$D$39)</f>
        <v>4036170</v>
      </c>
      <c r="I11" s="81">
        <f>I10*(1-Loss-ASS!$D$39)</f>
        <v>4036170</v>
      </c>
      <c r="J11" s="81">
        <f>J10*(1-Loss-ASS!$D$39)</f>
        <v>4036170</v>
      </c>
      <c r="K11" s="81">
        <f>K10*(1-Loss-ASS!$D$39)</f>
        <v>4036170</v>
      </c>
      <c r="L11" s="81">
        <f>L10*(1-Loss-ASS!$D$39)</f>
        <v>4036170</v>
      </c>
      <c r="M11" s="81">
        <f>M10*(1-Loss-ASS!$D$39)</f>
        <v>4036170</v>
      </c>
      <c r="N11" s="453">
        <f>N10*(1-Loss-ASS!$D$39)</f>
        <v>4036170</v>
      </c>
      <c r="O11" s="81">
        <f>O10*(1-Loss-ASS!$D$39)</f>
        <v>4036170</v>
      </c>
      <c r="P11" s="81">
        <f>P10*(1-Loss-ASS!$D$39)</f>
        <v>4036170</v>
      </c>
      <c r="Q11" s="81">
        <f>Q10*(1-Loss-ASS!$D$39)</f>
        <v>4036170</v>
      </c>
      <c r="R11" s="81">
        <f>R10*(1-Loss-ASS!$D$39)</f>
        <v>4036170</v>
      </c>
      <c r="S11" s="447" t="e">
        <f>S10*(1-Loss-ASS!$D$39)</f>
        <v>#VALUE!</v>
      </c>
      <c r="T11" s="81">
        <f>T10*(1-Loss-ASS!$D$39)</f>
        <v>4036170</v>
      </c>
      <c r="U11" s="81">
        <f>U10*(1-Loss-ASS!$D$39)</f>
        <v>4036170</v>
      </c>
      <c r="V11" s="81">
        <f>V10*(1-Loss-ASS!$D$39)</f>
        <v>4036170</v>
      </c>
      <c r="W11" s="81">
        <f>W10*(1-Loss-ASS!$D$39)</f>
        <v>4036170</v>
      </c>
      <c r="X11" s="81">
        <f>X10*(1-Loss-ASS!$D$39)</f>
        <v>4036170</v>
      </c>
      <c r="Y11" s="81">
        <f>Y10*(1-Loss-ASS!$D$39)</f>
        <v>4036170</v>
      </c>
      <c r="Z11" s="81">
        <f>Z10*(1-Loss-ASS!$D$39)</f>
        <v>4036170</v>
      </c>
      <c r="AA11" s="81">
        <f>AA10*(1-Loss-ASS!$D$39)</f>
        <v>4036170</v>
      </c>
      <c r="AB11" s="81">
        <f>AB10*(1-Loss-ASS!$D$39)</f>
        <v>4036170</v>
      </c>
      <c r="AC11" s="455">
        <f>AC10*(1-Loss-ASS!$D$39)</f>
        <v>4036170</v>
      </c>
      <c r="AD11" s="98"/>
    </row>
    <row r="12" spans="1:30" x14ac:dyDescent="0.25">
      <c r="A12" s="61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230"/>
      <c r="O12" s="63"/>
      <c r="P12" s="63"/>
      <c r="Q12" s="63"/>
      <c r="R12" s="63"/>
      <c r="S12" s="446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51"/>
    </row>
    <row r="13" spans="1:30" x14ac:dyDescent="0.25">
      <c r="A13" s="109" t="s">
        <v>179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51"/>
    </row>
    <row r="14" spans="1:30" x14ac:dyDescent="0.25">
      <c r="A14" s="128" t="s">
        <v>180</v>
      </c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51"/>
    </row>
    <row r="15" spans="1:30" x14ac:dyDescent="0.25">
      <c r="A15" s="61" t="s">
        <v>76</v>
      </c>
      <c r="B15" s="63"/>
      <c r="C15" s="63"/>
      <c r="D15" s="164">
        <f>capacity*TARIFF*D7*(1+ASS!$E$26)^(CF!D6-ASS!$C$21)</f>
        <v>0</v>
      </c>
      <c r="E15" s="164">
        <f>capacity*TARIFF*E7*(1+ASS!$E$26)^(CF!E6-ASS!$C$21)</f>
        <v>0</v>
      </c>
      <c r="F15" s="164">
        <f>capacity*TARIFF*F7*(1+ASS!$E$26)^(CF!F6-ASS!$C$21)</f>
        <v>0</v>
      </c>
      <c r="G15" s="164">
        <f>capacity*TARIFF*G7*(1+ASS!$E$26)^(CF!G6-ASS!$C$21)</f>
        <v>0</v>
      </c>
      <c r="H15" s="164">
        <f>capacity*TARIFF*H7*(1+ASS!$E$26)^(CF!H6-ASS!$C$21)</f>
        <v>0</v>
      </c>
      <c r="I15" s="164">
        <f>capacity*TARIFF*I7*(1+ASS!$E$26)^(CF!I6-ASS!$C$21)</f>
        <v>0</v>
      </c>
      <c r="J15" s="164">
        <f>capacity*TARIFF*J7*(1+ASS!$E$26)^(CF!J6-ASS!$C$21)</f>
        <v>0</v>
      </c>
      <c r="K15" s="164">
        <f>capacity*TARIFF*K7*(1+ASS!$E$26)^(CF!K6-ASS!$C$21)</f>
        <v>0</v>
      </c>
      <c r="L15" s="164">
        <f>capacity*TARIFF*L7*(1+ASS!$E$26)^(CF!L6-ASS!$C$21)</f>
        <v>0</v>
      </c>
      <c r="M15" s="164">
        <f>capacity*TARIFF*M7*(1+ASS!$E$26)^(CF!M6-ASS!$C$21)</f>
        <v>0</v>
      </c>
      <c r="N15" s="164">
        <f>capacity*TARIFF*N7*(1+ASS!$E$26)^(CF!N6-ASS!$C$21)</f>
        <v>0</v>
      </c>
      <c r="O15" s="164">
        <f>capacity*TARIFF*O7*(1+ASS!$E$26)^(CF!O6-ASS!$C$21)</f>
        <v>0</v>
      </c>
      <c r="P15" s="164">
        <f>capacity*TARIFF*P7*(1+ASS!$E$26)^(CF!P6-ASS!$C$21)</f>
        <v>0</v>
      </c>
      <c r="Q15" s="164">
        <f>capacity*TARIFF*Q7*(1+ASS!$E$26)^(CF!Q6-ASS!$C$21)</f>
        <v>0</v>
      </c>
      <c r="R15" s="164">
        <f>capacity*TARIFF*R7*(1+ASS!$E$26)^(CF!R6-ASS!$C$21)</f>
        <v>0</v>
      </c>
      <c r="S15" s="164">
        <f>capacity*TARIFF*S7*(1+ASS!$E$26)^(CF!S6-ASS!$C$21)</f>
        <v>0</v>
      </c>
      <c r="T15" s="164">
        <f>capacity*TARIFF*T7*(1+ASS!$E$26)^(CF!T6-ASS!$C$21)</f>
        <v>0</v>
      </c>
      <c r="U15" s="164">
        <f>capacity*TARIFF*U7*(1+ASS!$E$26)^(CF!U6-ASS!$C$21)</f>
        <v>0</v>
      </c>
      <c r="V15" s="164">
        <f>capacity*TARIFF*V7*(1+ASS!$E$26)^(CF!V6-ASS!$C$21)</f>
        <v>0</v>
      </c>
      <c r="W15" s="164">
        <f>capacity*TARIFF*W7*(1+ASS!$E$26)^(CF!W6-ASS!$C$21)</f>
        <v>0</v>
      </c>
      <c r="X15" s="164">
        <f>capacity*TARIFF*X7*(1+ASS!$E$26)^(CF!X6-ASS!$C$21)</f>
        <v>0</v>
      </c>
      <c r="Y15" s="164">
        <f>capacity*TARIFF*Y7*(1+ASS!$E$26)^(CF!Y6-ASS!$C$21)</f>
        <v>0</v>
      </c>
      <c r="Z15" s="164">
        <f>capacity*TARIFF*Z7*(1+ASS!$E$26)^(CF!Z6-ASS!$C$21)</f>
        <v>0</v>
      </c>
      <c r="AA15" s="164">
        <f>capacity*TARIFF*AA7*(1+ASS!$E$26)^(CF!AA6-ASS!$C$21)</f>
        <v>0</v>
      </c>
      <c r="AB15" s="164">
        <f>capacity*TARIFF*AB7*(1+ASS!$E$26)^(CF!AB6-ASS!$C$21)</f>
        <v>0</v>
      </c>
      <c r="AC15" s="164">
        <f>capacity*TARIFF*AC7*(1+ASS!$E$26)^(CF!AC6-ASS!$C$21)</f>
        <v>0</v>
      </c>
      <c r="AD15" s="84">
        <f>SUM(D15:AC15)</f>
        <v>0</v>
      </c>
    </row>
    <row r="16" spans="1:30" x14ac:dyDescent="0.25">
      <c r="A16" s="61"/>
      <c r="B16" s="63"/>
      <c r="C16" s="63"/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84"/>
    </row>
    <row r="17" spans="1:30" x14ac:dyDescent="0.25">
      <c r="A17" s="128" t="s">
        <v>84</v>
      </c>
      <c r="B17" s="334" t="s">
        <v>181</v>
      </c>
      <c r="C17" s="334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84"/>
    </row>
    <row r="18" spans="1:30" x14ac:dyDescent="0.25">
      <c r="A18" s="61" t="s">
        <v>453</v>
      </c>
      <c r="B18" s="63"/>
      <c r="C18" s="63"/>
      <c r="D18" s="164">
        <f>D68</f>
        <v>80819.865000000005</v>
      </c>
      <c r="E18" s="164">
        <f t="shared" ref="E18:AC18" si="10">E68</f>
        <v>137895.636</v>
      </c>
      <c r="F18" s="164">
        <f t="shared" si="10"/>
        <v>138075.39311999999</v>
      </c>
      <c r="G18" s="164">
        <f t="shared" si="10"/>
        <v>138588.29658240001</v>
      </c>
      <c r="H18" s="164">
        <f t="shared" si="10"/>
        <v>139517.57171404798</v>
      </c>
      <c r="I18" s="164">
        <f t="shared" si="10"/>
        <v>140322.29394832894</v>
      </c>
      <c r="J18" s="164">
        <f t="shared" si="10"/>
        <v>142209.15882729553</v>
      </c>
      <c r="K18" s="164">
        <f t="shared" si="10"/>
        <v>143555.38200384143</v>
      </c>
      <c r="L18" s="164">
        <f t="shared" si="10"/>
        <v>145193.16924391827</v>
      </c>
      <c r="M18" s="164">
        <f t="shared" si="10"/>
        <v>147039.30642879664</v>
      </c>
      <c r="N18" s="164">
        <f t="shared" si="10"/>
        <v>148844.13955737257</v>
      </c>
      <c r="O18" s="164">
        <f t="shared" si="10"/>
        <v>150441.23474852002</v>
      </c>
      <c r="P18" s="164">
        <f t="shared" si="10"/>
        <v>152746.01824349043</v>
      </c>
      <c r="Q18" s="164">
        <f t="shared" si="10"/>
        <v>153844.43640836023</v>
      </c>
      <c r="R18" s="164">
        <f t="shared" si="10"/>
        <v>155608.94573652744</v>
      </c>
      <c r="S18" s="164" t="e">
        <f t="shared" si="10"/>
        <v>#VALUE!</v>
      </c>
      <c r="T18" s="164">
        <f t="shared" si="10"/>
        <v>896.15450828315159</v>
      </c>
      <c r="U18" s="164">
        <f t="shared" si="10"/>
        <v>914.07759844881457</v>
      </c>
      <c r="V18" s="164">
        <f t="shared" si="10"/>
        <v>932.35915041779083</v>
      </c>
      <c r="W18" s="164">
        <f t="shared" si="10"/>
        <v>951.00633342614674</v>
      </c>
      <c r="X18" s="164">
        <f t="shared" si="10"/>
        <v>970.02646009466969</v>
      </c>
      <c r="Y18" s="164">
        <f t="shared" si="10"/>
        <v>989.42698929656308</v>
      </c>
      <c r="Z18" s="164">
        <f t="shared" si="10"/>
        <v>1009.2155290824941</v>
      </c>
      <c r="AA18" s="164">
        <f t="shared" si="10"/>
        <v>1029.3998396641441</v>
      </c>
      <c r="AB18" s="164">
        <f t="shared" si="10"/>
        <v>1049.987836457427</v>
      </c>
      <c r="AC18" s="164">
        <f t="shared" si="10"/>
        <v>0</v>
      </c>
      <c r="AD18" s="84" t="e">
        <f>SUM(D18:AC18)</f>
        <v>#VALUE!</v>
      </c>
    </row>
    <row r="19" spans="1:30" x14ac:dyDescent="0.25">
      <c r="A19" s="61" t="str">
        <f>A44</f>
        <v xml:space="preserve">     Replacement Power Cost</v>
      </c>
      <c r="B19" s="63"/>
      <c r="C19" s="63"/>
      <c r="D19" s="164">
        <f t="shared" ref="D19:AC19" si="11">D44</f>
        <v>0</v>
      </c>
      <c r="E19" s="164">
        <f t="shared" si="11"/>
        <v>0</v>
      </c>
      <c r="F19" s="164">
        <f t="shared" si="11"/>
        <v>0</v>
      </c>
      <c r="G19" s="164">
        <f t="shared" si="11"/>
        <v>0</v>
      </c>
      <c r="H19" s="164">
        <f t="shared" si="11"/>
        <v>0</v>
      </c>
      <c r="I19" s="164">
        <f t="shared" si="11"/>
        <v>0</v>
      </c>
      <c r="J19" s="164">
        <f t="shared" si="11"/>
        <v>0</v>
      </c>
      <c r="K19" s="164">
        <f t="shared" si="11"/>
        <v>0</v>
      </c>
      <c r="L19" s="164">
        <f t="shared" si="11"/>
        <v>0</v>
      </c>
      <c r="M19" s="164">
        <f t="shared" si="11"/>
        <v>0</v>
      </c>
      <c r="N19" s="164">
        <f t="shared" si="11"/>
        <v>0</v>
      </c>
      <c r="O19" s="164">
        <f t="shared" si="11"/>
        <v>0</v>
      </c>
      <c r="P19" s="164">
        <f t="shared" si="11"/>
        <v>0</v>
      </c>
      <c r="Q19" s="164">
        <f t="shared" si="11"/>
        <v>0</v>
      </c>
      <c r="R19" s="164">
        <f t="shared" si="11"/>
        <v>0</v>
      </c>
      <c r="S19" s="164">
        <f t="shared" si="11"/>
        <v>0</v>
      </c>
      <c r="T19" s="164">
        <f t="shared" si="11"/>
        <v>0</v>
      </c>
      <c r="U19" s="164">
        <f t="shared" si="11"/>
        <v>0</v>
      </c>
      <c r="V19" s="164">
        <f t="shared" si="11"/>
        <v>0</v>
      </c>
      <c r="W19" s="164">
        <f t="shared" si="11"/>
        <v>0</v>
      </c>
      <c r="X19" s="164">
        <f t="shared" si="11"/>
        <v>0</v>
      </c>
      <c r="Y19" s="164">
        <f t="shared" si="11"/>
        <v>0</v>
      </c>
      <c r="Z19" s="164">
        <f t="shared" si="11"/>
        <v>0</v>
      </c>
      <c r="AA19" s="164">
        <f t="shared" si="11"/>
        <v>0</v>
      </c>
      <c r="AB19" s="164">
        <f t="shared" si="11"/>
        <v>0</v>
      </c>
      <c r="AC19" s="164">
        <f t="shared" si="11"/>
        <v>0</v>
      </c>
      <c r="AD19" s="84">
        <f>SUM(D19:AC19)</f>
        <v>0</v>
      </c>
    </row>
    <row r="20" spans="1:30" x14ac:dyDescent="0.25">
      <c r="A20" s="61" t="s">
        <v>95</v>
      </c>
      <c r="B20" s="63"/>
      <c r="C20" s="63"/>
      <c r="D20" s="165">
        <f>D10*ASS!$C$31/100</f>
        <v>0</v>
      </c>
      <c r="E20" s="165">
        <f>E10*ASS!$C$31/100</f>
        <v>0</v>
      </c>
      <c r="F20" s="165">
        <f>F10*ASS!$C$31/100</f>
        <v>0</v>
      </c>
      <c r="G20" s="165">
        <f>G10*ASS!$C$31/100</f>
        <v>0</v>
      </c>
      <c r="H20" s="165">
        <f>H10*ASS!$C$31/100</f>
        <v>0</v>
      </c>
      <c r="I20" s="165">
        <f>I10*ASS!$C$31/100</f>
        <v>0</v>
      </c>
      <c r="J20" s="165">
        <f>J10*ASS!$C$31/100</f>
        <v>0</v>
      </c>
      <c r="K20" s="165">
        <f>K10*ASS!$C$31/100</f>
        <v>0</v>
      </c>
      <c r="L20" s="165">
        <f>L10*ASS!$C$31/100</f>
        <v>0</v>
      </c>
      <c r="M20" s="165">
        <f>M10*ASS!$C$31/100</f>
        <v>0</v>
      </c>
      <c r="N20" s="165">
        <f>N10*ASS!$C$31/100</f>
        <v>0</v>
      </c>
      <c r="O20" s="165">
        <f>O10*ASS!$C$31/100</f>
        <v>0</v>
      </c>
      <c r="P20" s="165">
        <f>P10*ASS!$C$31/100</f>
        <v>0</v>
      </c>
      <c r="Q20" s="165">
        <f>Q10*ASS!$C$31/100</f>
        <v>0</v>
      </c>
      <c r="R20" s="165">
        <f>R10*ASS!$C$31/100</f>
        <v>0</v>
      </c>
      <c r="S20" s="165" t="e">
        <f>S10*ASS!$C$31/100</f>
        <v>#VALUE!</v>
      </c>
      <c r="T20" s="165">
        <f>T10*ASS!$C$31/100</f>
        <v>0</v>
      </c>
      <c r="U20" s="165">
        <f>U10*ASS!$C$31/100</f>
        <v>0</v>
      </c>
      <c r="V20" s="165">
        <f>V10*ASS!$C$31/100</f>
        <v>0</v>
      </c>
      <c r="W20" s="165">
        <f>W10*ASS!$C$31/100</f>
        <v>0</v>
      </c>
      <c r="X20" s="165">
        <f>X10*ASS!$C$31/100</f>
        <v>0</v>
      </c>
      <c r="Y20" s="165">
        <f>Y10*ASS!$C$31/100</f>
        <v>0</v>
      </c>
      <c r="Z20" s="165">
        <f>Z10*ASS!$C$31/100</f>
        <v>0</v>
      </c>
      <c r="AA20" s="165">
        <f>AA10*ASS!$C$31/100</f>
        <v>0</v>
      </c>
      <c r="AB20" s="165">
        <f>AB10*ASS!$C$31/100</f>
        <v>0</v>
      </c>
      <c r="AC20" s="165">
        <f>AC10*ASS!$C$31/100</f>
        <v>0</v>
      </c>
      <c r="AD20" s="91" t="e">
        <f>SUM(D20:AC20)</f>
        <v>#VALUE!</v>
      </c>
    </row>
    <row r="21" spans="1:30" x14ac:dyDescent="0.25">
      <c r="A21" s="61" t="s">
        <v>182</v>
      </c>
      <c r="B21" s="63"/>
      <c r="C21" s="63"/>
      <c r="D21" s="164">
        <f>SUM(D18:D20)</f>
        <v>80819.865000000005</v>
      </c>
      <c r="E21" s="164">
        <f t="shared" ref="E21:T21" si="12">SUM(E18:E20)</f>
        <v>137895.636</v>
      </c>
      <c r="F21" s="164">
        <f t="shared" si="12"/>
        <v>138075.39311999999</v>
      </c>
      <c r="G21" s="164">
        <f t="shared" si="12"/>
        <v>138588.29658240001</v>
      </c>
      <c r="H21" s="164">
        <f t="shared" si="12"/>
        <v>139517.57171404798</v>
      </c>
      <c r="I21" s="164">
        <f t="shared" si="12"/>
        <v>140322.29394832894</v>
      </c>
      <c r="J21" s="164">
        <f t="shared" si="12"/>
        <v>142209.15882729553</v>
      </c>
      <c r="K21" s="164">
        <f t="shared" si="12"/>
        <v>143555.38200384143</v>
      </c>
      <c r="L21" s="164">
        <f t="shared" si="12"/>
        <v>145193.16924391827</v>
      </c>
      <c r="M21" s="164">
        <f t="shared" si="12"/>
        <v>147039.30642879664</v>
      </c>
      <c r="N21" s="164">
        <f t="shared" si="12"/>
        <v>148844.13955737257</v>
      </c>
      <c r="O21" s="164">
        <f t="shared" si="12"/>
        <v>150441.23474852002</v>
      </c>
      <c r="P21" s="164">
        <f t="shared" si="12"/>
        <v>152746.01824349043</v>
      </c>
      <c r="Q21" s="164">
        <f t="shared" si="12"/>
        <v>153844.43640836023</v>
      </c>
      <c r="R21" s="164">
        <f t="shared" si="12"/>
        <v>155608.94573652744</v>
      </c>
      <c r="S21" s="164" t="e">
        <f t="shared" si="12"/>
        <v>#VALUE!</v>
      </c>
      <c r="T21" s="164">
        <f t="shared" si="12"/>
        <v>896.15450828315159</v>
      </c>
      <c r="U21" s="164">
        <f t="shared" ref="U21:AC21" si="13">SUM(U18:U20)</f>
        <v>914.07759844881457</v>
      </c>
      <c r="V21" s="164">
        <f t="shared" si="13"/>
        <v>932.35915041779083</v>
      </c>
      <c r="W21" s="164">
        <f t="shared" si="13"/>
        <v>951.00633342614674</v>
      </c>
      <c r="X21" s="164">
        <f t="shared" si="13"/>
        <v>970.02646009466969</v>
      </c>
      <c r="Y21" s="164">
        <f t="shared" si="13"/>
        <v>989.42698929656308</v>
      </c>
      <c r="Z21" s="164">
        <f t="shared" si="13"/>
        <v>1009.2155290824941</v>
      </c>
      <c r="AA21" s="164">
        <f t="shared" si="13"/>
        <v>1029.3998396641441</v>
      </c>
      <c r="AB21" s="164">
        <f t="shared" si="13"/>
        <v>1049.987836457427</v>
      </c>
      <c r="AC21" s="164">
        <f t="shared" si="13"/>
        <v>0</v>
      </c>
      <c r="AD21" s="84" t="e">
        <f>SUM(D21:AC21)</f>
        <v>#VALUE!</v>
      </c>
    </row>
    <row r="22" spans="1:30" x14ac:dyDescent="0.25">
      <c r="A22" s="61"/>
      <c r="B22" s="63"/>
      <c r="C22" s="63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84"/>
    </row>
    <row r="23" spans="1:30" x14ac:dyDescent="0.25">
      <c r="A23" s="61" t="s">
        <v>430</v>
      </c>
      <c r="B23" s="63"/>
      <c r="C23" s="63"/>
      <c r="D23" s="164">
        <f>ASS!$D$64*BS_IS!F9*D7/12</f>
        <v>0</v>
      </c>
      <c r="E23" s="164">
        <f>ASS!$D$64*BS_IS!G9*E7/12</f>
        <v>0</v>
      </c>
      <c r="F23" s="164">
        <f>ASS!$D$64*BS_IS!H9*F7/12</f>
        <v>0</v>
      </c>
      <c r="G23" s="164">
        <f>ASS!$D$64*BS_IS!I9*G7/12</f>
        <v>0</v>
      </c>
      <c r="H23" s="164">
        <f>ASS!$D$64*BS_IS!J9*H7/12</f>
        <v>0</v>
      </c>
      <c r="I23" s="164">
        <f>ASS!$D$64*BS_IS!K9*I7/12</f>
        <v>0</v>
      </c>
      <c r="J23" s="164">
        <f>ASS!$D$64*BS_IS!L9*J7/12</f>
        <v>0</v>
      </c>
      <c r="K23" s="164">
        <f>ASS!$D$64*BS_IS!M9*K7/12</f>
        <v>0</v>
      </c>
      <c r="L23" s="164">
        <f>ASS!$D$64*BS_IS!N9*L7/12</f>
        <v>0</v>
      </c>
      <c r="M23" s="164">
        <f>ASS!$D$64*BS_IS!O9*M7/12</f>
        <v>0</v>
      </c>
      <c r="N23" s="164">
        <f>ASS!$D$64*BS_IS!P9*N7/12</f>
        <v>0</v>
      </c>
      <c r="O23" s="164">
        <f>ASS!$D$64*BS_IS!Q9*O7/12</f>
        <v>0</v>
      </c>
      <c r="P23" s="164">
        <f>ASS!$D$64*BS_IS!R9*P7/12</f>
        <v>0</v>
      </c>
      <c r="Q23" s="164">
        <f>ASS!$D$64*BS_IS!S9*Q7/12</f>
        <v>0</v>
      </c>
      <c r="R23" s="164">
        <f>ASS!$D$64*BS_IS!T9*R7/12</f>
        <v>0</v>
      </c>
      <c r="S23" s="164">
        <f>ASS!$D$64*BS_IS!U9*S7/12</f>
        <v>0</v>
      </c>
      <c r="T23" s="164">
        <f>ASS!$D$64*BS_IS!V9*T7/12</f>
        <v>0</v>
      </c>
      <c r="U23" s="164">
        <f>ASS!$D$64*BS_IS!W9*U7/12</f>
        <v>0</v>
      </c>
      <c r="V23" s="164">
        <f>ASS!$D$64*BS_IS!X9*V7/12</f>
        <v>0</v>
      </c>
      <c r="W23" s="164">
        <f>ASS!$D$64*BS_IS!Y9*W7/12</f>
        <v>0</v>
      </c>
      <c r="X23" s="164">
        <f>ASS!$D$64*BS_IS!Z9*X7/12</f>
        <v>0</v>
      </c>
      <c r="Y23" s="164">
        <f>ASS!$D$64*BS_IS!AA9*Y7/12</f>
        <v>0</v>
      </c>
      <c r="Z23" s="164">
        <f>ASS!$D$64*BS_IS!AB9*Z7/12</f>
        <v>0</v>
      </c>
      <c r="AA23" s="164">
        <f>ASS!$D$64*BS_IS!AC9*AA7/12</f>
        <v>0</v>
      </c>
      <c r="AB23" s="164">
        <f>ASS!$D$64*BS_IS!AD9*AB7/12</f>
        <v>0</v>
      </c>
      <c r="AC23" s="164">
        <f>ASS!$D$64*BS_IS!AE9*AC7/12</f>
        <v>0</v>
      </c>
      <c r="AD23" s="84"/>
    </row>
    <row r="24" spans="1:30" x14ac:dyDescent="0.25">
      <c r="A24" s="61"/>
      <c r="B24" s="63"/>
      <c r="C24" s="63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84"/>
    </row>
    <row r="25" spans="1:30" x14ac:dyDescent="0.25">
      <c r="A25" s="109" t="s">
        <v>429</v>
      </c>
      <c r="B25" s="63"/>
      <c r="C25" s="63"/>
      <c r="D25" s="210">
        <f t="shared" ref="D25:AC25" si="14">D15+D21+D23</f>
        <v>80819.865000000005</v>
      </c>
      <c r="E25" s="210">
        <f t="shared" si="14"/>
        <v>137895.636</v>
      </c>
      <c r="F25" s="210">
        <f t="shared" si="14"/>
        <v>138075.39311999999</v>
      </c>
      <c r="G25" s="210">
        <f t="shared" si="14"/>
        <v>138588.29658240001</v>
      </c>
      <c r="H25" s="210">
        <f t="shared" si="14"/>
        <v>139517.57171404798</v>
      </c>
      <c r="I25" s="210">
        <f t="shared" si="14"/>
        <v>140322.29394832894</v>
      </c>
      <c r="J25" s="210">
        <f t="shared" si="14"/>
        <v>142209.15882729553</v>
      </c>
      <c r="K25" s="210">
        <f t="shared" si="14"/>
        <v>143555.38200384143</v>
      </c>
      <c r="L25" s="210">
        <f t="shared" si="14"/>
        <v>145193.16924391827</v>
      </c>
      <c r="M25" s="210">
        <f t="shared" si="14"/>
        <v>147039.30642879664</v>
      </c>
      <c r="N25" s="210">
        <f t="shared" si="14"/>
        <v>148844.13955737257</v>
      </c>
      <c r="O25" s="210">
        <f t="shared" si="14"/>
        <v>150441.23474852002</v>
      </c>
      <c r="P25" s="210">
        <f t="shared" si="14"/>
        <v>152746.01824349043</v>
      </c>
      <c r="Q25" s="210">
        <f t="shared" si="14"/>
        <v>153844.43640836023</v>
      </c>
      <c r="R25" s="210">
        <f t="shared" si="14"/>
        <v>155608.94573652744</v>
      </c>
      <c r="S25" s="210" t="e">
        <f t="shared" si="14"/>
        <v>#VALUE!</v>
      </c>
      <c r="T25" s="210">
        <f t="shared" si="14"/>
        <v>896.15450828315159</v>
      </c>
      <c r="U25" s="210">
        <f t="shared" si="14"/>
        <v>914.07759844881457</v>
      </c>
      <c r="V25" s="210">
        <f t="shared" si="14"/>
        <v>932.35915041779083</v>
      </c>
      <c r="W25" s="210">
        <f t="shared" si="14"/>
        <v>951.00633342614674</v>
      </c>
      <c r="X25" s="210">
        <f t="shared" si="14"/>
        <v>970.02646009466969</v>
      </c>
      <c r="Y25" s="210">
        <f t="shared" si="14"/>
        <v>989.42698929656308</v>
      </c>
      <c r="Z25" s="210">
        <f t="shared" si="14"/>
        <v>1009.2155290824941</v>
      </c>
      <c r="AA25" s="210">
        <f t="shared" si="14"/>
        <v>1029.3998396641441</v>
      </c>
      <c r="AB25" s="210">
        <f t="shared" si="14"/>
        <v>1049.987836457427</v>
      </c>
      <c r="AC25" s="210">
        <f t="shared" si="14"/>
        <v>0</v>
      </c>
      <c r="AD25" s="85" t="e">
        <f>AD15+AD21</f>
        <v>#VALUE!</v>
      </c>
    </row>
    <row r="26" spans="1:30" x14ac:dyDescent="0.25">
      <c r="A26" s="61"/>
      <c r="B26" s="63"/>
      <c r="C26" s="63"/>
      <c r="D26" s="482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51"/>
    </row>
    <row r="27" spans="1:30" s="88" customFormat="1" x14ac:dyDescent="0.25">
      <c r="A27" s="462" t="s">
        <v>183</v>
      </c>
      <c r="B27" s="463"/>
      <c r="C27" s="464"/>
      <c r="D27" s="463">
        <f t="shared" ref="D27:AC27" si="15">D6</f>
        <v>2001</v>
      </c>
      <c r="E27" s="463">
        <f t="shared" si="15"/>
        <v>2002</v>
      </c>
      <c r="F27" s="463">
        <f t="shared" si="15"/>
        <v>2003</v>
      </c>
      <c r="G27" s="463">
        <f t="shared" si="15"/>
        <v>2004</v>
      </c>
      <c r="H27" s="463">
        <f t="shared" si="15"/>
        <v>2005</v>
      </c>
      <c r="I27" s="463">
        <f t="shared" si="15"/>
        <v>2006</v>
      </c>
      <c r="J27" s="463">
        <f t="shared" si="15"/>
        <v>2007</v>
      </c>
      <c r="K27" s="463">
        <f t="shared" si="15"/>
        <v>2008</v>
      </c>
      <c r="L27" s="463">
        <f t="shared" si="15"/>
        <v>2009</v>
      </c>
      <c r="M27" s="463">
        <f t="shared" si="15"/>
        <v>2010</v>
      </c>
      <c r="N27" s="463">
        <f t="shared" si="15"/>
        <v>2011</v>
      </c>
      <c r="O27" s="463">
        <f t="shared" si="15"/>
        <v>2012</v>
      </c>
      <c r="P27" s="463">
        <f t="shared" si="15"/>
        <v>2013</v>
      </c>
      <c r="Q27" s="463">
        <f t="shared" si="15"/>
        <v>2014</v>
      </c>
      <c r="R27" s="463">
        <f t="shared" si="15"/>
        <v>2015</v>
      </c>
      <c r="S27" s="463">
        <f t="shared" si="15"/>
        <v>2016</v>
      </c>
      <c r="T27" s="463">
        <f t="shared" si="15"/>
        <v>2017</v>
      </c>
      <c r="U27" s="463">
        <f t="shared" si="15"/>
        <v>2018</v>
      </c>
      <c r="V27" s="463">
        <f t="shared" si="15"/>
        <v>2019</v>
      </c>
      <c r="W27" s="463">
        <f t="shared" si="15"/>
        <v>2020</v>
      </c>
      <c r="X27" s="463">
        <f t="shared" si="15"/>
        <v>2021</v>
      </c>
      <c r="Y27" s="463">
        <f t="shared" si="15"/>
        <v>2022</v>
      </c>
      <c r="Z27" s="463">
        <f t="shared" si="15"/>
        <v>2023</v>
      </c>
      <c r="AA27" s="463">
        <f t="shared" si="15"/>
        <v>2024</v>
      </c>
      <c r="AB27" s="463">
        <f t="shared" si="15"/>
        <v>2025</v>
      </c>
      <c r="AC27" s="463">
        <f t="shared" si="15"/>
        <v>2026</v>
      </c>
      <c r="AD27" s="465"/>
    </row>
    <row r="28" spans="1:30" x14ac:dyDescent="0.25">
      <c r="A28" s="466" t="s">
        <v>184</v>
      </c>
      <c r="B28" s="467"/>
      <c r="C28" s="468"/>
      <c r="D28" s="469">
        <f>IF(D7=0, 0, D15/D11*100)</f>
        <v>0</v>
      </c>
      <c r="E28" s="469">
        <f t="shared" ref="E28:AC28" si="16">IF(E7=0, 0, E15/E11*100)</f>
        <v>0</v>
      </c>
      <c r="F28" s="469">
        <f t="shared" si="16"/>
        <v>0</v>
      </c>
      <c r="G28" s="469">
        <f t="shared" si="16"/>
        <v>0</v>
      </c>
      <c r="H28" s="469">
        <f t="shared" si="16"/>
        <v>0</v>
      </c>
      <c r="I28" s="469">
        <f t="shared" si="16"/>
        <v>0</v>
      </c>
      <c r="J28" s="469">
        <f t="shared" si="16"/>
        <v>0</v>
      </c>
      <c r="K28" s="469">
        <f t="shared" si="16"/>
        <v>0</v>
      </c>
      <c r="L28" s="469">
        <f t="shared" si="16"/>
        <v>0</v>
      </c>
      <c r="M28" s="469">
        <f t="shared" si="16"/>
        <v>0</v>
      </c>
      <c r="N28" s="469">
        <f t="shared" si="16"/>
        <v>0</v>
      </c>
      <c r="O28" s="469">
        <f t="shared" si="16"/>
        <v>0</v>
      </c>
      <c r="P28" s="469">
        <f t="shared" si="16"/>
        <v>0</v>
      </c>
      <c r="Q28" s="469">
        <f t="shared" si="16"/>
        <v>0</v>
      </c>
      <c r="R28" s="469">
        <f t="shared" si="16"/>
        <v>0</v>
      </c>
      <c r="S28" s="469" t="e">
        <f t="shared" si="16"/>
        <v>#VALUE!</v>
      </c>
      <c r="T28" s="469">
        <f t="shared" si="16"/>
        <v>0</v>
      </c>
      <c r="U28" s="469">
        <f t="shared" si="16"/>
        <v>0</v>
      </c>
      <c r="V28" s="469">
        <f t="shared" si="16"/>
        <v>0</v>
      </c>
      <c r="W28" s="469">
        <f t="shared" si="16"/>
        <v>0</v>
      </c>
      <c r="X28" s="469">
        <f t="shared" si="16"/>
        <v>0</v>
      </c>
      <c r="Y28" s="469">
        <f t="shared" si="16"/>
        <v>0</v>
      </c>
      <c r="Z28" s="469">
        <f t="shared" si="16"/>
        <v>0</v>
      </c>
      <c r="AA28" s="469">
        <f t="shared" si="16"/>
        <v>0</v>
      </c>
      <c r="AB28" s="469">
        <f t="shared" si="16"/>
        <v>0</v>
      </c>
      <c r="AC28" s="469">
        <f t="shared" si="16"/>
        <v>0</v>
      </c>
      <c r="AD28" s="470"/>
    </row>
    <row r="29" spans="1:30" x14ac:dyDescent="0.25">
      <c r="A29" s="466" t="s">
        <v>453</v>
      </c>
      <c r="B29" s="467"/>
      <c r="C29" s="468"/>
      <c r="D29" s="469">
        <f>IF(D7=0, 0, D18/D11*100)</f>
        <v>3.4326685942366151</v>
      </c>
      <c r="E29" s="469">
        <f t="shared" ref="E29:AC29" si="17">IF(E7=0, 0, E18/E11*100)</f>
        <v>3.4164972238533062</v>
      </c>
      <c r="F29" s="469">
        <f t="shared" si="17"/>
        <v>3.4209508796705785</v>
      </c>
      <c r="G29" s="469">
        <f t="shared" si="17"/>
        <v>3.4336585570578051</v>
      </c>
      <c r="H29" s="469">
        <f t="shared" si="17"/>
        <v>3.4566822436628777</v>
      </c>
      <c r="I29" s="469">
        <f t="shared" si="17"/>
        <v>3.4766200122474755</v>
      </c>
      <c r="J29" s="469">
        <f t="shared" si="17"/>
        <v>3.5233689073377863</v>
      </c>
      <c r="K29" s="469">
        <f t="shared" si="17"/>
        <v>3.5567228834226858</v>
      </c>
      <c r="L29" s="469">
        <f t="shared" si="17"/>
        <v>3.5973006400602121</v>
      </c>
      <c r="M29" s="469">
        <f t="shared" si="17"/>
        <v>3.6430404672944059</v>
      </c>
      <c r="N29" s="469">
        <f t="shared" si="17"/>
        <v>3.6877569467433875</v>
      </c>
      <c r="O29" s="469">
        <f t="shared" si="17"/>
        <v>3.7273265186679456</v>
      </c>
      <c r="P29" s="469">
        <f t="shared" si="17"/>
        <v>3.7844297500722321</v>
      </c>
      <c r="Q29" s="469">
        <f t="shared" si="17"/>
        <v>3.8116441182695535</v>
      </c>
      <c r="R29" s="469">
        <f t="shared" si="17"/>
        <v>3.8553615367174188</v>
      </c>
      <c r="S29" s="469" t="e">
        <f t="shared" si="17"/>
        <v>#VALUE!</v>
      </c>
      <c r="T29" s="469">
        <f t="shared" si="17"/>
        <v>2.2203091254410782E-2</v>
      </c>
      <c r="U29" s="469">
        <f t="shared" si="17"/>
        <v>2.2647153079498994E-2</v>
      </c>
      <c r="V29" s="469">
        <f t="shared" si="17"/>
        <v>2.3100096141088974E-2</v>
      </c>
      <c r="W29" s="469">
        <f t="shared" si="17"/>
        <v>2.3562098063910755E-2</v>
      </c>
      <c r="X29" s="469">
        <f t="shared" si="17"/>
        <v>2.4033340025188969E-2</v>
      </c>
      <c r="Y29" s="469">
        <f t="shared" si="17"/>
        <v>2.4514006825692748E-2</v>
      </c>
      <c r="Z29" s="469">
        <f t="shared" si="17"/>
        <v>2.50042869622066E-2</v>
      </c>
      <c r="AA29" s="469">
        <f t="shared" si="17"/>
        <v>2.5504372701450735E-2</v>
      </c>
      <c r="AB29" s="469">
        <f t="shared" si="17"/>
        <v>2.6014460155479747E-2</v>
      </c>
      <c r="AC29" s="469">
        <f t="shared" si="17"/>
        <v>0</v>
      </c>
      <c r="AD29" s="470"/>
    </row>
    <row r="30" spans="1:30" x14ac:dyDescent="0.25">
      <c r="A30" s="466" t="s">
        <v>437</v>
      </c>
      <c r="B30" s="467"/>
      <c r="C30" s="468"/>
      <c r="D30" s="469">
        <f>IF(D7=0, 0, D19/D11*100)</f>
        <v>0</v>
      </c>
      <c r="E30" s="469">
        <f t="shared" ref="E30:AC30" si="18">IF(E7=0, 0, E19/E11*100)</f>
        <v>0</v>
      </c>
      <c r="F30" s="469">
        <f t="shared" si="18"/>
        <v>0</v>
      </c>
      <c r="G30" s="469">
        <f t="shared" si="18"/>
        <v>0</v>
      </c>
      <c r="H30" s="469">
        <f t="shared" si="18"/>
        <v>0</v>
      </c>
      <c r="I30" s="469">
        <f t="shared" si="18"/>
        <v>0</v>
      </c>
      <c r="J30" s="469">
        <f t="shared" si="18"/>
        <v>0</v>
      </c>
      <c r="K30" s="469">
        <f t="shared" si="18"/>
        <v>0</v>
      </c>
      <c r="L30" s="469">
        <f t="shared" si="18"/>
        <v>0</v>
      </c>
      <c r="M30" s="469">
        <f t="shared" si="18"/>
        <v>0</v>
      </c>
      <c r="N30" s="469">
        <f t="shared" si="18"/>
        <v>0</v>
      </c>
      <c r="O30" s="469">
        <f t="shared" si="18"/>
        <v>0</v>
      </c>
      <c r="P30" s="469">
        <f t="shared" si="18"/>
        <v>0</v>
      </c>
      <c r="Q30" s="469">
        <f t="shared" si="18"/>
        <v>0</v>
      </c>
      <c r="R30" s="469">
        <f t="shared" si="18"/>
        <v>0</v>
      </c>
      <c r="S30" s="469" t="e">
        <f t="shared" si="18"/>
        <v>#VALUE!</v>
      </c>
      <c r="T30" s="469">
        <f t="shared" si="18"/>
        <v>0</v>
      </c>
      <c r="U30" s="469">
        <f t="shared" si="18"/>
        <v>0</v>
      </c>
      <c r="V30" s="469">
        <f t="shared" si="18"/>
        <v>0</v>
      </c>
      <c r="W30" s="469">
        <f t="shared" si="18"/>
        <v>0</v>
      </c>
      <c r="X30" s="469">
        <f t="shared" si="18"/>
        <v>0</v>
      </c>
      <c r="Y30" s="469">
        <f t="shared" si="18"/>
        <v>0</v>
      </c>
      <c r="Z30" s="469">
        <f t="shared" si="18"/>
        <v>0</v>
      </c>
      <c r="AA30" s="469">
        <f t="shared" si="18"/>
        <v>0</v>
      </c>
      <c r="AB30" s="469">
        <f t="shared" si="18"/>
        <v>0</v>
      </c>
      <c r="AC30" s="469">
        <f t="shared" si="18"/>
        <v>0</v>
      </c>
      <c r="AD30" s="470"/>
    </row>
    <row r="31" spans="1:30" x14ac:dyDescent="0.25">
      <c r="A31" s="466" t="s">
        <v>95</v>
      </c>
      <c r="B31" s="467"/>
      <c r="C31" s="468"/>
      <c r="D31" s="469">
        <f>IF(D7=1, 0, D20/D11*100)</f>
        <v>0</v>
      </c>
      <c r="E31" s="469">
        <f t="shared" ref="E31:AC31" si="19">IF(E7=1, 0, E20/E11*100)</f>
        <v>0</v>
      </c>
      <c r="F31" s="469">
        <f t="shared" si="19"/>
        <v>0</v>
      </c>
      <c r="G31" s="469">
        <f t="shared" si="19"/>
        <v>0</v>
      </c>
      <c r="H31" s="469">
        <f t="shared" si="19"/>
        <v>0</v>
      </c>
      <c r="I31" s="469">
        <f t="shared" si="19"/>
        <v>0</v>
      </c>
      <c r="J31" s="469">
        <f t="shared" si="19"/>
        <v>0</v>
      </c>
      <c r="K31" s="469">
        <f t="shared" si="19"/>
        <v>0</v>
      </c>
      <c r="L31" s="469">
        <f t="shared" si="19"/>
        <v>0</v>
      </c>
      <c r="M31" s="469">
        <f t="shared" si="19"/>
        <v>0</v>
      </c>
      <c r="N31" s="469">
        <f t="shared" si="19"/>
        <v>0</v>
      </c>
      <c r="O31" s="469">
        <f t="shared" si="19"/>
        <v>0</v>
      </c>
      <c r="P31" s="469">
        <f t="shared" si="19"/>
        <v>0</v>
      </c>
      <c r="Q31" s="469">
        <f t="shared" si="19"/>
        <v>0</v>
      </c>
      <c r="R31" s="469">
        <f t="shared" si="19"/>
        <v>0</v>
      </c>
      <c r="S31" s="469" t="e">
        <f t="shared" si="19"/>
        <v>#VALUE!</v>
      </c>
      <c r="T31" s="469">
        <f t="shared" si="19"/>
        <v>0</v>
      </c>
      <c r="U31" s="469">
        <f t="shared" si="19"/>
        <v>0</v>
      </c>
      <c r="V31" s="469">
        <f t="shared" si="19"/>
        <v>0</v>
      </c>
      <c r="W31" s="469">
        <f t="shared" si="19"/>
        <v>0</v>
      </c>
      <c r="X31" s="469">
        <f t="shared" si="19"/>
        <v>0</v>
      </c>
      <c r="Y31" s="469">
        <f t="shared" si="19"/>
        <v>0</v>
      </c>
      <c r="Z31" s="469">
        <f t="shared" si="19"/>
        <v>0</v>
      </c>
      <c r="AA31" s="469">
        <f t="shared" si="19"/>
        <v>0</v>
      </c>
      <c r="AB31" s="469">
        <f t="shared" si="19"/>
        <v>0</v>
      </c>
      <c r="AC31" s="469">
        <f t="shared" si="19"/>
        <v>0</v>
      </c>
      <c r="AD31" s="470"/>
    </row>
    <row r="32" spans="1:30" x14ac:dyDescent="0.25">
      <c r="A32" s="471" t="s">
        <v>185</v>
      </c>
      <c r="B32" s="472"/>
      <c r="C32" s="473"/>
      <c r="D32" s="474">
        <f>SUM(D28:D31)</f>
        <v>3.4326685942366151</v>
      </c>
      <c r="E32" s="474">
        <f t="shared" ref="E32:T32" si="20">SUM(E28:E31)</f>
        <v>3.4164972238533062</v>
      </c>
      <c r="F32" s="474">
        <f t="shared" si="20"/>
        <v>3.4209508796705785</v>
      </c>
      <c r="G32" s="474">
        <f t="shared" si="20"/>
        <v>3.4336585570578051</v>
      </c>
      <c r="H32" s="474">
        <f t="shared" si="20"/>
        <v>3.4566822436628777</v>
      </c>
      <c r="I32" s="474">
        <f t="shared" si="20"/>
        <v>3.4766200122474755</v>
      </c>
      <c r="J32" s="474">
        <f t="shared" si="20"/>
        <v>3.5233689073377863</v>
      </c>
      <c r="K32" s="474">
        <f t="shared" si="20"/>
        <v>3.5567228834226858</v>
      </c>
      <c r="L32" s="474">
        <f t="shared" si="20"/>
        <v>3.5973006400602121</v>
      </c>
      <c r="M32" s="474">
        <f t="shared" si="20"/>
        <v>3.6430404672944059</v>
      </c>
      <c r="N32" s="474">
        <f t="shared" si="20"/>
        <v>3.6877569467433875</v>
      </c>
      <c r="O32" s="474">
        <f t="shared" si="20"/>
        <v>3.7273265186679456</v>
      </c>
      <c r="P32" s="474">
        <f t="shared" si="20"/>
        <v>3.7844297500722321</v>
      </c>
      <c r="Q32" s="474">
        <f t="shared" si="20"/>
        <v>3.8116441182695535</v>
      </c>
      <c r="R32" s="474">
        <f t="shared" si="20"/>
        <v>3.8553615367174188</v>
      </c>
      <c r="S32" s="474" t="e">
        <f t="shared" si="20"/>
        <v>#VALUE!</v>
      </c>
      <c r="T32" s="474">
        <f t="shared" si="20"/>
        <v>2.2203091254410782E-2</v>
      </c>
      <c r="U32" s="474">
        <f t="shared" ref="U32:AC32" si="21">SUM(U28:U31)</f>
        <v>2.2647153079498994E-2</v>
      </c>
      <c r="V32" s="474">
        <f t="shared" si="21"/>
        <v>2.3100096141088974E-2</v>
      </c>
      <c r="W32" s="474">
        <f t="shared" si="21"/>
        <v>2.3562098063910755E-2</v>
      </c>
      <c r="X32" s="474">
        <f t="shared" si="21"/>
        <v>2.4033340025188969E-2</v>
      </c>
      <c r="Y32" s="474">
        <f t="shared" si="21"/>
        <v>2.4514006825692748E-2</v>
      </c>
      <c r="Z32" s="474">
        <f t="shared" si="21"/>
        <v>2.50042869622066E-2</v>
      </c>
      <c r="AA32" s="474">
        <f t="shared" si="21"/>
        <v>2.5504372701450735E-2</v>
      </c>
      <c r="AB32" s="474">
        <f t="shared" si="21"/>
        <v>2.6014460155479747E-2</v>
      </c>
      <c r="AC32" s="474">
        <f t="shared" si="21"/>
        <v>0</v>
      </c>
      <c r="AD32" s="470"/>
    </row>
    <row r="33" spans="1:30" x14ac:dyDescent="0.25">
      <c r="A33" s="61"/>
      <c r="B33" s="63"/>
      <c r="C33" s="63"/>
      <c r="D33" s="63"/>
      <c r="E33" s="212">
        <f t="shared" ref="E33:R33" si="22">(E32-D32)/D32</f>
        <v>-4.7110199948985085E-3</v>
      </c>
      <c r="F33" s="212">
        <f t="shared" si="22"/>
        <v>1.303573667842539E-3</v>
      </c>
      <c r="G33" s="212">
        <f t="shared" si="22"/>
        <v>3.7146623363531741E-3</v>
      </c>
      <c r="H33" s="212">
        <f t="shared" si="22"/>
        <v>6.7052929761312286E-3</v>
      </c>
      <c r="I33" s="212">
        <f t="shared" si="22"/>
        <v>5.7678916311007964E-3</v>
      </c>
      <c r="J33" s="212">
        <f t="shared" si="22"/>
        <v>1.3446650748607339E-2</v>
      </c>
      <c r="K33" s="212">
        <f t="shared" si="22"/>
        <v>9.4665012271171432E-3</v>
      </c>
      <c r="L33" s="212">
        <f t="shared" si="22"/>
        <v>1.1408748437122465E-2</v>
      </c>
      <c r="M33" s="212">
        <f t="shared" si="22"/>
        <v>1.2715041585578509E-2</v>
      </c>
      <c r="N33" s="212">
        <f t="shared" si="22"/>
        <v>1.22744942995902E-2</v>
      </c>
      <c r="O33" s="212">
        <f t="shared" si="22"/>
        <v>1.0729983699034591E-2</v>
      </c>
      <c r="P33" s="212">
        <f t="shared" si="22"/>
        <v>1.5320158059212319E-2</v>
      </c>
      <c r="Q33" s="212">
        <f t="shared" si="22"/>
        <v>7.1911410686912444E-3</v>
      </c>
      <c r="R33" s="212">
        <f t="shared" si="22"/>
        <v>1.1469438670395205E-2</v>
      </c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51"/>
    </row>
    <row r="34" spans="1:30" x14ac:dyDescent="0.25">
      <c r="A34" s="61" t="s">
        <v>442</v>
      </c>
      <c r="B34" s="63"/>
      <c r="C34" s="63"/>
      <c r="D34" s="482"/>
      <c r="E34" s="475"/>
      <c r="F34" s="475"/>
      <c r="G34" s="475"/>
      <c r="H34" s="475"/>
      <c r="I34" s="475"/>
      <c r="J34" s="475"/>
      <c r="K34" s="475"/>
      <c r="L34" s="475"/>
      <c r="M34" s="475"/>
      <c r="N34" s="475"/>
      <c r="O34" s="475"/>
      <c r="P34" s="475"/>
      <c r="Q34" s="475"/>
      <c r="R34" s="475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51"/>
    </row>
    <row r="35" spans="1:30" x14ac:dyDescent="0.25">
      <c r="A35" s="61" t="s">
        <v>445</v>
      </c>
      <c r="B35" s="63"/>
      <c r="C35" s="63"/>
      <c r="D35" s="499">
        <v>4.0880000000000001</v>
      </c>
      <c r="E35" s="500">
        <v>4.1589999999999998</v>
      </c>
      <c r="F35" s="500">
        <v>4.226</v>
      </c>
      <c r="G35" s="500">
        <v>4.2960000000000003</v>
      </c>
      <c r="H35" s="500">
        <v>4.3689999999999998</v>
      </c>
      <c r="I35" s="500">
        <v>4.4450000000000003</v>
      </c>
      <c r="J35" s="500">
        <v>4.5250000000000004</v>
      </c>
      <c r="K35" s="500">
        <v>4.609</v>
      </c>
      <c r="L35" s="500">
        <v>4.6959999999999997</v>
      </c>
      <c r="M35" s="500">
        <v>4.7880000000000003</v>
      </c>
      <c r="N35" s="500">
        <v>4.883</v>
      </c>
      <c r="O35" s="500">
        <v>4.9829999999999997</v>
      </c>
      <c r="P35" s="500">
        <v>5.0880000000000001</v>
      </c>
      <c r="Q35" s="500">
        <v>5.1970000000000001</v>
      </c>
      <c r="R35" s="500">
        <v>5.3120000000000003</v>
      </c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51"/>
    </row>
    <row r="36" spans="1:30" x14ac:dyDescent="0.25">
      <c r="A36" s="72" t="s">
        <v>446</v>
      </c>
      <c r="B36" s="80"/>
      <c r="C36" s="80"/>
      <c r="D36" s="501">
        <f>D32</f>
        <v>3.4326685942366151</v>
      </c>
      <c r="E36" s="502">
        <f t="shared" ref="E36:AC36" si="23">E32</f>
        <v>3.4164972238533062</v>
      </c>
      <c r="F36" s="502">
        <f t="shared" si="23"/>
        <v>3.4209508796705785</v>
      </c>
      <c r="G36" s="502">
        <f t="shared" si="23"/>
        <v>3.4336585570578051</v>
      </c>
      <c r="H36" s="502">
        <f t="shared" si="23"/>
        <v>3.4566822436628777</v>
      </c>
      <c r="I36" s="502">
        <f t="shared" si="23"/>
        <v>3.4766200122474755</v>
      </c>
      <c r="J36" s="502">
        <f t="shared" si="23"/>
        <v>3.5233689073377863</v>
      </c>
      <c r="K36" s="502">
        <f t="shared" si="23"/>
        <v>3.5567228834226858</v>
      </c>
      <c r="L36" s="502">
        <f t="shared" si="23"/>
        <v>3.5973006400602121</v>
      </c>
      <c r="M36" s="502">
        <f t="shared" si="23"/>
        <v>3.6430404672944059</v>
      </c>
      <c r="N36" s="502">
        <f t="shared" si="23"/>
        <v>3.6877569467433875</v>
      </c>
      <c r="O36" s="502">
        <f t="shared" si="23"/>
        <v>3.7273265186679456</v>
      </c>
      <c r="P36" s="502">
        <f t="shared" si="23"/>
        <v>3.7844297500722321</v>
      </c>
      <c r="Q36" s="502">
        <f t="shared" si="23"/>
        <v>3.8116441182695535</v>
      </c>
      <c r="R36" s="502">
        <f t="shared" si="23"/>
        <v>3.8553615367174188</v>
      </c>
      <c r="S36" s="501" t="e">
        <f t="shared" si="23"/>
        <v>#VALUE!</v>
      </c>
      <c r="T36" s="501">
        <f t="shared" si="23"/>
        <v>2.2203091254410782E-2</v>
      </c>
      <c r="U36" s="501">
        <f t="shared" si="23"/>
        <v>2.2647153079498994E-2</v>
      </c>
      <c r="V36" s="501">
        <f t="shared" si="23"/>
        <v>2.3100096141088974E-2</v>
      </c>
      <c r="W36" s="501">
        <f t="shared" si="23"/>
        <v>2.3562098063910755E-2</v>
      </c>
      <c r="X36" s="501">
        <f t="shared" si="23"/>
        <v>2.4033340025188969E-2</v>
      </c>
      <c r="Y36" s="501">
        <f t="shared" si="23"/>
        <v>2.4514006825692748E-2</v>
      </c>
      <c r="Z36" s="501">
        <f t="shared" si="23"/>
        <v>2.50042869622066E-2</v>
      </c>
      <c r="AA36" s="501">
        <f t="shared" si="23"/>
        <v>2.5504372701450735E-2</v>
      </c>
      <c r="AB36" s="501">
        <f t="shared" si="23"/>
        <v>2.6014460155479747E-2</v>
      </c>
      <c r="AC36" s="503">
        <f t="shared" si="23"/>
        <v>0</v>
      </c>
      <c r="AD36" s="51"/>
    </row>
    <row r="37" spans="1:30" x14ac:dyDescent="0.25">
      <c r="A37" s="61" t="s">
        <v>447</v>
      </c>
      <c r="C37" s="63"/>
      <c r="D37" s="499">
        <f t="shared" ref="D37:AC37" si="24">IF(D7=0,0,D35-D36)</f>
        <v>0.655331405763385</v>
      </c>
      <c r="E37" s="499">
        <f t="shared" si="24"/>
        <v>0.74250277614669358</v>
      </c>
      <c r="F37" s="499">
        <f t="shared" si="24"/>
        <v>0.80504912032942144</v>
      </c>
      <c r="G37" s="499">
        <f t="shared" si="24"/>
        <v>0.86234144294219517</v>
      </c>
      <c r="H37" s="499">
        <f t="shared" si="24"/>
        <v>0.91231775633712209</v>
      </c>
      <c r="I37" s="499">
        <f t="shared" si="24"/>
        <v>0.96837998775252476</v>
      </c>
      <c r="J37" s="499">
        <f t="shared" si="24"/>
        <v>1.0016310926622141</v>
      </c>
      <c r="K37" s="499">
        <f t="shared" si="24"/>
        <v>1.0522771165773142</v>
      </c>
      <c r="L37" s="499">
        <f t="shared" si="24"/>
        <v>1.0986993599397876</v>
      </c>
      <c r="M37" s="499">
        <f t="shared" si="24"/>
        <v>1.1449595327055944</v>
      </c>
      <c r="N37" s="499">
        <f t="shared" si="24"/>
        <v>1.1952430532566125</v>
      </c>
      <c r="O37" s="499">
        <f t="shared" si="24"/>
        <v>1.255673481332054</v>
      </c>
      <c r="P37" s="499">
        <f t="shared" si="24"/>
        <v>1.3035702499277679</v>
      </c>
      <c r="Q37" s="499">
        <f t="shared" si="24"/>
        <v>1.3853558817304465</v>
      </c>
      <c r="R37" s="499">
        <f t="shared" si="24"/>
        <v>1.4566384632825815</v>
      </c>
      <c r="S37" s="499" t="e">
        <f t="shared" si="24"/>
        <v>#VALUE!</v>
      </c>
      <c r="T37" s="499">
        <f t="shared" si="24"/>
        <v>-2.2203091254410782E-2</v>
      </c>
      <c r="U37" s="499">
        <f t="shared" si="24"/>
        <v>-2.2647153079498994E-2</v>
      </c>
      <c r="V37" s="499">
        <f t="shared" si="24"/>
        <v>-2.3100096141088974E-2</v>
      </c>
      <c r="W37" s="499">
        <f t="shared" si="24"/>
        <v>-2.3562098063910755E-2</v>
      </c>
      <c r="X37" s="499">
        <f t="shared" si="24"/>
        <v>-2.4033340025188969E-2</v>
      </c>
      <c r="Y37" s="499">
        <f t="shared" si="24"/>
        <v>-2.4514006825692748E-2</v>
      </c>
      <c r="Z37" s="499">
        <f t="shared" si="24"/>
        <v>-2.50042869622066E-2</v>
      </c>
      <c r="AA37" s="499">
        <f t="shared" si="24"/>
        <v>-2.5504372701450735E-2</v>
      </c>
      <c r="AB37" s="499">
        <f t="shared" si="24"/>
        <v>-2.6014460155479747E-2</v>
      </c>
      <c r="AC37" s="499">
        <f t="shared" si="24"/>
        <v>0</v>
      </c>
      <c r="AD37" s="51"/>
    </row>
    <row r="38" spans="1:30" ht="18" x14ac:dyDescent="0.35">
      <c r="A38" s="61" t="s">
        <v>448</v>
      </c>
      <c r="B38" s="505">
        <f>NPV(0.1,D37:R37)</f>
        <v>7.3387455328257394</v>
      </c>
      <c r="C38" s="506" t="str">
        <f>IF(B38&lt;0,"     New Plant has better Pricing","     Upgrade has better pricing")</f>
        <v xml:space="preserve">     Upgrade has better pricing</v>
      </c>
      <c r="D38" s="499"/>
      <c r="E38" s="499"/>
      <c r="F38" s="499"/>
      <c r="G38" s="499"/>
      <c r="H38" s="499"/>
      <c r="I38" s="499"/>
      <c r="J38" s="499"/>
      <c r="K38" s="499"/>
      <c r="L38" s="499"/>
      <c r="M38" s="499"/>
      <c r="N38" s="499"/>
      <c r="O38" s="499"/>
      <c r="P38" s="499"/>
      <c r="Q38" s="499"/>
      <c r="R38" s="499"/>
      <c r="S38" s="499"/>
      <c r="T38" s="499"/>
      <c r="U38" s="499"/>
      <c r="V38" s="499"/>
      <c r="W38" s="499"/>
      <c r="X38" s="499"/>
      <c r="Y38" s="499"/>
      <c r="Z38" s="499"/>
      <c r="AA38" s="499"/>
      <c r="AB38" s="499"/>
      <c r="AC38" s="499"/>
      <c r="AD38" s="51"/>
    </row>
    <row r="39" spans="1:30" x14ac:dyDescent="0.25">
      <c r="A39" s="61"/>
      <c r="B39" s="63"/>
      <c r="C39" s="63"/>
      <c r="D39" s="482"/>
      <c r="E39" s="475"/>
      <c r="F39" s="475"/>
      <c r="G39" s="475"/>
      <c r="H39" s="475"/>
      <c r="I39" s="475"/>
      <c r="J39" s="475"/>
      <c r="K39" s="475"/>
      <c r="L39" s="475"/>
      <c r="M39" s="475"/>
      <c r="N39" s="475"/>
      <c r="O39" s="475"/>
      <c r="P39" s="475"/>
      <c r="Q39" s="475"/>
      <c r="R39" s="475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51"/>
    </row>
    <row r="40" spans="1:30" x14ac:dyDescent="0.25">
      <c r="A40" s="109" t="s">
        <v>186</v>
      </c>
      <c r="B40" s="63"/>
      <c r="C40" s="63"/>
      <c r="D40" s="475"/>
      <c r="E40" s="48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51"/>
    </row>
    <row r="41" spans="1:30" x14ac:dyDescent="0.25">
      <c r="A41" s="128" t="s">
        <v>438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51"/>
    </row>
    <row r="42" spans="1:30" x14ac:dyDescent="0.25">
      <c r="A42" s="61" t="s">
        <v>454</v>
      </c>
      <c r="B42" s="63"/>
      <c r="C42" s="63"/>
      <c r="D42" s="512">
        <v>33.14</v>
      </c>
      <c r="E42" s="512">
        <v>32.979999999999997</v>
      </c>
      <c r="F42" s="512">
        <v>33.020000000000003</v>
      </c>
      <c r="G42" s="512">
        <v>33.14</v>
      </c>
      <c r="H42" s="512">
        <v>33.36</v>
      </c>
      <c r="I42" s="512">
        <v>33.549999999999997</v>
      </c>
      <c r="J42" s="512">
        <v>34</v>
      </c>
      <c r="K42" s="512">
        <v>34.32</v>
      </c>
      <c r="L42" s="512">
        <v>34.71</v>
      </c>
      <c r="M42" s="512">
        <v>35.15</v>
      </c>
      <c r="N42" s="512">
        <v>35.58</v>
      </c>
      <c r="O42" s="512">
        <v>35.96</v>
      </c>
      <c r="P42" s="512">
        <v>36.51</v>
      </c>
      <c r="Q42" s="512">
        <v>36.770000000000003</v>
      </c>
      <c r="R42" s="512">
        <v>37.19</v>
      </c>
      <c r="S42" s="512">
        <v>0</v>
      </c>
      <c r="T42" s="512">
        <v>0</v>
      </c>
      <c r="U42" s="512">
        <v>0</v>
      </c>
      <c r="V42" s="512">
        <v>0</v>
      </c>
      <c r="W42" s="512">
        <v>0</v>
      </c>
      <c r="X42" s="512">
        <v>0</v>
      </c>
      <c r="Y42" s="512">
        <v>0</v>
      </c>
      <c r="Z42" s="512">
        <v>0</v>
      </c>
      <c r="AA42" s="512">
        <v>0</v>
      </c>
      <c r="AB42" s="512">
        <v>0</v>
      </c>
      <c r="AC42" s="512">
        <v>0</v>
      </c>
      <c r="AD42" s="84">
        <f>SUM(D42:AC42)</f>
        <v>519.37999999999988</v>
      </c>
    </row>
    <row r="43" spans="1:30" x14ac:dyDescent="0.25">
      <c r="A43" s="61" t="s">
        <v>444</v>
      </c>
      <c r="B43" s="63"/>
      <c r="C43" s="63"/>
      <c r="D43" s="165">
        <f>((ASS!D35*8760*ASS!D36*ASS!D37)/(1-(ASS!D39-ASS!D38)))-(ASS!D35*8760*ASS!D36*ASS!D37)</f>
        <v>0</v>
      </c>
      <c r="E43" s="165">
        <f>D43</f>
        <v>0</v>
      </c>
      <c r="F43" s="165">
        <f t="shared" ref="F43:AC43" si="25">E43</f>
        <v>0</v>
      </c>
      <c r="G43" s="165">
        <f t="shared" si="25"/>
        <v>0</v>
      </c>
      <c r="H43" s="165">
        <f t="shared" si="25"/>
        <v>0</v>
      </c>
      <c r="I43" s="165">
        <f t="shared" si="25"/>
        <v>0</v>
      </c>
      <c r="J43" s="165">
        <f t="shared" si="25"/>
        <v>0</v>
      </c>
      <c r="K43" s="165">
        <f t="shared" si="25"/>
        <v>0</v>
      </c>
      <c r="L43" s="165">
        <f t="shared" si="25"/>
        <v>0</v>
      </c>
      <c r="M43" s="165">
        <f t="shared" si="25"/>
        <v>0</v>
      </c>
      <c r="N43" s="165">
        <f t="shared" si="25"/>
        <v>0</v>
      </c>
      <c r="O43" s="165">
        <f t="shared" si="25"/>
        <v>0</v>
      </c>
      <c r="P43" s="165">
        <f t="shared" si="25"/>
        <v>0</v>
      </c>
      <c r="Q43" s="165">
        <f t="shared" si="25"/>
        <v>0</v>
      </c>
      <c r="R43" s="165">
        <f t="shared" si="25"/>
        <v>0</v>
      </c>
      <c r="S43" s="165">
        <f t="shared" si="25"/>
        <v>0</v>
      </c>
      <c r="T43" s="165">
        <f t="shared" si="25"/>
        <v>0</v>
      </c>
      <c r="U43" s="165">
        <f t="shared" si="25"/>
        <v>0</v>
      </c>
      <c r="V43" s="165">
        <f t="shared" si="25"/>
        <v>0</v>
      </c>
      <c r="W43" s="165">
        <f t="shared" si="25"/>
        <v>0</v>
      </c>
      <c r="X43" s="165">
        <f t="shared" si="25"/>
        <v>0</v>
      </c>
      <c r="Y43" s="165">
        <f t="shared" si="25"/>
        <v>0</v>
      </c>
      <c r="Z43" s="165">
        <f t="shared" si="25"/>
        <v>0</v>
      </c>
      <c r="AA43" s="165">
        <f t="shared" si="25"/>
        <v>0</v>
      </c>
      <c r="AB43" s="165">
        <f t="shared" si="25"/>
        <v>0</v>
      </c>
      <c r="AC43" s="165">
        <f t="shared" si="25"/>
        <v>0</v>
      </c>
      <c r="AD43" s="91">
        <f>SUM(D43:AC43)</f>
        <v>0</v>
      </c>
    </row>
    <row r="44" spans="1:30" x14ac:dyDescent="0.25">
      <c r="A44" s="61" t="s">
        <v>437</v>
      </c>
      <c r="B44" s="63"/>
      <c r="C44" s="63"/>
      <c r="D44" s="164">
        <f t="shared" ref="D44:AC44" si="26">D42*D43/1000*D7/12</f>
        <v>0</v>
      </c>
      <c r="E44" s="164">
        <f t="shared" si="26"/>
        <v>0</v>
      </c>
      <c r="F44" s="164">
        <f t="shared" si="26"/>
        <v>0</v>
      </c>
      <c r="G44" s="164">
        <f t="shared" si="26"/>
        <v>0</v>
      </c>
      <c r="H44" s="164">
        <f t="shared" si="26"/>
        <v>0</v>
      </c>
      <c r="I44" s="164">
        <f t="shared" si="26"/>
        <v>0</v>
      </c>
      <c r="J44" s="164">
        <f t="shared" si="26"/>
        <v>0</v>
      </c>
      <c r="K44" s="164">
        <f t="shared" si="26"/>
        <v>0</v>
      </c>
      <c r="L44" s="164">
        <f t="shared" si="26"/>
        <v>0</v>
      </c>
      <c r="M44" s="164">
        <f t="shared" si="26"/>
        <v>0</v>
      </c>
      <c r="N44" s="164">
        <f t="shared" si="26"/>
        <v>0</v>
      </c>
      <c r="O44" s="164">
        <f t="shared" si="26"/>
        <v>0</v>
      </c>
      <c r="P44" s="164">
        <f t="shared" si="26"/>
        <v>0</v>
      </c>
      <c r="Q44" s="164">
        <f t="shared" si="26"/>
        <v>0</v>
      </c>
      <c r="R44" s="164">
        <f t="shared" si="26"/>
        <v>0</v>
      </c>
      <c r="S44" s="164">
        <f t="shared" si="26"/>
        <v>0</v>
      </c>
      <c r="T44" s="164">
        <f t="shared" si="26"/>
        <v>0</v>
      </c>
      <c r="U44" s="164">
        <f t="shared" si="26"/>
        <v>0</v>
      </c>
      <c r="V44" s="164">
        <f t="shared" si="26"/>
        <v>0</v>
      </c>
      <c r="W44" s="164">
        <f t="shared" si="26"/>
        <v>0</v>
      </c>
      <c r="X44" s="164">
        <f t="shared" si="26"/>
        <v>0</v>
      </c>
      <c r="Y44" s="164">
        <f t="shared" si="26"/>
        <v>0</v>
      </c>
      <c r="Z44" s="164">
        <f t="shared" si="26"/>
        <v>0</v>
      </c>
      <c r="AA44" s="164">
        <f t="shared" si="26"/>
        <v>0</v>
      </c>
      <c r="AB44" s="164">
        <f t="shared" si="26"/>
        <v>0</v>
      </c>
      <c r="AC44" s="164">
        <f t="shared" si="26"/>
        <v>0</v>
      </c>
      <c r="AD44" s="84">
        <f>AD42*AD43</f>
        <v>0</v>
      </c>
    </row>
    <row r="45" spans="1:30" x14ac:dyDescent="0.25">
      <c r="A45" s="61"/>
      <c r="B45" s="63"/>
      <c r="C45" s="63"/>
      <c r="D45" s="164"/>
      <c r="E45" s="164"/>
      <c r="F45" s="164"/>
      <c r="G45" s="164"/>
      <c r="H45" s="164"/>
      <c r="I45" s="164"/>
      <c r="J45" s="164"/>
      <c r="K45" s="164"/>
      <c r="L45" s="164"/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  <c r="Y45" s="164"/>
      <c r="Z45" s="164"/>
      <c r="AA45" s="164"/>
      <c r="AB45" s="164"/>
      <c r="AC45" s="164"/>
      <c r="AD45" s="84"/>
    </row>
    <row r="46" spans="1:30" x14ac:dyDescent="0.25">
      <c r="A46" s="128" t="s">
        <v>187</v>
      </c>
      <c r="B46" s="63"/>
      <c r="C46" s="63"/>
      <c r="D46" s="164"/>
      <c r="E46" s="164"/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  <c r="AA46" s="164"/>
      <c r="AB46" s="164"/>
      <c r="AC46" s="164"/>
      <c r="AD46" s="84"/>
    </row>
    <row r="47" spans="1:30" x14ac:dyDescent="0.25">
      <c r="A47" s="128" t="s">
        <v>188</v>
      </c>
      <c r="B47" s="63"/>
      <c r="C47" s="63"/>
      <c r="D47" s="164"/>
      <c r="E47" s="164"/>
      <c r="F47" s="164"/>
      <c r="G47" s="164"/>
      <c r="H47" s="164"/>
      <c r="I47" s="164"/>
      <c r="J47" s="164"/>
      <c r="K47" s="164"/>
      <c r="L47" s="164"/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Y47" s="164"/>
      <c r="Z47" s="164"/>
      <c r="AA47" s="164"/>
      <c r="AB47" s="164"/>
      <c r="AC47" s="164"/>
      <c r="AD47" s="84"/>
    </row>
    <row r="48" spans="1:30" x14ac:dyDescent="0.25">
      <c r="A48" s="61" t="str">
        <f>ASS!A44</f>
        <v>Miscellaneous O&amp;M</v>
      </c>
      <c r="B48" s="63"/>
      <c r="C48" s="63"/>
      <c r="D48" s="164">
        <f>ASS!$C$44*(1+ASS!$E$44)^(D6-ASS!$C$43)*D7/12</f>
        <v>0</v>
      </c>
      <c r="E48" s="164">
        <f>ASS!$C$44*(1+ASS!$E$44)^(E6-ASS!$C$43)*E7/12</f>
        <v>0</v>
      </c>
      <c r="F48" s="164">
        <f>ASS!$C$44*(1+ASS!$E$44)^(F6-ASS!$C$43)*F7/12</f>
        <v>0</v>
      </c>
      <c r="G48" s="164">
        <f>ASS!$C$44*(1+ASS!$E$44)^(G6-ASS!$C$43)*G7/12</f>
        <v>0</v>
      </c>
      <c r="H48" s="164">
        <f>ASS!$C$44*(1+ASS!$E$44)^(H6-ASS!$C$43)*H7/12</f>
        <v>0</v>
      </c>
      <c r="I48" s="164">
        <f>ASS!$C$44*(1+ASS!$E$44)^(I6-ASS!$C$43)*I7/12</f>
        <v>0</v>
      </c>
      <c r="J48" s="164">
        <f>ASS!$C$44*(1+ASS!$E$44)^(J6-ASS!$C$43)*J7/12</f>
        <v>0</v>
      </c>
      <c r="K48" s="164">
        <f>ASS!$C$44*(1+ASS!$E$44)^(K6-ASS!$C$43)*K7/12</f>
        <v>0</v>
      </c>
      <c r="L48" s="164">
        <f>ASS!$C$44*(1+ASS!$E$44)^(L6-ASS!$C$43)*L7/12</f>
        <v>0</v>
      </c>
      <c r="M48" s="164">
        <f>ASS!$C$44*(1+ASS!$E$44)^(M6-ASS!$C$43)*M7/12</f>
        <v>0</v>
      </c>
      <c r="N48" s="164">
        <f>ASS!$C$44*(1+ASS!$E$44)^(N6-ASS!$C$43)*N7/12</f>
        <v>0</v>
      </c>
      <c r="O48" s="164">
        <f>ASS!$C$44*(1+ASS!$E$44)^(O6-ASS!$C$43)*O7/12</f>
        <v>0</v>
      </c>
      <c r="P48" s="164">
        <f>ASS!$C$44*(1+ASS!$E$44)^(P6-ASS!$C$43)*P7/12</f>
        <v>0</v>
      </c>
      <c r="Q48" s="164">
        <f>ASS!$C$44*(1+ASS!$E$44)^(Q6-ASS!$C$43)*Q7/12</f>
        <v>0</v>
      </c>
      <c r="R48" s="164">
        <f>ASS!$C$44*(1+ASS!$E$44)^(R6-ASS!$C$43)*R7/12</f>
        <v>0</v>
      </c>
      <c r="S48" s="164">
        <f>ASS!$C$44*(1+ASS!$E$44)^(S6-ASS!$C$43)*S7/12</f>
        <v>0</v>
      </c>
      <c r="T48" s="164">
        <f>ASS!$C$44*(1+ASS!$E$44)^(T6-ASS!$C$43)*T7/12</f>
        <v>0</v>
      </c>
      <c r="U48" s="164">
        <f>ASS!$C$44*(1+ASS!$E$44)^(U6-ASS!$C$43)*U7/12</f>
        <v>0</v>
      </c>
      <c r="V48" s="164">
        <f>ASS!$C$44*(1+ASS!$E$44)^(V6-ASS!$C$43)*V7/12</f>
        <v>0</v>
      </c>
      <c r="W48" s="164">
        <f>ASS!$C$44*(1+ASS!$E$44)^(W6-ASS!$C$43)*W7/12</f>
        <v>0</v>
      </c>
      <c r="X48" s="164">
        <f>ASS!$C$44*(1+ASS!$E$44)^(X6-ASS!$C$43)*X7/12</f>
        <v>0</v>
      </c>
      <c r="Y48" s="164">
        <f>ASS!$C$44*(1+ASS!$E$44)^(Y6-ASS!$C$43)*Y7/12</f>
        <v>0</v>
      </c>
      <c r="Z48" s="164">
        <f>ASS!$C$44*(1+ASS!$E$44)^(Z6-ASS!$C$43)*Z7/12</f>
        <v>0</v>
      </c>
      <c r="AA48" s="164">
        <f>ASS!$C$44*(1+ASS!$E$44)^(AA6-ASS!$C$43)*AA7/12</f>
        <v>0</v>
      </c>
      <c r="AB48" s="164">
        <f>ASS!$C$44*(1+ASS!$E$44)^(AB6-ASS!$C$43)*AB7/12</f>
        <v>0</v>
      </c>
      <c r="AC48" s="164">
        <f>ASS!$C$44*(1+ASS!$E$44)^(AC6-ASS!$C$43)*AC7/12</f>
        <v>0</v>
      </c>
      <c r="AD48" s="84">
        <f t="shared" ref="AD48:AD53" si="27">SUM(D48:AC48)</f>
        <v>0</v>
      </c>
    </row>
    <row r="49" spans="1:30" x14ac:dyDescent="0.25">
      <c r="A49" s="61" t="str">
        <f>ASS!A45</f>
        <v>Miscellaneous G&amp;A</v>
      </c>
      <c r="B49" s="63"/>
      <c r="C49" s="63"/>
      <c r="D49" s="164">
        <f>ASS!$C$45*(1+ASS!$E$45)^(D6-ASS!$C$43)*D7/12</f>
        <v>0</v>
      </c>
      <c r="E49" s="164">
        <f>ASS!$C$45*(1+ASS!$E$45)^(E6-ASS!$C$43)*E7/12</f>
        <v>0</v>
      </c>
      <c r="F49" s="164">
        <f>ASS!$C$45*(1+ASS!$E$45)^(F6-ASS!$C$43)*F7/12</f>
        <v>0</v>
      </c>
      <c r="G49" s="164">
        <f>ASS!$C$45*(1+ASS!$E$45)^(G6-ASS!$C$43)*G7/12</f>
        <v>0</v>
      </c>
      <c r="H49" s="164">
        <f>ASS!$C$45*(1+ASS!$E$45)^(H6-ASS!$C$43)*H7/12</f>
        <v>0</v>
      </c>
      <c r="I49" s="164">
        <f>ASS!$C$45*(1+ASS!$E$45)^(I6-ASS!$C$43)*I7/12</f>
        <v>0</v>
      </c>
      <c r="J49" s="164">
        <f>ASS!$C$45*(1+ASS!$E$45)^(J6-ASS!$C$43)*J7/12</f>
        <v>0</v>
      </c>
      <c r="K49" s="164">
        <f>ASS!$C$45*(1+ASS!$E$45)^(K6-ASS!$C$43)*K7/12</f>
        <v>0</v>
      </c>
      <c r="L49" s="164">
        <f>ASS!$C$45*(1+ASS!$E$45)^(L6-ASS!$C$43)*L7/12</f>
        <v>0</v>
      </c>
      <c r="M49" s="164">
        <f>ASS!$C$45*(1+ASS!$E$45)^(M6-ASS!$C$43)*M7/12</f>
        <v>0</v>
      </c>
      <c r="N49" s="164">
        <f>ASS!$C$45*(1+ASS!$E$45)^(N6-ASS!$C$43)*N7/12</f>
        <v>0</v>
      </c>
      <c r="O49" s="164">
        <f>ASS!$C$45*(1+ASS!$E$45)^(O6-ASS!$C$43)*O7/12</f>
        <v>0</v>
      </c>
      <c r="P49" s="164">
        <f>ASS!$C$45*(1+ASS!$E$45)^(P6-ASS!$C$43)*P7/12</f>
        <v>0</v>
      </c>
      <c r="Q49" s="164">
        <f>ASS!$C$45*(1+ASS!$E$45)^(Q6-ASS!$C$43)*Q7/12</f>
        <v>0</v>
      </c>
      <c r="R49" s="164">
        <f>ASS!$C$45*(1+ASS!$E$45)^(R6-ASS!$C$43)*R7/12</f>
        <v>0</v>
      </c>
      <c r="S49" s="164">
        <f>ASS!$C$45*(1+ASS!$E$45)^(S6-ASS!$C$43)*S7/12</f>
        <v>0</v>
      </c>
      <c r="T49" s="164">
        <f>ASS!$C$45*(1+ASS!$E$45)^(T6-ASS!$C$43)*T7/12</f>
        <v>0</v>
      </c>
      <c r="U49" s="164">
        <f>ASS!$C$45*(1+ASS!$E$45)^(U6-ASS!$C$43)*U7/12</f>
        <v>0</v>
      </c>
      <c r="V49" s="164">
        <f>ASS!$C$45*(1+ASS!$E$45)^(V6-ASS!$C$43)*V7/12</f>
        <v>0</v>
      </c>
      <c r="W49" s="164">
        <f>ASS!$C$45*(1+ASS!$E$45)^(W6-ASS!$C$43)*W7/12</f>
        <v>0</v>
      </c>
      <c r="X49" s="164">
        <f>ASS!$C$45*(1+ASS!$E$45)^(X6-ASS!$C$43)*X7/12</f>
        <v>0</v>
      </c>
      <c r="Y49" s="164">
        <f>ASS!$C$45*(1+ASS!$E$45)^(Y6-ASS!$C$43)*Y7/12</f>
        <v>0</v>
      </c>
      <c r="Z49" s="164">
        <f>ASS!$C$45*(1+ASS!$E$45)^(Z6-ASS!$C$43)*Z7/12</f>
        <v>0</v>
      </c>
      <c r="AA49" s="164">
        <f>ASS!$C$45*(1+ASS!$E$45)^(AA6-ASS!$C$43)*AA7/12</f>
        <v>0</v>
      </c>
      <c r="AB49" s="164">
        <f>ASS!$C$45*(1+ASS!$E$45)^(AB6-ASS!$C$43)*AB7/12</f>
        <v>0</v>
      </c>
      <c r="AC49" s="164">
        <f>ASS!$C$45*(1+ASS!$E$45)^(AC6-ASS!$C$43)*AC7/12</f>
        <v>0</v>
      </c>
      <c r="AD49" s="84">
        <f t="shared" si="27"/>
        <v>0</v>
      </c>
    </row>
    <row r="50" spans="1:30" x14ac:dyDescent="0.25">
      <c r="A50" s="61" t="str">
        <f>ASS!A46</f>
        <v>Maintenance Reserve</v>
      </c>
      <c r="B50" s="63"/>
      <c r="C50" s="63"/>
      <c r="D50" s="164">
        <f>ASS!$C$46*(1+ASS!$E$46)^(D6-ASS!$C$43)*D7/12</f>
        <v>0</v>
      </c>
      <c r="E50" s="164">
        <f>ASS!$C$46*(1+ASS!$E$46)^(E6-ASS!$C$43)*E7/12</f>
        <v>0</v>
      </c>
      <c r="F50" s="164">
        <f>ASS!$C$46*(1+ASS!$E$46)^(F6-ASS!$C$43)*F7/12</f>
        <v>0</v>
      </c>
      <c r="G50" s="164">
        <f>ASS!$C$46*(1+ASS!$E$46)^(G6-ASS!$C$43)*G7/12</f>
        <v>0</v>
      </c>
      <c r="H50" s="164">
        <f>ASS!$C$46*(1+ASS!$E$46)^(H6-ASS!$C$43)*H7/12</f>
        <v>0</v>
      </c>
      <c r="I50" s="164">
        <f>ASS!$C$46*(1+ASS!$E$46)^(I6-ASS!$C$43)*I7/12</f>
        <v>0</v>
      </c>
      <c r="J50" s="164">
        <f>ASS!$C$46*(1+ASS!$E$46)^(J6-ASS!$C$43)*J7/12</f>
        <v>0</v>
      </c>
      <c r="K50" s="164">
        <f>ASS!$C$46*(1+ASS!$E$46)^(K6-ASS!$C$43)*K7/12</f>
        <v>0</v>
      </c>
      <c r="L50" s="164">
        <f>ASS!$C$46*(1+ASS!$E$46)^(L6-ASS!$C$43)*L7/12</f>
        <v>0</v>
      </c>
      <c r="M50" s="164">
        <f>ASS!$C$46*(1+ASS!$E$46)^(M6-ASS!$C$43)*M7/12</f>
        <v>0</v>
      </c>
      <c r="N50" s="164">
        <f>ASS!$C$46*(1+ASS!$E$46)^(N6-ASS!$C$43)*N7/12</f>
        <v>0</v>
      </c>
      <c r="O50" s="164">
        <f>ASS!$C$46*(1+ASS!$E$46)^(O6-ASS!$C$43)*O7/12</f>
        <v>0</v>
      </c>
      <c r="P50" s="164">
        <f>ASS!$C$46*(1+ASS!$E$46)^(P6-ASS!$C$43)*P7/12</f>
        <v>0</v>
      </c>
      <c r="Q50" s="164">
        <f>ASS!$C$46*(1+ASS!$E$46)^(Q6-ASS!$C$43)*Q7/12</f>
        <v>0</v>
      </c>
      <c r="R50" s="164">
        <f>ASS!$C$46*(1+ASS!$E$46)^(R6-ASS!$C$43)*R7/12</f>
        <v>0</v>
      </c>
      <c r="S50" s="164">
        <f>ASS!$C$46*(1+ASS!$E$46)^(S6-ASS!$C$43)*S7/12</f>
        <v>0</v>
      </c>
      <c r="T50" s="164">
        <f>ASS!$C$46*(1+ASS!$E$46)^(T6-ASS!$C$43)*T7/12</f>
        <v>0</v>
      </c>
      <c r="U50" s="164">
        <f>ASS!$C$46*(1+ASS!$E$46)^(U6-ASS!$C$43)*U7/12</f>
        <v>0</v>
      </c>
      <c r="V50" s="164">
        <f>ASS!$C$46*(1+ASS!$E$46)^(V6-ASS!$C$43)*V7/12</f>
        <v>0</v>
      </c>
      <c r="W50" s="164">
        <f>ASS!$C$46*(1+ASS!$E$46)^(W6-ASS!$C$43)*W7/12</f>
        <v>0</v>
      </c>
      <c r="X50" s="164">
        <f>ASS!$C$46*(1+ASS!$E$46)^(X6-ASS!$C$43)*X7/12</f>
        <v>0</v>
      </c>
      <c r="Y50" s="164">
        <f>ASS!$C$46*(1+ASS!$E$46)^(Y6-ASS!$C$43)*Y7/12</f>
        <v>0</v>
      </c>
      <c r="Z50" s="164">
        <f>ASS!$C$46*(1+ASS!$E$46)^(Z6-ASS!$C$43)*Z7/12</f>
        <v>0</v>
      </c>
      <c r="AA50" s="164">
        <f>ASS!$C$46*(1+ASS!$E$46)^(AA6-ASS!$C$43)*AA7/12</f>
        <v>0</v>
      </c>
      <c r="AB50" s="164">
        <f>ASS!$C$46*(1+ASS!$E$46)^(AB6-ASS!$C$43)*AB7/12</f>
        <v>0</v>
      </c>
      <c r="AC50" s="164">
        <f>ASS!$C$46*(1+ASS!$E$46)^(AC6-ASS!$C$43)*AC7/12</f>
        <v>0</v>
      </c>
      <c r="AD50" s="84">
        <f t="shared" si="27"/>
        <v>0</v>
      </c>
    </row>
    <row r="51" spans="1:30" x14ac:dyDescent="0.25">
      <c r="A51" s="61" t="str">
        <f>ASS!A47</f>
        <v>Plant Insurance</v>
      </c>
      <c r="B51" s="63"/>
      <c r="C51" s="63"/>
      <c r="D51" s="164">
        <f>ASS!$C$47*(1+ASS!$E$47)^(D6-ASS!$C$43)*D7/12</f>
        <v>0</v>
      </c>
      <c r="E51" s="164">
        <f>ASS!$C$47*(1+ASS!$E$47)^(E6-ASS!$C$43)*E7/12</f>
        <v>0</v>
      </c>
      <c r="F51" s="164">
        <f>ASS!$C$47*(1+ASS!$E$47)^(F6-ASS!$C$43)*F7/12</f>
        <v>0</v>
      </c>
      <c r="G51" s="164">
        <f>ASS!$C$47*(1+ASS!$E$47)^(G6-ASS!$C$43)*G7/12</f>
        <v>0</v>
      </c>
      <c r="H51" s="164">
        <f>ASS!$C$47*(1+ASS!$E$47)^(H6-ASS!$C$43)*H7/12</f>
        <v>0</v>
      </c>
      <c r="I51" s="164">
        <f>ASS!$C$47*(1+ASS!$E$47)^(I6-ASS!$C$43)*I7/12</f>
        <v>0</v>
      </c>
      <c r="J51" s="164">
        <f>ASS!$C$47*(1+ASS!$E$47)^(J6-ASS!$C$43)*J7/12</f>
        <v>0</v>
      </c>
      <c r="K51" s="164">
        <f>ASS!$C$47*(1+ASS!$E$47)^(K6-ASS!$C$43)*K7/12</f>
        <v>0</v>
      </c>
      <c r="L51" s="164">
        <f>ASS!$C$47*(1+ASS!$E$47)^(L6-ASS!$C$43)*L7/12</f>
        <v>0</v>
      </c>
      <c r="M51" s="164">
        <f>ASS!$C$47*(1+ASS!$E$47)^(M6-ASS!$C$43)*M7/12</f>
        <v>0</v>
      </c>
      <c r="N51" s="164">
        <f>ASS!$C$47*(1+ASS!$E$47)^(N6-ASS!$C$43)*N7/12</f>
        <v>0</v>
      </c>
      <c r="O51" s="164">
        <f>ASS!$C$47*(1+ASS!$E$47)^(O6-ASS!$C$43)*O7/12</f>
        <v>0</v>
      </c>
      <c r="P51" s="164">
        <f>ASS!$C$47*(1+ASS!$E$47)^(P6-ASS!$C$43)*P7/12</f>
        <v>0</v>
      </c>
      <c r="Q51" s="164">
        <f>ASS!$C$47*(1+ASS!$E$47)^(Q6-ASS!$C$43)*Q7/12</f>
        <v>0</v>
      </c>
      <c r="R51" s="164">
        <f>ASS!$C$47*(1+ASS!$E$47)^(R6-ASS!$C$43)*R7/12</f>
        <v>0</v>
      </c>
      <c r="S51" s="164">
        <f>ASS!$C$47*(1+ASS!$E$47)^(S6-ASS!$C$43)*S7/12</f>
        <v>0</v>
      </c>
      <c r="T51" s="164">
        <f>ASS!$C$47*(1+ASS!$E$47)^(T6-ASS!$C$43)*T7/12</f>
        <v>0</v>
      </c>
      <c r="U51" s="164">
        <f>ASS!$C$47*(1+ASS!$E$47)^(U6-ASS!$C$43)*U7/12</f>
        <v>0</v>
      </c>
      <c r="V51" s="164">
        <f>ASS!$C$47*(1+ASS!$E$47)^(V6-ASS!$C$43)*V7/12</f>
        <v>0</v>
      </c>
      <c r="W51" s="164">
        <f>ASS!$C$47*(1+ASS!$E$47)^(W6-ASS!$C$43)*W7/12</f>
        <v>0</v>
      </c>
      <c r="X51" s="164">
        <f>ASS!$C$47*(1+ASS!$E$47)^(X6-ASS!$C$43)*X7/12</f>
        <v>0</v>
      </c>
      <c r="Y51" s="164">
        <f>ASS!$C$47*(1+ASS!$E$47)^(Y6-ASS!$C$43)*Y7/12</f>
        <v>0</v>
      </c>
      <c r="Z51" s="164">
        <f>ASS!$C$47*(1+ASS!$E$47)^(Z6-ASS!$C$43)*Z7/12</f>
        <v>0</v>
      </c>
      <c r="AA51" s="164">
        <f>ASS!$C$47*(1+ASS!$E$47)^(AA6-ASS!$C$43)*AA7/12</f>
        <v>0</v>
      </c>
      <c r="AB51" s="164">
        <f>ASS!$C$47*(1+ASS!$E$47)^(AB6-ASS!$C$43)*AB7/12</f>
        <v>0</v>
      </c>
      <c r="AC51" s="164">
        <f>ASS!$C$47*(1+ASS!$E$47)^(AC6-ASS!$C$43)*AC7/12</f>
        <v>0</v>
      </c>
      <c r="AD51" s="84">
        <f t="shared" si="27"/>
        <v>0</v>
      </c>
    </row>
    <row r="52" spans="1:30" x14ac:dyDescent="0.25">
      <c r="A52" s="61" t="str">
        <f>ASS!A48</f>
        <v>Payroll</v>
      </c>
      <c r="B52" s="63"/>
      <c r="C52" s="63"/>
      <c r="D52" s="164">
        <f>ASS!$C$48*(1+ASS!$E$48)^(D6-ASS!$C$43)*D7/12</f>
        <v>0</v>
      </c>
      <c r="E52" s="164">
        <f>ASS!$C$48*(1+ASS!$E$48)^(E6-ASS!$C$43)*E7/12</f>
        <v>0</v>
      </c>
      <c r="F52" s="164">
        <f>ASS!$C$48*(1+ASS!$E$48)^(F6-ASS!$C$43)*F7/12</f>
        <v>0</v>
      </c>
      <c r="G52" s="164">
        <f>ASS!$C$48*(1+ASS!$E$48)^(G6-ASS!$C$43)*G7/12</f>
        <v>0</v>
      </c>
      <c r="H52" s="164">
        <f>ASS!$C$48*(1+ASS!$E$48)^(H6-ASS!$C$43)*H7/12</f>
        <v>0</v>
      </c>
      <c r="I52" s="164">
        <f>ASS!$C$48*(1+ASS!$E$48)^(I6-ASS!$C$43)*I7/12</f>
        <v>0</v>
      </c>
      <c r="J52" s="164">
        <f>ASS!$C$48*(1+ASS!$E$48)^(J6-ASS!$C$43)*J7/12</f>
        <v>0</v>
      </c>
      <c r="K52" s="164">
        <f>ASS!$C$48*(1+ASS!$E$48)^(K6-ASS!$C$43)*K7/12</f>
        <v>0</v>
      </c>
      <c r="L52" s="164">
        <f>ASS!$C$48*(1+ASS!$E$48)^(L6-ASS!$C$43)*L7/12</f>
        <v>0</v>
      </c>
      <c r="M52" s="164">
        <f>ASS!$C$48*(1+ASS!$E$48)^(M6-ASS!$C$43)*M7/12</f>
        <v>0</v>
      </c>
      <c r="N52" s="164">
        <f>ASS!$C$48*(1+ASS!$E$48)^(N6-ASS!$C$43)*N7/12</f>
        <v>0</v>
      </c>
      <c r="O52" s="164">
        <f>ASS!$C$48*(1+ASS!$E$48)^(O6-ASS!$C$43)*O7/12</f>
        <v>0</v>
      </c>
      <c r="P52" s="164">
        <f>ASS!$C$48*(1+ASS!$E$48)^(P6-ASS!$C$43)*P7/12</f>
        <v>0</v>
      </c>
      <c r="Q52" s="164">
        <f>ASS!$C$48*(1+ASS!$E$48)^(Q6-ASS!$C$43)*Q7/12</f>
        <v>0</v>
      </c>
      <c r="R52" s="164">
        <f>ASS!$C$48*(1+ASS!$E$48)^(R6-ASS!$C$43)*R7/12</f>
        <v>0</v>
      </c>
      <c r="S52" s="164">
        <f>ASS!$C$48*(1+ASS!$E$48)^(S6-ASS!$C$43)*S7/12</f>
        <v>0</v>
      </c>
      <c r="T52" s="164">
        <f>ASS!$C$48*(1+ASS!$E$48)^(T6-ASS!$C$43)*T7/12</f>
        <v>0</v>
      </c>
      <c r="U52" s="164">
        <f>ASS!$C$48*(1+ASS!$E$48)^(U6-ASS!$C$43)*U7/12</f>
        <v>0</v>
      </c>
      <c r="V52" s="164">
        <f>ASS!$C$48*(1+ASS!$E$48)^(V6-ASS!$C$43)*V7/12</f>
        <v>0</v>
      </c>
      <c r="W52" s="164">
        <f>ASS!$C$48*(1+ASS!$E$48)^(W6-ASS!$C$43)*W7/12</f>
        <v>0</v>
      </c>
      <c r="X52" s="164">
        <f>ASS!$C$48*(1+ASS!$E$48)^(X6-ASS!$C$43)*X7/12</f>
        <v>0</v>
      </c>
      <c r="Y52" s="164">
        <f>ASS!$C$48*(1+ASS!$E$48)^(Y6-ASS!$C$43)*Y7/12</f>
        <v>0</v>
      </c>
      <c r="Z52" s="164">
        <f>ASS!$C$48*(1+ASS!$E$48)^(Z6-ASS!$C$43)*Z7/12</f>
        <v>0</v>
      </c>
      <c r="AA52" s="164">
        <f>ASS!$C$48*(1+ASS!$E$48)^(AA6-ASS!$C$43)*AA7/12</f>
        <v>0</v>
      </c>
      <c r="AB52" s="164">
        <f>ASS!$C$48*(1+ASS!$E$48)^(AB6-ASS!$C$43)*AB7/12</f>
        <v>0</v>
      </c>
      <c r="AC52" s="164">
        <f>ASS!$C$48*(1+ASS!$E$48)^(AC6-ASS!$C$43)*AC7/12</f>
        <v>0</v>
      </c>
      <c r="AD52" s="84">
        <f t="shared" si="27"/>
        <v>0</v>
      </c>
    </row>
    <row r="53" spans="1:30" x14ac:dyDescent="0.25">
      <c r="A53" s="61" t="str">
        <f>ASS!A49</f>
        <v xml:space="preserve">Spare Parts </v>
      </c>
      <c r="B53" s="63"/>
      <c r="C53" s="63"/>
      <c r="D53" s="164">
        <f>ASS!$C$49*(1+ASS!$E$49)^(D6-ASS!$C$43)*D7/12</f>
        <v>0</v>
      </c>
      <c r="E53" s="164">
        <f>ASS!$C$49*(1+ASS!$E$49)^(E6-ASS!$C$43)*E7/12</f>
        <v>0</v>
      </c>
      <c r="F53" s="164">
        <f>ASS!$C$49*(1+ASS!$E$49)^(F6-ASS!$C$43)*F7/12</f>
        <v>0</v>
      </c>
      <c r="G53" s="164">
        <f>ASS!$C$49*(1+ASS!$E$49)^(G6-ASS!$C$43)*G7/12</f>
        <v>0</v>
      </c>
      <c r="H53" s="164">
        <f>ASS!$C$49*(1+ASS!$E$49)^(H6-ASS!$C$43)*H7/12</f>
        <v>0</v>
      </c>
      <c r="I53" s="164">
        <f>ASS!$C$49*(1+ASS!$E$49)^(I6-ASS!$C$43)*I7/12</f>
        <v>0</v>
      </c>
      <c r="J53" s="164">
        <f>ASS!$C$49*(1+ASS!$E$49)^(J6-ASS!$C$43)*J7/12</f>
        <v>0</v>
      </c>
      <c r="K53" s="164">
        <f>ASS!$C$49*(1+ASS!$E$49)^(K6-ASS!$C$43)*K7/12</f>
        <v>0</v>
      </c>
      <c r="L53" s="164">
        <f>ASS!$C$49*(1+ASS!$E$49)^(L6-ASS!$C$43)*L7/12</f>
        <v>0</v>
      </c>
      <c r="M53" s="164">
        <f>ASS!$C$49*(1+ASS!$E$49)^(M6-ASS!$C$43)*M7/12</f>
        <v>0</v>
      </c>
      <c r="N53" s="164">
        <f>ASS!$C$49*(1+ASS!$E$49)^(N6-ASS!$C$43)*N7/12</f>
        <v>0</v>
      </c>
      <c r="O53" s="164">
        <f>ASS!$C$49*(1+ASS!$E$49)^(O6-ASS!$C$43)*O7/12</f>
        <v>0</v>
      </c>
      <c r="P53" s="164">
        <f>ASS!$C$49*(1+ASS!$E$49)^(P6-ASS!$C$43)*P7/12</f>
        <v>0</v>
      </c>
      <c r="Q53" s="164">
        <f>ASS!$C$49*(1+ASS!$E$49)^(Q6-ASS!$C$43)*Q7/12</f>
        <v>0</v>
      </c>
      <c r="R53" s="164">
        <f>ASS!$C$49*(1+ASS!$E$49)^(R6-ASS!$C$43)*R7/12</f>
        <v>0</v>
      </c>
      <c r="S53" s="164">
        <f>ASS!$C$49*(1+ASS!$E$49)^(S6-ASS!$C$43)*S7/12</f>
        <v>0</v>
      </c>
      <c r="T53" s="164">
        <f>ASS!$C$49*(1+ASS!$E$49)^(T6-ASS!$C$43)*T7/12</f>
        <v>0</v>
      </c>
      <c r="U53" s="164">
        <f>ASS!$C$49*(1+ASS!$E$49)^(U6-ASS!$C$43)*U7/12</f>
        <v>0</v>
      </c>
      <c r="V53" s="164">
        <f>ASS!$C$49*(1+ASS!$E$49)^(V6-ASS!$C$43)*V7/12</f>
        <v>0</v>
      </c>
      <c r="W53" s="164">
        <f>ASS!$C$49*(1+ASS!$E$49)^(W6-ASS!$C$43)*W7/12</f>
        <v>0</v>
      </c>
      <c r="X53" s="164">
        <f>ASS!$C$49*(1+ASS!$E$49)^(X6-ASS!$C$43)*X7/12</f>
        <v>0</v>
      </c>
      <c r="Y53" s="164">
        <f>ASS!$C$49*(1+ASS!$E$49)^(Y6-ASS!$C$43)*Y7/12</f>
        <v>0</v>
      </c>
      <c r="Z53" s="164">
        <f>ASS!$C$49*(1+ASS!$E$49)^(Z6-ASS!$C$43)*Z7/12</f>
        <v>0</v>
      </c>
      <c r="AA53" s="164">
        <f>ASS!$C$49*(1+ASS!$E$49)^(AA6-ASS!$C$43)*AA7/12</f>
        <v>0</v>
      </c>
      <c r="AB53" s="164">
        <f>ASS!$C$49*(1+ASS!$E$49)^(AB6-ASS!$C$43)*AB7/12</f>
        <v>0</v>
      </c>
      <c r="AC53" s="164">
        <f>ASS!$C$49*(1+ASS!$E$49)^(AC6-ASS!$C$43)*AC7/12</f>
        <v>0</v>
      </c>
      <c r="AD53" s="84">
        <f t="shared" si="27"/>
        <v>0</v>
      </c>
    </row>
    <row r="54" spans="1:30" x14ac:dyDescent="0.25">
      <c r="A54" s="61" t="str">
        <f>ASS!A50</f>
        <v>Water &amp; Chemicals</v>
      </c>
      <c r="B54" s="63"/>
      <c r="C54" s="63"/>
      <c r="D54" s="164">
        <f>ASS!$C$50*(1+ASS!$E$50)^(D6-ASS!$C$43)*D7/12</f>
        <v>0</v>
      </c>
      <c r="E54" s="164">
        <f>ASS!$C$50*(1+ASS!$E$50)^(E6-ASS!$C$43)*E7/12</f>
        <v>0</v>
      </c>
      <c r="F54" s="164">
        <f>ASS!$C$50*(1+ASS!$E$50)^(F6-ASS!$C$43)*F7/12</f>
        <v>0</v>
      </c>
      <c r="G54" s="164">
        <f>ASS!$C$50*(1+ASS!$E$50)^(G6-ASS!$C$43)*G7/12</f>
        <v>0</v>
      </c>
      <c r="H54" s="164">
        <f>ASS!$C$50*(1+ASS!$E$50)^(H6-ASS!$C$43)*H7/12</f>
        <v>0</v>
      </c>
      <c r="I54" s="164">
        <f>ASS!$C$50*(1+ASS!$E$50)^(I6-ASS!$C$43)*I7/12</f>
        <v>0</v>
      </c>
      <c r="J54" s="164">
        <f>ASS!$C$50*(1+ASS!$E$50)^(J6-ASS!$C$43)*J7/12</f>
        <v>0</v>
      </c>
      <c r="K54" s="164">
        <f>ASS!$C$50*(1+ASS!$E$50)^(K6-ASS!$C$43)*K7/12</f>
        <v>0</v>
      </c>
      <c r="L54" s="164">
        <f>ASS!$C$50*(1+ASS!$E$50)^(L6-ASS!$C$43)*L7/12</f>
        <v>0</v>
      </c>
      <c r="M54" s="164">
        <f>ASS!$C$50*(1+ASS!$E$50)^(M6-ASS!$C$43)*M7/12</f>
        <v>0</v>
      </c>
      <c r="N54" s="164">
        <f>ASS!$C$50*(1+ASS!$E$50)^(N6-ASS!$C$43)*N7/12</f>
        <v>0</v>
      </c>
      <c r="O54" s="164">
        <f>ASS!$C$50*(1+ASS!$E$50)^(O6-ASS!$C$43)*O7/12</f>
        <v>0</v>
      </c>
      <c r="P54" s="164">
        <f>ASS!$C$50*(1+ASS!$E$50)^(P6-ASS!$C$43)*P7/12</f>
        <v>0</v>
      </c>
      <c r="Q54" s="164">
        <f>ASS!$C$50*(1+ASS!$E$50)^(Q6-ASS!$C$43)*Q7/12</f>
        <v>0</v>
      </c>
      <c r="R54" s="164">
        <f>ASS!$C$50*(1+ASS!$E$50)^(R6-ASS!$C$43)*R7/12</f>
        <v>0</v>
      </c>
      <c r="S54" s="164">
        <f>ASS!$C$50*(1+ASS!$E$50)^(S6-ASS!$C$43)*S7/12</f>
        <v>0</v>
      </c>
      <c r="T54" s="164">
        <f>ASS!$C$50*(1+ASS!$E$50)^(T6-ASS!$C$43)*T7/12</f>
        <v>0</v>
      </c>
      <c r="U54" s="164">
        <f>ASS!$C$50*(1+ASS!$E$50)^(U6-ASS!$C$43)*U7/12</f>
        <v>0</v>
      </c>
      <c r="V54" s="164">
        <f>ASS!$C$50*(1+ASS!$E$50)^(V6-ASS!$C$43)*V7/12</f>
        <v>0</v>
      </c>
      <c r="W54" s="164">
        <f>ASS!$C$50*(1+ASS!$E$50)^(W6-ASS!$C$43)*W7/12</f>
        <v>0</v>
      </c>
      <c r="X54" s="164">
        <f>ASS!$C$50*(1+ASS!$E$50)^(X6-ASS!$C$43)*X7/12</f>
        <v>0</v>
      </c>
      <c r="Y54" s="164">
        <f>ASS!$C$50*(1+ASS!$E$50)^(Y6-ASS!$C$43)*Y7/12</f>
        <v>0</v>
      </c>
      <c r="Z54" s="164">
        <f>ASS!$C$50*(1+ASS!$E$50)^(Z6-ASS!$C$43)*Z7/12</f>
        <v>0</v>
      </c>
      <c r="AA54" s="164">
        <f>ASS!$C$50*(1+ASS!$E$50)^(AA6-ASS!$C$43)*AA7/12</f>
        <v>0</v>
      </c>
      <c r="AB54" s="164">
        <f>ASS!$C$50*(1+ASS!$E$50)^(AB6-ASS!$C$43)*AB7/12</f>
        <v>0</v>
      </c>
      <c r="AC54" s="164">
        <f>ASS!$C$50*(1+ASS!$E$50)^(AC6-ASS!$C$43)*AC7/12</f>
        <v>0</v>
      </c>
      <c r="AD54" s="84">
        <f t="shared" ref="AD54:AD60" si="28">SUM(D54:AC54)</f>
        <v>0</v>
      </c>
    </row>
    <row r="55" spans="1:30" x14ac:dyDescent="0.25">
      <c r="A55" s="61" t="str">
        <f>ASS!A51</f>
        <v>Plant Operations (O&amp;M Fee)</v>
      </c>
      <c r="B55" s="63"/>
      <c r="C55" s="63"/>
      <c r="D55" s="164">
        <f>ASS!$C$51*(1+ASS!$E$51)^(D6-ASS!$C$43)*D7/12</f>
        <v>0</v>
      </c>
      <c r="E55" s="164">
        <f>ASS!$C$51*(1+ASS!$E$51)^(E6-ASS!$C$43)*E7/12</f>
        <v>0</v>
      </c>
      <c r="F55" s="164">
        <f>ASS!$C$51*(1+ASS!$E$51)^(F6-ASS!$C$43)*F7/12</f>
        <v>0</v>
      </c>
      <c r="G55" s="164">
        <f>ASS!$C$51*(1+ASS!$E$51)^(G6-ASS!$C$43)*G7/12</f>
        <v>0</v>
      </c>
      <c r="H55" s="164">
        <f>ASS!$C$51*(1+ASS!$E$51)^(H6-ASS!$C$43)*H7/12</f>
        <v>0</v>
      </c>
      <c r="I55" s="164">
        <f>ASS!$C$51*(1+ASS!$E$51)^(I6-ASS!$C$43)*I7/12</f>
        <v>0</v>
      </c>
      <c r="J55" s="164">
        <f>ASS!$C$51*(1+ASS!$E$51)^(J6-ASS!$C$43)*J7/12</f>
        <v>0</v>
      </c>
      <c r="K55" s="164">
        <f>ASS!$C$51*(1+ASS!$E$51)^(K6-ASS!$C$43)*K7/12</f>
        <v>0</v>
      </c>
      <c r="L55" s="164">
        <f>ASS!$C$51*(1+ASS!$E$51)^(L6-ASS!$C$43)*L7/12</f>
        <v>0</v>
      </c>
      <c r="M55" s="164">
        <f>ASS!$C$51*(1+ASS!$E$51)^(M6-ASS!$C$43)*M7/12</f>
        <v>0</v>
      </c>
      <c r="N55" s="164">
        <f>ASS!$C$51*(1+ASS!$E$51)^(N6-ASS!$C$43)*N7/12</f>
        <v>0</v>
      </c>
      <c r="O55" s="164">
        <f>ASS!$C$51*(1+ASS!$E$51)^(O6-ASS!$C$43)*O7/12</f>
        <v>0</v>
      </c>
      <c r="P55" s="164">
        <f>ASS!$C$51*(1+ASS!$E$51)^(P6-ASS!$C$43)*P7/12</f>
        <v>0</v>
      </c>
      <c r="Q55" s="164">
        <f>ASS!$C$51*(1+ASS!$E$51)^(Q6-ASS!$C$43)*Q7/12</f>
        <v>0</v>
      </c>
      <c r="R55" s="164">
        <f>ASS!$C$51*(1+ASS!$E$51)^(R6-ASS!$C$43)*R7/12</f>
        <v>0</v>
      </c>
      <c r="S55" s="164">
        <f>ASS!$C$51*(1+ASS!$E$51)^(S6-ASS!$C$43)*S7/12</f>
        <v>0</v>
      </c>
      <c r="T55" s="164">
        <f>ASS!$C$51*(1+ASS!$E$51)^(T6-ASS!$C$43)*T7/12</f>
        <v>0</v>
      </c>
      <c r="U55" s="164">
        <f>ASS!$C$51*(1+ASS!$E$51)^(U6-ASS!$C$43)*U7/12</f>
        <v>0</v>
      </c>
      <c r="V55" s="164">
        <f>ASS!$C$51*(1+ASS!$E$51)^(V6-ASS!$C$43)*V7/12</f>
        <v>0</v>
      </c>
      <c r="W55" s="164">
        <f>ASS!$C$51*(1+ASS!$E$51)^(W6-ASS!$C$43)*W7/12</f>
        <v>0</v>
      </c>
      <c r="X55" s="164">
        <f>ASS!$C$51*(1+ASS!$E$51)^(X6-ASS!$C$43)*X7/12</f>
        <v>0</v>
      </c>
      <c r="Y55" s="164">
        <f>ASS!$C$51*(1+ASS!$E$51)^(Y6-ASS!$C$43)*Y7/12</f>
        <v>0</v>
      </c>
      <c r="Z55" s="164">
        <f>ASS!$C$51*(1+ASS!$E$51)^(Z6-ASS!$C$43)*Z7/12</f>
        <v>0</v>
      </c>
      <c r="AA55" s="164">
        <f>ASS!$C$51*(1+ASS!$E$51)^(AA6-ASS!$C$43)*AA7/12</f>
        <v>0</v>
      </c>
      <c r="AB55" s="164">
        <f>ASS!$C$51*(1+ASS!$E$51)^(AB6-ASS!$C$43)*AB7/12</f>
        <v>0</v>
      </c>
      <c r="AC55" s="164">
        <f>ASS!$C$51*(1+ASS!$E$51)^(AC6-ASS!$C$43)*AC7/12</f>
        <v>0</v>
      </c>
      <c r="AD55" s="84">
        <f t="shared" si="28"/>
        <v>0</v>
      </c>
    </row>
    <row r="56" spans="1:30" x14ac:dyDescent="0.25">
      <c r="A56" s="61" t="str">
        <f>ASS!A52</f>
        <v>Transmission Capacity Pmt.</v>
      </c>
      <c r="B56" s="63"/>
      <c r="C56" s="335"/>
      <c r="D56" s="335">
        <f>ASS!$C$52*(1+ASS!$E$52)^(D6-ASS!$C$43)*D7/12</f>
        <v>0</v>
      </c>
      <c r="E56" s="164">
        <f>ASS!$C$52*(1+ASS!$E$52)^(E6-ASS!$C$43)*E7/12</f>
        <v>0</v>
      </c>
      <c r="F56" s="164">
        <f>ASS!$C$52*(1+ASS!$E$52)^(F6-ASS!$C$43)*F7/12</f>
        <v>0</v>
      </c>
      <c r="G56" s="164">
        <f>ASS!$C$52*(1+ASS!$E$52)^(G6-ASS!$C$43)*G7/12</f>
        <v>0</v>
      </c>
      <c r="H56" s="164">
        <f>ASS!$C$52*(1+ASS!$E$52)^(H6-ASS!$C$43)*H7/12</f>
        <v>0</v>
      </c>
      <c r="I56" s="164">
        <f>ASS!$C$52*(1+ASS!$E$52)^(I6-ASS!$C$43)*I7/12</f>
        <v>0</v>
      </c>
      <c r="J56" s="164">
        <f>ASS!$C$52*(1+ASS!$E$52)^(J6-ASS!$C$43)*J7/12</f>
        <v>0</v>
      </c>
      <c r="K56" s="164">
        <f>ASS!$C$52*(1+ASS!$E$52)^(K6-ASS!$C$43)*K7/12</f>
        <v>0</v>
      </c>
      <c r="L56" s="164">
        <f>ASS!$C$52*(1+ASS!$E$52)^(L6-ASS!$C$43)*L7/12</f>
        <v>0</v>
      </c>
      <c r="M56" s="164">
        <f>ASS!$C$52*(1+ASS!$E$52)^(M6-ASS!$C$43)*M7/12</f>
        <v>0</v>
      </c>
      <c r="N56" s="164">
        <f>ASS!$C$52*(1+ASS!$E$52)^(N6-ASS!$C$43)*N7/12</f>
        <v>0</v>
      </c>
      <c r="O56" s="164">
        <f>ASS!$C$52*(1+ASS!$E$52)^(O6-ASS!$C$43)*O7/12</f>
        <v>0</v>
      </c>
      <c r="P56" s="164">
        <f>ASS!$C$52*(1+ASS!$E$52)^(P6-ASS!$C$43)*P7/12</f>
        <v>0</v>
      </c>
      <c r="Q56" s="164">
        <f>ASS!$C$52*(1+ASS!$E$52)^(Q6-ASS!$C$43)*Q7/12</f>
        <v>0</v>
      </c>
      <c r="R56" s="164">
        <f>ASS!$C$52*(1+ASS!$E$52)^(R6-ASS!$C$43)*R7/12</f>
        <v>0</v>
      </c>
      <c r="S56" s="164">
        <f>ASS!$C$52*(1+ASS!$E$52)^(S6-ASS!$C$43)*S7/12</f>
        <v>0</v>
      </c>
      <c r="T56" s="164">
        <f>ASS!$C$52*(1+ASS!$E$52)^(T6-ASS!$C$43)*T7/12</f>
        <v>0</v>
      </c>
      <c r="U56" s="164">
        <f>ASS!$C$52*(1+ASS!$E$52)^(U6-ASS!$C$43)*U7/12</f>
        <v>0</v>
      </c>
      <c r="V56" s="164">
        <f>ASS!$C$52*(1+ASS!$E$52)^(V6-ASS!$C$43)*V7/12</f>
        <v>0</v>
      </c>
      <c r="W56" s="164">
        <f>ASS!$C$52*(1+ASS!$E$52)^(W6-ASS!$C$43)*W7/12</f>
        <v>0</v>
      </c>
      <c r="X56" s="164">
        <f>ASS!$C$52*(1+ASS!$E$52)^(X6-ASS!$C$43)*X7/12</f>
        <v>0</v>
      </c>
      <c r="Y56" s="164">
        <f>ASS!$C$52*(1+ASS!$E$52)^(Y6-ASS!$C$43)*Y7/12</f>
        <v>0</v>
      </c>
      <c r="Z56" s="164">
        <f>ASS!$C$52*(1+ASS!$E$52)^(Z6-ASS!$C$43)*Z7/12</f>
        <v>0</v>
      </c>
      <c r="AA56" s="164">
        <f>ASS!$C$52*(1+ASS!$E$52)^(AA6-ASS!$C$43)*AA7/12</f>
        <v>0</v>
      </c>
      <c r="AB56" s="164">
        <f>ASS!$C$52*(1+ASS!$E$52)^(AB6-ASS!$C$43)*AB7/12</f>
        <v>0</v>
      </c>
      <c r="AC56" s="164">
        <f>ASS!$C$52*(1+ASS!$E$52)^(AC6-ASS!$C$43)*AC7/12</f>
        <v>0</v>
      </c>
      <c r="AD56" s="84">
        <f t="shared" si="28"/>
        <v>0</v>
      </c>
    </row>
    <row r="57" spans="1:30" x14ac:dyDescent="0.25">
      <c r="A57" s="61" t="str">
        <f>ASS!A53</f>
        <v>Pipeline Operations</v>
      </c>
      <c r="B57" s="63"/>
      <c r="C57" s="63"/>
      <c r="D57" s="164">
        <f>ASS!$C$53*(1+ASS!$E$53)^(D6-ASS!$C$43)*D7/12</f>
        <v>0</v>
      </c>
      <c r="E57" s="164">
        <f>ASS!$C$53*(1+ASS!$E$53)^(E6-ASS!$C$43)*E7/12</f>
        <v>0</v>
      </c>
      <c r="F57" s="164">
        <f>ASS!$C$53*(1+ASS!$E$53)^(F6-ASS!$C$43)*F7/12</f>
        <v>0</v>
      </c>
      <c r="G57" s="164">
        <f>ASS!$C$53*(1+ASS!$E$53)^(G6-ASS!$C$43)*G7/12</f>
        <v>0</v>
      </c>
      <c r="H57" s="164">
        <f>ASS!$C$53*(1+ASS!$E$53)^(H6-ASS!$C$43)*H7/12</f>
        <v>0</v>
      </c>
      <c r="I57" s="164">
        <f>ASS!$C$53*(1+ASS!$E$53)^(I6-ASS!$C$43)*I7/12</f>
        <v>0</v>
      </c>
      <c r="J57" s="164">
        <f>ASS!$C$53*(1+ASS!$E$53)^(J6-ASS!$C$43)*J7/12</f>
        <v>0</v>
      </c>
      <c r="K57" s="164">
        <f>ASS!$C$53*(1+ASS!$E$53)^(K6-ASS!$C$43)*K7/12</f>
        <v>0</v>
      </c>
      <c r="L57" s="164">
        <f>ASS!$C$53*(1+ASS!$E$53)^(L6-ASS!$C$43)*L7/12</f>
        <v>0</v>
      </c>
      <c r="M57" s="164">
        <f>ASS!$C$53*(1+ASS!$E$53)^(M6-ASS!$C$43)*M7/12</f>
        <v>0</v>
      </c>
      <c r="N57" s="164">
        <f>ASS!$C$53*(1+ASS!$E$53)^(N6-ASS!$C$43)*N7/12</f>
        <v>0</v>
      </c>
      <c r="O57" s="164">
        <f>ASS!$C$53*(1+ASS!$E$53)^(O6-ASS!$C$43)*O7/12</f>
        <v>0</v>
      </c>
      <c r="P57" s="164">
        <f>ASS!$C$53*(1+ASS!$E$53)^(P6-ASS!$C$43)*P7/12</f>
        <v>0</v>
      </c>
      <c r="Q57" s="164">
        <f>ASS!$C$53*(1+ASS!$E$53)^(Q6-ASS!$C$43)*Q7/12</f>
        <v>0</v>
      </c>
      <c r="R57" s="164">
        <f>ASS!$C$53*(1+ASS!$E$53)^(R6-ASS!$C$43)*R7/12</f>
        <v>0</v>
      </c>
      <c r="S57" s="164">
        <f>ASS!$C$53*(1+ASS!$E$53)^(S6-ASS!$C$43)*S7/12</f>
        <v>0</v>
      </c>
      <c r="T57" s="164">
        <f>ASS!$C$53*(1+ASS!$E$53)^(T6-ASS!$C$43)*T7/12</f>
        <v>0</v>
      </c>
      <c r="U57" s="164">
        <f>ASS!$C$53*(1+ASS!$E$53)^(U6-ASS!$C$43)*U7/12</f>
        <v>0</v>
      </c>
      <c r="V57" s="164">
        <f>ASS!$C$53*(1+ASS!$E$53)^(V6-ASS!$C$43)*V7/12</f>
        <v>0</v>
      </c>
      <c r="W57" s="164">
        <f>ASS!$C$53*(1+ASS!$E$53)^(W6-ASS!$C$43)*W7/12</f>
        <v>0</v>
      </c>
      <c r="X57" s="164">
        <f>ASS!$C$53*(1+ASS!$E$53)^(X6-ASS!$C$43)*X7/12</f>
        <v>0</v>
      </c>
      <c r="Y57" s="164">
        <f>ASS!$C$53*(1+ASS!$E$53)^(Y6-ASS!$C$43)*Y7/12</f>
        <v>0</v>
      </c>
      <c r="Z57" s="164">
        <f>ASS!$C$53*(1+ASS!$E$53)^(Z6-ASS!$C$43)*Z7/12</f>
        <v>0</v>
      </c>
      <c r="AA57" s="164">
        <f>ASS!$C$53*(1+ASS!$E$53)^(AA6-ASS!$C$43)*AA7/12</f>
        <v>0</v>
      </c>
      <c r="AB57" s="164">
        <f>ASS!$C$53*(1+ASS!$E$53)^(AB6-ASS!$C$43)*AB7/12</f>
        <v>0</v>
      </c>
      <c r="AC57" s="164">
        <f>ASS!$C$53*(1+ASS!$E$53)^(AC6-ASS!$C$43)*AC7/12</f>
        <v>0</v>
      </c>
      <c r="AD57" s="84">
        <f t="shared" si="28"/>
        <v>0</v>
      </c>
    </row>
    <row r="58" spans="1:30" x14ac:dyDescent="0.25">
      <c r="A58" s="61" t="str">
        <f>ASS!A54</f>
        <v>Other</v>
      </c>
      <c r="B58" s="63"/>
      <c r="C58" s="63"/>
      <c r="D58" s="164">
        <f>ASS!$C$54*(1+ASS!$E$54)^(D6-ASS!$C$43)*D7/12</f>
        <v>0</v>
      </c>
      <c r="E58" s="164">
        <f>ASS!$C$54*(1+ASS!$E$54)^(E6-ASS!$C$43)*E7/12</f>
        <v>0</v>
      </c>
      <c r="F58" s="164">
        <f>ASS!$C$54*(1+ASS!$E$54)^(F6-ASS!$C$43)*F7/12</f>
        <v>0</v>
      </c>
      <c r="G58" s="164">
        <f>ASS!$C$54*(1+ASS!$E$54)^(G6-ASS!$C$43)*G7/12</f>
        <v>0</v>
      </c>
      <c r="H58" s="164">
        <f>ASS!$C$54*(1+ASS!$E$54)^(H6-ASS!$C$43)*H7/12</f>
        <v>0</v>
      </c>
      <c r="I58" s="164">
        <f>ASS!$C$54*(1+ASS!$E$54)^(I6-ASS!$C$43)*I7/12</f>
        <v>0</v>
      </c>
      <c r="J58" s="164">
        <f>ASS!$C$54*(1+ASS!$E$54)^(J6-ASS!$C$43)*J7/12</f>
        <v>0</v>
      </c>
      <c r="K58" s="164">
        <f>ASS!$C$54*(1+ASS!$E$54)^(K6-ASS!$C$43)*K7/12</f>
        <v>0</v>
      </c>
      <c r="L58" s="164">
        <f>ASS!$C$54*(1+ASS!$E$54)^(L6-ASS!$C$43)*L7/12</f>
        <v>0</v>
      </c>
      <c r="M58" s="164">
        <f>ASS!$C$54*(1+ASS!$E$54)^(M6-ASS!$C$43)*M7/12</f>
        <v>0</v>
      </c>
      <c r="N58" s="164">
        <f>ASS!$C$54*(1+ASS!$E$54)^(N6-ASS!$C$43)*N7/12</f>
        <v>0</v>
      </c>
      <c r="O58" s="164">
        <f>ASS!$C$54*(1+ASS!$E$54)^(O6-ASS!$C$43)*O7/12</f>
        <v>0</v>
      </c>
      <c r="P58" s="164">
        <f>ASS!$C$54*(1+ASS!$E$54)^(P6-ASS!$C$43)*P7/12</f>
        <v>0</v>
      </c>
      <c r="Q58" s="164">
        <f>ASS!$C$54*(1+ASS!$E$54)^(Q6-ASS!$C$43)*Q7/12</f>
        <v>0</v>
      </c>
      <c r="R58" s="164">
        <f>ASS!$C$54*(1+ASS!$E$54)^(R6-ASS!$C$43)*R7/12</f>
        <v>0</v>
      </c>
      <c r="S58" s="164">
        <f>ASS!$C$54*(1+ASS!$E$54)^(S6-ASS!$C$43)*S7/12</f>
        <v>0</v>
      </c>
      <c r="T58" s="164">
        <f>ASS!$C$54*(1+ASS!$E$54)^(T6-ASS!$C$43)*T7/12</f>
        <v>0</v>
      </c>
      <c r="U58" s="164">
        <f>ASS!$C$54*(1+ASS!$E$54)^(U6-ASS!$C$43)*U7/12</f>
        <v>0</v>
      </c>
      <c r="V58" s="164">
        <f>ASS!$C$54*(1+ASS!$E$54)^(V6-ASS!$C$43)*V7/12</f>
        <v>0</v>
      </c>
      <c r="W58" s="164">
        <f>ASS!$C$54*(1+ASS!$E$54)^(W6-ASS!$C$43)*W7/12</f>
        <v>0</v>
      </c>
      <c r="X58" s="164">
        <f>ASS!$C$54*(1+ASS!$E$54)^(X6-ASS!$C$43)*X7/12</f>
        <v>0</v>
      </c>
      <c r="Y58" s="164">
        <f>ASS!$C$54*(1+ASS!$E$54)^(Y6-ASS!$C$43)*Y7/12</f>
        <v>0</v>
      </c>
      <c r="Z58" s="164">
        <f>ASS!$C$54*(1+ASS!$E$54)^(Z6-ASS!$C$43)*Z7/12</f>
        <v>0</v>
      </c>
      <c r="AA58" s="164">
        <f>ASS!$C$54*(1+ASS!$E$54)^(AA6-ASS!$C$43)*AA7/12</f>
        <v>0</v>
      </c>
      <c r="AB58" s="164">
        <f>ASS!$C$54*(1+ASS!$E$54)^(AB6-ASS!$C$43)*AB7/12</f>
        <v>0</v>
      </c>
      <c r="AC58" s="164">
        <f>ASS!$C$54*(1+ASS!$E$54)^(AC6-ASS!$C$43)*AC7/12</f>
        <v>0</v>
      </c>
      <c r="AD58" s="84">
        <f t="shared" si="28"/>
        <v>0</v>
      </c>
    </row>
    <row r="59" spans="1:30" x14ac:dyDescent="0.25">
      <c r="A59" s="61" t="str">
        <f>ASS!A55</f>
        <v>Property Tax</v>
      </c>
      <c r="B59" s="63"/>
      <c r="C59" s="63"/>
      <c r="D59" s="165">
        <f>ASS!$C$55*(1+ASS!$E$55)^(D6-ASS!$C$43)*D7/12</f>
        <v>0</v>
      </c>
      <c r="E59" s="165">
        <f>ASS!$C$55*(1+ASS!$E$55)^(E6-ASS!$C$43)*E7/12</f>
        <v>0</v>
      </c>
      <c r="F59" s="165">
        <f>ASS!$C$55*(1+ASS!$E$55)^(F6-ASS!$C$43)*F7/12</f>
        <v>0</v>
      </c>
      <c r="G59" s="165">
        <f>ASS!$C$55*(1+ASS!$E$55)^(G6-ASS!$C$43)*G7/12</f>
        <v>0</v>
      </c>
      <c r="H59" s="165">
        <f>ASS!$C$55*(1+ASS!$E$55)^(H6-ASS!$C$43)*H7/12</f>
        <v>0</v>
      </c>
      <c r="I59" s="165">
        <f>ASS!$C$55*(1+ASS!$E$55)^(I6-ASS!$C$43)*I7/12</f>
        <v>0</v>
      </c>
      <c r="J59" s="165">
        <f>ASS!$C$55*(1+ASS!$E$55)^(J6-ASS!$C$43)*J7/12</f>
        <v>0</v>
      </c>
      <c r="K59" s="165">
        <f>ASS!$C$55*(1+ASS!$E$55)^(K6-ASS!$C$43)*K7/12</f>
        <v>0</v>
      </c>
      <c r="L59" s="165">
        <f>ASS!$C$55*(1+ASS!$E$55)^(L6-ASS!$C$43)*L7/12</f>
        <v>0</v>
      </c>
      <c r="M59" s="165">
        <f>ASS!$C$55*(1+ASS!$E$55)^(M6-ASS!$C$43)*M7/12</f>
        <v>0</v>
      </c>
      <c r="N59" s="165">
        <f>ASS!$C$55*(1+ASS!$E$55)^(N6-ASS!$C$43)*N7/12</f>
        <v>0</v>
      </c>
      <c r="O59" s="165">
        <f>ASS!$C$55*(1+ASS!$E$55)^(O6-ASS!$C$43)*O7/12</f>
        <v>0</v>
      </c>
      <c r="P59" s="165">
        <f>ASS!$C$55*(1+ASS!$E$55)^(P6-ASS!$C$43)*P7/12</f>
        <v>0</v>
      </c>
      <c r="Q59" s="165">
        <f>ASS!$C$55*(1+ASS!$E$55)^(Q6-ASS!$C$43)*Q7/12</f>
        <v>0</v>
      </c>
      <c r="R59" s="165">
        <f>ASS!$C$55*(1+ASS!$E$55)^(R6-ASS!$C$43)*R7/12</f>
        <v>0</v>
      </c>
      <c r="S59" s="165">
        <f>ASS!$C$55*(1+ASS!$E$55)^(S6-ASS!$C$43)*S7/12</f>
        <v>0</v>
      </c>
      <c r="T59" s="165">
        <f>ASS!$C$55*(1+ASS!$E$55)^(T6-ASS!$C$43)*T7/12</f>
        <v>0</v>
      </c>
      <c r="U59" s="165">
        <f>ASS!$C$55*(1+ASS!$E$55)^(U6-ASS!$C$43)*U7/12</f>
        <v>0</v>
      </c>
      <c r="V59" s="165">
        <f>ASS!$C$55*(1+ASS!$E$55)^(V6-ASS!$C$43)*V7/12</f>
        <v>0</v>
      </c>
      <c r="W59" s="165">
        <f>ASS!$C$55*(1+ASS!$E$55)^(W6-ASS!$C$43)*W7/12</f>
        <v>0</v>
      </c>
      <c r="X59" s="165">
        <f>ASS!$C$55*(1+ASS!$E$55)^(X6-ASS!$C$43)*X7/12</f>
        <v>0</v>
      </c>
      <c r="Y59" s="165">
        <f>ASS!$C$55*(1+ASS!$E$55)^(Y6-ASS!$C$43)*Y7/12</f>
        <v>0</v>
      </c>
      <c r="Z59" s="165">
        <f>ASS!$C$55*(1+ASS!$E$55)^(Z6-ASS!$C$43)*Z7/12</f>
        <v>0</v>
      </c>
      <c r="AA59" s="165">
        <f>ASS!$C$55*(1+ASS!$E$55)^(AA6-ASS!$C$43)*AA7/12</f>
        <v>0</v>
      </c>
      <c r="AB59" s="165">
        <f>ASS!$C$55*(1+ASS!$E$55)^(AB6-ASS!$C$43)*AB7/12</f>
        <v>0</v>
      </c>
      <c r="AC59" s="165">
        <f>ASS!$C$55*(1+ASS!$E$55)^(AC6-ASS!$C$43)*AC7/12</f>
        <v>0</v>
      </c>
      <c r="AD59" s="91">
        <f t="shared" si="28"/>
        <v>0</v>
      </c>
    </row>
    <row r="60" spans="1:30" x14ac:dyDescent="0.25">
      <c r="A60" s="61" t="s">
        <v>189</v>
      </c>
      <c r="B60" s="63"/>
      <c r="C60" s="63"/>
      <c r="D60" s="164">
        <f>SUM(D48:D59)</f>
        <v>0</v>
      </c>
      <c r="E60" s="164">
        <f t="shared" ref="E60:T60" si="29">SUM(E48:E59)</f>
        <v>0</v>
      </c>
      <c r="F60" s="164">
        <f t="shared" si="29"/>
        <v>0</v>
      </c>
      <c r="G60" s="164">
        <f t="shared" si="29"/>
        <v>0</v>
      </c>
      <c r="H60" s="164">
        <f t="shared" si="29"/>
        <v>0</v>
      </c>
      <c r="I60" s="164">
        <f t="shared" si="29"/>
        <v>0</v>
      </c>
      <c r="J60" s="164">
        <f t="shared" si="29"/>
        <v>0</v>
      </c>
      <c r="K60" s="164">
        <f t="shared" si="29"/>
        <v>0</v>
      </c>
      <c r="L60" s="164">
        <f t="shared" si="29"/>
        <v>0</v>
      </c>
      <c r="M60" s="164">
        <f t="shared" si="29"/>
        <v>0</v>
      </c>
      <c r="N60" s="164">
        <f t="shared" si="29"/>
        <v>0</v>
      </c>
      <c r="O60" s="164">
        <f t="shared" si="29"/>
        <v>0</v>
      </c>
      <c r="P60" s="164">
        <f t="shared" si="29"/>
        <v>0</v>
      </c>
      <c r="Q60" s="164">
        <f t="shared" si="29"/>
        <v>0</v>
      </c>
      <c r="R60" s="164">
        <f t="shared" si="29"/>
        <v>0</v>
      </c>
      <c r="S60" s="164">
        <f t="shared" si="29"/>
        <v>0</v>
      </c>
      <c r="T60" s="164">
        <f t="shared" si="29"/>
        <v>0</v>
      </c>
      <c r="U60" s="164">
        <f t="shared" ref="U60:AC60" si="30">SUM(U48:U59)</f>
        <v>0</v>
      </c>
      <c r="V60" s="164">
        <f t="shared" si="30"/>
        <v>0</v>
      </c>
      <c r="W60" s="164">
        <f t="shared" si="30"/>
        <v>0</v>
      </c>
      <c r="X60" s="164">
        <f t="shared" si="30"/>
        <v>0</v>
      </c>
      <c r="Y60" s="164">
        <f t="shared" si="30"/>
        <v>0</v>
      </c>
      <c r="Z60" s="164">
        <f t="shared" si="30"/>
        <v>0</v>
      </c>
      <c r="AA60" s="164">
        <f t="shared" si="30"/>
        <v>0</v>
      </c>
      <c r="AB60" s="164">
        <f t="shared" si="30"/>
        <v>0</v>
      </c>
      <c r="AC60" s="164">
        <f t="shared" si="30"/>
        <v>0</v>
      </c>
      <c r="AD60" s="84">
        <f t="shared" si="28"/>
        <v>0</v>
      </c>
    </row>
    <row r="61" spans="1:30" x14ac:dyDescent="0.25">
      <c r="A61" s="61"/>
      <c r="B61" s="63"/>
      <c r="C61" s="63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  <c r="AB61" s="164"/>
      <c r="AC61" s="164"/>
      <c r="AD61" s="84"/>
    </row>
    <row r="62" spans="1:30" x14ac:dyDescent="0.25">
      <c r="A62" s="128" t="s">
        <v>190</v>
      </c>
      <c r="B62" s="63"/>
      <c r="C62" s="63"/>
      <c r="D62" s="164"/>
      <c r="E62" s="164"/>
      <c r="F62" s="164"/>
      <c r="G62" s="164"/>
      <c r="H62" s="164"/>
      <c r="I62" s="164"/>
      <c r="J62" s="164"/>
      <c r="K62" s="164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4"/>
      <c r="AA62" s="164"/>
      <c r="AB62" s="164"/>
      <c r="AC62" s="164"/>
      <c r="AD62" s="84"/>
    </row>
    <row r="63" spans="1:30" x14ac:dyDescent="0.25">
      <c r="A63" s="507" t="str">
        <f>ASS!A59</f>
        <v>Power Cost</v>
      </c>
      <c r="B63" s="63"/>
      <c r="C63" s="63"/>
      <c r="D63" s="504">
        <f t="shared" ref="D63:AC63" si="31">D42*D10/1000</f>
        <v>80439.065000000002</v>
      </c>
      <c r="E63" s="504">
        <f t="shared" si="31"/>
        <v>137229.78</v>
      </c>
      <c r="F63" s="504">
        <f t="shared" si="31"/>
        <v>137396.22</v>
      </c>
      <c r="G63" s="504">
        <f t="shared" si="31"/>
        <v>137895.54</v>
      </c>
      <c r="H63" s="504">
        <f t="shared" si="31"/>
        <v>138810.96</v>
      </c>
      <c r="I63" s="504">
        <f t="shared" si="31"/>
        <v>139601.54999999999</v>
      </c>
      <c r="J63" s="504">
        <f t="shared" si="31"/>
        <v>141474</v>
      </c>
      <c r="K63" s="504">
        <f t="shared" si="31"/>
        <v>142805.51999999999</v>
      </c>
      <c r="L63" s="504">
        <f t="shared" si="31"/>
        <v>144428.31</v>
      </c>
      <c r="M63" s="504">
        <f t="shared" si="31"/>
        <v>146259.15</v>
      </c>
      <c r="N63" s="504">
        <f t="shared" si="31"/>
        <v>148048.38</v>
      </c>
      <c r="O63" s="504">
        <f t="shared" si="31"/>
        <v>149629.56</v>
      </c>
      <c r="P63" s="504">
        <f t="shared" si="31"/>
        <v>151918.10999999999</v>
      </c>
      <c r="Q63" s="504">
        <f t="shared" si="31"/>
        <v>152999.97</v>
      </c>
      <c r="R63" s="504">
        <f t="shared" si="31"/>
        <v>154747.59</v>
      </c>
      <c r="S63" s="504" t="e">
        <f t="shared" si="31"/>
        <v>#VALUE!</v>
      </c>
      <c r="T63" s="504">
        <f t="shared" si="31"/>
        <v>0</v>
      </c>
      <c r="U63" s="504">
        <f t="shared" si="31"/>
        <v>0</v>
      </c>
      <c r="V63" s="504">
        <f t="shared" si="31"/>
        <v>0</v>
      </c>
      <c r="W63" s="504">
        <f t="shared" si="31"/>
        <v>0</v>
      </c>
      <c r="X63" s="504">
        <f t="shared" si="31"/>
        <v>0</v>
      </c>
      <c r="Y63" s="504">
        <f t="shared" si="31"/>
        <v>0</v>
      </c>
      <c r="Z63" s="504">
        <f t="shared" si="31"/>
        <v>0</v>
      </c>
      <c r="AA63" s="504">
        <f t="shared" si="31"/>
        <v>0</v>
      </c>
      <c r="AB63" s="504">
        <f t="shared" si="31"/>
        <v>0</v>
      </c>
      <c r="AC63" s="504">
        <f t="shared" si="31"/>
        <v>0</v>
      </c>
      <c r="AD63" s="84" t="e">
        <f t="shared" ref="AD63:AD68" si="32">SUM(D63:AC63)</f>
        <v>#VALUE!</v>
      </c>
    </row>
    <row r="64" spans="1:30" x14ac:dyDescent="0.25">
      <c r="A64" s="61" t="str">
        <f>ASS!A60</f>
        <v>Maintenance Reserve</v>
      </c>
      <c r="B64" s="63"/>
      <c r="C64" s="335"/>
      <c r="D64" s="335">
        <f>ASS!$C$59*(1+ASS!$E$59)^(D6-ASS!$C$43)*D7/12</f>
        <v>0</v>
      </c>
      <c r="E64" s="164">
        <f>ASS!$C$59*(1+ASS!$E$59)^(E6-ASS!$C$43)*E7/12</f>
        <v>0</v>
      </c>
      <c r="F64" s="164">
        <f>ASS!$C$59*(1+ASS!$E$59)^(F6-ASS!$C$43)*F7/12</f>
        <v>0</v>
      </c>
      <c r="G64" s="164">
        <f>ASS!$C$59*(1+ASS!$E$59)^(G6-ASS!$C$43)*G7/12</f>
        <v>0</v>
      </c>
      <c r="H64" s="164">
        <f>ASS!$C$59*(1+ASS!$E$59)^(H6-ASS!$C$43)*H7/12</f>
        <v>0</v>
      </c>
      <c r="I64" s="164">
        <f>ASS!$C$59*(1+ASS!$E$59)^(I6-ASS!$C$43)*I7/12</f>
        <v>0</v>
      </c>
      <c r="J64" s="164">
        <f>ASS!$C$59*(1+ASS!$E$59)^(J6-ASS!$C$43)*J7/12</f>
        <v>0</v>
      </c>
      <c r="K64" s="164">
        <f>ASS!$C$59*(1+ASS!$E$59)^(K6-ASS!$C$43)*K7/12</f>
        <v>0</v>
      </c>
      <c r="L64" s="164">
        <f>ASS!$C$59*(1+ASS!$E$59)^(L6-ASS!$C$43)*L7/12</f>
        <v>0</v>
      </c>
      <c r="M64" s="164">
        <f>ASS!$C$59*(1+ASS!$E$59)^(M6-ASS!$C$43)*M7/12</f>
        <v>0</v>
      </c>
      <c r="N64" s="164">
        <f>ASS!$C$59*(1+ASS!$E$59)^(N6-ASS!$C$43)*N7/12</f>
        <v>0</v>
      </c>
      <c r="O64" s="164">
        <f>ASS!$C$59*(1+ASS!$E$59)^(O6-ASS!$C$43)*O7/12</f>
        <v>0</v>
      </c>
      <c r="P64" s="164">
        <f>ASS!$C$59*(1+ASS!$E$59)^(P6-ASS!$C$43)*P7/12</f>
        <v>0</v>
      </c>
      <c r="Q64" s="164">
        <f>ASS!$C$59*(1+ASS!$E$59)^(Q6-ASS!$C$43)*Q7/12</f>
        <v>0</v>
      </c>
      <c r="R64" s="164">
        <f>ASS!$C$59*(1+ASS!$E$59)^(R6-ASS!$C$43)*R7/12</f>
        <v>0</v>
      </c>
      <c r="S64" s="164">
        <f>ASS!$C$59*(1+ASS!$E$59)^(S6-ASS!$C$43)*S7/12</f>
        <v>0</v>
      </c>
      <c r="T64" s="164">
        <f>ASS!$C$59*(1+ASS!$E$59)^(T6-ASS!$C$43)*T7/12</f>
        <v>0</v>
      </c>
      <c r="U64" s="164">
        <f>ASS!$C$59*(1+ASS!$E$59)^(U6-ASS!$C$43)*U7/12</f>
        <v>0</v>
      </c>
      <c r="V64" s="164">
        <f>ASS!$C$59*(1+ASS!$E$59)^(V6-ASS!$C$43)*V7/12</f>
        <v>0</v>
      </c>
      <c r="W64" s="164">
        <f>ASS!$C$59*(1+ASS!$E$59)^(W6-ASS!$C$43)*W7/12</f>
        <v>0</v>
      </c>
      <c r="X64" s="164">
        <f>ASS!$C$59*(1+ASS!$E$59)^(X6-ASS!$C$43)*X7/12</f>
        <v>0</v>
      </c>
      <c r="Y64" s="164">
        <f>ASS!$C$59*(1+ASS!$E$59)^(Y6-ASS!$C$43)*Y7/12</f>
        <v>0</v>
      </c>
      <c r="Z64" s="164">
        <f>ASS!$C$59*(1+ASS!$E$59)^(Z6-ASS!$C$43)*Z7/12</f>
        <v>0</v>
      </c>
      <c r="AA64" s="164">
        <f>ASS!$C$59*(1+ASS!$E$59)^(AA6-ASS!$C$43)*AA7/12</f>
        <v>0</v>
      </c>
      <c r="AB64" s="164">
        <f>ASS!$C$59*(1+ASS!$E$59)^(AB6-ASS!$C$43)*AB7/12</f>
        <v>0</v>
      </c>
      <c r="AC64" s="164">
        <f>ASS!$C$59*(1+ASS!$E$59)^(AC6-ASS!$C$43)*AC7/12</f>
        <v>0</v>
      </c>
      <c r="AD64" s="84">
        <f t="shared" si="32"/>
        <v>0</v>
      </c>
    </row>
    <row r="65" spans="1:32" x14ac:dyDescent="0.25">
      <c r="A65" s="61" t="str">
        <f>ASS!A61</f>
        <v>Maintenance Excluding (Major Maint)</v>
      </c>
      <c r="B65" s="63"/>
      <c r="C65" s="63"/>
      <c r="D65" s="164">
        <f>ASS!$C$60*(1+ASS!$E$60)^(D6-ASS!$C$43)*D7/12</f>
        <v>380.79999999999995</v>
      </c>
      <c r="E65" s="164">
        <f>ASS!$C$60*(1+ASS!$E$60)^(E6-ASS!$C$43)*E7/12</f>
        <v>665.85599999999999</v>
      </c>
      <c r="F65" s="164">
        <f>ASS!$C$60*(1+ASS!$E$60)^(F6-ASS!$C$43)*F7/12</f>
        <v>679.17311999999993</v>
      </c>
      <c r="G65" s="164">
        <f>ASS!$C$60*(1+ASS!$E$60)^(G6-ASS!$C$43)*G7/12</f>
        <v>692.75658239999996</v>
      </c>
      <c r="H65" s="164">
        <f>ASS!$C$60*(1+ASS!$E$60)^(H6-ASS!$C$43)*H7/12</f>
        <v>706.61171404800007</v>
      </c>
      <c r="I65" s="164">
        <f>ASS!$C$60*(1+ASS!$E$60)^(I6-ASS!$C$43)*I7/12</f>
        <v>720.74394832896007</v>
      </c>
      <c r="J65" s="164">
        <f>ASS!$C$60*(1+ASS!$E$60)^(J6-ASS!$C$43)*J7/12</f>
        <v>735.15882729553914</v>
      </c>
      <c r="K65" s="164">
        <f>ASS!$C$60*(1+ASS!$E$60)^(K6-ASS!$C$43)*K7/12</f>
        <v>749.86200384144979</v>
      </c>
      <c r="L65" s="164">
        <f>ASS!$C$60*(1+ASS!$E$60)^(L6-ASS!$C$43)*L7/12</f>
        <v>764.85924391827893</v>
      </c>
      <c r="M65" s="164">
        <f>ASS!$C$60*(1+ASS!$E$60)^(M6-ASS!$C$43)*M7/12</f>
        <v>780.15642879664449</v>
      </c>
      <c r="N65" s="164">
        <f>ASS!$C$60*(1+ASS!$E$60)^(N6-ASS!$C$43)*N7/12</f>
        <v>795.75955737257721</v>
      </c>
      <c r="O65" s="164">
        <f>ASS!$C$60*(1+ASS!$E$60)^(O6-ASS!$C$43)*O7/12</f>
        <v>811.67474852002897</v>
      </c>
      <c r="P65" s="164">
        <f>ASS!$C$60*(1+ASS!$E$60)^(P6-ASS!$C$43)*P7/12</f>
        <v>827.90824349042953</v>
      </c>
      <c r="Q65" s="164">
        <f>ASS!$C$60*(1+ASS!$E$60)^(Q6-ASS!$C$43)*Q7/12</f>
        <v>844.46640836023801</v>
      </c>
      <c r="R65" s="164">
        <f>ASS!$C$60*(1+ASS!$E$60)^(R6-ASS!$C$43)*R7/12</f>
        <v>861.35573652744267</v>
      </c>
      <c r="S65" s="164">
        <f>ASS!$C$60*(1+ASS!$E$60)^(S6-ASS!$C$43)*S7/12</f>
        <v>878.58285125799159</v>
      </c>
      <c r="T65" s="164">
        <f>ASS!$C$60*(1+ASS!$E$60)^(T6-ASS!$C$43)*T7/12</f>
        <v>896.15450828315159</v>
      </c>
      <c r="U65" s="164">
        <f>ASS!$C$60*(1+ASS!$E$60)^(U6-ASS!$C$43)*U7/12</f>
        <v>914.07759844881457</v>
      </c>
      <c r="V65" s="164">
        <f>ASS!$C$60*(1+ASS!$E$60)^(V6-ASS!$C$43)*V7/12</f>
        <v>932.35915041779083</v>
      </c>
      <c r="W65" s="164">
        <f>ASS!$C$60*(1+ASS!$E$60)^(W6-ASS!$C$43)*W7/12</f>
        <v>951.00633342614674</v>
      </c>
      <c r="X65" s="164">
        <f>ASS!$C$60*(1+ASS!$E$60)^(X6-ASS!$C$43)*X7/12</f>
        <v>970.02646009466969</v>
      </c>
      <c r="Y65" s="164">
        <f>ASS!$C$60*(1+ASS!$E$60)^(Y6-ASS!$C$43)*Y7/12</f>
        <v>989.42698929656308</v>
      </c>
      <c r="Z65" s="164">
        <f>ASS!$C$60*(1+ASS!$E$60)^(Z6-ASS!$C$43)*Z7/12</f>
        <v>1009.2155290824941</v>
      </c>
      <c r="AA65" s="164">
        <f>ASS!$C$60*(1+ASS!$E$60)^(AA6-ASS!$C$43)*AA7/12</f>
        <v>1029.3998396641441</v>
      </c>
      <c r="AB65" s="164">
        <f>ASS!$C$60*(1+ASS!$E$60)^(AB6-ASS!$C$43)*AB7/12</f>
        <v>1049.987836457427</v>
      </c>
      <c r="AC65" s="164">
        <f>ASS!$C$60*(1+ASS!$E$60)^(AC6-ASS!$C$43)*AC7/12</f>
        <v>0</v>
      </c>
      <c r="AD65" s="84">
        <f t="shared" si="32"/>
        <v>20637.379659328784</v>
      </c>
    </row>
    <row r="66" spans="1:32" x14ac:dyDescent="0.25">
      <c r="A66" s="61" t="str">
        <f>ASS!A62</f>
        <v>Other</v>
      </c>
      <c r="B66" s="63"/>
      <c r="C66" s="63"/>
      <c r="D66" s="164">
        <f>ASS!$C$61*(1+ASS!$E$61)^(D6-ASS!$C$43)*D7/12</f>
        <v>0</v>
      </c>
      <c r="E66" s="164">
        <f>ASS!$C$61*(1+ASS!$E$61)^(E6-ASS!$C$43)*E7/12</f>
        <v>0</v>
      </c>
      <c r="F66" s="164">
        <f>ASS!$C$61*(1+ASS!$E$61)^(F6-ASS!$C$43)*F7/12</f>
        <v>0</v>
      </c>
      <c r="G66" s="164">
        <f>ASS!$C$61*(1+ASS!$E$61)^(G6-ASS!$C$43)*G7/12</f>
        <v>0</v>
      </c>
      <c r="H66" s="164">
        <f>ASS!$C$61*(1+ASS!$E$61)^(H6-ASS!$C$43)*H7/12</f>
        <v>0</v>
      </c>
      <c r="I66" s="164">
        <f>ASS!$C$61*(1+ASS!$E$61)^(I6-ASS!$C$43)*I7/12</f>
        <v>0</v>
      </c>
      <c r="J66" s="164">
        <f>ASS!$C$61*(1+ASS!$E$61)^(J6-ASS!$C$43)*J7/12</f>
        <v>0</v>
      </c>
      <c r="K66" s="164">
        <f>ASS!$C$61*(1+ASS!$E$61)^(K6-ASS!$C$43)*K7/12</f>
        <v>0</v>
      </c>
      <c r="L66" s="164">
        <f>ASS!$C$61*(1+ASS!$E$61)^(L6-ASS!$C$43)*L7/12</f>
        <v>0</v>
      </c>
      <c r="M66" s="164">
        <f>ASS!$C$61*(1+ASS!$E$61)^(M6-ASS!$C$43)*M7/12</f>
        <v>0</v>
      </c>
      <c r="N66" s="164">
        <f>ASS!$C$61*(1+ASS!$E$61)^(N6-ASS!$C$43)*N7/12</f>
        <v>0</v>
      </c>
      <c r="O66" s="164">
        <f>ASS!$C$61*(1+ASS!$E$61)^(O6-ASS!$C$43)*O7/12</f>
        <v>0</v>
      </c>
      <c r="P66" s="164">
        <f>ASS!$C$61*(1+ASS!$E$61)^(P6-ASS!$C$43)*P7/12</f>
        <v>0</v>
      </c>
      <c r="Q66" s="164">
        <f>ASS!$C$61*(1+ASS!$E$61)^(Q6-ASS!$C$43)*Q7/12</f>
        <v>0</v>
      </c>
      <c r="R66" s="164">
        <f>ASS!$C$61*(1+ASS!$E$61)^(R6-ASS!$C$43)*R7/12</f>
        <v>0</v>
      </c>
      <c r="S66" s="164">
        <f>ASS!$C$61*(1+ASS!$E$61)^(S6-ASS!$C$43)*S7/12</f>
        <v>0</v>
      </c>
      <c r="T66" s="164">
        <f>ASS!$C$61*(1+ASS!$E$61)^(T6-ASS!$C$43)*T7/12</f>
        <v>0</v>
      </c>
      <c r="U66" s="164">
        <f>ASS!$C$61*(1+ASS!$E$61)^(U6-ASS!$C$43)*U7/12</f>
        <v>0</v>
      </c>
      <c r="V66" s="164">
        <f>ASS!$C$61*(1+ASS!$E$61)^(V6-ASS!$C$43)*V7/12</f>
        <v>0</v>
      </c>
      <c r="W66" s="164">
        <f>ASS!$C$61*(1+ASS!$E$61)^(W6-ASS!$C$43)*W7/12</f>
        <v>0</v>
      </c>
      <c r="X66" s="164">
        <f>ASS!$C$61*(1+ASS!$E$61)^(X6-ASS!$C$43)*X7/12</f>
        <v>0</v>
      </c>
      <c r="Y66" s="164">
        <f>ASS!$C$61*(1+ASS!$E$61)^(Y6-ASS!$C$43)*Y7/12</f>
        <v>0</v>
      </c>
      <c r="Z66" s="164">
        <f>ASS!$C$61*(1+ASS!$E$61)^(Z6-ASS!$C$43)*Z7/12</f>
        <v>0</v>
      </c>
      <c r="AA66" s="164">
        <f>ASS!$C$61*(1+ASS!$E$61)^(AA6-ASS!$C$43)*AA7/12</f>
        <v>0</v>
      </c>
      <c r="AB66" s="164">
        <f>ASS!$C$61*(1+ASS!$E$61)^(AB6-ASS!$C$43)*AB7/12</f>
        <v>0</v>
      </c>
      <c r="AC66" s="164">
        <f>ASS!$C$61*(1+ASS!$E$61)^(AC6-ASS!$C$43)*AC7/12</f>
        <v>0</v>
      </c>
      <c r="AD66" s="84">
        <f t="shared" si="32"/>
        <v>0</v>
      </c>
    </row>
    <row r="67" spans="1:32" x14ac:dyDescent="0.25">
      <c r="A67" s="61" t="str">
        <f>ASS!A63</f>
        <v>Other</v>
      </c>
      <c r="B67" s="63"/>
      <c r="C67" s="63"/>
      <c r="D67" s="165">
        <f>ASS!$C$62*(1+ASS!$E$62)^(D6-ASS!$C$43)*D7/12</f>
        <v>0</v>
      </c>
      <c r="E67" s="165">
        <f>ASS!$C$62*(1+ASS!$E$62)^(E6-ASS!$C$43)*E7/12</f>
        <v>0</v>
      </c>
      <c r="F67" s="165">
        <f>ASS!$C$62*(1+ASS!$E$62)^(F6-ASS!$C$43)*F7/12</f>
        <v>0</v>
      </c>
      <c r="G67" s="165">
        <f>ASS!$C$62*(1+ASS!$E$62)^(G6-ASS!$C$43)*G7/12</f>
        <v>0</v>
      </c>
      <c r="H67" s="165">
        <f>ASS!$C$62*(1+ASS!$E$62)^(H6-ASS!$C$43)*H7/12</f>
        <v>0</v>
      </c>
      <c r="I67" s="165">
        <f>ASS!$C$62*(1+ASS!$E$62)^(I6-ASS!$C$43)*I7/12</f>
        <v>0</v>
      </c>
      <c r="J67" s="165">
        <f>ASS!$C$62*(1+ASS!$E$62)^(J6-ASS!$C$43)*J7/12</f>
        <v>0</v>
      </c>
      <c r="K67" s="165">
        <f>ASS!$C$62*(1+ASS!$E$62)^(K6-ASS!$C$43)*K7/12</f>
        <v>0</v>
      </c>
      <c r="L67" s="165">
        <f>ASS!$C$62*(1+ASS!$E$62)^(L6-ASS!$C$43)*L7/12</f>
        <v>0</v>
      </c>
      <c r="M67" s="165">
        <f>ASS!$C$62*(1+ASS!$E$62)^(M6-ASS!$C$43)*M7/12</f>
        <v>0</v>
      </c>
      <c r="N67" s="165">
        <f>ASS!$C$62*(1+ASS!$E$62)^(N6-ASS!$C$43)*N7/12</f>
        <v>0</v>
      </c>
      <c r="O67" s="165">
        <f>ASS!$C$62*(1+ASS!$E$62)^(O6-ASS!$C$43)*O7/12</f>
        <v>0</v>
      </c>
      <c r="P67" s="165">
        <f>ASS!$C$62*(1+ASS!$E$62)^(P6-ASS!$C$43)*P7/12</f>
        <v>0</v>
      </c>
      <c r="Q67" s="165">
        <f>ASS!$C$62*(1+ASS!$E$62)^(Q6-ASS!$C$43)*Q7/12</f>
        <v>0</v>
      </c>
      <c r="R67" s="165">
        <f>ASS!$C$62*(1+ASS!$E$62)^(R6-ASS!$C$43)*R7/12</f>
        <v>0</v>
      </c>
      <c r="S67" s="165">
        <f>ASS!$C$62*(1+ASS!$E$62)^(S6-ASS!$C$43)*S7/12</f>
        <v>0</v>
      </c>
      <c r="T67" s="165">
        <f>ASS!$C$62*(1+ASS!$E$62)^(T6-ASS!$C$43)*T7/12</f>
        <v>0</v>
      </c>
      <c r="U67" s="165">
        <f>ASS!$C$62*(1+ASS!$E$62)^(U6-ASS!$C$43)*U7/12</f>
        <v>0</v>
      </c>
      <c r="V67" s="165">
        <f>ASS!$C$62*(1+ASS!$E$62)^(V6-ASS!$C$43)*V7/12</f>
        <v>0</v>
      </c>
      <c r="W67" s="165">
        <f>ASS!$C$62*(1+ASS!$E$62)^(W6-ASS!$C$43)*W7/12</f>
        <v>0</v>
      </c>
      <c r="X67" s="165">
        <f>ASS!$C$62*(1+ASS!$E$62)^(X6-ASS!$C$43)*X7/12</f>
        <v>0</v>
      </c>
      <c r="Y67" s="165">
        <f>ASS!$C$62*(1+ASS!$E$62)^(Y6-ASS!$C$43)*Y7/12</f>
        <v>0</v>
      </c>
      <c r="Z67" s="165">
        <f>ASS!$C$62*(1+ASS!$E$62)^(Z6-ASS!$C$43)*Z7/12</f>
        <v>0</v>
      </c>
      <c r="AA67" s="165">
        <f>ASS!$C$62*(1+ASS!$E$62)^(AA6-ASS!$C$43)*AA7/12</f>
        <v>0</v>
      </c>
      <c r="AB67" s="165">
        <f>ASS!$C$62*(1+ASS!$E$62)^(AB6-ASS!$C$43)*AB7/12</f>
        <v>0</v>
      </c>
      <c r="AC67" s="165">
        <f>ASS!$C$62*(1+ASS!$E$62)^(AC6-ASS!$C$43)*AC7/12</f>
        <v>0</v>
      </c>
      <c r="AD67" s="91">
        <f t="shared" si="32"/>
        <v>0</v>
      </c>
    </row>
    <row r="68" spans="1:32" x14ac:dyDescent="0.25">
      <c r="A68" s="61" t="s">
        <v>191</v>
      </c>
      <c r="B68" s="63"/>
      <c r="C68" s="63"/>
      <c r="D68" s="164">
        <f>SUM(D63:D67)</f>
        <v>80819.865000000005</v>
      </c>
      <c r="E68" s="164">
        <f t="shared" ref="E68:T68" si="33">SUM(E63:E67)</f>
        <v>137895.636</v>
      </c>
      <c r="F68" s="164">
        <f t="shared" si="33"/>
        <v>138075.39311999999</v>
      </c>
      <c r="G68" s="164">
        <f t="shared" si="33"/>
        <v>138588.29658240001</v>
      </c>
      <c r="H68" s="164">
        <f t="shared" si="33"/>
        <v>139517.57171404798</v>
      </c>
      <c r="I68" s="164">
        <f t="shared" si="33"/>
        <v>140322.29394832894</v>
      </c>
      <c r="J68" s="164">
        <f t="shared" si="33"/>
        <v>142209.15882729553</v>
      </c>
      <c r="K68" s="164">
        <f t="shared" si="33"/>
        <v>143555.38200384143</v>
      </c>
      <c r="L68" s="164">
        <f t="shared" si="33"/>
        <v>145193.16924391827</v>
      </c>
      <c r="M68" s="164">
        <f t="shared" si="33"/>
        <v>147039.30642879664</v>
      </c>
      <c r="N68" s="164">
        <f t="shared" si="33"/>
        <v>148844.13955737257</v>
      </c>
      <c r="O68" s="164">
        <f t="shared" si="33"/>
        <v>150441.23474852002</v>
      </c>
      <c r="P68" s="164">
        <f t="shared" si="33"/>
        <v>152746.01824349043</v>
      </c>
      <c r="Q68" s="164">
        <f t="shared" si="33"/>
        <v>153844.43640836023</v>
      </c>
      <c r="R68" s="164">
        <f t="shared" si="33"/>
        <v>155608.94573652744</v>
      </c>
      <c r="S68" s="164" t="e">
        <f t="shared" si="33"/>
        <v>#VALUE!</v>
      </c>
      <c r="T68" s="164">
        <f t="shared" si="33"/>
        <v>896.15450828315159</v>
      </c>
      <c r="U68" s="164">
        <f t="shared" ref="U68:AC68" si="34">SUM(U63:U67)</f>
        <v>914.07759844881457</v>
      </c>
      <c r="V68" s="164">
        <f t="shared" si="34"/>
        <v>932.35915041779083</v>
      </c>
      <c r="W68" s="164">
        <f t="shared" si="34"/>
        <v>951.00633342614674</v>
      </c>
      <c r="X68" s="164">
        <f t="shared" si="34"/>
        <v>970.02646009466969</v>
      </c>
      <c r="Y68" s="164">
        <f t="shared" si="34"/>
        <v>989.42698929656308</v>
      </c>
      <c r="Z68" s="164">
        <f t="shared" si="34"/>
        <v>1009.2155290824941</v>
      </c>
      <c r="AA68" s="164">
        <f t="shared" si="34"/>
        <v>1029.3998396641441</v>
      </c>
      <c r="AB68" s="164">
        <f t="shared" si="34"/>
        <v>1049.987836457427</v>
      </c>
      <c r="AC68" s="164">
        <f t="shared" si="34"/>
        <v>0</v>
      </c>
      <c r="AD68" s="84" t="e">
        <f t="shared" si="32"/>
        <v>#VALUE!</v>
      </c>
    </row>
    <row r="69" spans="1:32" x14ac:dyDescent="0.25">
      <c r="A69" s="61"/>
      <c r="B69" s="63"/>
      <c r="C69" s="63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64"/>
      <c r="Z69" s="164"/>
      <c r="AA69" s="164"/>
      <c r="AB69" s="164"/>
      <c r="AC69" s="164"/>
      <c r="AD69" s="84"/>
    </row>
    <row r="70" spans="1:32" x14ac:dyDescent="0.25">
      <c r="A70" s="61" t="s">
        <v>192</v>
      </c>
      <c r="B70" s="63"/>
      <c r="C70" s="63"/>
      <c r="D70" s="164">
        <f>D60+D68</f>
        <v>80819.865000000005</v>
      </c>
      <c r="E70" s="164">
        <f t="shared" ref="E70:T70" si="35">E60+E68</f>
        <v>137895.636</v>
      </c>
      <c r="F70" s="164">
        <f t="shared" si="35"/>
        <v>138075.39311999999</v>
      </c>
      <c r="G70" s="164">
        <f t="shared" si="35"/>
        <v>138588.29658240001</v>
      </c>
      <c r="H70" s="164">
        <f t="shared" si="35"/>
        <v>139517.57171404798</v>
      </c>
      <c r="I70" s="164">
        <f t="shared" si="35"/>
        <v>140322.29394832894</v>
      </c>
      <c r="J70" s="164">
        <f t="shared" si="35"/>
        <v>142209.15882729553</v>
      </c>
      <c r="K70" s="164">
        <f t="shared" si="35"/>
        <v>143555.38200384143</v>
      </c>
      <c r="L70" s="164">
        <f t="shared" si="35"/>
        <v>145193.16924391827</v>
      </c>
      <c r="M70" s="164">
        <f t="shared" si="35"/>
        <v>147039.30642879664</v>
      </c>
      <c r="N70" s="164">
        <f t="shared" si="35"/>
        <v>148844.13955737257</v>
      </c>
      <c r="O70" s="164">
        <f t="shared" si="35"/>
        <v>150441.23474852002</v>
      </c>
      <c r="P70" s="164">
        <f t="shared" si="35"/>
        <v>152746.01824349043</v>
      </c>
      <c r="Q70" s="164">
        <f t="shared" si="35"/>
        <v>153844.43640836023</v>
      </c>
      <c r="R70" s="164">
        <f t="shared" si="35"/>
        <v>155608.94573652744</v>
      </c>
      <c r="S70" s="164" t="e">
        <f t="shared" si="35"/>
        <v>#VALUE!</v>
      </c>
      <c r="T70" s="164">
        <f t="shared" si="35"/>
        <v>896.15450828315159</v>
      </c>
      <c r="U70" s="164">
        <f t="shared" ref="U70:AC70" si="36">U60+U68</f>
        <v>914.07759844881457</v>
      </c>
      <c r="V70" s="164">
        <f t="shared" si="36"/>
        <v>932.35915041779083</v>
      </c>
      <c r="W70" s="164">
        <f t="shared" si="36"/>
        <v>951.00633342614674</v>
      </c>
      <c r="X70" s="164">
        <f t="shared" si="36"/>
        <v>970.02646009466969</v>
      </c>
      <c r="Y70" s="164">
        <f t="shared" si="36"/>
        <v>989.42698929656308</v>
      </c>
      <c r="Z70" s="164">
        <f t="shared" si="36"/>
        <v>1009.2155290824941</v>
      </c>
      <c r="AA70" s="164">
        <f t="shared" si="36"/>
        <v>1029.3998396641441</v>
      </c>
      <c r="AB70" s="164">
        <f t="shared" si="36"/>
        <v>1049.987836457427</v>
      </c>
      <c r="AC70" s="164">
        <f t="shared" si="36"/>
        <v>0</v>
      </c>
      <c r="AD70" s="84" t="e">
        <f>SUM(D70:AC70)</f>
        <v>#VALUE!</v>
      </c>
    </row>
    <row r="71" spans="1:32" x14ac:dyDescent="0.25">
      <c r="A71" s="61"/>
      <c r="B71" s="63"/>
      <c r="C71" s="63"/>
      <c r="D71" s="164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164"/>
      <c r="Q71" s="164"/>
      <c r="R71" s="164"/>
      <c r="S71" s="164"/>
      <c r="T71" s="164"/>
      <c r="U71" s="164"/>
      <c r="V71" s="164"/>
      <c r="W71" s="164"/>
      <c r="X71" s="164"/>
      <c r="Y71" s="164"/>
      <c r="Z71" s="164"/>
      <c r="AA71" s="164"/>
      <c r="AB71" s="164"/>
      <c r="AC71" s="164"/>
      <c r="AD71" s="84"/>
    </row>
    <row r="72" spans="1:32" s="52" customFormat="1" x14ac:dyDescent="0.25">
      <c r="A72" s="109" t="s">
        <v>193</v>
      </c>
      <c r="B72" s="88"/>
      <c r="C72" s="88"/>
      <c r="D72" s="210">
        <f>D70+D44</f>
        <v>80819.865000000005</v>
      </c>
      <c r="E72" s="210">
        <f t="shared" ref="E72:T72" si="37">E70+E44</f>
        <v>137895.636</v>
      </c>
      <c r="F72" s="210">
        <f t="shared" si="37"/>
        <v>138075.39311999999</v>
      </c>
      <c r="G72" s="210">
        <f t="shared" si="37"/>
        <v>138588.29658240001</v>
      </c>
      <c r="H72" s="210">
        <f t="shared" si="37"/>
        <v>139517.57171404798</v>
      </c>
      <c r="I72" s="210">
        <f t="shared" si="37"/>
        <v>140322.29394832894</v>
      </c>
      <c r="J72" s="210">
        <f t="shared" si="37"/>
        <v>142209.15882729553</v>
      </c>
      <c r="K72" s="210">
        <f t="shared" si="37"/>
        <v>143555.38200384143</v>
      </c>
      <c r="L72" s="210">
        <f t="shared" si="37"/>
        <v>145193.16924391827</v>
      </c>
      <c r="M72" s="210">
        <f t="shared" si="37"/>
        <v>147039.30642879664</v>
      </c>
      <c r="N72" s="210">
        <f t="shared" si="37"/>
        <v>148844.13955737257</v>
      </c>
      <c r="O72" s="210">
        <f t="shared" si="37"/>
        <v>150441.23474852002</v>
      </c>
      <c r="P72" s="210">
        <f t="shared" si="37"/>
        <v>152746.01824349043</v>
      </c>
      <c r="Q72" s="210">
        <f t="shared" si="37"/>
        <v>153844.43640836023</v>
      </c>
      <c r="R72" s="210">
        <f t="shared" si="37"/>
        <v>155608.94573652744</v>
      </c>
      <c r="S72" s="210" t="e">
        <f t="shared" si="37"/>
        <v>#VALUE!</v>
      </c>
      <c r="T72" s="210">
        <f t="shared" si="37"/>
        <v>896.15450828315159</v>
      </c>
      <c r="U72" s="210">
        <f t="shared" ref="U72:AC72" si="38">U70+U44</f>
        <v>914.07759844881457</v>
      </c>
      <c r="V72" s="210">
        <f t="shared" si="38"/>
        <v>932.35915041779083</v>
      </c>
      <c r="W72" s="210">
        <f t="shared" si="38"/>
        <v>951.00633342614674</v>
      </c>
      <c r="X72" s="210">
        <f t="shared" si="38"/>
        <v>970.02646009466969</v>
      </c>
      <c r="Y72" s="210">
        <f t="shared" si="38"/>
        <v>989.42698929656308</v>
      </c>
      <c r="Z72" s="210">
        <f t="shared" si="38"/>
        <v>1009.2155290824941</v>
      </c>
      <c r="AA72" s="210">
        <f t="shared" si="38"/>
        <v>1029.3998396641441</v>
      </c>
      <c r="AB72" s="210">
        <f t="shared" si="38"/>
        <v>1049.987836457427</v>
      </c>
      <c r="AC72" s="210">
        <f t="shared" si="38"/>
        <v>0</v>
      </c>
      <c r="AD72" s="85" t="e">
        <f>SUM(D72:AC72)</f>
        <v>#VALUE!</v>
      </c>
    </row>
    <row r="73" spans="1:32" x14ac:dyDescent="0.25">
      <c r="A73" s="61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51"/>
    </row>
    <row r="74" spans="1:32" x14ac:dyDescent="0.25">
      <c r="A74" s="61"/>
      <c r="B74" s="89" t="s">
        <v>194</v>
      </c>
      <c r="C74" s="92"/>
      <c r="D74" s="93">
        <f t="shared" ref="D74:AC74" si="39">IF(D7=0, 0, (D70/D10)*100)</f>
        <v>3.3296885364095168</v>
      </c>
      <c r="E74" s="93">
        <f t="shared" si="39"/>
        <v>3.3140023071377076</v>
      </c>
      <c r="F74" s="93">
        <f t="shared" si="39"/>
        <v>3.3183223532804611</v>
      </c>
      <c r="G74" s="93">
        <f t="shared" si="39"/>
        <v>3.3306488003460712</v>
      </c>
      <c r="H74" s="93">
        <f t="shared" si="39"/>
        <v>3.3529817763529914</v>
      </c>
      <c r="I74" s="93">
        <f t="shared" si="39"/>
        <v>3.3723214118800513</v>
      </c>
      <c r="J74" s="93">
        <f t="shared" si="39"/>
        <v>3.4176678401176526</v>
      </c>
      <c r="K74" s="93">
        <f t="shared" si="39"/>
        <v>3.4500211969200056</v>
      </c>
      <c r="L74" s="93">
        <f t="shared" si="39"/>
        <v>3.4893816208584063</v>
      </c>
      <c r="M74" s="93">
        <f t="shared" si="39"/>
        <v>3.5337492532755741</v>
      </c>
      <c r="N74" s="93">
        <f t="shared" si="39"/>
        <v>3.5771242383410855</v>
      </c>
      <c r="O74" s="93">
        <f t="shared" si="39"/>
        <v>3.6155067231079072</v>
      </c>
      <c r="P74" s="93">
        <f t="shared" si="39"/>
        <v>3.6708968575700656</v>
      </c>
      <c r="Q74" s="93">
        <f t="shared" si="39"/>
        <v>3.6972947947214667</v>
      </c>
      <c r="R74" s="93">
        <f t="shared" si="39"/>
        <v>3.7397006906158965</v>
      </c>
      <c r="S74" s="93" t="e">
        <f t="shared" si="39"/>
        <v>#VALUE!</v>
      </c>
      <c r="T74" s="93">
        <f t="shared" si="39"/>
        <v>2.1536998516778455E-2</v>
      </c>
      <c r="U74" s="93">
        <f t="shared" si="39"/>
        <v>2.1967738487114023E-2</v>
      </c>
      <c r="V74" s="93">
        <f t="shared" si="39"/>
        <v>2.2407093256856307E-2</v>
      </c>
      <c r="W74" s="93">
        <f t="shared" si="39"/>
        <v>2.2855235121993431E-2</v>
      </c>
      <c r="X74" s="93">
        <f t="shared" si="39"/>
        <v>2.3312339824433304E-2</v>
      </c>
      <c r="Y74" s="93">
        <f t="shared" si="39"/>
        <v>2.3778586620921967E-2</v>
      </c>
      <c r="Z74" s="93">
        <f t="shared" si="39"/>
        <v>2.42541583533404E-2</v>
      </c>
      <c r="AA74" s="93">
        <f t="shared" si="39"/>
        <v>2.4739241520407212E-2</v>
      </c>
      <c r="AB74" s="93">
        <f t="shared" si="39"/>
        <v>2.5234026350815356E-2</v>
      </c>
      <c r="AC74" s="93">
        <f t="shared" si="39"/>
        <v>0</v>
      </c>
      <c r="AD74" s="94" t="s">
        <v>7</v>
      </c>
    </row>
    <row r="75" spans="1:32" x14ac:dyDescent="0.25">
      <c r="A75" s="61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51"/>
    </row>
    <row r="76" spans="1:32" s="52" customFormat="1" x14ac:dyDescent="0.25">
      <c r="A76" s="109" t="s">
        <v>408</v>
      </c>
      <c r="B76" s="88"/>
      <c r="C76" s="477" t="s">
        <v>433</v>
      </c>
      <c r="D76" s="477">
        <f t="shared" ref="D76:AC76" si="40">D25-D72</f>
        <v>0</v>
      </c>
      <c r="E76" s="210">
        <f t="shared" si="40"/>
        <v>0</v>
      </c>
      <c r="F76" s="210">
        <f t="shared" si="40"/>
        <v>0</v>
      </c>
      <c r="G76" s="210">
        <f t="shared" si="40"/>
        <v>0</v>
      </c>
      <c r="H76" s="210">
        <f t="shared" si="40"/>
        <v>0</v>
      </c>
      <c r="I76" s="210">
        <f t="shared" si="40"/>
        <v>0</v>
      </c>
      <c r="J76" s="210">
        <f t="shared" si="40"/>
        <v>0</v>
      </c>
      <c r="K76" s="210">
        <f t="shared" si="40"/>
        <v>0</v>
      </c>
      <c r="L76" s="210">
        <f t="shared" si="40"/>
        <v>0</v>
      </c>
      <c r="M76" s="210">
        <f t="shared" si="40"/>
        <v>0</v>
      </c>
      <c r="N76" s="210">
        <f t="shared" si="40"/>
        <v>0</v>
      </c>
      <c r="O76" s="210">
        <f t="shared" si="40"/>
        <v>0</v>
      </c>
      <c r="P76" s="210">
        <f t="shared" si="40"/>
        <v>0</v>
      </c>
      <c r="Q76" s="210">
        <f t="shared" si="40"/>
        <v>0</v>
      </c>
      <c r="R76" s="210">
        <f t="shared" si="40"/>
        <v>0</v>
      </c>
      <c r="S76" s="210" t="e">
        <f t="shared" si="40"/>
        <v>#VALUE!</v>
      </c>
      <c r="T76" s="210">
        <f t="shared" si="40"/>
        <v>0</v>
      </c>
      <c r="U76" s="210">
        <f t="shared" si="40"/>
        <v>0</v>
      </c>
      <c r="V76" s="210">
        <f t="shared" si="40"/>
        <v>0</v>
      </c>
      <c r="W76" s="210">
        <f t="shared" si="40"/>
        <v>0</v>
      </c>
      <c r="X76" s="210">
        <f t="shared" si="40"/>
        <v>0</v>
      </c>
      <c r="Y76" s="210">
        <f t="shared" si="40"/>
        <v>0</v>
      </c>
      <c r="Z76" s="210">
        <f t="shared" si="40"/>
        <v>0</v>
      </c>
      <c r="AA76" s="210">
        <f t="shared" si="40"/>
        <v>0</v>
      </c>
      <c r="AB76" s="210">
        <f t="shared" si="40"/>
        <v>0</v>
      </c>
      <c r="AC76" s="210">
        <f t="shared" si="40"/>
        <v>0</v>
      </c>
      <c r="AD76" s="85" t="e">
        <f>SUM(D76:AC76)</f>
        <v>#VALUE!</v>
      </c>
    </row>
    <row r="77" spans="1:32" x14ac:dyDescent="0.25">
      <c r="A77" s="61" t="s">
        <v>195</v>
      </c>
      <c r="B77" s="63"/>
      <c r="C77" s="63"/>
      <c r="D77" s="165">
        <f>-DEPR!F34</f>
        <v>0</v>
      </c>
      <c r="E77" s="165">
        <f>-DEPR!G34</f>
        <v>0</v>
      </c>
      <c r="F77" s="165">
        <f>-DEPR!H34</f>
        <v>0</v>
      </c>
      <c r="G77" s="165">
        <f>-DEPR!I34</f>
        <v>0</v>
      </c>
      <c r="H77" s="165">
        <f>-DEPR!J34</f>
        <v>0</v>
      </c>
      <c r="I77" s="165">
        <f>-DEPR!K34</f>
        <v>0</v>
      </c>
      <c r="J77" s="165">
        <f>-DEPR!L34</f>
        <v>0</v>
      </c>
      <c r="K77" s="165">
        <f>-DEPR!M34</f>
        <v>0</v>
      </c>
      <c r="L77" s="165">
        <f>-DEPR!N34</f>
        <v>0</v>
      </c>
      <c r="M77" s="165">
        <f>-DEPR!O34</f>
        <v>0</v>
      </c>
      <c r="N77" s="165">
        <f>-DEPR!P34</f>
        <v>0</v>
      </c>
      <c r="O77" s="165">
        <f>-DEPR!Q34</f>
        <v>0</v>
      </c>
      <c r="P77" s="165">
        <f>-DEPR!R34</f>
        <v>0</v>
      </c>
      <c r="Q77" s="165">
        <f>-DEPR!S34</f>
        <v>0</v>
      </c>
      <c r="R77" s="165">
        <f>-DEPR!T34</f>
        <v>0</v>
      </c>
      <c r="S77" s="165">
        <f>-DEPR!U34</f>
        <v>0</v>
      </c>
      <c r="T77" s="165">
        <f>-DEPR!V34</f>
        <v>0</v>
      </c>
      <c r="U77" s="165">
        <f>-DEPR!W34</f>
        <v>0</v>
      </c>
      <c r="V77" s="165">
        <f>-DEPR!X34</f>
        <v>0</v>
      </c>
      <c r="W77" s="165">
        <f>-DEPR!Y34</f>
        <v>0</v>
      </c>
      <c r="X77" s="165">
        <f>-DEPR!Z34</f>
        <v>0</v>
      </c>
      <c r="Y77" s="165">
        <f>-DEPR!AA34</f>
        <v>0</v>
      </c>
      <c r="Z77" s="165">
        <f>-DEPR!AB34</f>
        <v>0</v>
      </c>
      <c r="AA77" s="165">
        <f>-DEPR!AC34</f>
        <v>0</v>
      </c>
      <c r="AB77" s="165">
        <f>-DEPR!AD34</f>
        <v>0</v>
      </c>
      <c r="AC77" s="165">
        <f>-DEPR!AE34</f>
        <v>0</v>
      </c>
      <c r="AD77" s="91">
        <f>SUM(D77:AC77)</f>
        <v>0</v>
      </c>
      <c r="AE77" s="99" t="str">
        <f>IF(ABS(-$AD$77-ASS!$I$23)&lt;0.1," ","WARNING:  CHECK DEPRECIATION")</f>
        <v>WARNING:  CHECK DEPRECIATION</v>
      </c>
    </row>
    <row r="78" spans="1:32" x14ac:dyDescent="0.25">
      <c r="A78" s="61"/>
      <c r="B78" s="63"/>
      <c r="C78" s="63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4"/>
      <c r="S78" s="164"/>
      <c r="T78" s="164"/>
      <c r="U78" s="164"/>
      <c r="V78" s="164"/>
      <c r="W78" s="164"/>
      <c r="X78" s="164"/>
      <c r="Y78" s="164"/>
      <c r="Z78" s="164"/>
      <c r="AA78" s="164"/>
      <c r="AB78" s="164"/>
      <c r="AC78" s="164"/>
      <c r="AD78" s="84"/>
      <c r="AE78"/>
      <c r="AF78"/>
    </row>
    <row r="79" spans="1:32" s="52" customFormat="1" x14ac:dyDescent="0.25">
      <c r="A79" s="109" t="s">
        <v>196</v>
      </c>
      <c r="B79" s="88"/>
      <c r="C79" s="88"/>
      <c r="D79" s="210">
        <f>SUM(D76:D77)</f>
        <v>0</v>
      </c>
      <c r="E79" s="210">
        <f t="shared" ref="E79:T79" si="41">SUM(E76:E77)</f>
        <v>0</v>
      </c>
      <c r="F79" s="210">
        <f t="shared" si="41"/>
        <v>0</v>
      </c>
      <c r="G79" s="210">
        <f t="shared" si="41"/>
        <v>0</v>
      </c>
      <c r="H79" s="210">
        <f t="shared" si="41"/>
        <v>0</v>
      </c>
      <c r="I79" s="210">
        <f t="shared" si="41"/>
        <v>0</v>
      </c>
      <c r="J79" s="210">
        <f t="shared" si="41"/>
        <v>0</v>
      </c>
      <c r="K79" s="210">
        <f t="shared" si="41"/>
        <v>0</v>
      </c>
      <c r="L79" s="210">
        <f t="shared" si="41"/>
        <v>0</v>
      </c>
      <c r="M79" s="210">
        <f t="shared" si="41"/>
        <v>0</v>
      </c>
      <c r="N79" s="210">
        <f t="shared" si="41"/>
        <v>0</v>
      </c>
      <c r="O79" s="210">
        <f t="shared" si="41"/>
        <v>0</v>
      </c>
      <c r="P79" s="210">
        <f t="shared" si="41"/>
        <v>0</v>
      </c>
      <c r="Q79" s="210">
        <f t="shared" si="41"/>
        <v>0</v>
      </c>
      <c r="R79" s="210">
        <f t="shared" si="41"/>
        <v>0</v>
      </c>
      <c r="S79" s="210" t="e">
        <f t="shared" si="41"/>
        <v>#VALUE!</v>
      </c>
      <c r="T79" s="210">
        <f t="shared" si="41"/>
        <v>0</v>
      </c>
      <c r="U79" s="210">
        <f t="shared" ref="U79:AC79" si="42">SUM(U76:U77)</f>
        <v>0</v>
      </c>
      <c r="V79" s="210">
        <f t="shared" si="42"/>
        <v>0</v>
      </c>
      <c r="W79" s="210">
        <f t="shared" si="42"/>
        <v>0</v>
      </c>
      <c r="X79" s="210">
        <f t="shared" si="42"/>
        <v>0</v>
      </c>
      <c r="Y79" s="210">
        <f t="shared" si="42"/>
        <v>0</v>
      </c>
      <c r="Z79" s="210">
        <f t="shared" si="42"/>
        <v>0</v>
      </c>
      <c r="AA79" s="210">
        <f t="shared" si="42"/>
        <v>0</v>
      </c>
      <c r="AB79" s="210">
        <f t="shared" si="42"/>
        <v>0</v>
      </c>
      <c r="AC79" s="210">
        <f t="shared" si="42"/>
        <v>0</v>
      </c>
      <c r="AD79" s="85" t="e">
        <f>SUM(D79:AC79)</f>
        <v>#VALUE!</v>
      </c>
    </row>
    <row r="80" spans="1:32" x14ac:dyDescent="0.25">
      <c r="A80" s="61" t="s">
        <v>197</v>
      </c>
      <c r="B80" s="63"/>
      <c r="C80" s="63"/>
      <c r="D80" s="164" t="e">
        <f>-FIN!D10</f>
        <v>#REF!</v>
      </c>
      <c r="E80" s="164" t="e">
        <f>-FIN!E10</f>
        <v>#REF!</v>
      </c>
      <c r="F80" s="164" t="e">
        <f>-FIN!F10</f>
        <v>#REF!</v>
      </c>
      <c r="G80" s="164" t="e">
        <f>-FIN!G10</f>
        <v>#REF!</v>
      </c>
      <c r="H80" s="164" t="e">
        <f>-FIN!H10</f>
        <v>#REF!</v>
      </c>
      <c r="I80" s="164" t="e">
        <f>-FIN!I10</f>
        <v>#REF!</v>
      </c>
      <c r="J80" s="164" t="e">
        <f>-FIN!J10</f>
        <v>#REF!</v>
      </c>
      <c r="K80" s="164" t="e">
        <f>-FIN!K10</f>
        <v>#REF!</v>
      </c>
      <c r="L80" s="164" t="e">
        <f>-FIN!L10</f>
        <v>#REF!</v>
      </c>
      <c r="M80" s="164" t="e">
        <f>-FIN!M10</f>
        <v>#REF!</v>
      </c>
      <c r="N80" s="164" t="e">
        <f>-FIN!N10</f>
        <v>#REF!</v>
      </c>
      <c r="O80" s="164" t="e">
        <f>-FIN!O10</f>
        <v>#REF!</v>
      </c>
      <c r="P80" s="164" t="e">
        <f>-FIN!P10</f>
        <v>#REF!</v>
      </c>
      <c r="Q80" s="164" t="e">
        <f>-FIN!Q10</f>
        <v>#REF!</v>
      </c>
      <c r="R80" s="164" t="e">
        <f>-FIN!R10</f>
        <v>#REF!</v>
      </c>
      <c r="S80" s="164" t="e">
        <f>-FIN!S10</f>
        <v>#REF!</v>
      </c>
      <c r="T80" s="164" t="e">
        <f>-FIN!T10</f>
        <v>#REF!</v>
      </c>
      <c r="U80" s="164" t="e">
        <f>-FIN!U10</f>
        <v>#REF!</v>
      </c>
      <c r="V80" s="164" t="e">
        <f>-FIN!V10</f>
        <v>#REF!</v>
      </c>
      <c r="W80" s="164" t="e">
        <f>-FIN!W10</f>
        <v>#REF!</v>
      </c>
      <c r="X80" s="164" t="e">
        <f>-FIN!X10</f>
        <v>#REF!</v>
      </c>
      <c r="Y80" s="164" t="e">
        <f>-FIN!Y10</f>
        <v>#REF!</v>
      </c>
      <c r="Z80" s="164" t="e">
        <f>-FIN!Z10</f>
        <v>#REF!</v>
      </c>
      <c r="AA80" s="164" t="e">
        <f>-FIN!AA10</f>
        <v>#REF!</v>
      </c>
      <c r="AB80" s="164" t="e">
        <f>-FIN!AB10</f>
        <v>#REF!</v>
      </c>
      <c r="AC80" s="164" t="e">
        <f>-FIN!AC10</f>
        <v>#REF!</v>
      </c>
      <c r="AD80" s="84" t="e">
        <f>SUM(D80:AC80)</f>
        <v>#REF!</v>
      </c>
      <c r="AE80" s="99" t="e">
        <f>IF(ABS(-$AD$80-FIN!$AD$10)&lt;0.01," ","CHECK:  DOES NOT EQUAL INTEREST PAYMENTS MADE")</f>
        <v>#REF!</v>
      </c>
    </row>
    <row r="81" spans="1:32" x14ac:dyDescent="0.25">
      <c r="A81" s="61" t="s">
        <v>198</v>
      </c>
      <c r="B81" s="63"/>
      <c r="C81" s="63"/>
      <c r="D81" s="165" t="e">
        <f>(D80/(1-ASS!#REF!))-CF!D80</f>
        <v>#REF!</v>
      </c>
      <c r="E81" s="165" t="e">
        <f>(E80/(1-ASS!#REF!))-CF!E80</f>
        <v>#REF!</v>
      </c>
      <c r="F81" s="165" t="e">
        <f>(F80/(1-ASS!#REF!))-CF!F80</f>
        <v>#REF!</v>
      </c>
      <c r="G81" s="165" t="e">
        <f>(G80/(1-ASS!#REF!))-CF!G80</f>
        <v>#REF!</v>
      </c>
      <c r="H81" s="165" t="e">
        <f>(H80/(1-ASS!#REF!))-CF!H80</f>
        <v>#REF!</v>
      </c>
      <c r="I81" s="165" t="e">
        <f>(I80/(1-ASS!#REF!))-CF!I80</f>
        <v>#REF!</v>
      </c>
      <c r="J81" s="165" t="e">
        <f>(J80/(1-ASS!#REF!))-CF!J80</f>
        <v>#REF!</v>
      </c>
      <c r="K81" s="165" t="e">
        <f>(K80/(1-ASS!#REF!))-CF!K80</f>
        <v>#REF!</v>
      </c>
      <c r="L81" s="165" t="e">
        <f>(L80/(1-ASS!#REF!))-CF!L80</f>
        <v>#REF!</v>
      </c>
      <c r="M81" s="165" t="e">
        <f>(M80/(1-ASS!#REF!))-CF!M80</f>
        <v>#REF!</v>
      </c>
      <c r="N81" s="165" t="e">
        <f>(N80/(1-ASS!#REF!))-CF!N80</f>
        <v>#REF!</v>
      </c>
      <c r="O81" s="165" t="e">
        <f>(O80/(1-ASS!#REF!))-CF!O80</f>
        <v>#REF!</v>
      </c>
      <c r="P81" s="165" t="e">
        <f>(P80/(1-ASS!#REF!))-CF!P80</f>
        <v>#REF!</v>
      </c>
      <c r="Q81" s="165" t="e">
        <f>(Q80/(1-ASS!#REF!))-CF!Q80</f>
        <v>#REF!</v>
      </c>
      <c r="R81" s="165" t="e">
        <f>(R80/(1-ASS!#REF!))-CF!R80</f>
        <v>#REF!</v>
      </c>
      <c r="S81" s="165" t="e">
        <f>(S80/(1-ASS!#REF!))-CF!S80</f>
        <v>#REF!</v>
      </c>
      <c r="T81" s="165" t="e">
        <f>(T80/(1-ASS!#REF!))-CF!T80</f>
        <v>#REF!</v>
      </c>
      <c r="U81" s="165" t="e">
        <f>(U80/(1-ASS!#REF!))-CF!U80</f>
        <v>#REF!</v>
      </c>
      <c r="V81" s="165" t="e">
        <f>(V80/(1-ASS!#REF!))-CF!V80</f>
        <v>#REF!</v>
      </c>
      <c r="W81" s="165" t="e">
        <f>(W80/(1-ASS!#REF!))-CF!W80</f>
        <v>#REF!</v>
      </c>
      <c r="X81" s="165" t="e">
        <f>(X80/(1-ASS!#REF!))-CF!X80</f>
        <v>#REF!</v>
      </c>
      <c r="Y81" s="165" t="e">
        <f>(Y80/(1-ASS!#REF!))-CF!Y80</f>
        <v>#REF!</v>
      </c>
      <c r="Z81" s="165" t="e">
        <f>(Z80/(1-ASS!#REF!))-CF!Z80</f>
        <v>#REF!</v>
      </c>
      <c r="AA81" s="165" t="e">
        <f>(AA80/(1-ASS!#REF!))-CF!AA80</f>
        <v>#REF!</v>
      </c>
      <c r="AB81" s="165" t="e">
        <f>(AB80/(1-ASS!#REF!))-CF!AB80</f>
        <v>#REF!</v>
      </c>
      <c r="AC81" s="165" t="e">
        <f>(AC80/(1-ASS!#REF!))-CF!AC80</f>
        <v>#REF!</v>
      </c>
      <c r="AD81" s="91" t="e">
        <f>SUM(D81:AC81)</f>
        <v>#REF!</v>
      </c>
    </row>
    <row r="82" spans="1:32" x14ac:dyDescent="0.25">
      <c r="A82" s="61"/>
      <c r="B82" s="63"/>
      <c r="C82" s="63"/>
      <c r="D82" s="165"/>
      <c r="E82" s="165"/>
      <c r="F82" s="165"/>
      <c r="G82" s="165"/>
      <c r="H82" s="165"/>
      <c r="I82" s="165"/>
      <c r="J82" s="165"/>
      <c r="K82" s="165"/>
      <c r="L82" s="165"/>
      <c r="M82" s="165"/>
      <c r="N82" s="165"/>
      <c r="O82" s="165"/>
      <c r="P82" s="165"/>
      <c r="Q82" s="165"/>
      <c r="R82" s="165"/>
      <c r="S82" s="165"/>
      <c r="T82" s="165"/>
      <c r="U82" s="165"/>
      <c r="V82" s="165"/>
      <c r="W82" s="165"/>
      <c r="X82" s="165"/>
      <c r="Y82" s="165"/>
      <c r="Z82" s="165"/>
      <c r="AA82" s="165"/>
      <c r="AB82" s="165"/>
      <c r="AC82" s="165"/>
      <c r="AD82" s="91"/>
    </row>
    <row r="83" spans="1:32" s="52" customFormat="1" x14ac:dyDescent="0.25">
      <c r="A83" s="109" t="s">
        <v>199</v>
      </c>
      <c r="B83" s="88"/>
      <c r="C83" s="88"/>
      <c r="D83" s="210" t="e">
        <f>SUM(D79:D81)</f>
        <v>#REF!</v>
      </c>
      <c r="E83" s="210" t="e">
        <f t="shared" ref="E83:T83" si="43">SUM(E79:E81)</f>
        <v>#REF!</v>
      </c>
      <c r="F83" s="210" t="e">
        <f t="shared" si="43"/>
        <v>#REF!</v>
      </c>
      <c r="G83" s="210" t="e">
        <f t="shared" si="43"/>
        <v>#REF!</v>
      </c>
      <c r="H83" s="210" t="e">
        <f t="shared" si="43"/>
        <v>#REF!</v>
      </c>
      <c r="I83" s="210" t="e">
        <f t="shared" si="43"/>
        <v>#REF!</v>
      </c>
      <c r="J83" s="210" t="e">
        <f t="shared" si="43"/>
        <v>#REF!</v>
      </c>
      <c r="K83" s="210" t="e">
        <f t="shared" si="43"/>
        <v>#REF!</v>
      </c>
      <c r="L83" s="210" t="e">
        <f t="shared" si="43"/>
        <v>#REF!</v>
      </c>
      <c r="M83" s="210" t="e">
        <f t="shared" si="43"/>
        <v>#REF!</v>
      </c>
      <c r="N83" s="210" t="e">
        <f t="shared" si="43"/>
        <v>#REF!</v>
      </c>
      <c r="O83" s="210" t="e">
        <f t="shared" si="43"/>
        <v>#REF!</v>
      </c>
      <c r="P83" s="210" t="e">
        <f t="shared" si="43"/>
        <v>#REF!</v>
      </c>
      <c r="Q83" s="210" t="e">
        <f t="shared" si="43"/>
        <v>#REF!</v>
      </c>
      <c r="R83" s="210" t="e">
        <f t="shared" si="43"/>
        <v>#REF!</v>
      </c>
      <c r="S83" s="210" t="e">
        <f t="shared" si="43"/>
        <v>#VALUE!</v>
      </c>
      <c r="T83" s="210" t="e">
        <f t="shared" si="43"/>
        <v>#REF!</v>
      </c>
      <c r="U83" s="210" t="e">
        <f t="shared" ref="U83:AC83" si="44">SUM(U79:U81)</f>
        <v>#REF!</v>
      </c>
      <c r="V83" s="210" t="e">
        <f t="shared" si="44"/>
        <v>#REF!</v>
      </c>
      <c r="W83" s="210" t="e">
        <f t="shared" si="44"/>
        <v>#REF!</v>
      </c>
      <c r="X83" s="210" t="e">
        <f t="shared" si="44"/>
        <v>#REF!</v>
      </c>
      <c r="Y83" s="210" t="e">
        <f t="shared" si="44"/>
        <v>#REF!</v>
      </c>
      <c r="Z83" s="210" t="e">
        <f t="shared" si="44"/>
        <v>#REF!</v>
      </c>
      <c r="AA83" s="210" t="e">
        <f t="shared" si="44"/>
        <v>#REF!</v>
      </c>
      <c r="AB83" s="210" t="e">
        <f t="shared" si="44"/>
        <v>#REF!</v>
      </c>
      <c r="AC83" s="210" t="e">
        <f t="shared" si="44"/>
        <v>#REF!</v>
      </c>
      <c r="AD83" s="85" t="e">
        <f>SUM(D83:AC83)</f>
        <v>#REF!</v>
      </c>
    </row>
    <row r="84" spans="1:32" x14ac:dyDescent="0.25">
      <c r="A84" s="61" t="s">
        <v>200</v>
      </c>
      <c r="B84" s="314"/>
      <c r="C84" s="63"/>
      <c r="D84" s="165" t="e">
        <f>-MAX(D83*TAX, 0)</f>
        <v>#REF!</v>
      </c>
      <c r="E84" s="165" t="e">
        <f t="shared" ref="E84:T84" si="45">-MAX(E83*TAX, 0)</f>
        <v>#REF!</v>
      </c>
      <c r="F84" s="165" t="e">
        <f t="shared" si="45"/>
        <v>#REF!</v>
      </c>
      <c r="G84" s="165" t="e">
        <f t="shared" si="45"/>
        <v>#REF!</v>
      </c>
      <c r="H84" s="165" t="e">
        <f t="shared" si="45"/>
        <v>#REF!</v>
      </c>
      <c r="I84" s="165" t="e">
        <f t="shared" si="45"/>
        <v>#REF!</v>
      </c>
      <c r="J84" s="165" t="e">
        <f t="shared" si="45"/>
        <v>#REF!</v>
      </c>
      <c r="K84" s="165" t="e">
        <f t="shared" si="45"/>
        <v>#REF!</v>
      </c>
      <c r="L84" s="165" t="e">
        <f t="shared" si="45"/>
        <v>#REF!</v>
      </c>
      <c r="M84" s="165" t="e">
        <f t="shared" si="45"/>
        <v>#REF!</v>
      </c>
      <c r="N84" s="165" t="e">
        <f t="shared" si="45"/>
        <v>#REF!</v>
      </c>
      <c r="O84" s="165" t="e">
        <f t="shared" si="45"/>
        <v>#REF!</v>
      </c>
      <c r="P84" s="165" t="e">
        <f t="shared" si="45"/>
        <v>#REF!</v>
      </c>
      <c r="Q84" s="165" t="e">
        <f t="shared" si="45"/>
        <v>#REF!</v>
      </c>
      <c r="R84" s="165" t="e">
        <f t="shared" si="45"/>
        <v>#REF!</v>
      </c>
      <c r="S84" s="165" t="e">
        <f t="shared" si="45"/>
        <v>#VALUE!</v>
      </c>
      <c r="T84" s="165" t="e">
        <f t="shared" si="45"/>
        <v>#REF!</v>
      </c>
      <c r="U84" s="165" t="e">
        <f t="shared" ref="U84:AC84" si="46">-MAX(U83*TAX, 0)</f>
        <v>#REF!</v>
      </c>
      <c r="V84" s="165" t="e">
        <f t="shared" si="46"/>
        <v>#REF!</v>
      </c>
      <c r="W84" s="165" t="e">
        <f t="shared" si="46"/>
        <v>#REF!</v>
      </c>
      <c r="X84" s="165" t="e">
        <f t="shared" si="46"/>
        <v>#REF!</v>
      </c>
      <c r="Y84" s="165" t="e">
        <f t="shared" si="46"/>
        <v>#REF!</v>
      </c>
      <c r="Z84" s="165" t="e">
        <f t="shared" si="46"/>
        <v>#REF!</v>
      </c>
      <c r="AA84" s="165" t="e">
        <f t="shared" si="46"/>
        <v>#REF!</v>
      </c>
      <c r="AB84" s="165" t="e">
        <f t="shared" si="46"/>
        <v>#REF!</v>
      </c>
      <c r="AC84" s="165" t="e">
        <f t="shared" si="46"/>
        <v>#REF!</v>
      </c>
      <c r="AD84" s="95" t="e">
        <f>SUM(D84:AC84)</f>
        <v>#REF!</v>
      </c>
    </row>
    <row r="85" spans="1:32" x14ac:dyDescent="0.25">
      <c r="A85" s="61"/>
      <c r="B85" s="63"/>
      <c r="C85" s="63"/>
      <c r="D85" s="164"/>
      <c r="E85" s="164"/>
      <c r="F85" s="164"/>
      <c r="G85" s="164"/>
      <c r="H85" s="164"/>
      <c r="I85" s="164"/>
      <c r="J85" s="164"/>
      <c r="K85" s="164"/>
      <c r="L85" s="164"/>
      <c r="M85" s="164"/>
      <c r="N85" s="164"/>
      <c r="O85" s="164"/>
      <c r="P85" s="164"/>
      <c r="Q85" s="164"/>
      <c r="R85" s="164"/>
      <c r="S85" s="164"/>
      <c r="T85" s="164"/>
      <c r="U85" s="164"/>
      <c r="V85" s="164"/>
      <c r="W85" s="164"/>
      <c r="X85" s="164"/>
      <c r="Y85" s="164"/>
      <c r="Z85" s="164"/>
      <c r="AA85" s="164"/>
      <c r="AB85" s="164"/>
      <c r="AC85" s="164"/>
      <c r="AD85" s="84"/>
    </row>
    <row r="86" spans="1:32" s="52" customFormat="1" x14ac:dyDescent="0.25">
      <c r="A86" s="264" t="s">
        <v>201</v>
      </c>
      <c r="B86" s="265"/>
      <c r="C86" s="265"/>
      <c r="D86" s="266" t="e">
        <f>SUM(D83:D84)</f>
        <v>#REF!</v>
      </c>
      <c r="E86" s="266" t="e">
        <f t="shared" ref="E86:T86" si="47">SUM(E83:E84)</f>
        <v>#REF!</v>
      </c>
      <c r="F86" s="266" t="e">
        <f t="shared" si="47"/>
        <v>#REF!</v>
      </c>
      <c r="G86" s="266" t="e">
        <f t="shared" si="47"/>
        <v>#REF!</v>
      </c>
      <c r="H86" s="266" t="e">
        <f t="shared" si="47"/>
        <v>#REF!</v>
      </c>
      <c r="I86" s="266" t="e">
        <f t="shared" si="47"/>
        <v>#REF!</v>
      </c>
      <c r="J86" s="266" t="e">
        <f t="shared" si="47"/>
        <v>#REF!</v>
      </c>
      <c r="K86" s="266" t="e">
        <f t="shared" si="47"/>
        <v>#REF!</v>
      </c>
      <c r="L86" s="266" t="e">
        <f t="shared" si="47"/>
        <v>#REF!</v>
      </c>
      <c r="M86" s="266" t="e">
        <f t="shared" si="47"/>
        <v>#REF!</v>
      </c>
      <c r="N86" s="266" t="e">
        <f t="shared" si="47"/>
        <v>#REF!</v>
      </c>
      <c r="O86" s="266" t="e">
        <f t="shared" si="47"/>
        <v>#REF!</v>
      </c>
      <c r="P86" s="266" t="e">
        <f t="shared" si="47"/>
        <v>#REF!</v>
      </c>
      <c r="Q86" s="266" t="e">
        <f t="shared" si="47"/>
        <v>#REF!</v>
      </c>
      <c r="R86" s="266" t="e">
        <f t="shared" si="47"/>
        <v>#REF!</v>
      </c>
      <c r="S86" s="266" t="e">
        <f t="shared" si="47"/>
        <v>#VALUE!</v>
      </c>
      <c r="T86" s="266" t="e">
        <f t="shared" si="47"/>
        <v>#REF!</v>
      </c>
      <c r="U86" s="266" t="e">
        <f t="shared" ref="U86:AC86" si="48">SUM(U83:U84)</f>
        <v>#REF!</v>
      </c>
      <c r="V86" s="266" t="e">
        <f t="shared" si="48"/>
        <v>#REF!</v>
      </c>
      <c r="W86" s="266" t="e">
        <f t="shared" si="48"/>
        <v>#REF!</v>
      </c>
      <c r="X86" s="266" t="e">
        <f t="shared" si="48"/>
        <v>#REF!</v>
      </c>
      <c r="Y86" s="266" t="e">
        <f t="shared" si="48"/>
        <v>#REF!</v>
      </c>
      <c r="Z86" s="266" t="e">
        <f t="shared" si="48"/>
        <v>#REF!</v>
      </c>
      <c r="AA86" s="266" t="e">
        <f t="shared" si="48"/>
        <v>#REF!</v>
      </c>
      <c r="AB86" s="266" t="e">
        <f t="shared" si="48"/>
        <v>#REF!</v>
      </c>
      <c r="AC86" s="266" t="e">
        <f t="shared" si="48"/>
        <v>#REF!</v>
      </c>
      <c r="AD86" s="267" t="e">
        <f>SUM(D86:AC86)</f>
        <v>#REF!</v>
      </c>
    </row>
    <row r="87" spans="1:32" x14ac:dyDescent="0.25">
      <c r="A87" s="61" t="s">
        <v>202</v>
      </c>
      <c r="B87" s="63"/>
      <c r="C87" s="63"/>
      <c r="D87" s="164">
        <f>-D77</f>
        <v>0</v>
      </c>
      <c r="E87" s="164">
        <f t="shared" ref="E87:T87" si="49">-E77</f>
        <v>0</v>
      </c>
      <c r="F87" s="164">
        <f t="shared" si="49"/>
        <v>0</v>
      </c>
      <c r="G87" s="164">
        <f t="shared" si="49"/>
        <v>0</v>
      </c>
      <c r="H87" s="164">
        <f t="shared" si="49"/>
        <v>0</v>
      </c>
      <c r="I87" s="164">
        <f t="shared" si="49"/>
        <v>0</v>
      </c>
      <c r="J87" s="164">
        <f t="shared" si="49"/>
        <v>0</v>
      </c>
      <c r="K87" s="164">
        <f t="shared" si="49"/>
        <v>0</v>
      </c>
      <c r="L87" s="164">
        <f t="shared" si="49"/>
        <v>0</v>
      </c>
      <c r="M87" s="164">
        <f t="shared" si="49"/>
        <v>0</v>
      </c>
      <c r="N87" s="164">
        <f t="shared" si="49"/>
        <v>0</v>
      </c>
      <c r="O87" s="164">
        <f t="shared" si="49"/>
        <v>0</v>
      </c>
      <c r="P87" s="164">
        <f t="shared" si="49"/>
        <v>0</v>
      </c>
      <c r="Q87" s="164">
        <f t="shared" si="49"/>
        <v>0</v>
      </c>
      <c r="R87" s="164">
        <f t="shared" si="49"/>
        <v>0</v>
      </c>
      <c r="S87" s="164">
        <f t="shared" si="49"/>
        <v>0</v>
      </c>
      <c r="T87" s="164">
        <f t="shared" si="49"/>
        <v>0</v>
      </c>
      <c r="U87" s="164">
        <f t="shared" ref="U87:AC87" si="50">-U77</f>
        <v>0</v>
      </c>
      <c r="V87" s="164">
        <f t="shared" si="50"/>
        <v>0</v>
      </c>
      <c r="W87" s="164">
        <f t="shared" si="50"/>
        <v>0</v>
      </c>
      <c r="X87" s="164">
        <f t="shared" si="50"/>
        <v>0</v>
      </c>
      <c r="Y87" s="164">
        <f t="shared" si="50"/>
        <v>0</v>
      </c>
      <c r="Z87" s="164">
        <f t="shared" si="50"/>
        <v>0</v>
      </c>
      <c r="AA87" s="164">
        <f t="shared" si="50"/>
        <v>0</v>
      </c>
      <c r="AB87" s="164">
        <f t="shared" si="50"/>
        <v>0</v>
      </c>
      <c r="AC87" s="164">
        <f t="shared" si="50"/>
        <v>0</v>
      </c>
      <c r="AD87" s="84">
        <f>SUM(D87:AC87)</f>
        <v>0</v>
      </c>
    </row>
    <row r="88" spans="1:32" x14ac:dyDescent="0.25">
      <c r="A88" s="61" t="s">
        <v>203</v>
      </c>
      <c r="B88" s="63"/>
      <c r="C88" s="63"/>
      <c r="D88" s="164">
        <f>IF(D5=TERM,SPARES,0)</f>
        <v>0</v>
      </c>
      <c r="E88" s="164">
        <f t="shared" ref="E88:T88" si="51">IF(E5=TERM,SPARES,0)</f>
        <v>0</v>
      </c>
      <c r="F88" s="164">
        <f t="shared" si="51"/>
        <v>0</v>
      </c>
      <c r="G88" s="164">
        <f t="shared" si="51"/>
        <v>0</v>
      </c>
      <c r="H88" s="164">
        <f t="shared" si="51"/>
        <v>0</v>
      </c>
      <c r="I88" s="164">
        <f t="shared" si="51"/>
        <v>0</v>
      </c>
      <c r="J88" s="164">
        <f t="shared" si="51"/>
        <v>0</v>
      </c>
      <c r="K88" s="164">
        <f t="shared" si="51"/>
        <v>0</v>
      </c>
      <c r="L88" s="164">
        <f t="shared" si="51"/>
        <v>0</v>
      </c>
      <c r="M88" s="164">
        <f t="shared" si="51"/>
        <v>0</v>
      </c>
      <c r="N88" s="164">
        <f t="shared" si="51"/>
        <v>0</v>
      </c>
      <c r="O88" s="164">
        <f t="shared" si="51"/>
        <v>0</v>
      </c>
      <c r="P88" s="164">
        <f t="shared" si="51"/>
        <v>0</v>
      </c>
      <c r="Q88" s="164">
        <f t="shared" si="51"/>
        <v>0</v>
      </c>
      <c r="R88" s="164">
        <f t="shared" si="51"/>
        <v>0</v>
      </c>
      <c r="S88" s="164">
        <f t="shared" si="51"/>
        <v>0</v>
      </c>
      <c r="T88" s="164">
        <f t="shared" si="51"/>
        <v>0</v>
      </c>
      <c r="U88" s="164">
        <f t="shared" ref="U88:AC88" si="52">IF(U5=TERM,SPARES,0)</f>
        <v>0</v>
      </c>
      <c r="V88" s="164">
        <f t="shared" si="52"/>
        <v>0</v>
      </c>
      <c r="W88" s="164">
        <f t="shared" si="52"/>
        <v>0</v>
      </c>
      <c r="X88" s="164">
        <f t="shared" si="52"/>
        <v>0</v>
      </c>
      <c r="Y88" s="164">
        <f t="shared" si="52"/>
        <v>0</v>
      </c>
      <c r="Z88" s="164">
        <f t="shared" si="52"/>
        <v>0</v>
      </c>
      <c r="AA88" s="164">
        <f t="shared" si="52"/>
        <v>0</v>
      </c>
      <c r="AB88" s="164">
        <f t="shared" si="52"/>
        <v>0</v>
      </c>
      <c r="AC88" s="164">
        <f t="shared" si="52"/>
        <v>0</v>
      </c>
      <c r="AD88" s="84">
        <f t="shared" ref="AD88:AD95" si="53">SUM(D88:AC88)</f>
        <v>0</v>
      </c>
    </row>
    <row r="89" spans="1:32" x14ac:dyDescent="0.25">
      <c r="A89" s="61" t="s">
        <v>204</v>
      </c>
      <c r="B89" s="63"/>
      <c r="C89" s="63"/>
      <c r="D89" s="164" t="e">
        <f>IF(D5&lt;=ASS!#REF!, (ASS!#REF!+ASS!$R$48+ASS!#REF!)/ASS!#REF!, 0)</f>
        <v>#REF!</v>
      </c>
      <c r="E89" s="164" t="e">
        <f>IF(E5&lt;=ASS!#REF!, (ASS!#REF!+ASS!$R$48+ASS!#REF!)/ASS!#REF!, 0)</f>
        <v>#REF!</v>
      </c>
      <c r="F89" s="164" t="e">
        <f>IF(F5&lt;=ASS!#REF!, (ASS!#REF!+ASS!$R$48+ASS!#REF!)/ASS!#REF!, 0)</f>
        <v>#REF!</v>
      </c>
      <c r="G89" s="164" t="e">
        <f>IF(G5&lt;=ASS!#REF!, (ASS!#REF!+ASS!$R$48+ASS!#REF!)/ASS!#REF!, 0)</f>
        <v>#REF!</v>
      </c>
      <c r="H89" s="164" t="e">
        <f>IF(H5&lt;=ASS!#REF!, (ASS!#REF!+ASS!$R$48+ASS!#REF!)/ASS!#REF!, 0)</f>
        <v>#REF!</v>
      </c>
      <c r="I89" s="164" t="e">
        <f>IF(I5&lt;=ASS!#REF!, (ASS!#REF!+ASS!$R$48+ASS!#REF!)/ASS!#REF!, 0)</f>
        <v>#REF!</v>
      </c>
      <c r="J89" s="164" t="e">
        <f>IF(J5&lt;=ASS!#REF!, (ASS!#REF!+ASS!$R$48+ASS!#REF!)/ASS!#REF!, 0)</f>
        <v>#REF!</v>
      </c>
      <c r="K89" s="164" t="e">
        <f>IF(K5&lt;=ASS!#REF!, (ASS!#REF!+ASS!$R$48+ASS!#REF!)/ASS!#REF!, 0)</f>
        <v>#REF!</v>
      </c>
      <c r="L89" s="164" t="e">
        <f>IF(L5&lt;=ASS!#REF!, (ASS!#REF!+ASS!$R$48+ASS!#REF!)/ASS!#REF!, 0)</f>
        <v>#REF!</v>
      </c>
      <c r="M89" s="164" t="e">
        <f>IF(M5&lt;=ASS!#REF!, (ASS!#REF!+ASS!$R$48+ASS!#REF!)/ASS!#REF!, 0)</f>
        <v>#REF!</v>
      </c>
      <c r="N89" s="164" t="e">
        <f>IF(N5&lt;=ASS!#REF!, (ASS!#REF!+ASS!$R$48+ASS!#REF!)/ASS!#REF!, 0)</f>
        <v>#REF!</v>
      </c>
      <c r="O89" s="164" t="e">
        <f>IF(O5&lt;=ASS!#REF!, (ASS!#REF!+ASS!$R$48+ASS!#REF!)/ASS!#REF!, 0)</f>
        <v>#REF!</v>
      </c>
      <c r="P89" s="164" t="e">
        <f>IF(P5&lt;=ASS!#REF!, (ASS!#REF!+ASS!$R$48+ASS!#REF!)/ASS!#REF!, 0)</f>
        <v>#REF!</v>
      </c>
      <c r="Q89" s="164" t="e">
        <f>IF(Q5&lt;=ASS!#REF!, (ASS!#REF!+ASS!$R$48+ASS!#REF!)/ASS!#REF!, 0)</f>
        <v>#REF!</v>
      </c>
      <c r="R89" s="164" t="e">
        <f>IF(R5&lt;=ASS!#REF!, (ASS!#REF!+ASS!$R$48+ASS!#REF!)/ASS!#REF!, 0)</f>
        <v>#REF!</v>
      </c>
      <c r="S89" s="164" t="e">
        <f>IF(S5&lt;=ASS!#REF!, (ASS!#REF!+ASS!$R$48+ASS!#REF!)/ASS!#REF!, 0)</f>
        <v>#REF!</v>
      </c>
      <c r="T89" s="164" t="e">
        <f>IF(T5&lt;=ASS!#REF!, (ASS!#REF!+ASS!$R$48+ASS!#REF!)/ASS!#REF!, 0)</f>
        <v>#REF!</v>
      </c>
      <c r="U89" s="164" t="e">
        <f>IF(U5&lt;=ASS!#REF!, (ASS!#REF!+ASS!$R$48+ASS!#REF!)/ASS!#REF!, 0)</f>
        <v>#REF!</v>
      </c>
      <c r="V89" s="164" t="e">
        <f>IF(V5&lt;=ASS!#REF!, (ASS!#REF!+ASS!$R$48+ASS!#REF!)/ASS!#REF!, 0)</f>
        <v>#REF!</v>
      </c>
      <c r="W89" s="164" t="e">
        <f>IF(W5&lt;=ASS!#REF!, (ASS!#REF!+ASS!$R$48+ASS!#REF!)/ASS!#REF!, 0)</f>
        <v>#REF!</v>
      </c>
      <c r="X89" s="164" t="e">
        <f>IF(X5&lt;=ASS!#REF!, (ASS!#REF!+ASS!$R$48+ASS!#REF!)/ASS!#REF!, 0)</f>
        <v>#REF!</v>
      </c>
      <c r="Y89" s="164" t="e">
        <f>IF(Y5&lt;=ASS!#REF!, (ASS!#REF!+ASS!$R$48+ASS!#REF!)/ASS!#REF!, 0)</f>
        <v>#REF!</v>
      </c>
      <c r="Z89" s="164" t="e">
        <f>IF(Z5&lt;=ASS!#REF!, (ASS!#REF!+ASS!$R$48+ASS!#REF!)/ASS!#REF!, 0)</f>
        <v>#REF!</v>
      </c>
      <c r="AA89" s="164" t="e">
        <f>IF(AA5&lt;=ASS!#REF!, (ASS!#REF!+ASS!$R$48+ASS!#REF!)/ASS!#REF!, 0)</f>
        <v>#REF!</v>
      </c>
      <c r="AB89" s="164" t="e">
        <f>IF(AB5&lt;=ASS!#REF!, (ASS!#REF!+ASS!$R$48+ASS!#REF!)/ASS!#REF!, 0)</f>
        <v>#REF!</v>
      </c>
      <c r="AC89" s="164" t="e">
        <f>IF(AC5&lt;=ASS!#REF!, (ASS!#REF!+ASS!$R$48+ASS!#REF!)/ASS!#REF!, 0)</f>
        <v>#REF!</v>
      </c>
      <c r="AD89" s="84" t="e">
        <f t="shared" si="53"/>
        <v>#REF!</v>
      </c>
    </row>
    <row r="90" spans="1:32" x14ac:dyDescent="0.25">
      <c r="A90" s="61" t="s">
        <v>205</v>
      </c>
      <c r="B90" s="63" t="s">
        <v>206</v>
      </c>
      <c r="C90" s="63"/>
      <c r="D90" s="164">
        <f>IF(D5=TERM,WCAP,0)</f>
        <v>0</v>
      </c>
      <c r="E90" s="164">
        <f t="shared" ref="E90:T90" si="54">IF(E5=TERM,WCAP,0)</f>
        <v>0</v>
      </c>
      <c r="F90" s="164">
        <f t="shared" si="54"/>
        <v>0</v>
      </c>
      <c r="G90" s="164">
        <f t="shared" si="54"/>
        <v>0</v>
      </c>
      <c r="H90" s="164">
        <f t="shared" si="54"/>
        <v>0</v>
      </c>
      <c r="I90" s="164">
        <f t="shared" si="54"/>
        <v>0</v>
      </c>
      <c r="J90" s="164">
        <f t="shared" si="54"/>
        <v>0</v>
      </c>
      <c r="K90" s="164">
        <f t="shared" si="54"/>
        <v>0</v>
      </c>
      <c r="L90" s="164">
        <f t="shared" si="54"/>
        <v>0</v>
      </c>
      <c r="M90" s="164">
        <f t="shared" si="54"/>
        <v>0</v>
      </c>
      <c r="N90" s="164">
        <f t="shared" si="54"/>
        <v>0</v>
      </c>
      <c r="O90" s="164">
        <f t="shared" si="54"/>
        <v>0</v>
      </c>
      <c r="P90" s="164">
        <f t="shared" si="54"/>
        <v>0</v>
      </c>
      <c r="Q90" s="164">
        <f t="shared" si="54"/>
        <v>0</v>
      </c>
      <c r="R90" s="164">
        <f t="shared" si="54"/>
        <v>0</v>
      </c>
      <c r="S90" s="164">
        <f t="shared" si="54"/>
        <v>0</v>
      </c>
      <c r="T90" s="164">
        <f t="shared" si="54"/>
        <v>0</v>
      </c>
      <c r="U90" s="164">
        <f t="shared" ref="U90:AC90" si="55">IF(U5=TERM,WCAP,0)</f>
        <v>0</v>
      </c>
      <c r="V90" s="164">
        <f t="shared" si="55"/>
        <v>0</v>
      </c>
      <c r="W90" s="164">
        <f t="shared" si="55"/>
        <v>0</v>
      </c>
      <c r="X90" s="164">
        <f t="shared" si="55"/>
        <v>0</v>
      </c>
      <c r="Y90" s="164">
        <f t="shared" si="55"/>
        <v>0</v>
      </c>
      <c r="Z90" s="164">
        <f t="shared" si="55"/>
        <v>0</v>
      </c>
      <c r="AA90" s="164">
        <f t="shared" si="55"/>
        <v>0</v>
      </c>
      <c r="AB90" s="164">
        <f t="shared" si="55"/>
        <v>0</v>
      </c>
      <c r="AC90" s="164">
        <f t="shared" si="55"/>
        <v>0</v>
      </c>
      <c r="AD90" s="84">
        <f t="shared" si="53"/>
        <v>0</v>
      </c>
    </row>
    <row r="91" spans="1:32" x14ac:dyDescent="0.25">
      <c r="A91" s="61" t="s">
        <v>207</v>
      </c>
      <c r="B91" s="63"/>
      <c r="C91" s="448"/>
      <c r="D91" s="335" t="e">
        <f>-D84</f>
        <v>#REF!</v>
      </c>
      <c r="E91" s="164" t="e">
        <f t="shared" ref="E91:AC91" si="56">-E84</f>
        <v>#REF!</v>
      </c>
      <c r="F91" s="164" t="e">
        <f t="shared" si="56"/>
        <v>#REF!</v>
      </c>
      <c r="G91" s="164" t="e">
        <f t="shared" si="56"/>
        <v>#REF!</v>
      </c>
      <c r="H91" s="164" t="e">
        <f t="shared" si="56"/>
        <v>#REF!</v>
      </c>
      <c r="I91" s="164" t="e">
        <f t="shared" si="56"/>
        <v>#REF!</v>
      </c>
      <c r="J91" s="164" t="e">
        <f t="shared" si="56"/>
        <v>#REF!</v>
      </c>
      <c r="K91" s="164" t="e">
        <f t="shared" si="56"/>
        <v>#REF!</v>
      </c>
      <c r="L91" s="164" t="e">
        <f t="shared" si="56"/>
        <v>#REF!</v>
      </c>
      <c r="M91" s="164" t="e">
        <f t="shared" si="56"/>
        <v>#REF!</v>
      </c>
      <c r="N91" s="164" t="e">
        <f t="shared" si="56"/>
        <v>#REF!</v>
      </c>
      <c r="O91" s="164" t="e">
        <f t="shared" si="56"/>
        <v>#REF!</v>
      </c>
      <c r="P91" s="164" t="e">
        <f t="shared" si="56"/>
        <v>#REF!</v>
      </c>
      <c r="Q91" s="164" t="e">
        <f t="shared" si="56"/>
        <v>#REF!</v>
      </c>
      <c r="R91" s="164" t="e">
        <f t="shared" si="56"/>
        <v>#REF!</v>
      </c>
      <c r="S91" s="164" t="e">
        <f t="shared" si="56"/>
        <v>#VALUE!</v>
      </c>
      <c r="T91" s="164" t="e">
        <f t="shared" si="56"/>
        <v>#REF!</v>
      </c>
      <c r="U91" s="164" t="e">
        <f t="shared" si="56"/>
        <v>#REF!</v>
      </c>
      <c r="V91" s="164" t="e">
        <f t="shared" si="56"/>
        <v>#REF!</v>
      </c>
      <c r="W91" s="164" t="e">
        <f t="shared" si="56"/>
        <v>#REF!</v>
      </c>
      <c r="X91" s="164" t="e">
        <f t="shared" si="56"/>
        <v>#REF!</v>
      </c>
      <c r="Y91" s="164" t="e">
        <f t="shared" si="56"/>
        <v>#REF!</v>
      </c>
      <c r="Z91" s="164" t="e">
        <f t="shared" si="56"/>
        <v>#REF!</v>
      </c>
      <c r="AA91" s="164" t="e">
        <f t="shared" si="56"/>
        <v>#REF!</v>
      </c>
      <c r="AB91" s="164" t="e">
        <f t="shared" si="56"/>
        <v>#REF!</v>
      </c>
      <c r="AC91" s="164" t="e">
        <f t="shared" si="56"/>
        <v>#REF!</v>
      </c>
      <c r="AD91" s="84" t="e">
        <f t="shared" si="53"/>
        <v>#REF!</v>
      </c>
    </row>
    <row r="92" spans="1:32" x14ac:dyDescent="0.25">
      <c r="A92" s="61" t="s">
        <v>424</v>
      </c>
      <c r="B92" s="63"/>
      <c r="C92" s="448"/>
      <c r="D92" s="459">
        <f>-ASS!$C$59*(1+ASS!$E$59)^(D6-ASS!$C$43)*D7/12</f>
        <v>0</v>
      </c>
      <c r="E92" s="459">
        <f>-ASS!$C$59*(1+ASS!$E$59)^(E6-ASS!$C$43)*E7/12</f>
        <v>0</v>
      </c>
      <c r="F92" s="459">
        <f>-ASS!$C$59*(1+ASS!$E$59)^(F6-ASS!$C$43)*F7/12</f>
        <v>0</v>
      </c>
      <c r="G92" s="459">
        <f>-ASS!$C$59*(1+ASS!$E$59)^(G6-ASS!$C$43)*G7/12</f>
        <v>0</v>
      </c>
      <c r="H92" s="459">
        <f>-ASS!$C$59*(1+ASS!$E$59)^(H6-ASS!$C$43)*H7/12</f>
        <v>0</v>
      </c>
      <c r="I92" s="459">
        <f>-ASS!$C$59*(1+ASS!$E$59)^(I6-ASS!$C$43)*I7/12</f>
        <v>0</v>
      </c>
      <c r="J92" s="459">
        <f>-ASS!$C$59*(1+ASS!$E$59)^(J6-ASS!$C$43)*J7/12</f>
        <v>0</v>
      </c>
      <c r="K92" s="459">
        <f>-ASS!$C$59*(1+ASS!$E$59)^(K6-ASS!$C$43)*K7/12</f>
        <v>0</v>
      </c>
      <c r="L92" s="459">
        <f>-ASS!$C$59*(1+ASS!$E$59)^(L6-ASS!$C$43)*L7/12</f>
        <v>0</v>
      </c>
      <c r="M92" s="459">
        <f>-ASS!$C$59*(1+ASS!$E$59)^(M6-ASS!$C$43)*M7/12</f>
        <v>0</v>
      </c>
      <c r="N92" s="459">
        <f>-ASS!$C$59*(1+ASS!$E$59)^(N6-ASS!$C$43)*N7/12</f>
        <v>0</v>
      </c>
      <c r="O92" s="459">
        <f>-ASS!$C$59*(1+ASS!$E$59)^(O6-ASS!$C$43)*O7/12</f>
        <v>0</v>
      </c>
      <c r="P92" s="459">
        <f>-ASS!$C$59*(1+ASS!$E$59)^(P6-ASS!$C$43)*P7/12</f>
        <v>0</v>
      </c>
      <c r="Q92" s="459">
        <f>-ASS!$C$59*(1+ASS!$E$59)^(Q6-ASS!$C$43)*Q7/12</f>
        <v>0</v>
      </c>
      <c r="R92" s="459">
        <f>-ASS!$C$59*(1+ASS!$E$59)^(R6-ASS!$C$43)*R7/12</f>
        <v>0</v>
      </c>
      <c r="S92" s="459">
        <f>-ASS!$C$59*(1+ASS!$E$59)^(S6-ASS!$C$43)*S7/12</f>
        <v>0</v>
      </c>
      <c r="T92" s="164">
        <f>-ASS!$C$59*(1+ASS!$E$59)^(T6-ASS!$C$43)*T7/12</f>
        <v>0</v>
      </c>
      <c r="U92" s="164">
        <f>-ASS!$C$59*(1+ASS!$E$59)^(U6-ASS!$C$43)*U7/12</f>
        <v>0</v>
      </c>
      <c r="V92" s="164">
        <f>-ASS!$C$59*(1+ASS!$E$59)^(V6-ASS!$C$43)*V7/12</f>
        <v>0</v>
      </c>
      <c r="W92" s="164">
        <f>-ASS!$C$59*(1+ASS!$E$59)^(W6-ASS!$C$43)*W7/12</f>
        <v>0</v>
      </c>
      <c r="X92" s="164">
        <f>-ASS!$C$59*(1+ASS!$E$59)^(X6-ASS!$C$43)*X7/12</f>
        <v>0</v>
      </c>
      <c r="Y92" s="164">
        <f>-ASS!$C$59*(1+ASS!$E$59)^(Y6-ASS!$C$43)*Y7/12</f>
        <v>0</v>
      </c>
      <c r="Z92" s="164">
        <f>-ASS!$C$59*(1+ASS!$E$59)^(Z6-ASS!$C$43)*Z7/12</f>
        <v>0</v>
      </c>
      <c r="AA92" s="164">
        <f>-ASS!$C$59*(1+ASS!$E$59)^(AA6-ASS!$C$43)*AA7/12</f>
        <v>0</v>
      </c>
      <c r="AB92" s="164">
        <f>-ASS!$C$59*(1+ASS!$E$59)^(AB6-ASS!$C$43)*AB7/12</f>
        <v>0</v>
      </c>
      <c r="AC92" s="164">
        <f>-ASS!$C$59*(1+ASS!$E$59)^(AC6-ASS!$C$43)*AC7/12</f>
        <v>0</v>
      </c>
      <c r="AD92" s="84"/>
    </row>
    <row r="93" spans="1:32" x14ac:dyDescent="0.25">
      <c r="A93" s="61" t="s">
        <v>425</v>
      </c>
      <c r="B93" s="63"/>
      <c r="C93" s="448"/>
      <c r="D93" s="459">
        <f>IF(-D92&gt;D64,D64,IF(D64&gt;(BS_IS!F9+(-D92)),BS_IS!F9+(-D92),D64))</f>
        <v>0</v>
      </c>
      <c r="E93" s="459">
        <f>IF(-E92&gt;E64,E64,IF(E64&gt;(BS_IS!G9+(-E92)),BS_IS!G9+(-E92),E64))</f>
        <v>0</v>
      </c>
      <c r="F93" s="459">
        <f>IF(-F92&gt;F64,F64,IF(F64&gt;(BS_IS!H9+(-F92)),BS_IS!H9+(-F92),F64))</f>
        <v>0</v>
      </c>
      <c r="G93" s="459">
        <f>IF(-G92&gt;G64,G64,IF(G64&gt;(BS_IS!I9+(-G92)),BS_IS!I9+(-G92),G64))</f>
        <v>0</v>
      </c>
      <c r="H93" s="459">
        <f>IF(-H92&gt;H64,H64,IF(H64&gt;(BS_IS!J9+(-H92)),BS_IS!J9+(-H92),H64))</f>
        <v>0</v>
      </c>
      <c r="I93" s="459">
        <f>IF(-I92&gt;I64,I64,IF(I64&gt;(BS_IS!K9+(-I92)),BS_IS!K9+(-I92),I64))</f>
        <v>0</v>
      </c>
      <c r="J93" s="459">
        <f>IF(-J92&gt;J64,J64,IF(J64&gt;(BS_IS!L9+(-J92)),BS_IS!L9+(-J92),J64))</f>
        <v>0</v>
      </c>
      <c r="K93" s="459">
        <f>IF(-K92&gt;K64,K64,IF(K64&gt;(BS_IS!M9+(-K92)),BS_IS!M9+(-K92),K64))</f>
        <v>0</v>
      </c>
      <c r="L93" s="459">
        <f>IF(-L92&gt;L64,L64,IF(L64&gt;(BS_IS!N9+(-L92)),BS_IS!N9+(-L92),L64))</f>
        <v>0</v>
      </c>
      <c r="M93" s="459">
        <f>IF(-M92&gt;M64,M64,IF(M64&gt;(BS_IS!O9+(-M92)),BS_IS!O9+(-M92),M64))</f>
        <v>0</v>
      </c>
      <c r="N93" s="459">
        <f>IF(-N92&gt;N64,N64,IF(N64&gt;(BS_IS!P9+(-N92)),BS_IS!P9+(-N92),N64))</f>
        <v>0</v>
      </c>
      <c r="O93" s="459">
        <f>IF(-O92&gt;O64,O64,IF(O64&gt;(BS_IS!Q9+(-O92)),BS_IS!Q9+(-O92),O64))</f>
        <v>0</v>
      </c>
      <c r="P93" s="459">
        <f>IF(-P92&gt;P64,P64,IF(P64&gt;(BS_IS!R9+(-P92)),BS_IS!R9+(-P92),P64))</f>
        <v>0</v>
      </c>
      <c r="Q93" s="459">
        <f>IF(-Q92&gt;Q64,Q64,IF(Q64&gt;(BS_IS!S9+(-Q92)),BS_IS!S9+(-Q92),Q64))</f>
        <v>0</v>
      </c>
      <c r="R93" s="459">
        <f>IF(-R92&gt;R64,R64,IF(R64&gt;(BS_IS!T9+(-R92)),BS_IS!T9+(-R92),R64))</f>
        <v>0</v>
      </c>
      <c r="S93" s="459">
        <f>IF(-S92&gt;S64,S64,IF(S64&gt;(BS_IS!U9+(-S92)),BS_IS!U9+(-S92),S64))</f>
        <v>0</v>
      </c>
      <c r="T93" s="164">
        <f>IF(-T92&gt;T64,T64,IF(T64&gt;(BS_IS!V9+(-T92)),BS_IS!V9+(-T92),T64))</f>
        <v>0</v>
      </c>
      <c r="U93" s="164">
        <f>IF(-U92&gt;U64,U64,IF(U64&gt;(BS_IS!W9+(-U92)),BS_IS!W9+(-U92),U64))</f>
        <v>0</v>
      </c>
      <c r="V93" s="164">
        <f>IF(-V92&gt;V64,V64,IF(V64&gt;(BS_IS!X9+(-V92)),BS_IS!X9+(-V92),V64))</f>
        <v>0</v>
      </c>
      <c r="W93" s="164">
        <f>IF(-W92&gt;W64,W64,IF(W64&gt;(BS_IS!Y9+(-W92)),BS_IS!Y9+(-W92),W64))</f>
        <v>0</v>
      </c>
      <c r="X93" s="164">
        <f>IF(-X92&gt;X64,X64,IF(X64&gt;(BS_IS!Z9+(-X92)),BS_IS!Z9+(-X92),X64))</f>
        <v>0</v>
      </c>
      <c r="Y93" s="164">
        <f>IF(-Y92&gt;Y64,Y64,IF(Y64&gt;(BS_IS!AA9+(-Y92)),BS_IS!AA9+(-Y92),Y64))</f>
        <v>0</v>
      </c>
      <c r="Z93" s="164">
        <f>IF(-Z92&gt;Z64,Z64,IF(Z64&gt;(BS_IS!AB9+(-Z92)),BS_IS!AB9+(-Z92),Z64))</f>
        <v>0</v>
      </c>
      <c r="AA93" s="164">
        <f>IF(-AA92&gt;AA64,AA64,IF(AA64&gt;(BS_IS!AC9+(-AA92)),BS_IS!AC9+(-AA92),AA64))</f>
        <v>0</v>
      </c>
      <c r="AB93" s="164">
        <f>IF(-AB92&gt;AB64,AB64,IF(AB64&gt;(BS_IS!AD9+(-AB92)),BS_IS!AD9+(-AB92),AB64))</f>
        <v>0</v>
      </c>
      <c r="AC93" s="164">
        <f>IF(-AC92&gt;AC64,AC64,IF(AC64&gt;(BS_IS!AE9+(-AC92)),BS_IS!AE9+(-AC92),AC64))</f>
        <v>0</v>
      </c>
      <c r="AD93" s="84"/>
    </row>
    <row r="94" spans="1:32" x14ac:dyDescent="0.25">
      <c r="A94" s="61" t="s">
        <v>208</v>
      </c>
      <c r="B94" s="63"/>
      <c r="C94" s="63"/>
      <c r="D94" s="335" t="e">
        <f>-TAXES_FEES!D17</f>
        <v>#REF!</v>
      </c>
      <c r="E94" s="335" t="e">
        <f>-TAXES_FEES!E17</f>
        <v>#REF!</v>
      </c>
      <c r="F94" s="335" t="e">
        <f>-TAXES_FEES!F17</f>
        <v>#REF!</v>
      </c>
      <c r="G94" s="335" t="e">
        <f>-TAXES_FEES!G17</f>
        <v>#REF!</v>
      </c>
      <c r="H94" s="335" t="e">
        <f>-TAXES_FEES!H17</f>
        <v>#REF!</v>
      </c>
      <c r="I94" s="335" t="e">
        <f>-TAXES_FEES!I17</f>
        <v>#REF!</v>
      </c>
      <c r="J94" s="335" t="e">
        <f>-TAXES_FEES!J17</f>
        <v>#REF!</v>
      </c>
      <c r="K94" s="335" t="e">
        <f>-TAXES_FEES!K17</f>
        <v>#REF!</v>
      </c>
      <c r="L94" s="335" t="e">
        <f>-TAXES_FEES!L17</f>
        <v>#REF!</v>
      </c>
      <c r="M94" s="335" t="e">
        <f>-TAXES_FEES!M17</f>
        <v>#REF!</v>
      </c>
      <c r="N94" s="335" t="e">
        <f>-TAXES_FEES!N17</f>
        <v>#REF!</v>
      </c>
      <c r="O94" s="335" t="e">
        <f>-TAXES_FEES!O17</f>
        <v>#REF!</v>
      </c>
      <c r="P94" s="335" t="e">
        <f>-TAXES_FEES!P17</f>
        <v>#REF!</v>
      </c>
      <c r="Q94" s="335" t="e">
        <f>-TAXES_FEES!Q17</f>
        <v>#REF!</v>
      </c>
      <c r="R94" s="335" t="e">
        <f>-TAXES_FEES!R17</f>
        <v>#REF!</v>
      </c>
      <c r="S94" s="335" t="e">
        <f>-TAXES_FEES!S17</f>
        <v>#VALUE!</v>
      </c>
      <c r="T94" s="335" t="e">
        <f>-TAXES_FEES!T17</f>
        <v>#REF!</v>
      </c>
      <c r="U94" s="335" t="e">
        <f>-TAXES_FEES!U17</f>
        <v>#REF!</v>
      </c>
      <c r="V94" s="335" t="e">
        <f>-TAXES_FEES!V17</f>
        <v>#REF!</v>
      </c>
      <c r="W94" s="335" t="e">
        <f>-TAXES_FEES!W17</f>
        <v>#REF!</v>
      </c>
      <c r="X94" s="335" t="e">
        <f>-TAXES_FEES!X17</f>
        <v>#REF!</v>
      </c>
      <c r="Y94" s="335" t="e">
        <f>-TAXES_FEES!Y17</f>
        <v>#REF!</v>
      </c>
      <c r="Z94" s="335" t="e">
        <f>-TAXES_FEES!Z17</f>
        <v>#REF!</v>
      </c>
      <c r="AA94" s="335" t="e">
        <f>-TAXES_FEES!AA17</f>
        <v>#REF!</v>
      </c>
      <c r="AB94" s="335" t="e">
        <f>-TAXES_FEES!AB17</f>
        <v>#REF!</v>
      </c>
      <c r="AC94" s="335" t="e">
        <f>-TAXES_FEES!AC17</f>
        <v>#REF!</v>
      </c>
      <c r="AD94" s="84" t="e">
        <f t="shared" si="53"/>
        <v>#REF!</v>
      </c>
      <c r="AE94" s="198" t="e">
        <f>IF(ABS(-AD94-TAXES_FEES!$AD$17)&lt;0.01," ","CHECK:  TOTAL CASH TAXES DOES NOT MATCH TOTAL CASH TAXES CALCD")</f>
        <v>#REF!</v>
      </c>
      <c r="AF94" s="97"/>
    </row>
    <row r="95" spans="1:32" x14ac:dyDescent="0.25">
      <c r="A95" s="61" t="s">
        <v>209</v>
      </c>
      <c r="B95" s="63"/>
      <c r="C95" s="63"/>
      <c r="D95" s="335" t="e">
        <f>-FIN!D11</f>
        <v>#REF!</v>
      </c>
      <c r="E95" s="335" t="e">
        <f>-FIN!E11</f>
        <v>#REF!</v>
      </c>
      <c r="F95" s="335" t="e">
        <f>-FIN!F11</f>
        <v>#REF!</v>
      </c>
      <c r="G95" s="335" t="e">
        <f>-FIN!G11</f>
        <v>#REF!</v>
      </c>
      <c r="H95" s="335" t="e">
        <f>-FIN!H11</f>
        <v>#REF!</v>
      </c>
      <c r="I95" s="335" t="e">
        <f>-FIN!I11</f>
        <v>#REF!</v>
      </c>
      <c r="J95" s="335" t="e">
        <f>-FIN!J11</f>
        <v>#REF!</v>
      </c>
      <c r="K95" s="335" t="e">
        <f>-FIN!K11</f>
        <v>#REF!</v>
      </c>
      <c r="L95" s="335" t="e">
        <f>-FIN!L11</f>
        <v>#REF!</v>
      </c>
      <c r="M95" s="335" t="e">
        <f>-FIN!M11</f>
        <v>#REF!</v>
      </c>
      <c r="N95" s="335" t="e">
        <f>-FIN!N11</f>
        <v>#REF!</v>
      </c>
      <c r="O95" s="335" t="e">
        <f>-FIN!O11</f>
        <v>#REF!</v>
      </c>
      <c r="P95" s="335" t="e">
        <f>-FIN!P11</f>
        <v>#REF!</v>
      </c>
      <c r="Q95" s="335" t="e">
        <f>-FIN!Q11</f>
        <v>#REF!</v>
      </c>
      <c r="R95" s="335" t="e">
        <f>-FIN!R11</f>
        <v>#REF!</v>
      </c>
      <c r="S95" s="335" t="e">
        <f>-FIN!S11</f>
        <v>#REF!</v>
      </c>
      <c r="T95" s="335" t="e">
        <f>-FIN!T11</f>
        <v>#REF!</v>
      </c>
      <c r="U95" s="335" t="e">
        <f>-FIN!U11</f>
        <v>#REF!</v>
      </c>
      <c r="V95" s="335" t="e">
        <f>-FIN!V11</f>
        <v>#REF!</v>
      </c>
      <c r="W95" s="335" t="e">
        <f>-FIN!W11</f>
        <v>#REF!</v>
      </c>
      <c r="X95" s="335" t="e">
        <f>-FIN!X11</f>
        <v>#REF!</v>
      </c>
      <c r="Y95" s="335" t="e">
        <f>-FIN!Y11</f>
        <v>#REF!</v>
      </c>
      <c r="Z95" s="335" t="e">
        <f>-FIN!Z11</f>
        <v>#REF!</v>
      </c>
      <c r="AA95" s="335" t="e">
        <f>-FIN!AA11</f>
        <v>#REF!</v>
      </c>
      <c r="AB95" s="335" t="e">
        <f>-FIN!AB11</f>
        <v>#REF!</v>
      </c>
      <c r="AC95" s="335" t="e">
        <f>-FIN!AC11</f>
        <v>#REF!</v>
      </c>
      <c r="AD95" s="268" t="e">
        <f t="shared" si="53"/>
        <v>#REF!</v>
      </c>
      <c r="AE95" s="198" t="e">
        <f>IF(ABS(-$AD$95-DEBT)&lt;0.01," ","CHECK:  DOES NOT EQUAL PRINCIPAL PAYMENTS MADE")</f>
        <v>#REF!</v>
      </c>
      <c r="AF95" s="97"/>
    </row>
    <row r="96" spans="1:32" x14ac:dyDescent="0.25">
      <c r="A96" s="269" t="s">
        <v>210</v>
      </c>
      <c r="B96" s="270"/>
      <c r="C96" s="270"/>
      <c r="D96" s="271" t="e">
        <f t="shared" ref="D96:AD96" si="57">SUM(D86:D95)</f>
        <v>#REF!</v>
      </c>
      <c r="E96" s="271" t="e">
        <f t="shared" si="57"/>
        <v>#REF!</v>
      </c>
      <c r="F96" s="271" t="e">
        <f t="shared" si="57"/>
        <v>#REF!</v>
      </c>
      <c r="G96" s="271" t="e">
        <f t="shared" si="57"/>
        <v>#REF!</v>
      </c>
      <c r="H96" s="271" t="e">
        <f t="shared" si="57"/>
        <v>#REF!</v>
      </c>
      <c r="I96" s="271" t="e">
        <f t="shared" si="57"/>
        <v>#REF!</v>
      </c>
      <c r="J96" s="271" t="e">
        <f t="shared" si="57"/>
        <v>#REF!</v>
      </c>
      <c r="K96" s="271" t="e">
        <f t="shared" si="57"/>
        <v>#REF!</v>
      </c>
      <c r="L96" s="271" t="e">
        <f t="shared" si="57"/>
        <v>#REF!</v>
      </c>
      <c r="M96" s="271" t="e">
        <f t="shared" si="57"/>
        <v>#REF!</v>
      </c>
      <c r="N96" s="271" t="e">
        <f t="shared" si="57"/>
        <v>#REF!</v>
      </c>
      <c r="O96" s="271" t="e">
        <f t="shared" si="57"/>
        <v>#REF!</v>
      </c>
      <c r="P96" s="271" t="e">
        <f t="shared" si="57"/>
        <v>#REF!</v>
      </c>
      <c r="Q96" s="271" t="e">
        <f t="shared" si="57"/>
        <v>#REF!</v>
      </c>
      <c r="R96" s="271" t="e">
        <f t="shared" si="57"/>
        <v>#REF!</v>
      </c>
      <c r="S96" s="271" t="e">
        <f t="shared" si="57"/>
        <v>#VALUE!</v>
      </c>
      <c r="T96" s="271" t="e">
        <f t="shared" si="57"/>
        <v>#REF!</v>
      </c>
      <c r="U96" s="271" t="e">
        <f t="shared" si="57"/>
        <v>#REF!</v>
      </c>
      <c r="V96" s="271" t="e">
        <f t="shared" si="57"/>
        <v>#REF!</v>
      </c>
      <c r="W96" s="271" t="e">
        <f t="shared" si="57"/>
        <v>#REF!</v>
      </c>
      <c r="X96" s="271" t="e">
        <f t="shared" si="57"/>
        <v>#REF!</v>
      </c>
      <c r="Y96" s="271" t="e">
        <f t="shared" si="57"/>
        <v>#REF!</v>
      </c>
      <c r="Z96" s="271" t="e">
        <f t="shared" si="57"/>
        <v>#REF!</v>
      </c>
      <c r="AA96" s="271" t="e">
        <f t="shared" si="57"/>
        <v>#REF!</v>
      </c>
      <c r="AB96" s="271" t="e">
        <f t="shared" si="57"/>
        <v>#REF!</v>
      </c>
      <c r="AC96" s="271" t="e">
        <f t="shared" si="57"/>
        <v>#REF!</v>
      </c>
      <c r="AD96" s="272" t="e">
        <f t="shared" si="57"/>
        <v>#REF!</v>
      </c>
    </row>
    <row r="97" spans="1:30" x14ac:dyDescent="0.25">
      <c r="A97" s="61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80"/>
      <c r="AD97" s="51"/>
    </row>
    <row r="98" spans="1:30" x14ac:dyDescent="0.25">
      <c r="A98" s="89" t="s">
        <v>211</v>
      </c>
      <c r="B98" s="90" t="s">
        <v>212</v>
      </c>
      <c r="C98" s="90"/>
      <c r="D98" s="435">
        <f>IF(equityperc&gt;0.99,0,IF(D5&gt;MAX(ASS!$X$35,ASS!$X$43,ASS!$X$51,ASS!$X$59,ASS!$X$67,ASS!$X$75),"n/a",(D76+D64)/(FIN!D12-TAXES_FEES!D13)))</f>
        <v>0</v>
      </c>
      <c r="E98" s="435">
        <f>IF(equityperc&gt;0.99,0,IF(E5&gt;MAX(ASS!$X$35,ASS!$X$43,ASS!$X$51,ASS!$X$59,ASS!$X$67,ASS!$X$75),"n/a",(E76+E64)/(FIN!E12-TAXES_FEES!E13)))</f>
        <v>0</v>
      </c>
      <c r="F98" s="435">
        <f>IF(equityperc&gt;0.99,0,IF(F5&gt;MAX(ASS!$X$35,ASS!$X$43,ASS!$X$51,ASS!$X$59,ASS!$X$67,ASS!$X$75),"n/a",(F76+F64)/(FIN!F12-TAXES_FEES!F13)))</f>
        <v>0</v>
      </c>
      <c r="G98" s="435">
        <f>IF(equityperc&gt;0.99,0,IF(G5&gt;MAX(ASS!$X$35,ASS!$X$43,ASS!$X$51,ASS!$X$59,ASS!$X$67,ASS!$X$75),"n/a",(G76+G64)/(FIN!G12-TAXES_FEES!G13)))</f>
        <v>0</v>
      </c>
      <c r="H98" s="435">
        <f>IF(equityperc&gt;0.99,0,IF(H5&gt;MAX(ASS!$X$35,ASS!$X$43,ASS!$X$51,ASS!$X$59,ASS!$X$67,ASS!$X$75),"n/a",(H76+H64)/(FIN!H12-TAXES_FEES!H13)))</f>
        <v>0</v>
      </c>
      <c r="I98" s="435">
        <f>IF(equityperc&gt;0.99,0,IF(I5&gt;MAX(ASS!$X$35,ASS!$X$43,ASS!$X$51,ASS!$X$59,ASS!$X$67,ASS!$X$75),"n/a",(I76+I64)/(FIN!I12-TAXES_FEES!I13)))</f>
        <v>0</v>
      </c>
      <c r="J98" s="435">
        <f>IF(equityperc&gt;0.99,0,IF(J5&gt;MAX(ASS!$X$35,ASS!$X$43,ASS!$X$51,ASS!$X$59,ASS!$X$67,ASS!$X$75),"n/a",(J76+J64)/(FIN!J12-TAXES_FEES!J13)))</f>
        <v>0</v>
      </c>
      <c r="K98" s="435">
        <f>IF(equityperc&gt;0.99,0,IF(K5&gt;MAX(ASS!$X$35,ASS!$X$43,ASS!$X$51,ASS!$X$59,ASS!$X$67,ASS!$X$75),"n/a",(K76+K64)/(FIN!K12-TAXES_FEES!K13)))</f>
        <v>0</v>
      </c>
      <c r="L98" s="435">
        <f>IF(equityperc&gt;0.99,0,IF(L5&gt;MAX(ASS!$X$35,ASS!$X$43,ASS!$X$51,ASS!$X$59,ASS!$X$67,ASS!$X$75),"n/a",(L76+L64)/(FIN!L12-TAXES_FEES!L13)))</f>
        <v>0</v>
      </c>
      <c r="M98" s="435">
        <f>IF(equityperc&gt;0.99,0,IF(M5&gt;MAX(ASS!$X$35,ASS!$X$43,ASS!$X$51,ASS!$X$59,ASS!$X$67,ASS!$X$75),"n/a",(M76+M64)/(FIN!M12-TAXES_FEES!M13)))</f>
        <v>0</v>
      </c>
      <c r="N98" s="435">
        <f>IF(equityperc&gt;0.99,0,IF(N5&gt;MAX(ASS!$X$35,ASS!$X$43,ASS!$X$51,ASS!$X$59,ASS!$X$67,ASS!$X$75),"n/a",(N76+N64)/(FIN!N12-TAXES_FEES!N13)))</f>
        <v>0</v>
      </c>
      <c r="O98" s="435">
        <f>IF(equityperc&gt;0.99,0,IF(O5&gt;MAX(ASS!$X$35,ASS!$X$43,ASS!$X$51,ASS!$X$59,ASS!$X$67,ASS!$X$75),"n/a",(O76+O64)/(FIN!O12-TAXES_FEES!O13)))</f>
        <v>0</v>
      </c>
      <c r="P98" s="435">
        <f>IF(equityperc&gt;0.99,0,IF(P5&gt;MAX(ASS!$X$35,ASS!$X$43,ASS!$X$51,ASS!$X$59,ASS!$X$67,ASS!$X$75),"n/a",(P76+P64)/(FIN!P12-TAXES_FEES!P13)))</f>
        <v>0</v>
      </c>
      <c r="Q98" s="435">
        <f>IF(equityperc&gt;0.99,0,IF(Q5&gt;MAX(ASS!$X$35,ASS!$X$43,ASS!$X$51,ASS!$X$59,ASS!$X$67,ASS!$X$75),"n/a",(Q76+Q64)/(FIN!Q12-TAXES_FEES!Q13)))</f>
        <v>0</v>
      </c>
      <c r="R98" s="435">
        <f>IF(equityperc&gt;0.99,0,IF(R5&gt;MAX(ASS!$X$35,ASS!$X$43,ASS!$X$51,ASS!$X$59,ASS!$X$67,ASS!$X$75),"n/a",(R76+R64)/(FIN!R12-TAXES_FEES!R13)))</f>
        <v>0</v>
      </c>
      <c r="S98" s="435">
        <f>IF(equityperc&gt;0.99,0,IF(S5&gt;MAX(ASS!$X$35,ASS!$X$43,ASS!$X$51,ASS!$X$59,ASS!$X$67,ASS!$X$75),"n/a",(S76+S64)/(FIN!S12-TAXES_FEES!S13)))</f>
        <v>0</v>
      </c>
      <c r="T98" s="435">
        <f>IF(equityperc&gt;0.99,0,IF(T5&gt;MAX(ASS!$X$35,ASS!$X$43,ASS!$X$51,ASS!$X$59,ASS!$X$67,ASS!$X$75),"n/a",(T76+T64)/(FIN!T12-TAXES_FEES!T13)))</f>
        <v>0</v>
      </c>
      <c r="U98" s="435">
        <f>IF(equityperc&gt;0.99,0,IF(U5&gt;MAX(ASS!$X$35,ASS!$X$43,ASS!$X$51,ASS!$X$59,ASS!$X$67,ASS!$X$75),"n/a",(U76+U64)/(FIN!U12-TAXES_FEES!U13)))</f>
        <v>0</v>
      </c>
      <c r="V98" s="435">
        <f>IF(equityperc&gt;0.99,0,IF(V5&gt;MAX(ASS!$X$35,ASS!$X$43,ASS!$X$51,ASS!$X$59,ASS!$X$67,ASS!$X$75),"n/a",(V76+V64)/(FIN!V12-TAXES_FEES!V13)))</f>
        <v>0</v>
      </c>
      <c r="W98" s="435">
        <f>IF(equityperc&gt;0.99,0,IF(W5&gt;MAX(ASS!$X$35,ASS!$X$43,ASS!$X$51,ASS!$X$59,ASS!$X$67,ASS!$X$75),"n/a",(W76+W64)/(FIN!W12-TAXES_FEES!W13)))</f>
        <v>0</v>
      </c>
      <c r="X98" s="435">
        <f>IF(equityperc&gt;0.99,0,IF(X5&gt;MAX(ASS!$X$35,ASS!$X$43,ASS!$X$51,ASS!$X$59,ASS!$X$67,ASS!$X$75),"n/a",(X76+X64)/(FIN!X12-TAXES_FEES!X13)))</f>
        <v>0</v>
      </c>
      <c r="Y98" s="435">
        <f>IF(equityperc&gt;0.99,0,IF(Y5&gt;MAX(ASS!$X$35,ASS!$X$43,ASS!$X$51,ASS!$X$59,ASS!$X$67,ASS!$X$75),"n/a",(Y76+Y64)/(FIN!Y12-TAXES_FEES!Y13)))</f>
        <v>0</v>
      </c>
      <c r="Z98" s="435">
        <f>IF(equityperc&gt;0.99,0,IF(Z5&gt;MAX(ASS!$X$35,ASS!$X$43,ASS!$X$51,ASS!$X$59,ASS!$X$67,ASS!$X$75),"n/a",(Z76+Z64)/(FIN!Z12-TAXES_FEES!Z13)))</f>
        <v>0</v>
      </c>
      <c r="AA98" s="435">
        <f>IF(equityperc&gt;0.99,0,IF(AA5&gt;MAX(ASS!$X$35,ASS!$X$43,ASS!$X$51,ASS!$X$59,ASS!$X$67,ASS!$X$75),"n/a",(AA76+AA64)/(FIN!AA12-TAXES_FEES!AA13)))</f>
        <v>0</v>
      </c>
      <c r="AB98" s="435">
        <f>IF(equityperc&gt;0.99,0,IF(AB5&gt;MAX(ASS!$X$35,ASS!$X$43,ASS!$X$51,ASS!$X$59,ASS!$X$67,ASS!$X$75),"n/a",(AB76+AB64)/(FIN!AB12-TAXES_FEES!AB13)))</f>
        <v>0</v>
      </c>
      <c r="AC98" s="435">
        <f>IF(equityperc&gt;0.99,0,IF(AC5&gt;MAX(ASS!$X$35,ASS!$X$43,ASS!$X$51,ASS!$X$59,ASS!$X$67,ASS!$X$75),"n/a",(AC76+AC64)/(FIN!AC12-TAXES_FEES!AC13)))</f>
        <v>0</v>
      </c>
      <c r="AD98" s="51"/>
    </row>
    <row r="99" spans="1:30" x14ac:dyDescent="0.25">
      <c r="A99" s="72" t="s">
        <v>213</v>
      </c>
      <c r="B99" s="80" t="s">
        <v>214</v>
      </c>
      <c r="C99" s="80"/>
      <c r="D99" s="436">
        <f>IF(equityperc&gt;0.99,0,IF(D5&gt;MAX(ASS!$X$35,ASS!$X$43,ASS!$X$51,ASS!$X$59,ASS!$X$67,ASS!$X$75),"n/a",(D76+D94+D64)/(FIN!D12-TAXES_FEES!D13)))</f>
        <v>0</v>
      </c>
      <c r="E99" s="436">
        <f>IF(equityperc&gt;0.99,0,IF(E5&gt;MAX(ASS!$X$35,ASS!$X$43,ASS!$X$51,ASS!$X$59,ASS!$X$67,ASS!$X$75),"n/a",(E76+E94+E64)/(FIN!E12-TAXES_FEES!E13)))</f>
        <v>0</v>
      </c>
      <c r="F99" s="436">
        <f>IF(equityperc&gt;0.99,0,IF(F5&gt;MAX(ASS!$X$35,ASS!$X$43,ASS!$X$51,ASS!$X$59,ASS!$X$67,ASS!$X$75),"n/a",(F76+F94+F64)/(FIN!F12-TAXES_FEES!F13)))</f>
        <v>0</v>
      </c>
      <c r="G99" s="436">
        <f>IF(equityperc&gt;0.99,0,IF(G5&gt;MAX(ASS!$X$35,ASS!$X$43,ASS!$X$51,ASS!$X$59,ASS!$X$67,ASS!$X$75),"n/a",(G76+G94+G64)/(FIN!G12-TAXES_FEES!G13)))</f>
        <v>0</v>
      </c>
      <c r="H99" s="436">
        <f>IF(equityperc&gt;0.99,0,IF(H5&gt;MAX(ASS!$X$35,ASS!$X$43,ASS!$X$51,ASS!$X$59,ASS!$X$67,ASS!$X$75),"n/a",(H76+H94+H64)/(FIN!H12-TAXES_FEES!H13)))</f>
        <v>0</v>
      </c>
      <c r="I99" s="436">
        <f>IF(equityperc&gt;0.99,0,IF(I5&gt;MAX(ASS!$X$35,ASS!$X$43,ASS!$X$51,ASS!$X$59,ASS!$X$67,ASS!$X$75),"n/a",(I76+I94+I64)/(FIN!I12-TAXES_FEES!I13)))</f>
        <v>0</v>
      </c>
      <c r="J99" s="436">
        <f>IF(equityperc&gt;0.99,0,IF(J5&gt;MAX(ASS!$X$35,ASS!$X$43,ASS!$X$51,ASS!$X$59,ASS!$X$67,ASS!$X$75),"n/a",(J76+J94+J64)/(FIN!J12-TAXES_FEES!J13)))</f>
        <v>0</v>
      </c>
      <c r="K99" s="436">
        <f>IF(equityperc&gt;0.99,0,IF(K5&gt;MAX(ASS!$X$35,ASS!$X$43,ASS!$X$51,ASS!$X$59,ASS!$X$67,ASS!$X$75),"n/a",(K76+K94+K64)/(FIN!K12-TAXES_FEES!K13)))</f>
        <v>0</v>
      </c>
      <c r="L99" s="436">
        <f>IF(equityperc&gt;0.99,0,IF(L5&gt;MAX(ASS!$X$35,ASS!$X$43,ASS!$X$51,ASS!$X$59,ASS!$X$67,ASS!$X$75),"n/a",(L76+L94+L64)/(FIN!L12-TAXES_FEES!L13)))</f>
        <v>0</v>
      </c>
      <c r="M99" s="436">
        <f>IF(equityperc&gt;0.99,0,IF(M5&gt;MAX(ASS!$X$35,ASS!$X$43,ASS!$X$51,ASS!$X$59,ASS!$X$67,ASS!$X$75),"n/a",(M76+M94+M64)/(FIN!M12-TAXES_FEES!M13)))</f>
        <v>0</v>
      </c>
      <c r="N99" s="436">
        <f>IF(equityperc&gt;0.99,0,IF(N5&gt;MAX(ASS!$X$35,ASS!$X$43,ASS!$X$51,ASS!$X$59,ASS!$X$67,ASS!$X$75),"n/a",(N76+N94+N64)/(FIN!N12-TAXES_FEES!N13)))</f>
        <v>0</v>
      </c>
      <c r="O99" s="436">
        <f>IF(equityperc&gt;0.99,0,IF(O5&gt;MAX(ASS!$X$35,ASS!$X$43,ASS!$X$51,ASS!$X$59,ASS!$X$67,ASS!$X$75),"n/a",(O76+O94+O64)/(FIN!O12-TAXES_FEES!O13)))</f>
        <v>0</v>
      </c>
      <c r="P99" s="436">
        <f>IF(equityperc&gt;0.99,0,IF(P5&gt;MAX(ASS!$X$35,ASS!$X$43,ASS!$X$51,ASS!$X$59,ASS!$X$67,ASS!$X$75),"n/a",(P76+P94+P64)/(FIN!P12-TAXES_FEES!P13)))</f>
        <v>0</v>
      </c>
      <c r="Q99" s="436">
        <f>IF(equityperc&gt;0.99,0,IF(Q5&gt;MAX(ASS!$X$35,ASS!$X$43,ASS!$X$51,ASS!$X$59,ASS!$X$67,ASS!$X$75),"n/a",(Q76+Q94+Q64)/(FIN!Q12-TAXES_FEES!Q13)))</f>
        <v>0</v>
      </c>
      <c r="R99" s="436">
        <f>IF(equityperc&gt;0.99,0,IF(R5&gt;MAX(ASS!$X$35,ASS!$X$43,ASS!$X$51,ASS!$X$59,ASS!$X$67,ASS!$X$75),"n/a",(R76+R94+R64)/(FIN!R12-TAXES_FEES!R13)))</f>
        <v>0</v>
      </c>
      <c r="S99" s="436">
        <f>IF(equityperc&gt;0.99,0,IF(S5&gt;MAX(ASS!$X$35,ASS!$X$43,ASS!$X$51,ASS!$X$59,ASS!$X$67,ASS!$X$75),"n/a",(S76+S94+S64)/(FIN!S12-TAXES_FEES!S13)))</f>
        <v>0</v>
      </c>
      <c r="T99" s="436">
        <f>IF(equityperc&gt;0.99,0,IF(T5&gt;MAX(ASS!$X$35,ASS!$X$43,ASS!$X$51,ASS!$X$59,ASS!$X$67,ASS!$X$75),"n/a",(T76+T94+T64)/(FIN!T12-TAXES_FEES!T13)))</f>
        <v>0</v>
      </c>
      <c r="U99" s="436">
        <f>IF(equityperc&gt;0.99,0,IF(U5&gt;MAX(ASS!$X$35,ASS!$X$43,ASS!$X$51,ASS!$X$59,ASS!$X$67,ASS!$X$75),"n/a",(U76+U94+U64)/(FIN!U12-TAXES_FEES!U13)))</f>
        <v>0</v>
      </c>
      <c r="V99" s="436">
        <f>IF(equityperc&gt;0.99,0,IF(V5&gt;MAX(ASS!$X$35,ASS!$X$43,ASS!$X$51,ASS!$X$59,ASS!$X$67,ASS!$X$75),"n/a",(V76+V94+V64)/(FIN!V12-TAXES_FEES!V13)))</f>
        <v>0</v>
      </c>
      <c r="W99" s="436">
        <f>IF(equityperc&gt;0.99,0,IF(W5&gt;MAX(ASS!$X$35,ASS!$X$43,ASS!$X$51,ASS!$X$59,ASS!$X$67,ASS!$X$75),"n/a",(W76+W94+W64)/(FIN!W12-TAXES_FEES!W13)))</f>
        <v>0</v>
      </c>
      <c r="X99" s="436">
        <f>IF(equityperc&gt;0.99,0,IF(X5&gt;MAX(ASS!$X$35,ASS!$X$43,ASS!$X$51,ASS!$X$59,ASS!$X$67,ASS!$X$75),"n/a",(X76+X94+X64)/(FIN!X12-TAXES_FEES!X13)))</f>
        <v>0</v>
      </c>
      <c r="Y99" s="436">
        <f>IF(equityperc&gt;0.99,0,IF(Y5&gt;MAX(ASS!$X$35,ASS!$X$43,ASS!$X$51,ASS!$X$59,ASS!$X$67,ASS!$X$75),"n/a",(Y76+Y94+Y64)/(FIN!Y12-TAXES_FEES!Y13)))</f>
        <v>0</v>
      </c>
      <c r="Z99" s="436">
        <f>IF(equityperc&gt;0.99,0,IF(Z5&gt;MAX(ASS!$X$35,ASS!$X$43,ASS!$X$51,ASS!$X$59,ASS!$X$67,ASS!$X$75),"n/a",(Z76+Z94+Z64)/(FIN!Z12-TAXES_FEES!Z13)))</f>
        <v>0</v>
      </c>
      <c r="AA99" s="436">
        <f>IF(equityperc&gt;0.99,0,IF(AA5&gt;MAX(ASS!$X$35,ASS!$X$43,ASS!$X$51,ASS!$X$59,ASS!$X$67,ASS!$X$75),"n/a",(AA76+AA94+AA64)/(FIN!AA12-TAXES_FEES!AA13)))</f>
        <v>0</v>
      </c>
      <c r="AB99" s="436">
        <f>IF(equityperc&gt;0.99,0,IF(AB5&gt;MAX(ASS!$X$35,ASS!$X$43,ASS!$X$51,ASS!$X$59,ASS!$X$67,ASS!$X$75),"n/a",(AB76+AB94+AB64)/(FIN!AB12-TAXES_FEES!AB13)))</f>
        <v>0</v>
      </c>
      <c r="AC99" s="436">
        <f>IF(equityperc&gt;0.99,0,IF(AC5&gt;MAX(ASS!$X$35,ASS!$X$43,ASS!$X$51,ASS!$X$59,ASS!$X$67,ASS!$X$75),"n/a",(AC76+AC94+AC64)/(FIN!AC12-TAXES_FEES!AC13)))</f>
        <v>0</v>
      </c>
      <c r="AD99" s="98"/>
    </row>
    <row r="102" spans="1:30" x14ac:dyDescent="0.25">
      <c r="A102" s="480"/>
      <c r="B102" s="480"/>
      <c r="C102" s="480"/>
      <c r="D102" s="480"/>
      <c r="E102" s="480"/>
      <c r="F102" s="480"/>
      <c r="G102" s="480"/>
      <c r="H102" s="480"/>
      <c r="I102" s="480"/>
      <c r="J102" s="480"/>
      <c r="K102" s="480"/>
      <c r="L102" s="480"/>
      <c r="M102" s="480"/>
      <c r="N102" s="480"/>
      <c r="O102" s="480"/>
      <c r="P102" s="480"/>
      <c r="Q102" s="480"/>
      <c r="R102" s="480"/>
      <c r="S102" s="434"/>
      <c r="T102" s="434"/>
      <c r="U102" s="434"/>
      <c r="V102" s="434"/>
      <c r="W102" s="434"/>
      <c r="X102" s="434"/>
      <c r="Y102" s="434"/>
      <c r="Z102" s="434"/>
      <c r="AA102" s="434"/>
      <c r="AB102" s="434"/>
      <c r="AC102" s="434"/>
    </row>
    <row r="103" spans="1:30" x14ac:dyDescent="0.25">
      <c r="B103" s="434"/>
      <c r="C103" s="434"/>
      <c r="D103" s="434"/>
      <c r="E103" s="434"/>
      <c r="F103" s="434"/>
      <c r="G103" s="434"/>
      <c r="H103" s="434"/>
      <c r="I103" s="434"/>
      <c r="J103" s="434"/>
      <c r="K103" s="434"/>
      <c r="L103" s="434"/>
      <c r="M103" s="434"/>
      <c r="N103" s="434"/>
      <c r="O103" s="434"/>
      <c r="P103" s="434"/>
      <c r="Q103" s="434"/>
      <c r="R103" s="434"/>
      <c r="S103" s="434"/>
      <c r="T103" s="434"/>
      <c r="U103" s="434"/>
      <c r="V103" s="434"/>
      <c r="W103" s="434"/>
      <c r="X103" s="434"/>
      <c r="Y103" s="434"/>
      <c r="Z103" s="434"/>
      <c r="AA103" s="434"/>
      <c r="AB103" s="434"/>
      <c r="AC103" s="434"/>
    </row>
    <row r="104" spans="1:30" x14ac:dyDescent="0.25">
      <c r="G104" s="434"/>
      <c r="J104" s="434"/>
      <c r="R104" s="434"/>
    </row>
    <row r="105" spans="1:30" x14ac:dyDescent="0.25">
      <c r="G105" s="460"/>
      <c r="J105" s="460"/>
      <c r="P105" s="461"/>
      <c r="R105" s="460"/>
    </row>
    <row r="106" spans="1:30" x14ac:dyDescent="0.25">
      <c r="G106" s="434"/>
      <c r="J106" s="434"/>
      <c r="R106" s="460"/>
    </row>
    <row r="108" spans="1:30" x14ac:dyDescent="0.25">
      <c r="G108" s="460"/>
      <c r="J108" s="460"/>
      <c r="S108" s="434"/>
    </row>
    <row r="109" spans="1:30" x14ac:dyDescent="0.25">
      <c r="A109" s="481"/>
    </row>
    <row r="110" spans="1:30" x14ac:dyDescent="0.25">
      <c r="A110" s="481"/>
      <c r="G110" s="460"/>
      <c r="J110" s="460"/>
    </row>
    <row r="111" spans="1:30" x14ac:dyDescent="0.25">
      <c r="A111" s="481"/>
      <c r="J111" s="460"/>
    </row>
  </sheetData>
  <printOptions horizontalCentered="1"/>
  <pageMargins left="0.5" right="1" top="0.75" bottom="0.75" header="0.5" footer="0.5"/>
  <pageSetup scale="34" orientation="landscape" horizontalDpi="4294967292" r:id="rId1"/>
  <headerFooter alignWithMargins="0">
    <oddHeader>&amp;C &amp;R&amp;D &amp;T</oddHeader>
    <oddFooter>&amp;Ldev_fin/base/&amp;F&amp;C &amp;RPage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L57"/>
  <sheetViews>
    <sheetView workbookViewId="0">
      <selection activeCell="D15" sqref="D15"/>
    </sheetView>
  </sheetViews>
  <sheetFormatPr defaultColWidth="9.109375" defaultRowHeight="13.2" x14ac:dyDescent="0.25"/>
  <cols>
    <col min="1" max="1" width="7.5546875" style="48" customWidth="1"/>
    <col min="2" max="2" width="32" style="48" customWidth="1"/>
    <col min="3" max="3" width="3.6640625" style="48" customWidth="1"/>
    <col min="4" max="7" width="9.109375" style="48"/>
    <col min="8" max="8" width="9.88671875" style="48" bestFit="1" customWidth="1"/>
    <col min="9" max="16384" width="9.109375" style="48"/>
  </cols>
  <sheetData>
    <row r="1" spans="1:35" ht="15.6" x14ac:dyDescent="0.3">
      <c r="A1" s="221" t="s">
        <v>215</v>
      </c>
      <c r="B1" s="243"/>
    </row>
    <row r="2" spans="1:35" ht="15.6" x14ac:dyDescent="0.3">
      <c r="A2" s="244">
        <f>ASS!A4</f>
        <v>0</v>
      </c>
      <c r="B2" s="245"/>
      <c r="H2" s="481"/>
    </row>
    <row r="3" spans="1:35" ht="15.6" x14ac:dyDescent="0.3">
      <c r="A3" s="246" t="str">
        <f>ASS!A5</f>
        <v>BASE MODEL</v>
      </c>
      <c r="B3" s="247"/>
      <c r="F3" s="441">
        <v>36525</v>
      </c>
      <c r="H3" s="481"/>
    </row>
    <row r="5" spans="1:35" x14ac:dyDescent="0.25">
      <c r="A5" s="53" t="s">
        <v>216</v>
      </c>
      <c r="B5" s="60"/>
      <c r="C5" s="60"/>
      <c r="D5" s="440">
        <f>IF(D6&lt;STARTYR,0,C5+1)</f>
        <v>0</v>
      </c>
      <c r="E5" s="60">
        <f>IF(E6&lt;STARTYR,0,C5+1)</f>
        <v>0</v>
      </c>
      <c r="F5" s="60">
        <f>IF(F6&lt;STARTYR,0,D5+1)</f>
        <v>0</v>
      </c>
      <c r="G5" s="60">
        <f t="shared" ref="G5:U5" si="0">IF(G6&lt;STARTYR,0,F5+1)</f>
        <v>1</v>
      </c>
      <c r="H5" s="60">
        <f t="shared" si="0"/>
        <v>2</v>
      </c>
      <c r="I5" s="60">
        <f t="shared" si="0"/>
        <v>3</v>
      </c>
      <c r="J5" s="60">
        <f t="shared" si="0"/>
        <v>4</v>
      </c>
      <c r="K5" s="60">
        <f t="shared" si="0"/>
        <v>5</v>
      </c>
      <c r="L5" s="60">
        <f t="shared" si="0"/>
        <v>6</v>
      </c>
      <c r="M5" s="60">
        <f t="shared" si="0"/>
        <v>7</v>
      </c>
      <c r="N5" s="60">
        <f t="shared" si="0"/>
        <v>8</v>
      </c>
      <c r="O5" s="60">
        <f t="shared" si="0"/>
        <v>9</v>
      </c>
      <c r="P5" s="60">
        <f t="shared" si="0"/>
        <v>10</v>
      </c>
      <c r="Q5" s="60">
        <f t="shared" si="0"/>
        <v>11</v>
      </c>
      <c r="R5" s="60">
        <f t="shared" si="0"/>
        <v>12</v>
      </c>
      <c r="S5" s="60">
        <f t="shared" si="0"/>
        <v>13</v>
      </c>
      <c r="T5" s="60">
        <f t="shared" si="0"/>
        <v>14</v>
      </c>
      <c r="U5" s="60">
        <f t="shared" si="0"/>
        <v>15</v>
      </c>
      <c r="V5" s="60">
        <f t="shared" ref="V5:AF5" si="1">IF(V6&lt;STARTYR,0,U5+1)</f>
        <v>16</v>
      </c>
      <c r="W5" s="60">
        <f t="shared" si="1"/>
        <v>17</v>
      </c>
      <c r="X5" s="60">
        <f t="shared" si="1"/>
        <v>18</v>
      </c>
      <c r="Y5" s="60">
        <f t="shared" si="1"/>
        <v>19</v>
      </c>
      <c r="Z5" s="60">
        <f t="shared" si="1"/>
        <v>20</v>
      </c>
      <c r="AA5" s="60">
        <f t="shared" si="1"/>
        <v>21</v>
      </c>
      <c r="AB5" s="60">
        <f t="shared" si="1"/>
        <v>22</v>
      </c>
      <c r="AC5" s="60">
        <f t="shared" si="1"/>
        <v>23</v>
      </c>
      <c r="AD5" s="60">
        <f t="shared" si="1"/>
        <v>24</v>
      </c>
      <c r="AE5" s="60">
        <f t="shared" si="1"/>
        <v>25</v>
      </c>
      <c r="AF5" s="60">
        <f t="shared" si="1"/>
        <v>26</v>
      </c>
      <c r="AG5" s="49"/>
      <c r="AI5" s="48">
        <v>1</v>
      </c>
    </row>
    <row r="6" spans="1:35" x14ac:dyDescent="0.25">
      <c r="A6" s="336" t="s">
        <v>174</v>
      </c>
      <c r="B6" s="80"/>
      <c r="C6" s="80"/>
      <c r="D6" s="157">
        <v>0</v>
      </c>
      <c r="E6" s="157">
        <v>0</v>
      </c>
      <c r="F6" s="157">
        <f>G6-1</f>
        <v>2000</v>
      </c>
      <c r="G6" s="157">
        <f>CF!D6</f>
        <v>2001</v>
      </c>
      <c r="H6" s="157">
        <f>CF!E6</f>
        <v>2002</v>
      </c>
      <c r="I6" s="157">
        <f>CF!F6</f>
        <v>2003</v>
      </c>
      <c r="J6" s="157">
        <f>CF!G6</f>
        <v>2004</v>
      </c>
      <c r="K6" s="157">
        <f>CF!H6</f>
        <v>2005</v>
      </c>
      <c r="L6" s="157">
        <f>CF!I6</f>
        <v>2006</v>
      </c>
      <c r="M6" s="157">
        <f>CF!J6</f>
        <v>2007</v>
      </c>
      <c r="N6" s="157">
        <f>CF!K6</f>
        <v>2008</v>
      </c>
      <c r="O6" s="157">
        <f>CF!L6</f>
        <v>2009</v>
      </c>
      <c r="P6" s="157">
        <f>CF!M6</f>
        <v>2010</v>
      </c>
      <c r="Q6" s="157">
        <f>CF!N6</f>
        <v>2011</v>
      </c>
      <c r="R6" s="157">
        <f>CF!O6</f>
        <v>2012</v>
      </c>
      <c r="S6" s="157">
        <f>CF!P6</f>
        <v>2013</v>
      </c>
      <c r="T6" s="157">
        <f>CF!Q6</f>
        <v>2014</v>
      </c>
      <c r="U6" s="157">
        <f>CF!R6</f>
        <v>2015</v>
      </c>
      <c r="V6" s="157">
        <f>CF!S6</f>
        <v>2016</v>
      </c>
      <c r="W6" s="157">
        <f>CF!T6</f>
        <v>2017</v>
      </c>
      <c r="X6" s="157">
        <f>CF!U6</f>
        <v>2018</v>
      </c>
      <c r="Y6" s="157">
        <f>CF!V6</f>
        <v>2019</v>
      </c>
      <c r="Z6" s="157">
        <f>CF!W6</f>
        <v>2020</v>
      </c>
      <c r="AA6" s="157">
        <f>CF!X6</f>
        <v>2021</v>
      </c>
      <c r="AB6" s="157">
        <f>CF!Y6</f>
        <v>2022</v>
      </c>
      <c r="AC6" s="157">
        <f>CF!Z6</f>
        <v>2023</v>
      </c>
      <c r="AD6" s="157">
        <f>CF!AA6</f>
        <v>2024</v>
      </c>
      <c r="AE6" s="157">
        <f>CF!AB6</f>
        <v>2025</v>
      </c>
      <c r="AF6" s="208">
        <f>CF!AC6</f>
        <v>2026</v>
      </c>
      <c r="AG6" s="252" t="s">
        <v>175</v>
      </c>
      <c r="AI6" s="48">
        <f>AI5+1</f>
        <v>2</v>
      </c>
    </row>
    <row r="7" spans="1:35" x14ac:dyDescent="0.25">
      <c r="AI7" s="48">
        <f t="shared" ref="AI7:AI22" si="2">AI6+1</f>
        <v>3</v>
      </c>
    </row>
    <row r="8" spans="1:35" x14ac:dyDescent="0.25">
      <c r="A8" s="100" t="s">
        <v>217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54"/>
      <c r="AG8" s="49"/>
      <c r="AI8" s="48">
        <f t="shared" si="2"/>
        <v>4</v>
      </c>
    </row>
    <row r="9" spans="1:35" x14ac:dyDescent="0.25">
      <c r="A9" s="61"/>
      <c r="B9" s="63" t="s">
        <v>218</v>
      </c>
      <c r="C9" s="63"/>
      <c r="D9" s="164">
        <f>IF(D6=0,0,IF(D5&gt;0,0,-HLOOKUP(DATE(D6,12,31),IDC_TABLE,IDC!$AP$38)))</f>
        <v>0</v>
      </c>
      <c r="E9" s="164">
        <f>IF(E6=0,0,-HLOOKUP(DATE(E6,12,31),IDC_TABLE,IDC!$AP$38)-SUM(D$9:$D9))</f>
        <v>0</v>
      </c>
      <c r="F9" s="248" t="e">
        <f ca="1">IF(F6=0,0,-HLOOKUP(DATE(F6,12,31),IDC_TABLE,IDC!$AP$38)-SUM($D$9:E9))</f>
        <v>#N/A</v>
      </c>
      <c r="G9" s="248" t="e">
        <f ca="1">IF(G6=0,0,-HLOOKUP(DATE(G6,12,31),IDC_TABLE,IDC!$AP$38)-SUM($D$9:F9))</f>
        <v>#N/A</v>
      </c>
      <c r="H9" s="248" t="e">
        <f ca="1">IF(H6=0,0,-HLOOKUP(DATE(H6,12,31),IDC_TABLE,IDC!$AP$38)-SUM($D$9:G9))</f>
        <v>#N/A</v>
      </c>
      <c r="I9" s="248" t="e">
        <f ca="1">IF(I6=0,0,-HLOOKUP(DATE(I6,12,31),IDC_TABLE,IDC!$AP$38)-SUM($D$9:H9))</f>
        <v>#N/A</v>
      </c>
      <c r="J9" s="248" t="e">
        <f ca="1">IF(J6=0,0,-HLOOKUP(DATE(J6,12,31),IDC_TABLE,IDC!$AP$38)-SUM($D$9:I9))</f>
        <v>#N/A</v>
      </c>
      <c r="K9" s="248" t="e">
        <f ca="1">IF(K6=0,0,-HLOOKUP(DATE(K6,12,31),IDC_TABLE,IDC!$AP$38)-SUM($D$9:J9))</f>
        <v>#N/A</v>
      </c>
      <c r="L9" s="248" t="e">
        <f ca="1">IF(L6=0,0,-HLOOKUP(DATE(L6,12,31),IDC_TABLE,IDC!$AP$38)-SUM($D$9:K9))</f>
        <v>#N/A</v>
      </c>
      <c r="M9" s="248" t="e">
        <f ca="1">IF(M6=0,0,-HLOOKUP(DATE(M6,12,31),IDC_TABLE,IDC!$AP$38)-SUM($D$9:L9))</f>
        <v>#N/A</v>
      </c>
      <c r="N9" s="248" t="e">
        <f ca="1">IF(N6=0,0,-HLOOKUP(DATE(N6,12,31),IDC_TABLE,IDC!$AP$38)-SUM($D$9:M9))</f>
        <v>#N/A</v>
      </c>
      <c r="O9" s="248" t="e">
        <f ca="1">IF(O6=0,0,-HLOOKUP(DATE(O6,12,31),IDC_TABLE,IDC!$AP$38)-SUM($D$9:N9))</f>
        <v>#N/A</v>
      </c>
      <c r="P9" s="248" t="e">
        <f ca="1">IF(P6=0,0,-HLOOKUP(DATE(P6,12,31),IDC_TABLE,IDC!$AP$38)-SUM($D$9:O9))</f>
        <v>#N/A</v>
      </c>
      <c r="Q9" s="248" t="e">
        <f ca="1">IF(Q6=0,0,-HLOOKUP(DATE(Q6,12,31),IDC_TABLE,IDC!$AP$38)-SUM($D$9:P9))</f>
        <v>#N/A</v>
      </c>
      <c r="R9" s="248" t="e">
        <f ca="1">IF(R6=0,0,-HLOOKUP(DATE(R6,12,31),IDC_TABLE,IDC!$AP$38)-SUM($D$9:Q9))</f>
        <v>#N/A</v>
      </c>
      <c r="S9" s="248" t="e">
        <f ca="1">IF(S6=0,0,-HLOOKUP(DATE(S6,12,31),IDC_TABLE,IDC!$AP$38)-SUM($D$9:R9))</f>
        <v>#N/A</v>
      </c>
      <c r="T9" s="248" t="e">
        <f ca="1">IF(T6=0,0,-HLOOKUP(DATE(T6,12,31),IDC_TABLE,IDC!$AP$38)-SUM($D$9:S9))</f>
        <v>#N/A</v>
      </c>
      <c r="U9" s="248" t="e">
        <f ca="1">IF(U6=0,0,-HLOOKUP(DATE(U6,12,31),IDC_TABLE,IDC!$AP$38)-SUM($D$9:T9))</f>
        <v>#N/A</v>
      </c>
      <c r="V9" s="248" t="e">
        <f ca="1">IF(V6=0,0,-HLOOKUP(DATE(V6,12,31),IDC_TABLE,IDC!$AP$38)-SUM($D$9:U9))</f>
        <v>#N/A</v>
      </c>
      <c r="W9" s="248" t="e">
        <f ca="1">IF(W6=0,0,-HLOOKUP(DATE(W6,12,31),IDC_TABLE,IDC!$AP$38)-SUM($D$9:V9))</f>
        <v>#N/A</v>
      </c>
      <c r="X9" s="248" t="e">
        <f ca="1">IF(X6=0,0,-HLOOKUP(DATE(X6,12,31),IDC_TABLE,IDC!$AP$38)-SUM($D$9:W9))</f>
        <v>#N/A</v>
      </c>
      <c r="Y9" s="248" t="e">
        <f ca="1">IF(Y6=0,0,-HLOOKUP(DATE(Y6,12,31),IDC_TABLE,IDC!$AP$38)-SUM($D$9:X9))</f>
        <v>#N/A</v>
      </c>
      <c r="Z9" s="248" t="e">
        <f ca="1">IF(Z6=0,0,-HLOOKUP(DATE(Z6,12,31),IDC_TABLE,IDC!$AP$38)-SUM($D$9:Y9))</f>
        <v>#N/A</v>
      </c>
      <c r="AA9" s="248" t="e">
        <f ca="1">IF(AA6=0,0,-HLOOKUP(DATE(AA6,12,31),IDC_TABLE,IDC!$AP$38)-SUM($D$9:Z9))</f>
        <v>#N/A</v>
      </c>
      <c r="AB9" s="248" t="e">
        <f ca="1">IF(AB6=0,0,-HLOOKUP(DATE(AB6,12,31),IDC_TABLE,IDC!$AP$38)-SUM($D$9:AA9))</f>
        <v>#N/A</v>
      </c>
      <c r="AC9" s="248" t="e">
        <f ca="1">IF(AC6=0,0,-HLOOKUP(DATE(AC6,12,31),IDC_TABLE,IDC!$AP$38)-SUM($D$9:AB9))</f>
        <v>#N/A</v>
      </c>
      <c r="AD9" s="248" t="e">
        <f ca="1">IF(AD6=0,0,-HLOOKUP(DATE(AD6,12,31),IDC_TABLE,IDC!$AP$38)-SUM($D$9:AC9))</f>
        <v>#N/A</v>
      </c>
      <c r="AE9" s="248" t="e">
        <f ca="1">IF(AE6=0,0,-HLOOKUP(DATE(AE6,12,31),IDC_TABLE,IDC!$AP$38)-SUM($D$9:AD9))</f>
        <v>#N/A</v>
      </c>
      <c r="AF9" s="248" t="e">
        <f ca="1">IF(AF6=0,0,-HLOOKUP(DATE(AF6,12,31),IDC_TABLE,IDC!$AP$38)-SUM($D$9:AE9))</f>
        <v>#N/A</v>
      </c>
      <c r="AG9" s="84" t="e">
        <f ca="1">SUM(D9:AF9)</f>
        <v>#N/A</v>
      </c>
      <c r="AH9" s="99" t="e">
        <f ca="1">IF(ABS(AG9+EQUITY)&lt;0.1," ", "CHECK")</f>
        <v>#N/A</v>
      </c>
      <c r="AI9" s="48">
        <f t="shared" si="2"/>
        <v>5</v>
      </c>
    </row>
    <row r="10" spans="1:35" x14ac:dyDescent="0.25">
      <c r="A10" s="61"/>
      <c r="B10" s="63" t="s">
        <v>219</v>
      </c>
      <c r="C10" s="63"/>
      <c r="D10" s="369">
        <f>0</f>
        <v>0</v>
      </c>
      <c r="E10" s="369">
        <f>0</f>
        <v>0</v>
      </c>
      <c r="F10" s="369">
        <f>0</f>
        <v>0</v>
      </c>
      <c r="G10" s="369" t="e">
        <f>CF!D96</f>
        <v>#REF!</v>
      </c>
      <c r="H10" s="369" t="e">
        <f>CF!E96</f>
        <v>#REF!</v>
      </c>
      <c r="I10" s="369" t="e">
        <f>CF!F96</f>
        <v>#REF!</v>
      </c>
      <c r="J10" s="369" t="e">
        <f>CF!G96</f>
        <v>#REF!</v>
      </c>
      <c r="K10" s="369" t="e">
        <f>CF!H96</f>
        <v>#REF!</v>
      </c>
      <c r="L10" s="369" t="e">
        <f>CF!I96</f>
        <v>#REF!</v>
      </c>
      <c r="M10" s="369" t="e">
        <f>CF!J96</f>
        <v>#REF!</v>
      </c>
      <c r="N10" s="369" t="e">
        <f>CF!K96</f>
        <v>#REF!</v>
      </c>
      <c r="O10" s="369" t="e">
        <f>CF!L96</f>
        <v>#REF!</v>
      </c>
      <c r="P10" s="369" t="e">
        <f>CF!M96</f>
        <v>#REF!</v>
      </c>
      <c r="Q10" s="369" t="e">
        <f>CF!N96</f>
        <v>#REF!</v>
      </c>
      <c r="R10" s="369" t="e">
        <f>CF!O96</f>
        <v>#REF!</v>
      </c>
      <c r="S10" s="369" t="e">
        <f>CF!P96</f>
        <v>#REF!</v>
      </c>
      <c r="T10" s="369" t="e">
        <f>CF!Q96</f>
        <v>#REF!</v>
      </c>
      <c r="U10" s="369" t="e">
        <f>CF!R96</f>
        <v>#REF!</v>
      </c>
      <c r="V10" s="369" t="e">
        <f>CF!S96</f>
        <v>#VALUE!</v>
      </c>
      <c r="W10" s="369" t="e">
        <f>CF!T96</f>
        <v>#REF!</v>
      </c>
      <c r="X10" s="369" t="e">
        <f>CF!U96</f>
        <v>#REF!</v>
      </c>
      <c r="Y10" s="369" t="e">
        <f>CF!V96</f>
        <v>#REF!</v>
      </c>
      <c r="Z10" s="369" t="e">
        <f>CF!W96</f>
        <v>#REF!</v>
      </c>
      <c r="AA10" s="369" t="e">
        <f>CF!X96</f>
        <v>#REF!</v>
      </c>
      <c r="AB10" s="369" t="e">
        <f>CF!Y96</f>
        <v>#REF!</v>
      </c>
      <c r="AC10" s="369" t="e">
        <f>CF!Z96</f>
        <v>#REF!</v>
      </c>
      <c r="AD10" s="369" t="e">
        <f>CF!AA96</f>
        <v>#REF!</v>
      </c>
      <c r="AE10" s="369" t="e">
        <f>CF!AB96</f>
        <v>#REF!</v>
      </c>
      <c r="AF10" s="370" t="e">
        <f>CF!AC96</f>
        <v>#REF!</v>
      </c>
      <c r="AG10" s="91" t="e">
        <f>SUM(D10:AF10)</f>
        <v>#REF!</v>
      </c>
      <c r="AH10" s="99" t="e">
        <f>IF(ABS($AG$10-CF!$AD$96)&lt;0.01," ","CHECK:  DOES NOT EQUAL TOTAL CF DISTRIBUTED")</f>
        <v>#REF!</v>
      </c>
      <c r="AI10" s="48">
        <f t="shared" si="2"/>
        <v>6</v>
      </c>
    </row>
    <row r="11" spans="1:35" s="82" customFormat="1" x14ac:dyDescent="0.25">
      <c r="A11" s="128"/>
      <c r="B11" s="63" t="s">
        <v>220</v>
      </c>
      <c r="C11" s="63"/>
      <c r="D11" s="166">
        <f>SUM(D9:D10)</f>
        <v>0</v>
      </c>
      <c r="E11" s="166">
        <f>SUM(E9:E10)</f>
        <v>0</v>
      </c>
      <c r="F11" s="166" t="e">
        <f ca="1">SUM(F9:F10)</f>
        <v>#N/A</v>
      </c>
      <c r="G11" s="166" t="e">
        <f ca="1">SUM(G9:G10)</f>
        <v>#N/A</v>
      </c>
      <c r="H11" s="166" t="e">
        <f ca="1">SUM(H9:H10)</f>
        <v>#N/A</v>
      </c>
      <c r="I11" s="166" t="e">
        <f t="shared" ref="I11:X11" ca="1" si="3">SUM(I9:I10)</f>
        <v>#N/A</v>
      </c>
      <c r="J11" s="166" t="e">
        <f t="shared" ca="1" si="3"/>
        <v>#N/A</v>
      </c>
      <c r="K11" s="166" t="e">
        <f t="shared" ca="1" si="3"/>
        <v>#N/A</v>
      </c>
      <c r="L11" s="166" t="e">
        <f t="shared" ca="1" si="3"/>
        <v>#N/A</v>
      </c>
      <c r="M11" s="166" t="e">
        <f t="shared" ca="1" si="3"/>
        <v>#N/A</v>
      </c>
      <c r="N11" s="166" t="e">
        <f t="shared" ca="1" si="3"/>
        <v>#N/A</v>
      </c>
      <c r="O11" s="166" t="e">
        <f t="shared" ca="1" si="3"/>
        <v>#N/A</v>
      </c>
      <c r="P11" s="166" t="e">
        <f t="shared" ca="1" si="3"/>
        <v>#N/A</v>
      </c>
      <c r="Q11" s="166" t="e">
        <f t="shared" ca="1" si="3"/>
        <v>#N/A</v>
      </c>
      <c r="R11" s="166" t="e">
        <f t="shared" ca="1" si="3"/>
        <v>#N/A</v>
      </c>
      <c r="S11" s="166" t="e">
        <f t="shared" ca="1" si="3"/>
        <v>#N/A</v>
      </c>
      <c r="T11" s="166" t="e">
        <f t="shared" ca="1" si="3"/>
        <v>#N/A</v>
      </c>
      <c r="U11" s="166" t="e">
        <f t="shared" ca="1" si="3"/>
        <v>#N/A</v>
      </c>
      <c r="V11" s="166" t="e">
        <f t="shared" ca="1" si="3"/>
        <v>#N/A</v>
      </c>
      <c r="W11" s="166" t="e">
        <f t="shared" ca="1" si="3"/>
        <v>#N/A</v>
      </c>
      <c r="X11" s="166" t="e">
        <f t="shared" ca="1" si="3"/>
        <v>#N/A</v>
      </c>
      <c r="Y11" s="166" t="e">
        <f t="shared" ref="Y11:AF11" ca="1" si="4">SUM(Y9:Y10)</f>
        <v>#N/A</v>
      </c>
      <c r="Z11" s="166" t="e">
        <f t="shared" ca="1" si="4"/>
        <v>#N/A</v>
      </c>
      <c r="AA11" s="166" t="e">
        <f t="shared" ca="1" si="4"/>
        <v>#N/A</v>
      </c>
      <c r="AB11" s="166" t="e">
        <f t="shared" ca="1" si="4"/>
        <v>#N/A</v>
      </c>
      <c r="AC11" s="166" t="e">
        <f t="shared" ca="1" si="4"/>
        <v>#N/A</v>
      </c>
      <c r="AD11" s="166" t="e">
        <f t="shared" ca="1" si="4"/>
        <v>#N/A</v>
      </c>
      <c r="AE11" s="166" t="e">
        <f t="shared" ca="1" si="4"/>
        <v>#N/A</v>
      </c>
      <c r="AF11" s="173" t="e">
        <f t="shared" ca="1" si="4"/>
        <v>#N/A</v>
      </c>
      <c r="AG11" s="167" t="e">
        <f ca="1">SUM(D11:AF11)</f>
        <v>#N/A</v>
      </c>
      <c r="AI11" s="48">
        <f t="shared" si="2"/>
        <v>7</v>
      </c>
    </row>
    <row r="12" spans="1:35" x14ac:dyDescent="0.25">
      <c r="A12" s="61"/>
      <c r="B12" s="63" t="s">
        <v>221</v>
      </c>
      <c r="C12" s="63"/>
      <c r="D12" s="164">
        <f>D11</f>
        <v>0</v>
      </c>
      <c r="E12" s="164">
        <f>$D$11+NPV(DISC, E$11:$E11)</f>
        <v>0</v>
      </c>
      <c r="F12" s="164" t="e">
        <f ca="1">$D$11+NPV(DISC, $E$11:F11)</f>
        <v>#N/A</v>
      </c>
      <c r="G12" s="164" t="e">
        <f ca="1">$D$11+NPV(DISC, $E$11:G11)</f>
        <v>#N/A</v>
      </c>
      <c r="H12" s="164" t="e">
        <f ca="1">$D$11+NPV(DISC, $E$11:H11)</f>
        <v>#N/A</v>
      </c>
      <c r="I12" s="164" t="e">
        <f ca="1">$D$11+NPV(DISC, $E$11:I11)</f>
        <v>#N/A</v>
      </c>
      <c r="J12" s="164" t="e">
        <f ca="1">$D$11+NPV(DISC, $E$11:J11)</f>
        <v>#N/A</v>
      </c>
      <c r="K12" s="164" t="e">
        <f ca="1">$D$11+NPV(DISC, $E$11:K11)</f>
        <v>#N/A</v>
      </c>
      <c r="L12" s="164" t="e">
        <f ca="1">$D$11+NPV(DISC, $E$11:L11)</f>
        <v>#N/A</v>
      </c>
      <c r="M12" s="164" t="e">
        <f ca="1">$D$11+NPV(DISC, $E$11:M11)</f>
        <v>#N/A</v>
      </c>
      <c r="N12" s="164" t="e">
        <f ca="1">$D$11+NPV(DISC, $E$11:N11)</f>
        <v>#N/A</v>
      </c>
      <c r="O12" s="164" t="e">
        <f ca="1">$D$11+NPV(DISC, $E$11:O11)</f>
        <v>#N/A</v>
      </c>
      <c r="P12" s="164" t="e">
        <f ca="1">$D$11+NPV(DISC, $E$11:P11)</f>
        <v>#N/A</v>
      </c>
      <c r="Q12" s="164" t="e">
        <f ca="1">$D$11+NPV(DISC, $E$11:Q11)</f>
        <v>#N/A</v>
      </c>
      <c r="R12" s="164" t="e">
        <f ca="1">$D$11+NPV(DISC, $E$11:R11)</f>
        <v>#N/A</v>
      </c>
      <c r="S12" s="164" t="e">
        <f ca="1">$D$11+NPV(DISC, $E$11:S11)</f>
        <v>#N/A</v>
      </c>
      <c r="T12" s="164" t="e">
        <f ca="1">$D$11+NPV(DISC, $E$11:T11)</f>
        <v>#N/A</v>
      </c>
      <c r="U12" s="164" t="e">
        <f ca="1">$D$11+NPV(DISC, $E$11:U11)</f>
        <v>#N/A</v>
      </c>
      <c r="V12" s="164" t="e">
        <f ca="1">$D$11+NPV(DISC, $E$11:V11)</f>
        <v>#N/A</v>
      </c>
      <c r="W12" s="164" t="e">
        <f ca="1">$D$11+NPV(DISC, $E$11:W11)</f>
        <v>#N/A</v>
      </c>
      <c r="X12" s="164" t="e">
        <f ca="1">$D$11+NPV(DISC, $E$11:X11)</f>
        <v>#N/A</v>
      </c>
      <c r="Y12" s="164" t="e">
        <f ca="1">$D$11+NPV(DISC, $E$11:Y11)</f>
        <v>#N/A</v>
      </c>
      <c r="Z12" s="164" t="e">
        <f ca="1">$D$11+NPV(DISC, $E$11:Z11)</f>
        <v>#N/A</v>
      </c>
      <c r="AA12" s="164" t="e">
        <f ca="1">$D$11+NPV(DISC, $E$11:AA11)</f>
        <v>#N/A</v>
      </c>
      <c r="AB12" s="164" t="e">
        <f ca="1">$D$11+NPV(DISC, $E$11:AB11)</f>
        <v>#N/A</v>
      </c>
      <c r="AC12" s="164" t="e">
        <f ca="1">$D$11+NPV(DISC, $E$11:AC11)</f>
        <v>#N/A</v>
      </c>
      <c r="AD12" s="164" t="e">
        <f ca="1">$D$11+NPV(DISC, $E$11:AD11)</f>
        <v>#N/A</v>
      </c>
      <c r="AE12" s="164" t="e">
        <f ca="1">$D$11+NPV(DISC, $E$11:AE11)</f>
        <v>#N/A</v>
      </c>
      <c r="AF12" s="170" t="e">
        <f ca="1">$D$11+NPV(DISC, $E$11:AF11)</f>
        <v>#N/A</v>
      </c>
      <c r="AG12" s="84" t="e">
        <f ca="1">SUM(D12:AF12)</f>
        <v>#N/A</v>
      </c>
      <c r="AI12" s="48">
        <f t="shared" si="2"/>
        <v>8</v>
      </c>
    </row>
    <row r="13" spans="1:35" x14ac:dyDescent="0.25">
      <c r="A13" s="61"/>
      <c r="B13" s="63" t="s">
        <v>222</v>
      </c>
      <c r="C13" s="63"/>
      <c r="D13" s="65" t="e">
        <f>IRR($D$11:D11, -0.9)</f>
        <v>#NUM!</v>
      </c>
      <c r="E13" s="65" t="e">
        <f>IRR($D$11:E11, -0.9)</f>
        <v>#NUM!</v>
      </c>
      <c r="F13" s="65" t="e">
        <f ca="1">IRR($D$11:F11, -0.9)</f>
        <v>#VALUE!</v>
      </c>
      <c r="G13" s="65" t="e">
        <f ca="1">IRR($D$11:G11, -0.9)</f>
        <v>#VALUE!</v>
      </c>
      <c r="H13" s="65" t="e">
        <f ca="1">IRR($D$11:H11, -0.9)</f>
        <v>#VALUE!</v>
      </c>
      <c r="I13" s="65" t="e">
        <f ca="1">IRR($D$11:I11, -0.9)</f>
        <v>#VALUE!</v>
      </c>
      <c r="J13" s="65" t="e">
        <f ca="1">IRR($D$11:J11, -0.9)</f>
        <v>#VALUE!</v>
      </c>
      <c r="K13" s="65" t="e">
        <f ca="1">IRR($D$11:K11, -0.9)</f>
        <v>#VALUE!</v>
      </c>
      <c r="L13" s="65" t="e">
        <f ca="1">IRR($D$11:L11, -0.9)</f>
        <v>#VALUE!</v>
      </c>
      <c r="M13" s="65" t="e">
        <f ca="1">IRR($D$11:M11, -0.9)</f>
        <v>#VALUE!</v>
      </c>
      <c r="N13" s="65" t="e">
        <f ca="1">IRR($D$11:N11, -0.9)</f>
        <v>#VALUE!</v>
      </c>
      <c r="O13" s="65" t="e">
        <f ca="1">IRR($D$11:O11, -0.9)</f>
        <v>#VALUE!</v>
      </c>
      <c r="P13" s="65" t="e">
        <f ca="1">IRR($D$11:P11, -0.9)</f>
        <v>#VALUE!</v>
      </c>
      <c r="Q13" s="65" t="e">
        <f ca="1">IRR($D$11:Q11, -0.9)</f>
        <v>#VALUE!</v>
      </c>
      <c r="R13" s="65" t="e">
        <f ca="1">IRR($D$11:R11, -0.9)</f>
        <v>#VALUE!</v>
      </c>
      <c r="S13" s="65" t="e">
        <f ca="1">IRR($D$11:S11, -0.9)</f>
        <v>#VALUE!</v>
      </c>
      <c r="T13" s="65" t="e">
        <f ca="1">IRR($D$11:T11, -0.9)</f>
        <v>#VALUE!</v>
      </c>
      <c r="U13" s="65" t="e">
        <f ca="1">IRR($D$11:U11, -0.9)</f>
        <v>#VALUE!</v>
      </c>
      <c r="V13" s="65" t="e">
        <f ca="1">IRR($D$11:V11, -0.9)</f>
        <v>#VALUE!</v>
      </c>
      <c r="W13" s="65" t="e">
        <f ca="1">IRR($D$11:W11, -0.9)</f>
        <v>#VALUE!</v>
      </c>
      <c r="X13" s="65" t="e">
        <f ca="1">IRR($D$11:X11, -0.9)</f>
        <v>#VALUE!</v>
      </c>
      <c r="Y13" s="65" t="e">
        <f ca="1">IRR($D$11:Y11, -0.9)</f>
        <v>#VALUE!</v>
      </c>
      <c r="Z13" s="65" t="e">
        <f ca="1">IRR($D$11:Z11, -0.9)</f>
        <v>#VALUE!</v>
      </c>
      <c r="AA13" s="65" t="e">
        <f ca="1">IRR($D$11:AA11)</f>
        <v>#VALUE!</v>
      </c>
      <c r="AB13" s="65" t="e">
        <f ca="1">IRR($D$11:AB11)</f>
        <v>#VALUE!</v>
      </c>
      <c r="AC13" s="65" t="e">
        <f ca="1">IRR($D$11:AC11)</f>
        <v>#VALUE!</v>
      </c>
      <c r="AD13" s="65" t="e">
        <f ca="1">IRR($D$11:AD11)</f>
        <v>#VALUE!</v>
      </c>
      <c r="AE13" s="65" t="e">
        <f ca="1">IRR($D$11:AE11)</f>
        <v>#VALUE!</v>
      </c>
      <c r="AF13" s="149" t="e">
        <f ca="1">IRR($D$11:AF11)</f>
        <v>#VALUE!</v>
      </c>
      <c r="AG13" s="51"/>
      <c r="AI13" s="48">
        <f t="shared" si="2"/>
        <v>9</v>
      </c>
    </row>
    <row r="14" spans="1:35" ht="13.8" thickBot="1" x14ac:dyDescent="0.3">
      <c r="A14" s="61"/>
      <c r="B14" s="63"/>
      <c r="C14" s="63"/>
      <c r="D14" s="168"/>
      <c r="E14" s="168"/>
      <c r="F14" s="168"/>
      <c r="G14" s="168"/>
      <c r="H14" s="168"/>
      <c r="I14" s="168"/>
      <c r="J14" s="168"/>
      <c r="K14" s="168"/>
      <c r="L14" s="168"/>
      <c r="M14" s="168"/>
      <c r="N14" s="168"/>
      <c r="O14" s="168"/>
      <c r="P14" s="168"/>
      <c r="Q14" s="168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249"/>
      <c r="AG14" s="51"/>
      <c r="AI14" s="48">
        <f t="shared" si="2"/>
        <v>10</v>
      </c>
    </row>
    <row r="15" spans="1:35" x14ac:dyDescent="0.25">
      <c r="A15" s="61"/>
      <c r="B15" s="104" t="s">
        <v>406</v>
      </c>
      <c r="C15" s="433">
        <f>DISC</f>
        <v>0.1</v>
      </c>
      <c r="D15" s="253" t="e">
        <f ca="1">AF12</f>
        <v>#N/A</v>
      </c>
      <c r="E15" s="210"/>
      <c r="F15" s="431"/>
      <c r="G15" s="432"/>
      <c r="H15" s="432"/>
      <c r="I15" s="168"/>
      <c r="J15" s="168"/>
      <c r="K15" s="168"/>
      <c r="L15" s="168"/>
      <c r="M15" s="168"/>
      <c r="N15" s="168"/>
      <c r="O15" s="168"/>
      <c r="P15" s="16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249"/>
      <c r="AG15" s="51"/>
      <c r="AI15" s="48">
        <f t="shared" si="2"/>
        <v>11</v>
      </c>
    </row>
    <row r="16" spans="1:35" x14ac:dyDescent="0.25">
      <c r="A16" s="61"/>
      <c r="B16" s="114" t="s">
        <v>4</v>
      </c>
      <c r="C16" s="63"/>
      <c r="D16" s="254" t="e">
        <f ca="1">AF13</f>
        <v>#VALUE!</v>
      </c>
      <c r="E16" s="495"/>
      <c r="F16" s="168"/>
      <c r="G16" s="168"/>
      <c r="H16" s="430"/>
      <c r="I16" s="168"/>
      <c r="J16" s="168"/>
      <c r="K16" s="168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249"/>
      <c r="AG16" s="51"/>
      <c r="AI16" s="48">
        <f t="shared" si="2"/>
        <v>12</v>
      </c>
    </row>
    <row r="17" spans="1:38" ht="13.8" thickBot="1" x14ac:dyDescent="0.3">
      <c r="A17" s="72"/>
      <c r="B17" s="255" t="s">
        <v>223</v>
      </c>
      <c r="C17" s="122"/>
      <c r="D17" s="256" t="e">
        <f ca="1">MAX(F17:AF17)</f>
        <v>#N/A</v>
      </c>
      <c r="E17" s="511">
        <f>IF(AND(E12&gt;0,C12&lt;0),E5,0)</f>
        <v>0</v>
      </c>
      <c r="F17" s="250" t="e">
        <f ca="1">IF(AND(F12&gt;0,D12&lt;0),F5,0)</f>
        <v>#N/A</v>
      </c>
      <c r="G17" s="250" t="e">
        <f t="shared" ref="G17:V17" ca="1" si="5">IF(AND(G12&gt;0,F12&lt;0),G5,0)</f>
        <v>#N/A</v>
      </c>
      <c r="H17" s="250" t="e">
        <f t="shared" ca="1" si="5"/>
        <v>#N/A</v>
      </c>
      <c r="I17" s="250" t="e">
        <f t="shared" ca="1" si="5"/>
        <v>#N/A</v>
      </c>
      <c r="J17" s="250" t="e">
        <f t="shared" ca="1" si="5"/>
        <v>#N/A</v>
      </c>
      <c r="K17" s="250" t="e">
        <f t="shared" ca="1" si="5"/>
        <v>#N/A</v>
      </c>
      <c r="L17" s="250" t="e">
        <f t="shared" ca="1" si="5"/>
        <v>#N/A</v>
      </c>
      <c r="M17" s="250" t="e">
        <f t="shared" ca="1" si="5"/>
        <v>#N/A</v>
      </c>
      <c r="N17" s="250" t="e">
        <f t="shared" ca="1" si="5"/>
        <v>#N/A</v>
      </c>
      <c r="O17" s="250" t="e">
        <f t="shared" ca="1" si="5"/>
        <v>#N/A</v>
      </c>
      <c r="P17" s="250" t="e">
        <f t="shared" ca="1" si="5"/>
        <v>#N/A</v>
      </c>
      <c r="Q17" s="250" t="e">
        <f t="shared" ca="1" si="5"/>
        <v>#N/A</v>
      </c>
      <c r="R17" s="250" t="e">
        <f t="shared" ca="1" si="5"/>
        <v>#N/A</v>
      </c>
      <c r="S17" s="250" t="e">
        <f t="shared" ca="1" si="5"/>
        <v>#N/A</v>
      </c>
      <c r="T17" s="250" t="e">
        <f t="shared" ca="1" si="5"/>
        <v>#N/A</v>
      </c>
      <c r="U17" s="250" t="e">
        <f t="shared" ca="1" si="5"/>
        <v>#N/A</v>
      </c>
      <c r="V17" s="250" t="e">
        <f t="shared" ca="1" si="5"/>
        <v>#N/A</v>
      </c>
      <c r="W17" s="250" t="e">
        <f t="shared" ref="W17:AF17" ca="1" si="6">IF(AND(W12&gt;0,V12&lt;0),W5,0)</f>
        <v>#N/A</v>
      </c>
      <c r="X17" s="250" t="e">
        <f t="shared" ca="1" si="6"/>
        <v>#N/A</v>
      </c>
      <c r="Y17" s="250" t="e">
        <f t="shared" ca="1" si="6"/>
        <v>#N/A</v>
      </c>
      <c r="Z17" s="250" t="e">
        <f t="shared" ca="1" si="6"/>
        <v>#N/A</v>
      </c>
      <c r="AA17" s="250" t="e">
        <f t="shared" ca="1" si="6"/>
        <v>#N/A</v>
      </c>
      <c r="AB17" s="250" t="e">
        <f t="shared" ca="1" si="6"/>
        <v>#N/A</v>
      </c>
      <c r="AC17" s="250" t="e">
        <f t="shared" ca="1" si="6"/>
        <v>#N/A</v>
      </c>
      <c r="AD17" s="250" t="e">
        <f t="shared" ca="1" si="6"/>
        <v>#N/A</v>
      </c>
      <c r="AE17" s="250" t="e">
        <f t="shared" ca="1" si="6"/>
        <v>#N/A</v>
      </c>
      <c r="AF17" s="251" t="e">
        <f t="shared" ca="1" si="6"/>
        <v>#N/A</v>
      </c>
      <c r="AG17" s="98"/>
      <c r="AI17" s="48">
        <f t="shared" si="2"/>
        <v>13</v>
      </c>
    </row>
    <row r="18" spans="1:38" x14ac:dyDescent="0.25">
      <c r="A18" s="63"/>
      <c r="B18" s="63"/>
      <c r="C18" s="63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168"/>
      <c r="O18" s="168"/>
      <c r="P18" s="168"/>
      <c r="Q18" s="168"/>
      <c r="R18" s="168"/>
      <c r="S18" s="168"/>
      <c r="T18" s="168"/>
      <c r="U18" s="168"/>
      <c r="V18" s="168"/>
      <c r="W18" s="168"/>
      <c r="X18" s="168"/>
      <c r="Y18" s="168"/>
      <c r="Z18" s="168"/>
      <c r="AA18" s="168"/>
      <c r="AB18" s="168"/>
      <c r="AC18" s="168"/>
      <c r="AD18" s="168"/>
      <c r="AE18" s="168"/>
      <c r="AF18" s="168"/>
      <c r="AG18" s="63"/>
      <c r="AI18" s="48">
        <f t="shared" si="2"/>
        <v>14</v>
      </c>
    </row>
    <row r="19" spans="1:38" x14ac:dyDescent="0.25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I19" s="48">
        <f t="shared" si="2"/>
        <v>15</v>
      </c>
    </row>
    <row r="20" spans="1:38" x14ac:dyDescent="0.25">
      <c r="A20" s="100" t="s">
        <v>224</v>
      </c>
      <c r="B20" s="60"/>
      <c r="C20" s="101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54"/>
      <c r="AG20" s="49"/>
      <c r="AI20" s="48">
        <f t="shared" si="2"/>
        <v>16</v>
      </c>
    </row>
    <row r="21" spans="1:38" x14ac:dyDescent="0.25">
      <c r="A21" s="169">
        <f>ASS!$I$32</f>
        <v>1</v>
      </c>
      <c r="B21" s="63" t="s">
        <v>218</v>
      </c>
      <c r="C21" s="63"/>
      <c r="D21" s="164">
        <f>D9*$A$21</f>
        <v>0</v>
      </c>
      <c r="E21" s="164">
        <f>E9*$A$21</f>
        <v>0</v>
      </c>
      <c r="F21" s="164" t="e">
        <f t="shared" ref="F21:U21" ca="1" si="7">F9*$A$21</f>
        <v>#N/A</v>
      </c>
      <c r="G21" s="164" t="e">
        <f t="shared" ca="1" si="7"/>
        <v>#N/A</v>
      </c>
      <c r="H21" s="164" t="e">
        <f t="shared" ca="1" si="7"/>
        <v>#N/A</v>
      </c>
      <c r="I21" s="164" t="e">
        <f t="shared" ca="1" si="7"/>
        <v>#N/A</v>
      </c>
      <c r="J21" s="164" t="e">
        <f t="shared" ca="1" si="7"/>
        <v>#N/A</v>
      </c>
      <c r="K21" s="164" t="e">
        <f t="shared" ca="1" si="7"/>
        <v>#N/A</v>
      </c>
      <c r="L21" s="164" t="e">
        <f t="shared" ca="1" si="7"/>
        <v>#N/A</v>
      </c>
      <c r="M21" s="164" t="e">
        <f t="shared" ca="1" si="7"/>
        <v>#N/A</v>
      </c>
      <c r="N21" s="164" t="e">
        <f t="shared" ca="1" si="7"/>
        <v>#N/A</v>
      </c>
      <c r="O21" s="164" t="e">
        <f t="shared" ca="1" si="7"/>
        <v>#N/A</v>
      </c>
      <c r="P21" s="164" t="e">
        <f t="shared" ca="1" si="7"/>
        <v>#N/A</v>
      </c>
      <c r="Q21" s="164" t="e">
        <f t="shared" ca="1" si="7"/>
        <v>#N/A</v>
      </c>
      <c r="R21" s="164" t="e">
        <f t="shared" ca="1" si="7"/>
        <v>#N/A</v>
      </c>
      <c r="S21" s="164" t="e">
        <f t="shared" ca="1" si="7"/>
        <v>#N/A</v>
      </c>
      <c r="T21" s="164" t="e">
        <f t="shared" ca="1" si="7"/>
        <v>#N/A</v>
      </c>
      <c r="U21" s="164" t="e">
        <f t="shared" ca="1" si="7"/>
        <v>#N/A</v>
      </c>
      <c r="V21" s="164" t="e">
        <f t="shared" ref="V21:AF21" ca="1" si="8">V9*$A$21</f>
        <v>#N/A</v>
      </c>
      <c r="W21" s="164" t="e">
        <f t="shared" ca="1" si="8"/>
        <v>#N/A</v>
      </c>
      <c r="X21" s="164" t="e">
        <f t="shared" ca="1" si="8"/>
        <v>#N/A</v>
      </c>
      <c r="Y21" s="164" t="e">
        <f t="shared" ca="1" si="8"/>
        <v>#N/A</v>
      </c>
      <c r="Z21" s="164" t="e">
        <f t="shared" ca="1" si="8"/>
        <v>#N/A</v>
      </c>
      <c r="AA21" s="164" t="e">
        <f t="shared" ca="1" si="8"/>
        <v>#N/A</v>
      </c>
      <c r="AB21" s="164" t="e">
        <f t="shared" ca="1" si="8"/>
        <v>#N/A</v>
      </c>
      <c r="AC21" s="164" t="e">
        <f t="shared" ca="1" si="8"/>
        <v>#N/A</v>
      </c>
      <c r="AD21" s="164" t="e">
        <f t="shared" ca="1" si="8"/>
        <v>#N/A</v>
      </c>
      <c r="AE21" s="164" t="e">
        <f t="shared" ca="1" si="8"/>
        <v>#N/A</v>
      </c>
      <c r="AF21" s="170" t="e">
        <f t="shared" ca="1" si="8"/>
        <v>#N/A</v>
      </c>
      <c r="AG21" s="84" t="e">
        <f t="shared" ref="AG21:AG27" ca="1" si="9">SUM(D21:AF21)</f>
        <v>#N/A</v>
      </c>
      <c r="AI21" s="48">
        <f t="shared" si="2"/>
        <v>17</v>
      </c>
    </row>
    <row r="22" spans="1:38" x14ac:dyDescent="0.25">
      <c r="A22" s="169">
        <f>ASS!$J$32</f>
        <v>1</v>
      </c>
      <c r="B22" s="63" t="s">
        <v>219</v>
      </c>
      <c r="C22" s="63"/>
      <c r="D22" s="164">
        <f>D10*$A$22</f>
        <v>0</v>
      </c>
      <c r="E22" s="164">
        <f>E10*$A$22</f>
        <v>0</v>
      </c>
      <c r="F22" s="164">
        <f>F10*$A$22</f>
        <v>0</v>
      </c>
      <c r="G22" s="164" t="e">
        <f>G10*$A$22</f>
        <v>#REF!</v>
      </c>
      <c r="H22" s="164" t="e">
        <f t="shared" ref="H22:U22" si="10">H10*$A$22</f>
        <v>#REF!</v>
      </c>
      <c r="I22" s="164" t="e">
        <f t="shared" si="10"/>
        <v>#REF!</v>
      </c>
      <c r="J22" s="164" t="e">
        <f t="shared" si="10"/>
        <v>#REF!</v>
      </c>
      <c r="K22" s="164" t="e">
        <f t="shared" si="10"/>
        <v>#REF!</v>
      </c>
      <c r="L22" s="164" t="e">
        <f t="shared" si="10"/>
        <v>#REF!</v>
      </c>
      <c r="M22" s="164" t="e">
        <f t="shared" si="10"/>
        <v>#REF!</v>
      </c>
      <c r="N22" s="164" t="e">
        <f t="shared" si="10"/>
        <v>#REF!</v>
      </c>
      <c r="O22" s="164" t="e">
        <f t="shared" si="10"/>
        <v>#REF!</v>
      </c>
      <c r="P22" s="164" t="e">
        <f t="shared" si="10"/>
        <v>#REF!</v>
      </c>
      <c r="Q22" s="164" t="e">
        <f t="shared" si="10"/>
        <v>#REF!</v>
      </c>
      <c r="R22" s="164" t="e">
        <f t="shared" si="10"/>
        <v>#REF!</v>
      </c>
      <c r="S22" s="164" t="e">
        <f t="shared" si="10"/>
        <v>#REF!</v>
      </c>
      <c r="T22" s="164" t="e">
        <f t="shared" si="10"/>
        <v>#REF!</v>
      </c>
      <c r="U22" s="164" t="e">
        <f t="shared" si="10"/>
        <v>#REF!</v>
      </c>
      <c r="V22" s="164" t="e">
        <f t="shared" ref="V22:AF22" si="11">V10*$A$22</f>
        <v>#VALUE!</v>
      </c>
      <c r="W22" s="164" t="e">
        <f t="shared" si="11"/>
        <v>#REF!</v>
      </c>
      <c r="X22" s="164" t="e">
        <f t="shared" si="11"/>
        <v>#REF!</v>
      </c>
      <c r="Y22" s="164" t="e">
        <f t="shared" si="11"/>
        <v>#REF!</v>
      </c>
      <c r="Z22" s="164" t="e">
        <f t="shared" si="11"/>
        <v>#REF!</v>
      </c>
      <c r="AA22" s="164" t="e">
        <f t="shared" si="11"/>
        <v>#REF!</v>
      </c>
      <c r="AB22" s="164" t="e">
        <f t="shared" si="11"/>
        <v>#REF!</v>
      </c>
      <c r="AC22" s="164" t="e">
        <f t="shared" si="11"/>
        <v>#REF!</v>
      </c>
      <c r="AD22" s="164" t="e">
        <f t="shared" si="11"/>
        <v>#REF!</v>
      </c>
      <c r="AE22" s="164" t="e">
        <f t="shared" si="11"/>
        <v>#REF!</v>
      </c>
      <c r="AF22" s="170" t="e">
        <f t="shared" si="11"/>
        <v>#REF!</v>
      </c>
      <c r="AG22" s="84" t="e">
        <f t="shared" si="9"/>
        <v>#REF!</v>
      </c>
      <c r="AI22" s="48">
        <f t="shared" si="2"/>
        <v>18</v>
      </c>
    </row>
    <row r="23" spans="1:38" x14ac:dyDescent="0.25">
      <c r="A23" s="61"/>
      <c r="B23" s="63" t="s">
        <v>225</v>
      </c>
      <c r="C23" s="63"/>
      <c r="D23" s="164" t="e">
        <f>-D22*WHTAX</f>
        <v>#REF!</v>
      </c>
      <c r="E23" s="164" t="e">
        <f t="shared" ref="E23:U23" si="12">-E22*WHTAX</f>
        <v>#REF!</v>
      </c>
      <c r="F23" s="164" t="e">
        <f t="shared" si="12"/>
        <v>#REF!</v>
      </c>
      <c r="G23" s="164" t="e">
        <f t="shared" si="12"/>
        <v>#REF!</v>
      </c>
      <c r="H23" s="164" t="e">
        <f t="shared" si="12"/>
        <v>#REF!</v>
      </c>
      <c r="I23" s="164" t="e">
        <f t="shared" si="12"/>
        <v>#REF!</v>
      </c>
      <c r="J23" s="164" t="e">
        <f t="shared" si="12"/>
        <v>#REF!</v>
      </c>
      <c r="K23" s="164" t="e">
        <f t="shared" si="12"/>
        <v>#REF!</v>
      </c>
      <c r="L23" s="164" t="e">
        <f t="shared" si="12"/>
        <v>#REF!</v>
      </c>
      <c r="M23" s="164" t="e">
        <f t="shared" si="12"/>
        <v>#REF!</v>
      </c>
      <c r="N23" s="164" t="e">
        <f t="shared" si="12"/>
        <v>#REF!</v>
      </c>
      <c r="O23" s="164" t="e">
        <f t="shared" si="12"/>
        <v>#REF!</v>
      </c>
      <c r="P23" s="164" t="e">
        <f t="shared" si="12"/>
        <v>#REF!</v>
      </c>
      <c r="Q23" s="164" t="e">
        <f t="shared" si="12"/>
        <v>#REF!</v>
      </c>
      <c r="R23" s="164" t="e">
        <f t="shared" si="12"/>
        <v>#REF!</v>
      </c>
      <c r="S23" s="164" t="e">
        <f t="shared" si="12"/>
        <v>#REF!</v>
      </c>
      <c r="T23" s="164" t="e">
        <f t="shared" si="12"/>
        <v>#REF!</v>
      </c>
      <c r="U23" s="164" t="e">
        <f t="shared" si="12"/>
        <v>#REF!</v>
      </c>
      <c r="V23" s="164" t="e">
        <f t="shared" ref="V23:AF23" si="13">-V22*WHTAX</f>
        <v>#VALUE!</v>
      </c>
      <c r="W23" s="164" t="e">
        <f t="shared" si="13"/>
        <v>#REF!</v>
      </c>
      <c r="X23" s="164" t="e">
        <f t="shared" si="13"/>
        <v>#REF!</v>
      </c>
      <c r="Y23" s="164" t="e">
        <f t="shared" si="13"/>
        <v>#REF!</v>
      </c>
      <c r="Z23" s="164" t="e">
        <f t="shared" si="13"/>
        <v>#REF!</v>
      </c>
      <c r="AA23" s="164" t="e">
        <f t="shared" si="13"/>
        <v>#REF!</v>
      </c>
      <c r="AB23" s="164" t="e">
        <f t="shared" si="13"/>
        <v>#REF!</v>
      </c>
      <c r="AC23" s="164" t="e">
        <f t="shared" si="13"/>
        <v>#REF!</v>
      </c>
      <c r="AD23" s="164" t="e">
        <f t="shared" si="13"/>
        <v>#REF!</v>
      </c>
      <c r="AE23" s="164" t="e">
        <f t="shared" si="13"/>
        <v>#REF!</v>
      </c>
      <c r="AF23" s="170" t="e">
        <f t="shared" si="13"/>
        <v>#REF!</v>
      </c>
      <c r="AG23" s="84" t="e">
        <f t="shared" si="9"/>
        <v>#REF!</v>
      </c>
      <c r="AI23" s="48">
        <f t="shared" ref="AI23:AI38" si="14">AI22+1</f>
        <v>19</v>
      </c>
      <c r="AL23" s="83" t="e">
        <f>D23+NPV(DISC,F23:AF23)</f>
        <v>#REF!</v>
      </c>
    </row>
    <row r="24" spans="1:38" x14ac:dyDescent="0.25">
      <c r="A24" s="61"/>
      <c r="B24" s="63" t="s">
        <v>226</v>
      </c>
      <c r="C24" s="242" t="s">
        <v>227</v>
      </c>
      <c r="D24" s="164">
        <v>0</v>
      </c>
      <c r="E24" s="164">
        <v>0</v>
      </c>
      <c r="F24" s="164">
        <v>0</v>
      </c>
      <c r="G24" s="164">
        <v>0</v>
      </c>
      <c r="H24" s="164">
        <v>0</v>
      </c>
      <c r="I24" s="164">
        <v>0</v>
      </c>
      <c r="J24" s="164">
        <v>0</v>
      </c>
      <c r="K24" s="164">
        <v>0</v>
      </c>
      <c r="L24" s="164">
        <v>0</v>
      </c>
      <c r="M24" s="164">
        <v>0</v>
      </c>
      <c r="N24" s="164">
        <v>0</v>
      </c>
      <c r="O24" s="164">
        <v>0</v>
      </c>
      <c r="P24" s="164">
        <v>0</v>
      </c>
      <c r="Q24" s="164">
        <v>0</v>
      </c>
      <c r="R24" s="164">
        <v>0</v>
      </c>
      <c r="S24" s="164">
        <v>0</v>
      </c>
      <c r="T24" s="164">
        <v>0</v>
      </c>
      <c r="U24" s="164">
        <v>0</v>
      </c>
      <c r="V24" s="164">
        <v>0</v>
      </c>
      <c r="W24" s="164">
        <v>0</v>
      </c>
      <c r="X24" s="164">
        <v>0</v>
      </c>
      <c r="Y24" s="164">
        <v>0</v>
      </c>
      <c r="Z24" s="164">
        <v>0</v>
      </c>
      <c r="AA24" s="164">
        <v>0</v>
      </c>
      <c r="AB24" s="164">
        <v>0</v>
      </c>
      <c r="AC24" s="164">
        <v>0</v>
      </c>
      <c r="AD24" s="164">
        <v>0</v>
      </c>
      <c r="AE24" s="164">
        <v>0</v>
      </c>
      <c r="AF24" s="164">
        <v>0</v>
      </c>
      <c r="AG24" s="84">
        <f t="shared" si="9"/>
        <v>0</v>
      </c>
      <c r="AI24" s="48">
        <f t="shared" si="14"/>
        <v>20</v>
      </c>
      <c r="AL24" s="83">
        <f>D24+NPV(DISC,F24:AF24)</f>
        <v>0</v>
      </c>
    </row>
    <row r="25" spans="1:38" x14ac:dyDescent="0.25">
      <c r="A25" s="61"/>
      <c r="B25" s="63" t="s">
        <v>228</v>
      </c>
      <c r="C25" s="242" t="s">
        <v>227</v>
      </c>
      <c r="D25" s="164">
        <f>ASS!$R$36</f>
        <v>0</v>
      </c>
      <c r="E25" s="164">
        <f>0</f>
        <v>0</v>
      </c>
      <c r="F25" s="164">
        <f>0</f>
        <v>0</v>
      </c>
      <c r="G25" s="164">
        <f>0</f>
        <v>0</v>
      </c>
      <c r="H25" s="164">
        <f>0</f>
        <v>0</v>
      </c>
      <c r="I25" s="164">
        <v>0</v>
      </c>
      <c r="J25" s="164">
        <v>0</v>
      </c>
      <c r="K25" s="164">
        <v>0</v>
      </c>
      <c r="L25" s="164">
        <v>0</v>
      </c>
      <c r="M25" s="164">
        <v>0</v>
      </c>
      <c r="N25" s="164">
        <v>0</v>
      </c>
      <c r="O25" s="164">
        <v>0</v>
      </c>
      <c r="P25" s="164">
        <v>0</v>
      </c>
      <c r="Q25" s="164">
        <v>0</v>
      </c>
      <c r="R25" s="164">
        <v>0</v>
      </c>
      <c r="S25" s="164">
        <v>0</v>
      </c>
      <c r="T25" s="164">
        <v>0</v>
      </c>
      <c r="U25" s="164">
        <v>0</v>
      </c>
      <c r="V25" s="164">
        <v>0</v>
      </c>
      <c r="W25" s="164">
        <v>0</v>
      </c>
      <c r="X25" s="164">
        <v>0</v>
      </c>
      <c r="Y25" s="164">
        <v>0</v>
      </c>
      <c r="Z25" s="164">
        <v>0</v>
      </c>
      <c r="AA25" s="164">
        <v>0</v>
      </c>
      <c r="AB25" s="164">
        <v>0</v>
      </c>
      <c r="AC25" s="164">
        <v>0</v>
      </c>
      <c r="AD25" s="164">
        <v>0</v>
      </c>
      <c r="AE25" s="164">
        <v>0</v>
      </c>
      <c r="AF25" s="170">
        <v>0</v>
      </c>
      <c r="AG25" s="84">
        <f t="shared" si="9"/>
        <v>0</v>
      </c>
      <c r="AI25" s="48">
        <f t="shared" si="14"/>
        <v>21</v>
      </c>
      <c r="AL25" s="83">
        <f>D25+NPV(DISC,F25:AF25)</f>
        <v>0</v>
      </c>
    </row>
    <row r="26" spans="1:38" s="82" customFormat="1" x14ac:dyDescent="0.25">
      <c r="A26" s="128"/>
      <c r="B26" s="63" t="s">
        <v>229</v>
      </c>
      <c r="C26" s="242"/>
      <c r="D26" s="165">
        <f>-SUM(D24:D25)*ASS!$I$15</f>
        <v>0</v>
      </c>
      <c r="E26" s="165">
        <f>-SUM(E24:E25)*ASS!$I$15</f>
        <v>0</v>
      </c>
      <c r="F26" s="165">
        <f>-SUM(F24:F25)*ASS!$I$15</f>
        <v>0</v>
      </c>
      <c r="G26" s="165">
        <f>-SUM(G24:G25)*ASS!$I$15</f>
        <v>0</v>
      </c>
      <c r="H26" s="165">
        <f>-SUM(H24:H25)*ASS!$I$15</f>
        <v>0</v>
      </c>
      <c r="I26" s="165">
        <f>-SUM(I24:I25)*ASS!$I$15</f>
        <v>0</v>
      </c>
      <c r="J26" s="165">
        <f>-SUM(J24:J25)*ASS!$I$15</f>
        <v>0</v>
      </c>
      <c r="K26" s="165">
        <f>-SUM(K24:K25)*ASS!$I$15</f>
        <v>0</v>
      </c>
      <c r="L26" s="165">
        <f>-SUM(L24:L25)*ASS!$I$15</f>
        <v>0</v>
      </c>
      <c r="M26" s="165">
        <f>-SUM(M24:M25)*ASS!$I$15</f>
        <v>0</v>
      </c>
      <c r="N26" s="165">
        <f>-SUM(N24:N25)*ASS!$I$15</f>
        <v>0</v>
      </c>
      <c r="O26" s="165">
        <f>-SUM(O24:O25)*ASS!$I$15</f>
        <v>0</v>
      </c>
      <c r="P26" s="165">
        <f>-SUM(P24:P25)*ASS!$I$15</f>
        <v>0</v>
      </c>
      <c r="Q26" s="165">
        <f>-SUM(Q24:Q25)*ASS!$I$15</f>
        <v>0</v>
      </c>
      <c r="R26" s="165">
        <f>-SUM(R24:R25)*ASS!$I$15</f>
        <v>0</v>
      </c>
      <c r="S26" s="165">
        <f>-SUM(S24:S25)*ASS!$I$15</f>
        <v>0</v>
      </c>
      <c r="T26" s="165">
        <f>-SUM(T24:T25)*ASS!$I$15</f>
        <v>0</v>
      </c>
      <c r="U26" s="165">
        <f>-SUM(U24:U25)*ASS!$I$15</f>
        <v>0</v>
      </c>
      <c r="V26" s="165">
        <f>-SUM(V24:V25)*ASS!$I$15</f>
        <v>0</v>
      </c>
      <c r="W26" s="165">
        <f>-SUM(W24:W25)*ASS!$I$15</f>
        <v>0</v>
      </c>
      <c r="X26" s="165">
        <f>-SUM(X24:X25)*ASS!$I$15</f>
        <v>0</v>
      </c>
      <c r="Y26" s="165">
        <f>-SUM(Y24:Y25)*ASS!$I$15</f>
        <v>0</v>
      </c>
      <c r="Z26" s="165">
        <f>-SUM(Z24:Z25)*ASS!$I$15</f>
        <v>0</v>
      </c>
      <c r="AA26" s="165">
        <f>-SUM(AA24:AA25)*ASS!$I$15</f>
        <v>0</v>
      </c>
      <c r="AB26" s="165">
        <f>-SUM(AB24:AB25)*ASS!$I$15</f>
        <v>0</v>
      </c>
      <c r="AC26" s="165">
        <f>-SUM(AC24:AC25)*ASS!$I$15</f>
        <v>0</v>
      </c>
      <c r="AD26" s="165">
        <f>-SUM(AD24:AD25)*ASS!$I$15</f>
        <v>0</v>
      </c>
      <c r="AE26" s="165">
        <f>-SUM(AE24:AE25)*ASS!$I$15</f>
        <v>0</v>
      </c>
      <c r="AF26" s="165">
        <f>-SUM(AF24:AF25)*ASS!$I$15</f>
        <v>0</v>
      </c>
      <c r="AG26" s="91">
        <f t="shared" si="9"/>
        <v>0</v>
      </c>
      <c r="AI26" s="48">
        <f t="shared" si="14"/>
        <v>22</v>
      </c>
      <c r="AL26" s="83">
        <f>D26+NPV(DISC,F26:AF26)</f>
        <v>0</v>
      </c>
    </row>
    <row r="27" spans="1:38" s="174" customFormat="1" x14ac:dyDescent="0.25">
      <c r="A27" s="172"/>
      <c r="B27" s="63" t="s">
        <v>220</v>
      </c>
      <c r="C27" s="63"/>
      <c r="D27" s="166" t="e">
        <f>SUM(D21:D26)</f>
        <v>#REF!</v>
      </c>
      <c r="E27" s="166" t="e">
        <f t="shared" ref="E27:U27" si="15">SUM(E21:E26)</f>
        <v>#REF!</v>
      </c>
      <c r="F27" s="166" t="e">
        <f t="shared" ca="1" si="15"/>
        <v>#N/A</v>
      </c>
      <c r="G27" s="166" t="e">
        <f t="shared" ca="1" si="15"/>
        <v>#N/A</v>
      </c>
      <c r="H27" s="166" t="e">
        <f t="shared" ca="1" si="15"/>
        <v>#N/A</v>
      </c>
      <c r="I27" s="166" t="e">
        <f t="shared" ca="1" si="15"/>
        <v>#N/A</v>
      </c>
      <c r="J27" s="166" t="e">
        <f t="shared" ca="1" si="15"/>
        <v>#N/A</v>
      </c>
      <c r="K27" s="166" t="e">
        <f t="shared" ca="1" si="15"/>
        <v>#N/A</v>
      </c>
      <c r="L27" s="166" t="e">
        <f t="shared" ca="1" si="15"/>
        <v>#N/A</v>
      </c>
      <c r="M27" s="166" t="e">
        <f t="shared" ca="1" si="15"/>
        <v>#N/A</v>
      </c>
      <c r="N27" s="166" t="e">
        <f t="shared" ca="1" si="15"/>
        <v>#N/A</v>
      </c>
      <c r="O27" s="166" t="e">
        <f t="shared" ca="1" si="15"/>
        <v>#N/A</v>
      </c>
      <c r="P27" s="166" t="e">
        <f t="shared" ca="1" si="15"/>
        <v>#N/A</v>
      </c>
      <c r="Q27" s="166" t="e">
        <f t="shared" ca="1" si="15"/>
        <v>#N/A</v>
      </c>
      <c r="R27" s="166" t="e">
        <f t="shared" ca="1" si="15"/>
        <v>#N/A</v>
      </c>
      <c r="S27" s="166" t="e">
        <f t="shared" ca="1" si="15"/>
        <v>#N/A</v>
      </c>
      <c r="T27" s="166" t="e">
        <f t="shared" ca="1" si="15"/>
        <v>#N/A</v>
      </c>
      <c r="U27" s="166" t="e">
        <f t="shared" ca="1" si="15"/>
        <v>#N/A</v>
      </c>
      <c r="V27" s="166" t="e">
        <f t="shared" ref="V27:AF27" ca="1" si="16">SUM(V21:V26)</f>
        <v>#N/A</v>
      </c>
      <c r="W27" s="166" t="e">
        <f t="shared" ca="1" si="16"/>
        <v>#N/A</v>
      </c>
      <c r="X27" s="166" t="e">
        <f t="shared" ca="1" si="16"/>
        <v>#N/A</v>
      </c>
      <c r="Y27" s="166" t="e">
        <f t="shared" ca="1" si="16"/>
        <v>#N/A</v>
      </c>
      <c r="Z27" s="166" t="e">
        <f t="shared" ca="1" si="16"/>
        <v>#N/A</v>
      </c>
      <c r="AA27" s="166" t="e">
        <f t="shared" ca="1" si="16"/>
        <v>#N/A</v>
      </c>
      <c r="AB27" s="166" t="e">
        <f t="shared" ca="1" si="16"/>
        <v>#N/A</v>
      </c>
      <c r="AC27" s="166" t="e">
        <f t="shared" ca="1" si="16"/>
        <v>#N/A</v>
      </c>
      <c r="AD27" s="166" t="e">
        <f t="shared" ca="1" si="16"/>
        <v>#N/A</v>
      </c>
      <c r="AE27" s="166" t="e">
        <f t="shared" ca="1" si="16"/>
        <v>#N/A</v>
      </c>
      <c r="AF27" s="173" t="e">
        <f t="shared" ca="1" si="16"/>
        <v>#N/A</v>
      </c>
      <c r="AG27" s="167" t="e">
        <f t="shared" si="9"/>
        <v>#REF!</v>
      </c>
      <c r="AI27" s="48">
        <f t="shared" si="14"/>
        <v>23</v>
      </c>
    </row>
    <row r="28" spans="1:38" x14ac:dyDescent="0.25">
      <c r="A28" s="61"/>
      <c r="B28" s="63" t="s">
        <v>221</v>
      </c>
      <c r="C28" s="63"/>
      <c r="D28" s="164" t="e">
        <f>D27</f>
        <v>#REF!</v>
      </c>
      <c r="E28" s="164" t="e">
        <f>$D$27+NPV(DISC, E$27:$E27)</f>
        <v>#REF!</v>
      </c>
      <c r="F28" s="164" t="e">
        <f>$D$27+NPV(DISC, $E$27:F27)</f>
        <v>#REF!</v>
      </c>
      <c r="G28" s="164" t="e">
        <f>$D$27+NPV(DISC, $E$27:G27)</f>
        <v>#REF!</v>
      </c>
      <c r="H28" s="164" t="e">
        <f>$D$27+NPV(DISC, $E$27:H27)</f>
        <v>#REF!</v>
      </c>
      <c r="I28" s="164" t="e">
        <f>$D$27+NPV(DISC, $E$27:I27)</f>
        <v>#REF!</v>
      </c>
      <c r="J28" s="164" t="e">
        <f>$D$27+NPV(DISC, $E$27:J27)</f>
        <v>#REF!</v>
      </c>
      <c r="K28" s="164" t="e">
        <f>$D$27+NPV(DISC, $E$27:K27)</f>
        <v>#REF!</v>
      </c>
      <c r="L28" s="164" t="e">
        <f>$D$27+NPV(DISC, $E$27:L27)</f>
        <v>#REF!</v>
      </c>
      <c r="M28" s="164" t="e">
        <f>$D$27+NPV(DISC, $E$27:M27)</f>
        <v>#REF!</v>
      </c>
      <c r="N28" s="164" t="e">
        <f>$D$27+NPV(DISC, $E$27:N27)</f>
        <v>#REF!</v>
      </c>
      <c r="O28" s="164" t="e">
        <f>$D$27+NPV(DISC, $E$27:O27)</f>
        <v>#REF!</v>
      </c>
      <c r="P28" s="164" t="e">
        <f>$D$27+NPV(DISC, $E$27:P27)</f>
        <v>#REF!</v>
      </c>
      <c r="Q28" s="164" t="e">
        <f>$D$27+NPV(DISC, $E$27:Q27)</f>
        <v>#REF!</v>
      </c>
      <c r="R28" s="164" t="e">
        <f>$D$27+NPV(DISC, $E$27:R27)</f>
        <v>#REF!</v>
      </c>
      <c r="S28" s="164" t="e">
        <f>$D$27+NPV(DISC, $E$27:S27)</f>
        <v>#REF!</v>
      </c>
      <c r="T28" s="164" t="e">
        <f>$D$27+NPV(DISC, $E$27:T27)</f>
        <v>#REF!</v>
      </c>
      <c r="U28" s="164" t="e">
        <f>$D$27+NPV(DISC, $E$27:U27)</f>
        <v>#REF!</v>
      </c>
      <c r="V28" s="164" t="e">
        <f>$D$27+NPV(DISC, $E$27:V27)</f>
        <v>#REF!</v>
      </c>
      <c r="W28" s="164" t="e">
        <f>$D$27+NPV(DISC, $E$27:W27)</f>
        <v>#REF!</v>
      </c>
      <c r="X28" s="164" t="e">
        <f>$D$27+NPV(DISC, $E$27:X27)</f>
        <v>#REF!</v>
      </c>
      <c r="Y28" s="164" t="e">
        <f>$D$27+NPV(DISC, $E$27:Y27)</f>
        <v>#REF!</v>
      </c>
      <c r="Z28" s="164" t="e">
        <f>$D$27+NPV(DISC, $E$27:Z27)</f>
        <v>#REF!</v>
      </c>
      <c r="AA28" s="164" t="e">
        <f>$D$27+NPV(DISC, $E$27:AA27)</f>
        <v>#REF!</v>
      </c>
      <c r="AB28" s="164" t="e">
        <f>$D$27+NPV(DISC, $E$27:AB27)</f>
        <v>#REF!</v>
      </c>
      <c r="AC28" s="164" t="e">
        <f>$D$27+NPV(DISC, $E$27:AC27)</f>
        <v>#REF!</v>
      </c>
      <c r="AD28" s="164" t="e">
        <f>$D$27+NPV(DISC, $E$27:AD27)</f>
        <v>#REF!</v>
      </c>
      <c r="AE28" s="164" t="e">
        <f>$D$27+NPV(DISC, $E$27:AE27)</f>
        <v>#REF!</v>
      </c>
      <c r="AF28" s="170" t="e">
        <f>$D$27+NPV(DISC, $E$27:AF27)</f>
        <v>#REF!</v>
      </c>
      <c r="AG28" s="84"/>
      <c r="AI28" s="48">
        <f t="shared" si="14"/>
        <v>24</v>
      </c>
    </row>
    <row r="29" spans="1:38" x14ac:dyDescent="0.25">
      <c r="A29" s="61"/>
      <c r="B29" s="63" t="s">
        <v>222</v>
      </c>
      <c r="C29" s="63"/>
      <c r="D29" s="65" t="e">
        <f>IF(D27=0, 0, IRR($D$27:D27))</f>
        <v>#REF!</v>
      </c>
      <c r="E29" s="65" t="e">
        <f>IF(E27=0, 0, IRR($D$27:E27))</f>
        <v>#REF!</v>
      </c>
      <c r="F29" s="65" t="e">
        <f ca="1">IF(F27=0, 0, IRR($D$27:F27))</f>
        <v>#N/A</v>
      </c>
      <c r="G29" s="65" t="e">
        <f ca="1">IF(G27=0, 0, IRR($D$27:G27))</f>
        <v>#N/A</v>
      </c>
      <c r="H29" s="65" t="e">
        <f ca="1">IF(H27=0, 0, IRR($D$27:H27))</f>
        <v>#N/A</v>
      </c>
      <c r="I29" s="65" t="e">
        <f ca="1">IF(I27=0, 0, IRR($D$27:I27))</f>
        <v>#N/A</v>
      </c>
      <c r="J29" s="65" t="e">
        <f ca="1">IF(J27=0, 0, IRR($D$27:J27))</f>
        <v>#N/A</v>
      </c>
      <c r="K29" s="65" t="e">
        <f ca="1">IF(K27=0, 0, IRR($D$27:K27))</f>
        <v>#N/A</v>
      </c>
      <c r="L29" s="65" t="e">
        <f ca="1">IF(L27=0, 0, IRR($D$27:L27))</f>
        <v>#N/A</v>
      </c>
      <c r="M29" s="65" t="e">
        <f ca="1">IF(M27=0, 0, IRR($D$27:M27))</f>
        <v>#N/A</v>
      </c>
      <c r="N29" s="65" t="e">
        <f ca="1">IF(N27=0, 0, IRR($D$27:N27))</f>
        <v>#N/A</v>
      </c>
      <c r="O29" s="65" t="e">
        <f ca="1">IF(O27=0, 0, IRR($D$27:O27))</f>
        <v>#N/A</v>
      </c>
      <c r="P29" s="65" t="e">
        <f ca="1">IF(P27=0, 0, IRR($D$27:P27))</f>
        <v>#N/A</v>
      </c>
      <c r="Q29" s="65" t="e">
        <f ca="1">IF(Q27=0, 0, IRR($D$27:Q27))</f>
        <v>#N/A</v>
      </c>
      <c r="R29" s="65" t="e">
        <f ca="1">IF(R27=0, 0, IRR($D$27:R27))</f>
        <v>#N/A</v>
      </c>
      <c r="S29" s="65" t="e">
        <f ca="1">IF(S27=0, 0, IRR($D$27:S27))</f>
        <v>#N/A</v>
      </c>
      <c r="T29" s="65" t="e">
        <f ca="1">IF(T27=0, 0, IRR($D$27:T27))</f>
        <v>#N/A</v>
      </c>
      <c r="U29" s="65" t="e">
        <f ca="1">IF(U27=0, 0, IRR($D$27:U27))</f>
        <v>#N/A</v>
      </c>
      <c r="V29" s="65" t="e">
        <f ca="1">IF(V27=0, 0, IRR($D$27:V27))</f>
        <v>#N/A</v>
      </c>
      <c r="W29" s="65" t="e">
        <f ca="1">IF(W27=0, 0, IRR($D$27:W27))</f>
        <v>#N/A</v>
      </c>
      <c r="X29" s="65" t="e">
        <f ca="1">IF(X27=0, 0, IRR($D$27:X27))</f>
        <v>#N/A</v>
      </c>
      <c r="Y29" s="65" t="e">
        <f ca="1">IF(Y27=0, 0, IRR($D$27:Y27))</f>
        <v>#N/A</v>
      </c>
      <c r="Z29" s="65" t="e">
        <f ca="1">IF(Z27=0, 0, IRR($D$27:Z27))</f>
        <v>#N/A</v>
      </c>
      <c r="AA29" s="65" t="e">
        <f ca="1">IF(AA27=0, 0, IRR($D$27:AA27))</f>
        <v>#N/A</v>
      </c>
      <c r="AB29" s="65" t="e">
        <f ca="1">IF(AB27=0, 0, IRR($D$27:AB27))</f>
        <v>#N/A</v>
      </c>
      <c r="AC29" s="65" t="e">
        <f ca="1">IF(AC27=0, 0, IRR($D$27:AC27))</f>
        <v>#N/A</v>
      </c>
      <c r="AD29" s="65" t="e">
        <f ca="1">IF(AD27=0, 0, IRR($D$27:AD27))</f>
        <v>#N/A</v>
      </c>
      <c r="AE29" s="65" t="e">
        <f ca="1">IF(AE27=0, 0, IRR($D$27:AE27))</f>
        <v>#N/A</v>
      </c>
      <c r="AF29" s="149" t="e">
        <f ca="1">IF(AF27=0, 0, IRR($D$27:AF27))</f>
        <v>#N/A</v>
      </c>
      <c r="AG29" s="51"/>
      <c r="AI29" s="48">
        <f t="shared" si="14"/>
        <v>25</v>
      </c>
    </row>
    <row r="30" spans="1:38" ht="13.8" thickBot="1" x14ac:dyDescent="0.3">
      <c r="A30" s="61"/>
      <c r="B30" s="63"/>
      <c r="C30" s="63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168"/>
      <c r="O30" s="168"/>
      <c r="P30" s="168"/>
      <c r="Q30" s="168"/>
      <c r="R30" s="168"/>
      <c r="S30" s="168"/>
      <c r="T30" s="168"/>
      <c r="U30" s="168"/>
      <c r="V30" s="168"/>
      <c r="W30" s="168"/>
      <c r="X30" s="168"/>
      <c r="Y30" s="168"/>
      <c r="Z30" s="168"/>
      <c r="AA30" s="168"/>
      <c r="AB30" s="168"/>
      <c r="AC30" s="168"/>
      <c r="AD30" s="168"/>
      <c r="AE30" s="168"/>
      <c r="AF30" s="249"/>
      <c r="AG30" s="51"/>
      <c r="AI30" s="48">
        <f t="shared" si="14"/>
        <v>26</v>
      </c>
    </row>
    <row r="31" spans="1:38" x14ac:dyDescent="0.25">
      <c r="A31" s="61"/>
      <c r="B31" s="104" t="s">
        <v>404</v>
      </c>
      <c r="C31" s="433">
        <f>ASS!V12</f>
        <v>0.1</v>
      </c>
      <c r="D31" s="253" t="e">
        <f>AF28</f>
        <v>#REF!</v>
      </c>
      <c r="E31" s="210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168"/>
      <c r="R31" s="168"/>
      <c r="S31" s="168"/>
      <c r="T31" s="168"/>
      <c r="U31" s="168"/>
      <c r="V31" s="168"/>
      <c r="W31" s="168"/>
      <c r="X31" s="168"/>
      <c r="Y31" s="168"/>
      <c r="Z31" s="168"/>
      <c r="AA31" s="168"/>
      <c r="AB31" s="168"/>
      <c r="AC31" s="168"/>
      <c r="AD31" s="168"/>
      <c r="AE31" s="168"/>
      <c r="AF31" s="249"/>
      <c r="AG31" s="51"/>
      <c r="AI31" s="48">
        <f t="shared" si="14"/>
        <v>27</v>
      </c>
    </row>
    <row r="32" spans="1:38" x14ac:dyDescent="0.25">
      <c r="A32" s="61"/>
      <c r="B32" s="114" t="s">
        <v>5</v>
      </c>
      <c r="C32" s="88"/>
      <c r="D32" s="254" t="e">
        <f ca="1">AF29</f>
        <v>#N/A</v>
      </c>
      <c r="E32" s="495"/>
      <c r="F32" s="168"/>
      <c r="G32" s="168"/>
      <c r="H32" s="168"/>
      <c r="I32" s="168"/>
      <c r="J32" s="168"/>
      <c r="K32" s="168"/>
      <c r="L32" s="168"/>
      <c r="M32" s="168"/>
      <c r="N32" s="168"/>
      <c r="O32" s="168"/>
      <c r="P32" s="168"/>
      <c r="Q32" s="168"/>
      <c r="R32" s="168"/>
      <c r="S32" s="168"/>
      <c r="T32" s="168"/>
      <c r="U32" s="168"/>
      <c r="V32" s="168"/>
      <c r="W32" s="168"/>
      <c r="X32" s="168"/>
      <c r="Y32" s="168"/>
      <c r="Z32" s="168"/>
      <c r="AA32" s="168"/>
      <c r="AB32" s="168"/>
      <c r="AC32" s="168"/>
      <c r="AD32" s="168"/>
      <c r="AE32" s="168"/>
      <c r="AF32" s="249"/>
      <c r="AG32" s="51"/>
      <c r="AI32" s="48">
        <f t="shared" si="14"/>
        <v>28</v>
      </c>
    </row>
    <row r="33" spans="1:38" ht="13.8" thickBot="1" x14ac:dyDescent="0.3">
      <c r="A33" s="72"/>
      <c r="B33" s="255" t="s">
        <v>223</v>
      </c>
      <c r="C33" s="257"/>
      <c r="D33" s="258" t="e">
        <f>MAX(F33:AF33)</f>
        <v>#REF!</v>
      </c>
      <c r="E33" s="210" t="e">
        <f>IF(AND(E28&gt;0,C28&lt;0),E5,0)</f>
        <v>#REF!</v>
      </c>
      <c r="F33" s="215" t="e">
        <f>IF(AND(F28&gt;0,D28&lt;0),F5,0)</f>
        <v>#REF!</v>
      </c>
      <c r="G33" s="215" t="e">
        <f t="shared" ref="G33:V33" si="17">IF(AND(G28&gt;0,F28&lt;0),G5,0)</f>
        <v>#REF!</v>
      </c>
      <c r="H33" s="215" t="e">
        <f t="shared" si="17"/>
        <v>#REF!</v>
      </c>
      <c r="I33" s="215" t="e">
        <f t="shared" si="17"/>
        <v>#REF!</v>
      </c>
      <c r="J33" s="215" t="e">
        <f t="shared" si="17"/>
        <v>#REF!</v>
      </c>
      <c r="K33" s="215" t="e">
        <f t="shared" si="17"/>
        <v>#REF!</v>
      </c>
      <c r="L33" s="215" t="e">
        <f t="shared" si="17"/>
        <v>#REF!</v>
      </c>
      <c r="M33" s="215" t="e">
        <f t="shared" si="17"/>
        <v>#REF!</v>
      </c>
      <c r="N33" s="215" t="e">
        <f t="shared" si="17"/>
        <v>#REF!</v>
      </c>
      <c r="O33" s="215" t="e">
        <f t="shared" si="17"/>
        <v>#REF!</v>
      </c>
      <c r="P33" s="215" t="e">
        <f t="shared" si="17"/>
        <v>#REF!</v>
      </c>
      <c r="Q33" s="215" t="e">
        <f t="shared" si="17"/>
        <v>#REF!</v>
      </c>
      <c r="R33" s="215" t="e">
        <f t="shared" si="17"/>
        <v>#REF!</v>
      </c>
      <c r="S33" s="215" t="e">
        <f t="shared" si="17"/>
        <v>#REF!</v>
      </c>
      <c r="T33" s="215" t="e">
        <f t="shared" si="17"/>
        <v>#REF!</v>
      </c>
      <c r="U33" s="215" t="e">
        <f t="shared" si="17"/>
        <v>#REF!</v>
      </c>
      <c r="V33" s="215" t="e">
        <f t="shared" si="17"/>
        <v>#REF!</v>
      </c>
      <c r="W33" s="215" t="e">
        <f t="shared" ref="W33:AF33" si="18">IF(AND(W28&gt;0,V28&lt;0),W5,0)</f>
        <v>#REF!</v>
      </c>
      <c r="X33" s="215" t="e">
        <f t="shared" si="18"/>
        <v>#REF!</v>
      </c>
      <c r="Y33" s="215" t="e">
        <f t="shared" si="18"/>
        <v>#REF!</v>
      </c>
      <c r="Z33" s="215" t="e">
        <f t="shared" si="18"/>
        <v>#REF!</v>
      </c>
      <c r="AA33" s="215" t="e">
        <f t="shared" si="18"/>
        <v>#REF!</v>
      </c>
      <c r="AB33" s="215" t="e">
        <f t="shared" si="18"/>
        <v>#REF!</v>
      </c>
      <c r="AC33" s="215" t="e">
        <f t="shared" si="18"/>
        <v>#REF!</v>
      </c>
      <c r="AD33" s="215" t="e">
        <f t="shared" si="18"/>
        <v>#REF!</v>
      </c>
      <c r="AE33" s="215" t="e">
        <f t="shared" si="18"/>
        <v>#REF!</v>
      </c>
      <c r="AF33" s="216" t="e">
        <f t="shared" si="18"/>
        <v>#REF!</v>
      </c>
      <c r="AG33" s="98"/>
      <c r="AI33" s="48">
        <f t="shared" si="14"/>
        <v>29</v>
      </c>
    </row>
    <row r="34" spans="1:38" x14ac:dyDescent="0.25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I34" s="48">
        <f t="shared" si="14"/>
        <v>30</v>
      </c>
    </row>
    <row r="35" spans="1:38" x14ac:dyDescent="0.25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I35" s="48">
        <f t="shared" si="14"/>
        <v>31</v>
      </c>
    </row>
    <row r="36" spans="1:38" x14ac:dyDescent="0.25">
      <c r="A36" s="259" t="s">
        <v>230</v>
      </c>
      <c r="B36" s="60"/>
      <c r="C36" s="101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54"/>
      <c r="AG36" s="49"/>
      <c r="AI36" s="48">
        <f t="shared" si="14"/>
        <v>32</v>
      </c>
    </row>
    <row r="37" spans="1:38" x14ac:dyDescent="0.25">
      <c r="A37" s="169" t="e">
        <f>ASS!#REF!</f>
        <v>#REF!</v>
      </c>
      <c r="B37" s="63" t="s">
        <v>218</v>
      </c>
      <c r="C37" s="63"/>
      <c r="D37" s="164" t="e">
        <f t="shared" ref="D37:T37" si="19">D9*$A$37</f>
        <v>#REF!</v>
      </c>
      <c r="E37" s="164" t="e">
        <f>E9*$A$37</f>
        <v>#REF!</v>
      </c>
      <c r="F37" s="164" t="e">
        <f t="shared" ca="1" si="19"/>
        <v>#N/A</v>
      </c>
      <c r="G37" s="164" t="e">
        <f t="shared" ca="1" si="19"/>
        <v>#N/A</v>
      </c>
      <c r="H37" s="164" t="e">
        <f t="shared" ca="1" si="19"/>
        <v>#N/A</v>
      </c>
      <c r="I37" s="164" t="e">
        <f t="shared" ca="1" si="19"/>
        <v>#N/A</v>
      </c>
      <c r="J37" s="164" t="e">
        <f t="shared" ca="1" si="19"/>
        <v>#N/A</v>
      </c>
      <c r="K37" s="164" t="e">
        <f t="shared" ca="1" si="19"/>
        <v>#N/A</v>
      </c>
      <c r="L37" s="164" t="e">
        <f t="shared" ca="1" si="19"/>
        <v>#N/A</v>
      </c>
      <c r="M37" s="164" t="e">
        <f t="shared" ca="1" si="19"/>
        <v>#N/A</v>
      </c>
      <c r="N37" s="164" t="e">
        <f t="shared" ca="1" si="19"/>
        <v>#N/A</v>
      </c>
      <c r="O37" s="164" t="e">
        <f t="shared" ca="1" si="19"/>
        <v>#N/A</v>
      </c>
      <c r="P37" s="164" t="e">
        <f t="shared" ca="1" si="19"/>
        <v>#N/A</v>
      </c>
      <c r="Q37" s="164" t="e">
        <f t="shared" ca="1" si="19"/>
        <v>#N/A</v>
      </c>
      <c r="R37" s="164" t="e">
        <f t="shared" ca="1" si="19"/>
        <v>#N/A</v>
      </c>
      <c r="S37" s="164" t="e">
        <f t="shared" ca="1" si="19"/>
        <v>#N/A</v>
      </c>
      <c r="T37" s="164" t="e">
        <f t="shared" ca="1" si="19"/>
        <v>#N/A</v>
      </c>
      <c r="U37" s="164" t="e">
        <f t="shared" ref="U37:AF37" ca="1" si="20">U9*$A$37</f>
        <v>#N/A</v>
      </c>
      <c r="V37" s="164" t="e">
        <f t="shared" ca="1" si="20"/>
        <v>#N/A</v>
      </c>
      <c r="W37" s="164" t="e">
        <f t="shared" ca="1" si="20"/>
        <v>#N/A</v>
      </c>
      <c r="X37" s="164" t="e">
        <f t="shared" ca="1" si="20"/>
        <v>#N/A</v>
      </c>
      <c r="Y37" s="164" t="e">
        <f t="shared" ca="1" si="20"/>
        <v>#N/A</v>
      </c>
      <c r="Z37" s="164" t="e">
        <f t="shared" ca="1" si="20"/>
        <v>#N/A</v>
      </c>
      <c r="AA37" s="164" t="e">
        <f t="shared" ca="1" si="20"/>
        <v>#N/A</v>
      </c>
      <c r="AB37" s="164" t="e">
        <f t="shared" ca="1" si="20"/>
        <v>#N/A</v>
      </c>
      <c r="AC37" s="164" t="e">
        <f t="shared" ca="1" si="20"/>
        <v>#N/A</v>
      </c>
      <c r="AD37" s="164" t="e">
        <f t="shared" ca="1" si="20"/>
        <v>#N/A</v>
      </c>
      <c r="AE37" s="164" t="e">
        <f t="shared" ca="1" si="20"/>
        <v>#N/A</v>
      </c>
      <c r="AF37" s="170" t="e">
        <f t="shared" ca="1" si="20"/>
        <v>#N/A</v>
      </c>
      <c r="AG37" s="84" t="e">
        <f>SUM(D37:AF37)</f>
        <v>#REF!</v>
      </c>
      <c r="AI37" s="48">
        <f t="shared" si="14"/>
        <v>33</v>
      </c>
    </row>
    <row r="38" spans="1:38" x14ac:dyDescent="0.25">
      <c r="A38" s="169" t="e">
        <f>ASS!#REF!</f>
        <v>#REF!</v>
      </c>
      <c r="B38" s="63" t="s">
        <v>219</v>
      </c>
      <c r="C38" s="63"/>
      <c r="D38" s="164" t="e">
        <f t="shared" ref="D38:T38" si="21">D10*$A$38</f>
        <v>#REF!</v>
      </c>
      <c r="E38" s="164" t="e">
        <f>E10*$A$38</f>
        <v>#REF!</v>
      </c>
      <c r="F38" s="164" t="e">
        <f t="shared" si="21"/>
        <v>#REF!</v>
      </c>
      <c r="G38" s="164" t="e">
        <f t="shared" si="21"/>
        <v>#REF!</v>
      </c>
      <c r="H38" s="164" t="e">
        <f t="shared" si="21"/>
        <v>#REF!</v>
      </c>
      <c r="I38" s="164" t="e">
        <f t="shared" si="21"/>
        <v>#REF!</v>
      </c>
      <c r="J38" s="164" t="e">
        <f t="shared" si="21"/>
        <v>#REF!</v>
      </c>
      <c r="K38" s="164" t="e">
        <f t="shared" si="21"/>
        <v>#REF!</v>
      </c>
      <c r="L38" s="164" t="e">
        <f t="shared" si="21"/>
        <v>#REF!</v>
      </c>
      <c r="M38" s="164" t="e">
        <f t="shared" si="21"/>
        <v>#REF!</v>
      </c>
      <c r="N38" s="164" t="e">
        <f t="shared" si="21"/>
        <v>#REF!</v>
      </c>
      <c r="O38" s="164" t="e">
        <f t="shared" si="21"/>
        <v>#REF!</v>
      </c>
      <c r="P38" s="164" t="e">
        <f t="shared" si="21"/>
        <v>#REF!</v>
      </c>
      <c r="Q38" s="164" t="e">
        <f t="shared" si="21"/>
        <v>#REF!</v>
      </c>
      <c r="R38" s="164" t="e">
        <f t="shared" si="21"/>
        <v>#REF!</v>
      </c>
      <c r="S38" s="164" t="e">
        <f t="shared" si="21"/>
        <v>#REF!</v>
      </c>
      <c r="T38" s="164" t="e">
        <f t="shared" si="21"/>
        <v>#REF!</v>
      </c>
      <c r="U38" s="164" t="e">
        <f t="shared" ref="U38:AF38" si="22">U10*$A$38</f>
        <v>#REF!</v>
      </c>
      <c r="V38" s="164" t="e">
        <f t="shared" si="22"/>
        <v>#VALUE!</v>
      </c>
      <c r="W38" s="164" t="e">
        <f t="shared" si="22"/>
        <v>#REF!</v>
      </c>
      <c r="X38" s="164" t="e">
        <f t="shared" si="22"/>
        <v>#REF!</v>
      </c>
      <c r="Y38" s="164" t="e">
        <f t="shared" si="22"/>
        <v>#REF!</v>
      </c>
      <c r="Z38" s="164" t="e">
        <f t="shared" si="22"/>
        <v>#REF!</v>
      </c>
      <c r="AA38" s="164" t="e">
        <f t="shared" si="22"/>
        <v>#REF!</v>
      </c>
      <c r="AB38" s="164" t="e">
        <f t="shared" si="22"/>
        <v>#REF!</v>
      </c>
      <c r="AC38" s="164" t="e">
        <f t="shared" si="22"/>
        <v>#REF!</v>
      </c>
      <c r="AD38" s="164" t="e">
        <f t="shared" si="22"/>
        <v>#REF!</v>
      </c>
      <c r="AE38" s="164" t="e">
        <f t="shared" si="22"/>
        <v>#REF!</v>
      </c>
      <c r="AF38" s="170" t="e">
        <f t="shared" si="22"/>
        <v>#REF!</v>
      </c>
      <c r="AG38" s="84" t="e">
        <f>SUM(D38:AF38)</f>
        <v>#REF!</v>
      </c>
      <c r="AI38" s="48">
        <f t="shared" si="14"/>
        <v>34</v>
      </c>
    </row>
    <row r="39" spans="1:38" s="82" customFormat="1" x14ac:dyDescent="0.25">
      <c r="A39" s="176"/>
      <c r="B39" s="63" t="s">
        <v>225</v>
      </c>
      <c r="C39" s="63"/>
      <c r="D39" s="165" t="e">
        <f>-D38*WHTAX</f>
        <v>#REF!</v>
      </c>
      <c r="E39" s="165" t="e">
        <f t="shared" ref="E39:U39" si="23">-E38*WHTAX</f>
        <v>#REF!</v>
      </c>
      <c r="F39" s="165" t="e">
        <f t="shared" si="23"/>
        <v>#REF!</v>
      </c>
      <c r="G39" s="165" t="e">
        <f t="shared" si="23"/>
        <v>#REF!</v>
      </c>
      <c r="H39" s="165" t="e">
        <f t="shared" si="23"/>
        <v>#REF!</v>
      </c>
      <c r="I39" s="165" t="e">
        <f t="shared" si="23"/>
        <v>#REF!</v>
      </c>
      <c r="J39" s="165" t="e">
        <f t="shared" si="23"/>
        <v>#REF!</v>
      </c>
      <c r="K39" s="165" t="e">
        <f t="shared" si="23"/>
        <v>#REF!</v>
      </c>
      <c r="L39" s="165" t="e">
        <f t="shared" si="23"/>
        <v>#REF!</v>
      </c>
      <c r="M39" s="165" t="e">
        <f t="shared" si="23"/>
        <v>#REF!</v>
      </c>
      <c r="N39" s="165" t="e">
        <f t="shared" si="23"/>
        <v>#REF!</v>
      </c>
      <c r="O39" s="165" t="e">
        <f t="shared" si="23"/>
        <v>#REF!</v>
      </c>
      <c r="P39" s="165" t="e">
        <f t="shared" si="23"/>
        <v>#REF!</v>
      </c>
      <c r="Q39" s="165" t="e">
        <f t="shared" si="23"/>
        <v>#REF!</v>
      </c>
      <c r="R39" s="165" t="e">
        <f t="shared" si="23"/>
        <v>#REF!</v>
      </c>
      <c r="S39" s="165" t="e">
        <f t="shared" si="23"/>
        <v>#REF!</v>
      </c>
      <c r="T39" s="165" t="e">
        <f t="shared" si="23"/>
        <v>#REF!</v>
      </c>
      <c r="U39" s="165" t="e">
        <f t="shared" si="23"/>
        <v>#REF!</v>
      </c>
      <c r="V39" s="165" t="e">
        <f t="shared" ref="V39:AF39" si="24">-V38*WHTAX</f>
        <v>#VALUE!</v>
      </c>
      <c r="W39" s="165" t="e">
        <f t="shared" si="24"/>
        <v>#REF!</v>
      </c>
      <c r="X39" s="165" t="e">
        <f t="shared" si="24"/>
        <v>#REF!</v>
      </c>
      <c r="Y39" s="165" t="e">
        <f t="shared" si="24"/>
        <v>#REF!</v>
      </c>
      <c r="Z39" s="165" t="e">
        <f t="shared" si="24"/>
        <v>#REF!</v>
      </c>
      <c r="AA39" s="165" t="e">
        <f t="shared" si="24"/>
        <v>#REF!</v>
      </c>
      <c r="AB39" s="165" t="e">
        <f t="shared" si="24"/>
        <v>#REF!</v>
      </c>
      <c r="AC39" s="165" t="e">
        <f t="shared" si="24"/>
        <v>#REF!</v>
      </c>
      <c r="AD39" s="165" t="e">
        <f t="shared" si="24"/>
        <v>#REF!</v>
      </c>
      <c r="AE39" s="165" t="e">
        <f t="shared" si="24"/>
        <v>#REF!</v>
      </c>
      <c r="AF39" s="171" t="e">
        <f t="shared" si="24"/>
        <v>#REF!</v>
      </c>
      <c r="AG39" s="91" t="e">
        <f>SUM(D39:AF39)</f>
        <v>#REF!</v>
      </c>
      <c r="AI39" s="48">
        <f t="shared" ref="AI39:AI54" si="25">AI38+1</f>
        <v>35</v>
      </c>
      <c r="AL39" s="83" t="e">
        <f>D39+NPV(DISC,F39:AF39)</f>
        <v>#REF!</v>
      </c>
    </row>
    <row r="40" spans="1:38" s="174" customFormat="1" x14ac:dyDescent="0.25">
      <c r="A40" s="177"/>
      <c r="B40" s="63" t="s">
        <v>220</v>
      </c>
      <c r="C40" s="63"/>
      <c r="D40" s="166" t="e">
        <f t="shared" ref="D40:T40" si="26">SUM(D37:D39)</f>
        <v>#REF!</v>
      </c>
      <c r="E40" s="166" t="e">
        <f t="shared" si="26"/>
        <v>#REF!</v>
      </c>
      <c r="F40" s="166" t="e">
        <f t="shared" ca="1" si="26"/>
        <v>#N/A</v>
      </c>
      <c r="G40" s="166" t="e">
        <f t="shared" ca="1" si="26"/>
        <v>#N/A</v>
      </c>
      <c r="H40" s="166" t="e">
        <f t="shared" ca="1" si="26"/>
        <v>#N/A</v>
      </c>
      <c r="I40" s="166" t="e">
        <f t="shared" ca="1" si="26"/>
        <v>#N/A</v>
      </c>
      <c r="J40" s="166" t="e">
        <f t="shared" ca="1" si="26"/>
        <v>#N/A</v>
      </c>
      <c r="K40" s="166" t="e">
        <f t="shared" ca="1" si="26"/>
        <v>#N/A</v>
      </c>
      <c r="L40" s="166" t="e">
        <f t="shared" ca="1" si="26"/>
        <v>#N/A</v>
      </c>
      <c r="M40" s="166" t="e">
        <f t="shared" ca="1" si="26"/>
        <v>#N/A</v>
      </c>
      <c r="N40" s="166" t="e">
        <f t="shared" ca="1" si="26"/>
        <v>#N/A</v>
      </c>
      <c r="O40" s="166" t="e">
        <f t="shared" ca="1" si="26"/>
        <v>#N/A</v>
      </c>
      <c r="P40" s="166" t="e">
        <f t="shared" ca="1" si="26"/>
        <v>#N/A</v>
      </c>
      <c r="Q40" s="166" t="e">
        <f t="shared" ca="1" si="26"/>
        <v>#N/A</v>
      </c>
      <c r="R40" s="166" t="e">
        <f t="shared" ca="1" si="26"/>
        <v>#N/A</v>
      </c>
      <c r="S40" s="166" t="e">
        <f t="shared" ca="1" si="26"/>
        <v>#N/A</v>
      </c>
      <c r="T40" s="166" t="e">
        <f t="shared" ca="1" si="26"/>
        <v>#N/A</v>
      </c>
      <c r="U40" s="166" t="e">
        <f t="shared" ref="U40:AF40" ca="1" si="27">SUM(U37:U39)</f>
        <v>#N/A</v>
      </c>
      <c r="V40" s="166" t="e">
        <f t="shared" ca="1" si="27"/>
        <v>#N/A</v>
      </c>
      <c r="W40" s="166" t="e">
        <f t="shared" ca="1" si="27"/>
        <v>#N/A</v>
      </c>
      <c r="X40" s="166" t="e">
        <f t="shared" ca="1" si="27"/>
        <v>#N/A</v>
      </c>
      <c r="Y40" s="166" t="e">
        <f t="shared" ca="1" si="27"/>
        <v>#N/A</v>
      </c>
      <c r="Z40" s="166" t="e">
        <f t="shared" ca="1" si="27"/>
        <v>#N/A</v>
      </c>
      <c r="AA40" s="166" t="e">
        <f t="shared" ca="1" si="27"/>
        <v>#N/A</v>
      </c>
      <c r="AB40" s="166" t="e">
        <f t="shared" ca="1" si="27"/>
        <v>#N/A</v>
      </c>
      <c r="AC40" s="166" t="e">
        <f t="shared" ca="1" si="27"/>
        <v>#N/A</v>
      </c>
      <c r="AD40" s="166" t="e">
        <f t="shared" ca="1" si="27"/>
        <v>#N/A</v>
      </c>
      <c r="AE40" s="166" t="e">
        <f t="shared" ca="1" si="27"/>
        <v>#N/A</v>
      </c>
      <c r="AF40" s="173" t="e">
        <f t="shared" ca="1" si="27"/>
        <v>#N/A</v>
      </c>
      <c r="AG40" s="167" t="e">
        <f>SUM(D40:AF40)</f>
        <v>#REF!</v>
      </c>
      <c r="AI40" s="48">
        <f t="shared" si="25"/>
        <v>36</v>
      </c>
    </row>
    <row r="41" spans="1:38" x14ac:dyDescent="0.25">
      <c r="A41" s="175"/>
      <c r="B41" s="63" t="s">
        <v>221</v>
      </c>
      <c r="C41" s="63"/>
      <c r="D41" s="164" t="e">
        <f>D40</f>
        <v>#REF!</v>
      </c>
      <c r="E41" s="164" t="e">
        <f>$D$40+NPV(DISC, E$40:$E40)</f>
        <v>#REF!</v>
      </c>
      <c r="F41" s="164" t="e">
        <f>$D$40+NPV(DISC, $E$40:F40)</f>
        <v>#REF!</v>
      </c>
      <c r="G41" s="164" t="e">
        <f>$D$40+NPV(DISC, $E$40:G40)</f>
        <v>#REF!</v>
      </c>
      <c r="H41" s="164" t="e">
        <f>$D$40+NPV(DISC, $E$40:H40)</f>
        <v>#REF!</v>
      </c>
      <c r="I41" s="164" t="e">
        <f>$D$40+NPV(DISC, $E$40:I40)</f>
        <v>#REF!</v>
      </c>
      <c r="J41" s="164" t="e">
        <f>$D$40+NPV(DISC, $E$40:J40)</f>
        <v>#REF!</v>
      </c>
      <c r="K41" s="164" t="e">
        <f>$D$40+NPV(DISC, $E$40:K40)</f>
        <v>#REF!</v>
      </c>
      <c r="L41" s="164" t="e">
        <f>$D$40+NPV(DISC, $E$40:L40)</f>
        <v>#REF!</v>
      </c>
      <c r="M41" s="164" t="e">
        <f>$D$40+NPV(DISC, $E$40:M40)</f>
        <v>#REF!</v>
      </c>
      <c r="N41" s="164" t="e">
        <f>$D$40+NPV(DISC, $E$40:N40)</f>
        <v>#REF!</v>
      </c>
      <c r="O41" s="164" t="e">
        <f>$D$40+NPV(DISC, $E$40:O40)</f>
        <v>#REF!</v>
      </c>
      <c r="P41" s="164" t="e">
        <f>$D$40+NPV(DISC, $E$40:P40)</f>
        <v>#REF!</v>
      </c>
      <c r="Q41" s="164" t="e">
        <f>$D$40+NPV(DISC, $E$40:Q40)</f>
        <v>#REF!</v>
      </c>
      <c r="R41" s="164" t="e">
        <f>$D$40+NPV(DISC, $E$40:R40)</f>
        <v>#REF!</v>
      </c>
      <c r="S41" s="164" t="e">
        <f>$D$40+NPV(DISC, $E$40:S40)</f>
        <v>#REF!</v>
      </c>
      <c r="T41" s="164" t="e">
        <f>$D$40+NPV(DISC, $E$40:T40)</f>
        <v>#REF!</v>
      </c>
      <c r="U41" s="164" t="e">
        <f>$D$40+NPV(DISC, $E$40:U40)</f>
        <v>#REF!</v>
      </c>
      <c r="V41" s="164" t="e">
        <f>$D$40+NPV(DISC, $E$40:V40)</f>
        <v>#REF!</v>
      </c>
      <c r="W41" s="164" t="e">
        <f>$D$40+NPV(DISC, $E$40:W40)</f>
        <v>#REF!</v>
      </c>
      <c r="X41" s="164" t="e">
        <f>$D$40+NPV(DISC, $E$40:X40)</f>
        <v>#REF!</v>
      </c>
      <c r="Y41" s="164" t="e">
        <f>$D$40+NPV(DISC, $E$40:Y40)</f>
        <v>#REF!</v>
      </c>
      <c r="Z41" s="164" t="e">
        <f>$D$40+NPV(DISC, $E$40:Z40)</f>
        <v>#REF!</v>
      </c>
      <c r="AA41" s="164" t="e">
        <f>$D$40+NPV(DISC, $E$40:AA40)</f>
        <v>#REF!</v>
      </c>
      <c r="AB41" s="164" t="e">
        <f>$D$40+NPV(DISC, $E$40:AB40)</f>
        <v>#REF!</v>
      </c>
      <c r="AC41" s="164" t="e">
        <f>$D$40+NPV(DISC, $E$40:AC40)</f>
        <v>#REF!</v>
      </c>
      <c r="AD41" s="164" t="e">
        <f>$D$40+NPV(DISC, $E$40:AD40)</f>
        <v>#REF!</v>
      </c>
      <c r="AE41" s="164" t="e">
        <f>$D$40+NPV(DISC, $E$40:AE40)</f>
        <v>#REF!</v>
      </c>
      <c r="AF41" s="170" t="e">
        <f>$D$40+NPV(DISC, $E$40:AF40)</f>
        <v>#REF!</v>
      </c>
      <c r="AG41" s="84"/>
      <c r="AI41" s="48">
        <f t="shared" si="25"/>
        <v>37</v>
      </c>
    </row>
    <row r="42" spans="1:38" x14ac:dyDescent="0.25">
      <c r="A42" s="175"/>
      <c r="B42" s="63" t="s">
        <v>222</v>
      </c>
      <c r="C42" s="63"/>
      <c r="D42" s="65" t="e">
        <f>IRR($D$40:D40, -0.9)</f>
        <v>#VALUE!</v>
      </c>
      <c r="E42" s="65" t="e">
        <f>IRR($D$40:E40, -0.9)</f>
        <v>#VALUE!</v>
      </c>
      <c r="F42" s="65" t="e">
        <f>IRR($D$40:F40, -0.9)</f>
        <v>#VALUE!</v>
      </c>
      <c r="G42" s="65" t="e">
        <f>IRR($D$40:G40, -0.9)</f>
        <v>#VALUE!</v>
      </c>
      <c r="H42" s="65" t="e">
        <f>IRR($D$40:H40, -0.9)</f>
        <v>#VALUE!</v>
      </c>
      <c r="I42" s="65" t="e">
        <f>IRR($D$40:I40, -0.9)</f>
        <v>#VALUE!</v>
      </c>
      <c r="J42" s="65" t="e">
        <f>IRR($D$40:J40, -0.9)</f>
        <v>#VALUE!</v>
      </c>
      <c r="K42" s="65" t="e">
        <f>IRR($D$40:K40, -0.9)</f>
        <v>#VALUE!</v>
      </c>
      <c r="L42" s="65" t="e">
        <f>IRR($D$40:L40, -0.9)</f>
        <v>#VALUE!</v>
      </c>
      <c r="M42" s="65" t="e">
        <f>IRR($D$40:M40, -0.9)</f>
        <v>#VALUE!</v>
      </c>
      <c r="N42" s="65" t="e">
        <f>IRR($D$40:N40, -0.9)</f>
        <v>#VALUE!</v>
      </c>
      <c r="O42" s="65" t="e">
        <f>IRR($D$40:O40, -0.9)</f>
        <v>#VALUE!</v>
      </c>
      <c r="P42" s="65" t="e">
        <f>IRR($D$40:P40, -0.9)</f>
        <v>#VALUE!</v>
      </c>
      <c r="Q42" s="65" t="e">
        <f>IRR($D$40:Q40, -0.9)</f>
        <v>#VALUE!</v>
      </c>
      <c r="R42" s="65" t="e">
        <f>IRR($D$40:R40, -0.9)</f>
        <v>#VALUE!</v>
      </c>
      <c r="S42" s="65" t="e">
        <f>IRR($D$40:S40, -0.9)</f>
        <v>#VALUE!</v>
      </c>
      <c r="T42" s="65" t="e">
        <f>IRR($D$40:T40, -0.9)</f>
        <v>#VALUE!</v>
      </c>
      <c r="U42" s="65" t="e">
        <f>IRR($D$40:U40, -0.9)</f>
        <v>#VALUE!</v>
      </c>
      <c r="V42" s="65" t="e">
        <f>IRR($D$40:V40, -0.9)</f>
        <v>#VALUE!</v>
      </c>
      <c r="W42" s="65" t="e">
        <f>IRR($D$40:W40, -0.9)</f>
        <v>#VALUE!</v>
      </c>
      <c r="X42" s="65" t="e">
        <f>IRR($D$40:X40, -0.9)</f>
        <v>#VALUE!</v>
      </c>
      <c r="Y42" s="65" t="e">
        <f>IRR($D$40:Y40, -0.9)</f>
        <v>#VALUE!</v>
      </c>
      <c r="Z42" s="65" t="e">
        <f>IRR($D$40:Z40, -0.9)</f>
        <v>#VALUE!</v>
      </c>
      <c r="AA42" s="65" t="e">
        <f>IRR($D$40:AA40)</f>
        <v>#VALUE!</v>
      </c>
      <c r="AB42" s="65" t="e">
        <f>IRR($D$40:AB40)</f>
        <v>#VALUE!</v>
      </c>
      <c r="AC42" s="65" t="e">
        <f>IRR($D$40:AC40)</f>
        <v>#VALUE!</v>
      </c>
      <c r="AD42" s="65" t="e">
        <f>IRR($D$40:AD40)</f>
        <v>#VALUE!</v>
      </c>
      <c r="AE42" s="65" t="e">
        <f>IRR($D$40:AE40)</f>
        <v>#VALUE!</v>
      </c>
      <c r="AF42" s="149" t="e">
        <f>IRR($D$40:AF40)</f>
        <v>#VALUE!</v>
      </c>
      <c r="AG42" s="51"/>
      <c r="AI42" s="48">
        <f t="shared" si="25"/>
        <v>38</v>
      </c>
    </row>
    <row r="43" spans="1:38" ht="13.8" thickBot="1" x14ac:dyDescent="0.3">
      <c r="A43" s="175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2"/>
      <c r="AG43" s="51"/>
      <c r="AI43" s="48">
        <f t="shared" si="25"/>
        <v>39</v>
      </c>
    </row>
    <row r="44" spans="1:38" x14ac:dyDescent="0.25">
      <c r="A44" s="175"/>
      <c r="B44" s="104" t="s">
        <v>405</v>
      </c>
      <c r="C44" s="433">
        <f>ASS!V13</f>
        <v>0.1</v>
      </c>
      <c r="D44" s="253" t="e">
        <f>AF41</f>
        <v>#REF!</v>
      </c>
      <c r="E44" s="210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2"/>
      <c r="AG44" s="51"/>
      <c r="AI44" s="48">
        <f t="shared" si="25"/>
        <v>40</v>
      </c>
    </row>
    <row r="45" spans="1:38" ht="13.8" thickBot="1" x14ac:dyDescent="0.3">
      <c r="A45" s="200"/>
      <c r="B45" s="255" t="s">
        <v>231</v>
      </c>
      <c r="C45" s="257"/>
      <c r="D45" s="260" t="e">
        <f>AF42</f>
        <v>#VALUE!</v>
      </c>
      <c r="E45" s="495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73"/>
      <c r="AG45" s="98"/>
      <c r="AI45" s="48">
        <f t="shared" si="25"/>
        <v>41</v>
      </c>
    </row>
    <row r="46" spans="1:38" x14ac:dyDescent="0.25">
      <c r="A46" s="117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I46" s="48">
        <f t="shared" si="25"/>
        <v>42</v>
      </c>
    </row>
    <row r="47" spans="1:38" x14ac:dyDescent="0.25">
      <c r="A47" s="117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I47" s="48">
        <f t="shared" si="25"/>
        <v>43</v>
      </c>
    </row>
    <row r="48" spans="1:38" x14ac:dyDescent="0.25">
      <c r="A48" s="259" t="s">
        <v>232</v>
      </c>
      <c r="B48" s="60"/>
      <c r="C48" s="101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54"/>
      <c r="AG48" s="49"/>
      <c r="AI48" s="48">
        <f t="shared" si="25"/>
        <v>44</v>
      </c>
    </row>
    <row r="49" spans="1:38" x14ac:dyDescent="0.25">
      <c r="A49" s="169" t="e">
        <f>ASS!#REF!</f>
        <v>#REF!</v>
      </c>
      <c r="B49" s="63" t="s">
        <v>218</v>
      </c>
      <c r="C49" s="63"/>
      <c r="D49" s="164" t="e">
        <f>D9*$A$49</f>
        <v>#REF!</v>
      </c>
      <c r="E49" s="164" t="e">
        <f>E9*$A$49</f>
        <v>#REF!</v>
      </c>
      <c r="F49" s="164" t="e">
        <f ca="1">F9*$A$49</f>
        <v>#N/A</v>
      </c>
      <c r="G49" s="164" t="e">
        <f t="shared" ref="G49:V49" ca="1" si="28">G9*$A$49</f>
        <v>#N/A</v>
      </c>
      <c r="H49" s="164" t="e">
        <f t="shared" ca="1" si="28"/>
        <v>#N/A</v>
      </c>
      <c r="I49" s="164" t="e">
        <f t="shared" ca="1" si="28"/>
        <v>#N/A</v>
      </c>
      <c r="J49" s="164" t="e">
        <f t="shared" ca="1" si="28"/>
        <v>#N/A</v>
      </c>
      <c r="K49" s="164" t="e">
        <f t="shared" ca="1" si="28"/>
        <v>#N/A</v>
      </c>
      <c r="L49" s="164" t="e">
        <f t="shared" ca="1" si="28"/>
        <v>#N/A</v>
      </c>
      <c r="M49" s="164" t="e">
        <f t="shared" ca="1" si="28"/>
        <v>#N/A</v>
      </c>
      <c r="N49" s="164" t="e">
        <f t="shared" ca="1" si="28"/>
        <v>#N/A</v>
      </c>
      <c r="O49" s="164" t="e">
        <f t="shared" ca="1" si="28"/>
        <v>#N/A</v>
      </c>
      <c r="P49" s="164" t="e">
        <f t="shared" ca="1" si="28"/>
        <v>#N/A</v>
      </c>
      <c r="Q49" s="164" t="e">
        <f t="shared" ca="1" si="28"/>
        <v>#N/A</v>
      </c>
      <c r="R49" s="164" t="e">
        <f t="shared" ca="1" si="28"/>
        <v>#N/A</v>
      </c>
      <c r="S49" s="164" t="e">
        <f t="shared" ca="1" si="28"/>
        <v>#N/A</v>
      </c>
      <c r="T49" s="164" t="e">
        <f t="shared" ca="1" si="28"/>
        <v>#N/A</v>
      </c>
      <c r="U49" s="164" t="e">
        <f t="shared" ca="1" si="28"/>
        <v>#N/A</v>
      </c>
      <c r="V49" s="164" t="e">
        <f t="shared" ca="1" si="28"/>
        <v>#N/A</v>
      </c>
      <c r="W49" s="164" t="e">
        <f t="shared" ref="W49:AF49" ca="1" si="29">W9*$A$49</f>
        <v>#N/A</v>
      </c>
      <c r="X49" s="164" t="e">
        <f t="shared" ca="1" si="29"/>
        <v>#N/A</v>
      </c>
      <c r="Y49" s="164" t="e">
        <f t="shared" ca="1" si="29"/>
        <v>#N/A</v>
      </c>
      <c r="Z49" s="164" t="e">
        <f t="shared" ca="1" si="29"/>
        <v>#N/A</v>
      </c>
      <c r="AA49" s="164" t="e">
        <f t="shared" ca="1" si="29"/>
        <v>#N/A</v>
      </c>
      <c r="AB49" s="164" t="e">
        <f t="shared" ca="1" si="29"/>
        <v>#N/A</v>
      </c>
      <c r="AC49" s="164" t="e">
        <f t="shared" ca="1" si="29"/>
        <v>#N/A</v>
      </c>
      <c r="AD49" s="164" t="e">
        <f t="shared" ca="1" si="29"/>
        <v>#N/A</v>
      </c>
      <c r="AE49" s="164" t="e">
        <f t="shared" ca="1" si="29"/>
        <v>#N/A</v>
      </c>
      <c r="AF49" s="170" t="e">
        <f t="shared" ca="1" si="29"/>
        <v>#N/A</v>
      </c>
      <c r="AG49" s="84" t="e">
        <f>SUM(D49:AF49)</f>
        <v>#REF!</v>
      </c>
      <c r="AI49" s="48">
        <f t="shared" si="25"/>
        <v>45</v>
      </c>
    </row>
    <row r="50" spans="1:38" x14ac:dyDescent="0.25">
      <c r="A50" s="169" t="e">
        <f>ASS!#REF!</f>
        <v>#REF!</v>
      </c>
      <c r="B50" s="63" t="s">
        <v>219</v>
      </c>
      <c r="C50" s="63"/>
      <c r="D50" s="164" t="e">
        <f>D10*$A$50</f>
        <v>#REF!</v>
      </c>
      <c r="E50" s="164" t="e">
        <f>E10*$A$50</f>
        <v>#REF!</v>
      </c>
      <c r="F50" s="164" t="e">
        <f>F10*$A$50</f>
        <v>#REF!</v>
      </c>
      <c r="G50" s="164" t="e">
        <f t="shared" ref="G50:V50" si="30">G10*$A$50</f>
        <v>#REF!</v>
      </c>
      <c r="H50" s="164" t="e">
        <f t="shared" si="30"/>
        <v>#REF!</v>
      </c>
      <c r="I50" s="164" t="e">
        <f t="shared" si="30"/>
        <v>#REF!</v>
      </c>
      <c r="J50" s="164" t="e">
        <f t="shared" si="30"/>
        <v>#REF!</v>
      </c>
      <c r="K50" s="164" t="e">
        <f t="shared" si="30"/>
        <v>#REF!</v>
      </c>
      <c r="L50" s="164" t="e">
        <f t="shared" si="30"/>
        <v>#REF!</v>
      </c>
      <c r="M50" s="164" t="e">
        <f t="shared" si="30"/>
        <v>#REF!</v>
      </c>
      <c r="N50" s="164" t="e">
        <f t="shared" si="30"/>
        <v>#REF!</v>
      </c>
      <c r="O50" s="164" t="e">
        <f t="shared" si="30"/>
        <v>#REF!</v>
      </c>
      <c r="P50" s="164" t="e">
        <f t="shared" si="30"/>
        <v>#REF!</v>
      </c>
      <c r="Q50" s="164" t="e">
        <f t="shared" si="30"/>
        <v>#REF!</v>
      </c>
      <c r="R50" s="164" t="e">
        <f t="shared" si="30"/>
        <v>#REF!</v>
      </c>
      <c r="S50" s="164" t="e">
        <f t="shared" si="30"/>
        <v>#REF!</v>
      </c>
      <c r="T50" s="164" t="e">
        <f t="shared" si="30"/>
        <v>#REF!</v>
      </c>
      <c r="U50" s="164" t="e">
        <f t="shared" si="30"/>
        <v>#REF!</v>
      </c>
      <c r="V50" s="164" t="e">
        <f t="shared" si="30"/>
        <v>#VALUE!</v>
      </c>
      <c r="W50" s="164" t="e">
        <f t="shared" ref="W50:AF50" si="31">W10*$A$50</f>
        <v>#REF!</v>
      </c>
      <c r="X50" s="164" t="e">
        <f t="shared" si="31"/>
        <v>#REF!</v>
      </c>
      <c r="Y50" s="164" t="e">
        <f t="shared" si="31"/>
        <v>#REF!</v>
      </c>
      <c r="Z50" s="164" t="e">
        <f t="shared" si="31"/>
        <v>#REF!</v>
      </c>
      <c r="AA50" s="164" t="e">
        <f t="shared" si="31"/>
        <v>#REF!</v>
      </c>
      <c r="AB50" s="164" t="e">
        <f t="shared" si="31"/>
        <v>#REF!</v>
      </c>
      <c r="AC50" s="164" t="e">
        <f t="shared" si="31"/>
        <v>#REF!</v>
      </c>
      <c r="AD50" s="164" t="e">
        <f t="shared" si="31"/>
        <v>#REF!</v>
      </c>
      <c r="AE50" s="164" t="e">
        <f t="shared" si="31"/>
        <v>#REF!</v>
      </c>
      <c r="AF50" s="170" t="e">
        <f t="shared" si="31"/>
        <v>#REF!</v>
      </c>
      <c r="AG50" s="84" t="e">
        <f>SUM(D50:AF50)</f>
        <v>#REF!</v>
      </c>
      <c r="AI50" s="48">
        <f t="shared" si="25"/>
        <v>46</v>
      </c>
    </row>
    <row r="51" spans="1:38" s="82" customFormat="1" x14ac:dyDescent="0.25">
      <c r="A51" s="176"/>
      <c r="B51" s="63" t="s">
        <v>225</v>
      </c>
      <c r="C51" s="63"/>
      <c r="D51" s="165" t="e">
        <f>-D50*WHTAX</f>
        <v>#REF!</v>
      </c>
      <c r="E51" s="165" t="e">
        <f t="shared" ref="E51:U51" si="32">-E50*WHTAX</f>
        <v>#REF!</v>
      </c>
      <c r="F51" s="165" t="e">
        <f t="shared" si="32"/>
        <v>#REF!</v>
      </c>
      <c r="G51" s="165" t="e">
        <f t="shared" si="32"/>
        <v>#REF!</v>
      </c>
      <c r="H51" s="165" t="e">
        <f t="shared" si="32"/>
        <v>#REF!</v>
      </c>
      <c r="I51" s="165" t="e">
        <f t="shared" si="32"/>
        <v>#REF!</v>
      </c>
      <c r="J51" s="165" t="e">
        <f t="shared" si="32"/>
        <v>#REF!</v>
      </c>
      <c r="K51" s="165" t="e">
        <f t="shared" si="32"/>
        <v>#REF!</v>
      </c>
      <c r="L51" s="165" t="e">
        <f t="shared" si="32"/>
        <v>#REF!</v>
      </c>
      <c r="M51" s="165" t="e">
        <f t="shared" si="32"/>
        <v>#REF!</v>
      </c>
      <c r="N51" s="165" t="e">
        <f t="shared" si="32"/>
        <v>#REF!</v>
      </c>
      <c r="O51" s="165" t="e">
        <f t="shared" si="32"/>
        <v>#REF!</v>
      </c>
      <c r="P51" s="165" t="e">
        <f t="shared" si="32"/>
        <v>#REF!</v>
      </c>
      <c r="Q51" s="165" t="e">
        <f t="shared" si="32"/>
        <v>#REF!</v>
      </c>
      <c r="R51" s="165" t="e">
        <f t="shared" si="32"/>
        <v>#REF!</v>
      </c>
      <c r="S51" s="165" t="e">
        <f t="shared" si="32"/>
        <v>#REF!</v>
      </c>
      <c r="T51" s="165" t="e">
        <f t="shared" si="32"/>
        <v>#REF!</v>
      </c>
      <c r="U51" s="165" t="e">
        <f t="shared" si="32"/>
        <v>#REF!</v>
      </c>
      <c r="V51" s="165" t="e">
        <f t="shared" ref="V51:AF51" si="33">-V50*WHTAX</f>
        <v>#VALUE!</v>
      </c>
      <c r="W51" s="165" t="e">
        <f t="shared" si="33"/>
        <v>#REF!</v>
      </c>
      <c r="X51" s="165" t="e">
        <f t="shared" si="33"/>
        <v>#REF!</v>
      </c>
      <c r="Y51" s="165" t="e">
        <f t="shared" si="33"/>
        <v>#REF!</v>
      </c>
      <c r="Z51" s="165" t="e">
        <f t="shared" si="33"/>
        <v>#REF!</v>
      </c>
      <c r="AA51" s="165" t="e">
        <f t="shared" si="33"/>
        <v>#REF!</v>
      </c>
      <c r="AB51" s="165" t="e">
        <f t="shared" si="33"/>
        <v>#REF!</v>
      </c>
      <c r="AC51" s="165" t="e">
        <f t="shared" si="33"/>
        <v>#REF!</v>
      </c>
      <c r="AD51" s="165" t="e">
        <f t="shared" si="33"/>
        <v>#REF!</v>
      </c>
      <c r="AE51" s="165" t="e">
        <f t="shared" si="33"/>
        <v>#REF!</v>
      </c>
      <c r="AF51" s="171" t="e">
        <f t="shared" si="33"/>
        <v>#REF!</v>
      </c>
      <c r="AG51" s="91" t="e">
        <f>SUM(D51:AF51)</f>
        <v>#REF!</v>
      </c>
      <c r="AI51" s="48">
        <f t="shared" si="25"/>
        <v>47</v>
      </c>
      <c r="AL51" s="83" t="e">
        <f>D51+NPV(DISC,F51:AF51)</f>
        <v>#REF!</v>
      </c>
    </row>
    <row r="52" spans="1:38" s="174" customFormat="1" x14ac:dyDescent="0.25">
      <c r="A52" s="177"/>
      <c r="B52" s="63" t="s">
        <v>220</v>
      </c>
      <c r="C52" s="63"/>
      <c r="D52" s="166" t="e">
        <f>SUM(D49:D51)</f>
        <v>#REF!</v>
      </c>
      <c r="E52" s="166" t="e">
        <f>SUM(E49:E51)</f>
        <v>#REF!</v>
      </c>
      <c r="F52" s="166" t="e">
        <f ca="1">SUM(F49:F51)</f>
        <v>#N/A</v>
      </c>
      <c r="G52" s="166" t="e">
        <f t="shared" ref="G52:V52" ca="1" si="34">SUM(G49:G51)</f>
        <v>#N/A</v>
      </c>
      <c r="H52" s="166" t="e">
        <f t="shared" ca="1" si="34"/>
        <v>#N/A</v>
      </c>
      <c r="I52" s="166" t="e">
        <f t="shared" ca="1" si="34"/>
        <v>#N/A</v>
      </c>
      <c r="J52" s="166" t="e">
        <f t="shared" ca="1" si="34"/>
        <v>#N/A</v>
      </c>
      <c r="K52" s="166" t="e">
        <f t="shared" ca="1" si="34"/>
        <v>#N/A</v>
      </c>
      <c r="L52" s="166" t="e">
        <f t="shared" ca="1" si="34"/>
        <v>#N/A</v>
      </c>
      <c r="M52" s="166" t="e">
        <f t="shared" ca="1" si="34"/>
        <v>#N/A</v>
      </c>
      <c r="N52" s="166" t="e">
        <f t="shared" ca="1" si="34"/>
        <v>#N/A</v>
      </c>
      <c r="O52" s="166" t="e">
        <f t="shared" ca="1" si="34"/>
        <v>#N/A</v>
      </c>
      <c r="P52" s="166" t="e">
        <f t="shared" ca="1" si="34"/>
        <v>#N/A</v>
      </c>
      <c r="Q52" s="166" t="e">
        <f t="shared" ca="1" si="34"/>
        <v>#N/A</v>
      </c>
      <c r="R52" s="166" t="e">
        <f t="shared" ca="1" si="34"/>
        <v>#N/A</v>
      </c>
      <c r="S52" s="166" t="e">
        <f t="shared" ca="1" si="34"/>
        <v>#N/A</v>
      </c>
      <c r="T52" s="166" t="e">
        <f t="shared" ca="1" si="34"/>
        <v>#N/A</v>
      </c>
      <c r="U52" s="166" t="e">
        <f t="shared" ca="1" si="34"/>
        <v>#N/A</v>
      </c>
      <c r="V52" s="166" t="e">
        <f t="shared" ca="1" si="34"/>
        <v>#N/A</v>
      </c>
      <c r="W52" s="166" t="e">
        <f t="shared" ref="W52:AF52" ca="1" si="35">SUM(W49:W51)</f>
        <v>#N/A</v>
      </c>
      <c r="X52" s="166" t="e">
        <f t="shared" ca="1" si="35"/>
        <v>#N/A</v>
      </c>
      <c r="Y52" s="166" t="e">
        <f t="shared" ca="1" si="35"/>
        <v>#N/A</v>
      </c>
      <c r="Z52" s="166" t="e">
        <f t="shared" ca="1" si="35"/>
        <v>#N/A</v>
      </c>
      <c r="AA52" s="166" t="e">
        <f t="shared" ca="1" si="35"/>
        <v>#N/A</v>
      </c>
      <c r="AB52" s="166" t="e">
        <f t="shared" ca="1" si="35"/>
        <v>#N/A</v>
      </c>
      <c r="AC52" s="166" t="e">
        <f t="shared" ca="1" si="35"/>
        <v>#N/A</v>
      </c>
      <c r="AD52" s="166" t="e">
        <f t="shared" ca="1" si="35"/>
        <v>#N/A</v>
      </c>
      <c r="AE52" s="166" t="e">
        <f t="shared" ca="1" si="35"/>
        <v>#N/A</v>
      </c>
      <c r="AF52" s="173" t="e">
        <f t="shared" ca="1" si="35"/>
        <v>#N/A</v>
      </c>
      <c r="AG52" s="167" t="e">
        <f>SUM(D52:AF52)</f>
        <v>#REF!</v>
      </c>
      <c r="AI52" s="48">
        <f t="shared" si="25"/>
        <v>48</v>
      </c>
    </row>
    <row r="53" spans="1:38" x14ac:dyDescent="0.25">
      <c r="A53" s="175"/>
      <c r="B53" s="63" t="s">
        <v>221</v>
      </c>
      <c r="C53" s="63"/>
      <c r="D53" s="164" t="e">
        <f>D52</f>
        <v>#REF!</v>
      </c>
      <c r="E53" s="164" t="e">
        <f>$D$52+NPV(DISC, E$52:$E52)</f>
        <v>#REF!</v>
      </c>
      <c r="F53" s="164" t="e">
        <f>$D$52+NPV(DISC, $E$52:F52)</f>
        <v>#REF!</v>
      </c>
      <c r="G53" s="164" t="e">
        <f>$D$52+NPV(DISC, $E$52:G52)</f>
        <v>#REF!</v>
      </c>
      <c r="H53" s="164" t="e">
        <f>$D$52+NPV(DISC, $E$52:H52)</f>
        <v>#REF!</v>
      </c>
      <c r="I53" s="164" t="e">
        <f>$D$52+NPV(DISC, $E$52:I52)</f>
        <v>#REF!</v>
      </c>
      <c r="J53" s="164" t="e">
        <f>$D$52+NPV(DISC, $E$52:J52)</f>
        <v>#REF!</v>
      </c>
      <c r="K53" s="164" t="e">
        <f>$D$52+NPV(DISC, $E$52:K52)</f>
        <v>#REF!</v>
      </c>
      <c r="L53" s="164" t="e">
        <f>$D$52+NPV(DISC, $E$52:L52)</f>
        <v>#REF!</v>
      </c>
      <c r="M53" s="164" t="e">
        <f>$D$52+NPV(DISC, $E$52:M52)</f>
        <v>#REF!</v>
      </c>
      <c r="N53" s="164" t="e">
        <f>$D$52+NPV(DISC, $E$52:N52)</f>
        <v>#REF!</v>
      </c>
      <c r="O53" s="164" t="e">
        <f>$D$52+NPV(DISC, $E$52:O52)</f>
        <v>#REF!</v>
      </c>
      <c r="P53" s="164" t="e">
        <f>$D$52+NPV(DISC, $E$52:P52)</f>
        <v>#REF!</v>
      </c>
      <c r="Q53" s="164" t="e">
        <f>$D$52+NPV(DISC, $E$52:Q52)</f>
        <v>#REF!</v>
      </c>
      <c r="R53" s="164" t="e">
        <f>$D$52+NPV(DISC, $E$52:R52)</f>
        <v>#REF!</v>
      </c>
      <c r="S53" s="164" t="e">
        <f>$D$52+NPV(DISC, $E$52:S52)</f>
        <v>#REF!</v>
      </c>
      <c r="T53" s="164" t="e">
        <f>$D$52+NPV(DISC, $E$52:T52)</f>
        <v>#REF!</v>
      </c>
      <c r="U53" s="164" t="e">
        <f>$D$52+NPV(DISC, $E$52:U52)</f>
        <v>#REF!</v>
      </c>
      <c r="V53" s="164" t="e">
        <f>$D$52+NPV(DISC, $E$52:V52)</f>
        <v>#REF!</v>
      </c>
      <c r="W53" s="164" t="e">
        <f>$D$52+NPV(DISC, $E$52:W52)</f>
        <v>#REF!</v>
      </c>
      <c r="X53" s="164" t="e">
        <f>$D$52+NPV(DISC, $E$52:X52)</f>
        <v>#REF!</v>
      </c>
      <c r="Y53" s="164" t="e">
        <f>$D$52+NPV(DISC, $E$52:Y52)</f>
        <v>#REF!</v>
      </c>
      <c r="Z53" s="164" t="e">
        <f>$D$52+NPV(DISC, $E$52:Z52)</f>
        <v>#REF!</v>
      </c>
      <c r="AA53" s="164" t="e">
        <f>$D$52+NPV(DISC, $E$52:AA52)</f>
        <v>#REF!</v>
      </c>
      <c r="AB53" s="164" t="e">
        <f>$D$52+NPV(DISC, $E$52:AB52)</f>
        <v>#REF!</v>
      </c>
      <c r="AC53" s="164" t="e">
        <f>$D$52+NPV(DISC, $E$52:AC52)</f>
        <v>#REF!</v>
      </c>
      <c r="AD53" s="164" t="e">
        <f>$D$52+NPV(DISC, $E$52:AD52)</f>
        <v>#REF!</v>
      </c>
      <c r="AE53" s="164" t="e">
        <f>$D$52+NPV(DISC, $E$52:AE52)</f>
        <v>#REF!</v>
      </c>
      <c r="AF53" s="170" t="e">
        <f>$D$52+NPV(DISC, $E$52:AF52)</f>
        <v>#REF!</v>
      </c>
      <c r="AG53" s="84"/>
      <c r="AI53" s="48">
        <f t="shared" si="25"/>
        <v>49</v>
      </c>
    </row>
    <row r="54" spans="1:38" x14ac:dyDescent="0.25">
      <c r="A54" s="175"/>
      <c r="B54" s="63" t="s">
        <v>222</v>
      </c>
      <c r="C54" s="63"/>
      <c r="D54" s="65" t="e">
        <f>IRR($D$52:D52)</f>
        <v>#VALUE!</v>
      </c>
      <c r="E54" s="65" t="e">
        <f>IRR($D$52:E52)</f>
        <v>#VALUE!</v>
      </c>
      <c r="F54" s="65" t="e">
        <f>IRR($D$52:F52)</f>
        <v>#VALUE!</v>
      </c>
      <c r="G54" s="65" t="e">
        <f>IRR($D$52:G52)</f>
        <v>#VALUE!</v>
      </c>
      <c r="H54" s="65" t="e">
        <f>IRR($D$52:H52)</f>
        <v>#VALUE!</v>
      </c>
      <c r="I54" s="65" t="e">
        <f>IRR($D$52:I52)</f>
        <v>#VALUE!</v>
      </c>
      <c r="J54" s="65" t="e">
        <f>IRR($D$52:J52)</f>
        <v>#VALUE!</v>
      </c>
      <c r="K54" s="65" t="e">
        <f>IRR($D$52:K52)</f>
        <v>#VALUE!</v>
      </c>
      <c r="L54" s="65" t="e">
        <f>IRR($D$52:L52)</f>
        <v>#VALUE!</v>
      </c>
      <c r="M54" s="65" t="e">
        <f>IRR($D$52:M52)</f>
        <v>#VALUE!</v>
      </c>
      <c r="N54" s="65" t="e">
        <f>IRR($D$52:N52)</f>
        <v>#VALUE!</v>
      </c>
      <c r="O54" s="65" t="e">
        <f>IRR($D$52:O52)</f>
        <v>#VALUE!</v>
      </c>
      <c r="P54" s="65" t="e">
        <f>IRR($D$52:P52)</f>
        <v>#VALUE!</v>
      </c>
      <c r="Q54" s="65" t="e">
        <f>IRR($D$52:Q52)</f>
        <v>#VALUE!</v>
      </c>
      <c r="R54" s="65" t="e">
        <f>IRR($D$52:R52)</f>
        <v>#VALUE!</v>
      </c>
      <c r="S54" s="65" t="e">
        <f>IRR($D$52:S52)</f>
        <v>#VALUE!</v>
      </c>
      <c r="T54" s="65" t="e">
        <f>IRR($D$52:T52)</f>
        <v>#VALUE!</v>
      </c>
      <c r="U54" s="65" t="e">
        <f>IRR($D$52:U52)</f>
        <v>#VALUE!</v>
      </c>
      <c r="V54" s="65" t="e">
        <f>IRR($D$52:V52)</f>
        <v>#VALUE!</v>
      </c>
      <c r="W54" s="65" t="e">
        <f>IRR($D$52:W52)</f>
        <v>#VALUE!</v>
      </c>
      <c r="X54" s="65" t="e">
        <f>IRR($D$52:X52)</f>
        <v>#VALUE!</v>
      </c>
      <c r="Y54" s="65" t="e">
        <f>IRR($D$52:Y52)</f>
        <v>#VALUE!</v>
      </c>
      <c r="Z54" s="65" t="e">
        <f>IRR($D$52:Z52)</f>
        <v>#VALUE!</v>
      </c>
      <c r="AA54" s="65" t="e">
        <f>IRR($D$52:AA52)</f>
        <v>#VALUE!</v>
      </c>
      <c r="AB54" s="65" t="e">
        <f>IRR($D$52:AB52)</f>
        <v>#VALUE!</v>
      </c>
      <c r="AC54" s="65" t="e">
        <f>IRR($D$52:AC52)</f>
        <v>#VALUE!</v>
      </c>
      <c r="AD54" s="65" t="e">
        <f>IRR($D$52:AD52)</f>
        <v>#VALUE!</v>
      </c>
      <c r="AE54" s="65" t="e">
        <f>IRR($D$52:AE52)</f>
        <v>#VALUE!</v>
      </c>
      <c r="AF54" s="149" t="e">
        <f>IRR($D$52:AF52)</f>
        <v>#VALUE!</v>
      </c>
      <c r="AG54" s="51"/>
      <c r="AI54" s="48">
        <f t="shared" si="25"/>
        <v>50</v>
      </c>
    </row>
    <row r="55" spans="1:38" ht="13.8" thickBot="1" x14ac:dyDescent="0.3">
      <c r="A55" s="61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2"/>
      <c r="AG55" s="51"/>
      <c r="AI55" s="48">
        <f>AI54+1</f>
        <v>51</v>
      </c>
    </row>
    <row r="56" spans="1:38" x14ac:dyDescent="0.25">
      <c r="A56" s="61"/>
      <c r="B56" s="377" t="s">
        <v>407</v>
      </c>
      <c r="C56" s="433">
        <f>ASS!V14</f>
        <v>0.1</v>
      </c>
      <c r="D56" s="378" t="e">
        <f>AF53</f>
        <v>#REF!</v>
      </c>
      <c r="E56" s="496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2"/>
      <c r="AG56" s="51"/>
      <c r="AI56" s="48">
        <f>AI55+1</f>
        <v>52</v>
      </c>
    </row>
    <row r="57" spans="1:38" ht="13.8" thickBot="1" x14ac:dyDescent="0.3">
      <c r="A57" s="72"/>
      <c r="B57" s="379" t="s">
        <v>233</v>
      </c>
      <c r="C57" s="380"/>
      <c r="D57" s="381" t="e">
        <f>AF54</f>
        <v>#VALUE!</v>
      </c>
      <c r="E57" s="497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73"/>
      <c r="AG57" s="98"/>
      <c r="AI57" s="48">
        <f>AI56+1</f>
        <v>53</v>
      </c>
    </row>
  </sheetData>
  <printOptions horizontalCentered="1"/>
  <pageMargins left="0.5" right="1" top="0.75" bottom="0.75" header="0.5" footer="0.5"/>
  <pageSetup scale="38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H74"/>
  <sheetViews>
    <sheetView topLeftCell="A3" workbookViewId="0">
      <selection activeCell="G60" sqref="G60"/>
    </sheetView>
  </sheetViews>
  <sheetFormatPr defaultColWidth="9.109375" defaultRowHeight="13.2" x14ac:dyDescent="0.25"/>
  <cols>
    <col min="1" max="2" width="9.109375" style="48"/>
    <col min="3" max="3" width="21.6640625" style="48" customWidth="1"/>
    <col min="4" max="6" width="9.109375" style="48"/>
    <col min="7" max="7" width="10" style="48" customWidth="1"/>
    <col min="8" max="9" width="9.109375" style="48"/>
    <col min="10" max="10" width="8.6640625" style="48" customWidth="1"/>
    <col min="11" max="11" width="13.5546875" style="48" customWidth="1"/>
    <col min="12" max="12" width="9" style="48" customWidth="1"/>
    <col min="13" max="13" width="13.88671875" style="48" customWidth="1"/>
    <col min="14" max="14" width="10.33203125" style="48" customWidth="1"/>
    <col min="15" max="15" width="15.109375" style="48" customWidth="1"/>
    <col min="16" max="16384" width="9.109375" style="48"/>
  </cols>
  <sheetData>
    <row r="1" spans="1:8" ht="15.6" x14ac:dyDescent="0.3">
      <c r="A1" s="221" t="s">
        <v>234</v>
      </c>
      <c r="B1" s="273"/>
      <c r="C1" s="243"/>
    </row>
    <row r="2" spans="1:8" ht="15.6" x14ac:dyDescent="0.3">
      <c r="A2" s="244">
        <f>ASS!A4</f>
        <v>0</v>
      </c>
      <c r="B2" s="238"/>
      <c r="C2" s="245"/>
    </row>
    <row r="3" spans="1:8" ht="15.6" x14ac:dyDescent="0.3">
      <c r="A3" s="246" t="str">
        <f>ASS!A5</f>
        <v>BASE MODEL</v>
      </c>
      <c r="B3" s="274"/>
      <c r="C3" s="247"/>
    </row>
    <row r="5" spans="1:8" x14ac:dyDescent="0.25">
      <c r="B5" s="341" t="s">
        <v>235</v>
      </c>
      <c r="C5" s="90"/>
      <c r="D5" s="342" t="e">
        <f>COST-EST_IDC</f>
        <v>#REF!</v>
      </c>
    </row>
    <row r="6" spans="1:8" x14ac:dyDescent="0.25">
      <c r="B6" s="61"/>
      <c r="E6" s="343" t="s">
        <v>236</v>
      </c>
      <c r="F6" s="178"/>
      <c r="G6" s="179"/>
    </row>
    <row r="7" spans="1:8" x14ac:dyDescent="0.25">
      <c r="B7" s="49"/>
      <c r="C7" s="60"/>
      <c r="D7" s="54"/>
      <c r="E7" s="347" t="s">
        <v>237</v>
      </c>
      <c r="F7" s="349" t="s">
        <v>237</v>
      </c>
      <c r="G7" s="350" t="s">
        <v>238</v>
      </c>
    </row>
    <row r="8" spans="1:8" x14ac:dyDescent="0.25">
      <c r="B8" s="51"/>
      <c r="C8" s="346" t="s">
        <v>239</v>
      </c>
      <c r="D8" s="62"/>
      <c r="E8" s="348" t="s">
        <v>240</v>
      </c>
      <c r="F8" s="346" t="s">
        <v>241</v>
      </c>
      <c r="G8" s="351" t="s">
        <v>241</v>
      </c>
    </row>
    <row r="9" spans="1:8" x14ac:dyDescent="0.25">
      <c r="B9" s="344" t="s">
        <v>242</v>
      </c>
      <c r="C9" s="345" t="s">
        <v>243</v>
      </c>
      <c r="D9" s="62"/>
      <c r="E9" s="68" t="s">
        <v>244</v>
      </c>
      <c r="F9" s="70" t="s">
        <v>245</v>
      </c>
      <c r="G9" s="69" t="s">
        <v>245</v>
      </c>
    </row>
    <row r="10" spans="1:8" x14ac:dyDescent="0.25">
      <c r="A10" s="368">
        <v>1</v>
      </c>
      <c r="B10" s="182" t="e">
        <f t="shared" ref="B10:B41" ca="1" si="0">EOMONTH(STARTCONST,A10-1)</f>
        <v>#NAME?</v>
      </c>
      <c r="C10" s="63" t="s">
        <v>246</v>
      </c>
      <c r="D10" s="62"/>
      <c r="E10" s="183">
        <f>IF(TERM_C&gt;=A10, 1/TERM_C, 0)</f>
        <v>0.16666666666666666</v>
      </c>
      <c r="F10" s="64" t="e">
        <f>E10*$D$5</f>
        <v>#REF!</v>
      </c>
      <c r="G10" s="71" t="e">
        <f>F10</f>
        <v>#REF!</v>
      </c>
    </row>
    <row r="11" spans="1:8" x14ac:dyDescent="0.25">
      <c r="A11" s="48">
        <f>A10+1</f>
        <v>2</v>
      </c>
      <c r="B11" s="182" t="e">
        <f t="shared" ca="1" si="0"/>
        <v>#NAME?</v>
      </c>
      <c r="C11" s="63"/>
      <c r="D11" s="62"/>
      <c r="E11" s="183">
        <f t="shared" ref="E11:E26" si="1">IF(TERM_C&gt;=A11, 1/TERM_C, 0)</f>
        <v>0.16666666666666666</v>
      </c>
      <c r="F11" s="64" t="e">
        <f t="shared" ref="F11:F26" si="2">E11*$D$5</f>
        <v>#REF!</v>
      </c>
      <c r="G11" s="71" t="e">
        <f>F11+G10</f>
        <v>#REF!</v>
      </c>
    </row>
    <row r="12" spans="1:8" x14ac:dyDescent="0.25">
      <c r="A12" s="48">
        <f t="shared" ref="A12:A27" si="3">A11+1</f>
        <v>3</v>
      </c>
      <c r="B12" s="182" t="e">
        <f t="shared" ca="1" si="0"/>
        <v>#NAME?</v>
      </c>
      <c r="C12" s="63"/>
      <c r="D12" s="62"/>
      <c r="E12" s="183">
        <f>IF(TERM_C&gt;=A12, 1/TERM_C, 0)</f>
        <v>0.16666666666666666</v>
      </c>
      <c r="F12" s="64" t="e">
        <f t="shared" si="2"/>
        <v>#REF!</v>
      </c>
      <c r="G12" s="71" t="e">
        <f t="shared" ref="G12:G27" si="4">F12+G11</f>
        <v>#REF!</v>
      </c>
    </row>
    <row r="13" spans="1:8" customFormat="1" x14ac:dyDescent="0.25">
      <c r="A13" s="48">
        <f t="shared" si="3"/>
        <v>4</v>
      </c>
      <c r="B13" s="182" t="e">
        <f t="shared" ca="1" si="0"/>
        <v>#NAME?</v>
      </c>
      <c r="C13" s="63"/>
      <c r="D13" s="62"/>
      <c r="E13" s="183">
        <f t="shared" si="1"/>
        <v>0.16666666666666666</v>
      </c>
      <c r="F13" s="64" t="e">
        <f t="shared" si="2"/>
        <v>#REF!</v>
      </c>
      <c r="G13" s="71" t="e">
        <f t="shared" si="4"/>
        <v>#REF!</v>
      </c>
      <c r="H13" s="48"/>
    </row>
    <row r="14" spans="1:8" customFormat="1" x14ac:dyDescent="0.25">
      <c r="A14" s="48">
        <f t="shared" si="3"/>
        <v>5</v>
      </c>
      <c r="B14" s="182" t="e">
        <f t="shared" ca="1" si="0"/>
        <v>#NAME?</v>
      </c>
      <c r="C14" s="63"/>
      <c r="D14" s="62"/>
      <c r="E14" s="183">
        <f t="shared" si="1"/>
        <v>0.16666666666666666</v>
      </c>
      <c r="F14" s="64" t="e">
        <f t="shared" si="2"/>
        <v>#REF!</v>
      </c>
      <c r="G14" s="71" t="e">
        <f t="shared" si="4"/>
        <v>#REF!</v>
      </c>
      <c r="H14" s="48"/>
    </row>
    <row r="15" spans="1:8" customFormat="1" x14ac:dyDescent="0.25">
      <c r="A15" s="48">
        <f t="shared" si="3"/>
        <v>6</v>
      </c>
      <c r="B15" s="182" t="e">
        <f t="shared" ca="1" si="0"/>
        <v>#NAME?</v>
      </c>
      <c r="C15" s="63"/>
      <c r="D15" s="62"/>
      <c r="E15" s="183">
        <f t="shared" si="1"/>
        <v>0.16666666666666666</v>
      </c>
      <c r="F15" s="64" t="e">
        <f t="shared" si="2"/>
        <v>#REF!</v>
      </c>
      <c r="G15" s="71" t="e">
        <f t="shared" si="4"/>
        <v>#REF!</v>
      </c>
      <c r="H15" s="48"/>
    </row>
    <row r="16" spans="1:8" customFormat="1" x14ac:dyDescent="0.25">
      <c r="A16" s="48">
        <f t="shared" si="3"/>
        <v>7</v>
      </c>
      <c r="B16" s="182" t="e">
        <f t="shared" ca="1" si="0"/>
        <v>#NAME?</v>
      </c>
      <c r="C16" s="63"/>
      <c r="D16" s="62"/>
      <c r="E16" s="183">
        <f t="shared" si="1"/>
        <v>0</v>
      </c>
      <c r="F16" s="64" t="e">
        <f t="shared" si="2"/>
        <v>#REF!</v>
      </c>
      <c r="G16" s="71" t="e">
        <f t="shared" si="4"/>
        <v>#REF!</v>
      </c>
      <c r="H16" s="48"/>
    </row>
    <row r="17" spans="1:8" customFormat="1" x14ac:dyDescent="0.25">
      <c r="A17" s="48">
        <f t="shared" si="3"/>
        <v>8</v>
      </c>
      <c r="B17" s="182" t="e">
        <f t="shared" ca="1" si="0"/>
        <v>#NAME?</v>
      </c>
      <c r="C17" s="63"/>
      <c r="D17" s="62"/>
      <c r="E17" s="183">
        <f t="shared" si="1"/>
        <v>0</v>
      </c>
      <c r="F17" s="64" t="e">
        <f t="shared" si="2"/>
        <v>#REF!</v>
      </c>
      <c r="G17" s="71" t="e">
        <f t="shared" si="4"/>
        <v>#REF!</v>
      </c>
      <c r="H17" s="48"/>
    </row>
    <row r="18" spans="1:8" customFormat="1" x14ac:dyDescent="0.25">
      <c r="A18" s="48">
        <f t="shared" si="3"/>
        <v>9</v>
      </c>
      <c r="B18" s="182" t="e">
        <f t="shared" ca="1" si="0"/>
        <v>#NAME?</v>
      </c>
      <c r="C18" s="63"/>
      <c r="D18" s="62"/>
      <c r="E18" s="183">
        <f t="shared" si="1"/>
        <v>0</v>
      </c>
      <c r="F18" s="64" t="e">
        <f t="shared" si="2"/>
        <v>#REF!</v>
      </c>
      <c r="G18" s="71" t="e">
        <f t="shared" si="4"/>
        <v>#REF!</v>
      </c>
      <c r="H18" s="48"/>
    </row>
    <row r="19" spans="1:8" customFormat="1" x14ac:dyDescent="0.25">
      <c r="A19" s="48">
        <f t="shared" si="3"/>
        <v>10</v>
      </c>
      <c r="B19" s="182" t="e">
        <f t="shared" ca="1" si="0"/>
        <v>#NAME?</v>
      </c>
      <c r="C19" s="63"/>
      <c r="D19" s="62"/>
      <c r="E19" s="183">
        <f t="shared" si="1"/>
        <v>0</v>
      </c>
      <c r="F19" s="64" t="e">
        <f t="shared" si="2"/>
        <v>#REF!</v>
      </c>
      <c r="G19" s="71" t="e">
        <f t="shared" si="4"/>
        <v>#REF!</v>
      </c>
      <c r="H19" s="48"/>
    </row>
    <row r="20" spans="1:8" customFormat="1" x14ac:dyDescent="0.25">
      <c r="A20" s="48">
        <f t="shared" si="3"/>
        <v>11</v>
      </c>
      <c r="B20" s="182" t="e">
        <f t="shared" ca="1" si="0"/>
        <v>#NAME?</v>
      </c>
      <c r="C20" s="63"/>
      <c r="D20" s="62"/>
      <c r="E20" s="183">
        <f t="shared" si="1"/>
        <v>0</v>
      </c>
      <c r="F20" s="64" t="e">
        <f t="shared" si="2"/>
        <v>#REF!</v>
      </c>
      <c r="G20" s="71" t="e">
        <f t="shared" si="4"/>
        <v>#REF!</v>
      </c>
      <c r="H20" s="48"/>
    </row>
    <row r="21" spans="1:8" customFormat="1" x14ac:dyDescent="0.25">
      <c r="A21" s="48">
        <f t="shared" si="3"/>
        <v>12</v>
      </c>
      <c r="B21" s="182" t="e">
        <f t="shared" ca="1" si="0"/>
        <v>#NAME?</v>
      </c>
      <c r="C21" s="63"/>
      <c r="D21" s="62"/>
      <c r="E21" s="183">
        <f t="shared" si="1"/>
        <v>0</v>
      </c>
      <c r="F21" s="64" t="e">
        <f t="shared" si="2"/>
        <v>#REF!</v>
      </c>
      <c r="G21" s="71" t="e">
        <f t="shared" si="4"/>
        <v>#REF!</v>
      </c>
      <c r="H21" s="48"/>
    </row>
    <row r="22" spans="1:8" customFormat="1" x14ac:dyDescent="0.25">
      <c r="A22" s="48">
        <f t="shared" si="3"/>
        <v>13</v>
      </c>
      <c r="B22" s="182" t="e">
        <f t="shared" ca="1" si="0"/>
        <v>#NAME?</v>
      </c>
      <c r="C22" s="63"/>
      <c r="D22" s="62"/>
      <c r="E22" s="183">
        <f t="shared" si="1"/>
        <v>0</v>
      </c>
      <c r="F22" s="64" t="e">
        <f t="shared" si="2"/>
        <v>#REF!</v>
      </c>
      <c r="G22" s="71" t="e">
        <f t="shared" si="4"/>
        <v>#REF!</v>
      </c>
      <c r="H22" s="48"/>
    </row>
    <row r="23" spans="1:8" customFormat="1" x14ac:dyDescent="0.25">
      <c r="A23" s="48">
        <f t="shared" si="3"/>
        <v>14</v>
      </c>
      <c r="B23" s="182" t="e">
        <f t="shared" ca="1" si="0"/>
        <v>#NAME?</v>
      </c>
      <c r="C23" s="63"/>
      <c r="D23" s="62"/>
      <c r="E23" s="183">
        <f t="shared" si="1"/>
        <v>0</v>
      </c>
      <c r="F23" s="64" t="e">
        <f t="shared" si="2"/>
        <v>#REF!</v>
      </c>
      <c r="G23" s="71" t="e">
        <f t="shared" si="4"/>
        <v>#REF!</v>
      </c>
      <c r="H23" s="48"/>
    </row>
    <row r="24" spans="1:8" x14ac:dyDescent="0.25">
      <c r="A24" s="48">
        <f t="shared" si="3"/>
        <v>15</v>
      </c>
      <c r="B24" s="182" t="e">
        <f t="shared" ca="1" si="0"/>
        <v>#NAME?</v>
      </c>
      <c r="C24" s="63"/>
      <c r="D24" s="62"/>
      <c r="E24" s="183">
        <f t="shared" si="1"/>
        <v>0</v>
      </c>
      <c r="F24" s="64" t="e">
        <f t="shared" si="2"/>
        <v>#REF!</v>
      </c>
      <c r="G24" s="71" t="e">
        <f t="shared" si="4"/>
        <v>#REF!</v>
      </c>
    </row>
    <row r="25" spans="1:8" x14ac:dyDescent="0.25">
      <c r="A25" s="48">
        <f t="shared" si="3"/>
        <v>16</v>
      </c>
      <c r="B25" s="182" t="e">
        <f t="shared" ca="1" si="0"/>
        <v>#NAME?</v>
      </c>
      <c r="C25" s="63"/>
      <c r="D25" s="62"/>
      <c r="E25" s="183">
        <f t="shared" si="1"/>
        <v>0</v>
      </c>
      <c r="F25" s="64" t="e">
        <f t="shared" si="2"/>
        <v>#REF!</v>
      </c>
      <c r="G25" s="71" t="e">
        <f t="shared" si="4"/>
        <v>#REF!</v>
      </c>
    </row>
    <row r="26" spans="1:8" x14ac:dyDescent="0.25">
      <c r="A26" s="48">
        <f t="shared" si="3"/>
        <v>17</v>
      </c>
      <c r="B26" s="182" t="e">
        <f t="shared" ca="1" si="0"/>
        <v>#NAME?</v>
      </c>
      <c r="C26" s="63"/>
      <c r="D26" s="62"/>
      <c r="E26" s="183">
        <f t="shared" si="1"/>
        <v>0</v>
      </c>
      <c r="F26" s="64" t="e">
        <f t="shared" si="2"/>
        <v>#REF!</v>
      </c>
      <c r="G26" s="71" t="e">
        <f t="shared" si="4"/>
        <v>#REF!</v>
      </c>
    </row>
    <row r="27" spans="1:8" x14ac:dyDescent="0.25">
      <c r="A27" s="48">
        <f t="shared" si="3"/>
        <v>18</v>
      </c>
      <c r="B27" s="182" t="e">
        <f t="shared" ca="1" si="0"/>
        <v>#NAME?</v>
      </c>
      <c r="C27" s="63"/>
      <c r="D27" s="62"/>
      <c r="E27" s="183">
        <f t="shared" ref="E27:E42" si="5">IF(TERM_C&gt;=A27, 1/TERM_C, 0)</f>
        <v>0</v>
      </c>
      <c r="F27" s="64" t="e">
        <f t="shared" ref="F27:F42" si="6">E27*$D$5</f>
        <v>#REF!</v>
      </c>
      <c r="G27" s="71" t="e">
        <f t="shared" si="4"/>
        <v>#REF!</v>
      </c>
    </row>
    <row r="28" spans="1:8" x14ac:dyDescent="0.25">
      <c r="A28" s="48">
        <f t="shared" ref="A28:A43" si="7">A27+1</f>
        <v>19</v>
      </c>
      <c r="B28" s="182" t="e">
        <f t="shared" ca="1" si="0"/>
        <v>#NAME?</v>
      </c>
      <c r="C28" s="63"/>
      <c r="D28" s="62"/>
      <c r="E28" s="183">
        <f t="shared" si="5"/>
        <v>0</v>
      </c>
      <c r="F28" s="64" t="e">
        <f t="shared" si="6"/>
        <v>#REF!</v>
      </c>
      <c r="G28" s="71" t="e">
        <f t="shared" ref="G28:G43" si="8">F28+G27</f>
        <v>#REF!</v>
      </c>
    </row>
    <row r="29" spans="1:8" x14ac:dyDescent="0.25">
      <c r="A29" s="48">
        <f t="shared" si="7"/>
        <v>20</v>
      </c>
      <c r="B29" s="182" t="e">
        <f t="shared" ca="1" si="0"/>
        <v>#NAME?</v>
      </c>
      <c r="C29" s="63"/>
      <c r="D29" s="62"/>
      <c r="E29" s="183">
        <f t="shared" si="5"/>
        <v>0</v>
      </c>
      <c r="F29" s="64" t="e">
        <f t="shared" si="6"/>
        <v>#REF!</v>
      </c>
      <c r="G29" s="71" t="e">
        <f t="shared" si="8"/>
        <v>#REF!</v>
      </c>
    </row>
    <row r="30" spans="1:8" x14ac:dyDescent="0.25">
      <c r="A30" s="48">
        <f t="shared" si="7"/>
        <v>21</v>
      </c>
      <c r="B30" s="182" t="e">
        <f t="shared" ca="1" si="0"/>
        <v>#NAME?</v>
      </c>
      <c r="C30" s="63"/>
      <c r="D30" s="62"/>
      <c r="E30" s="183">
        <f t="shared" si="5"/>
        <v>0</v>
      </c>
      <c r="F30" s="64" t="e">
        <f t="shared" si="6"/>
        <v>#REF!</v>
      </c>
      <c r="G30" s="71" t="e">
        <f t="shared" si="8"/>
        <v>#REF!</v>
      </c>
    </row>
    <row r="31" spans="1:8" x14ac:dyDescent="0.25">
      <c r="A31" s="48">
        <f t="shared" si="7"/>
        <v>22</v>
      </c>
      <c r="B31" s="182" t="e">
        <f t="shared" ca="1" si="0"/>
        <v>#NAME?</v>
      </c>
      <c r="C31" s="63"/>
      <c r="D31" s="62"/>
      <c r="E31" s="183">
        <f t="shared" si="5"/>
        <v>0</v>
      </c>
      <c r="F31" s="64" t="e">
        <f t="shared" si="6"/>
        <v>#REF!</v>
      </c>
      <c r="G31" s="71" t="e">
        <f t="shared" si="8"/>
        <v>#REF!</v>
      </c>
    </row>
    <row r="32" spans="1:8" x14ac:dyDescent="0.25">
      <c r="A32" s="48">
        <f t="shared" si="7"/>
        <v>23</v>
      </c>
      <c r="B32" s="182" t="e">
        <f t="shared" ca="1" si="0"/>
        <v>#NAME?</v>
      </c>
      <c r="C32" s="63"/>
      <c r="D32" s="62"/>
      <c r="E32" s="183">
        <f t="shared" si="5"/>
        <v>0</v>
      </c>
      <c r="F32" s="64" t="e">
        <f t="shared" si="6"/>
        <v>#REF!</v>
      </c>
      <c r="G32" s="71" t="e">
        <f t="shared" si="8"/>
        <v>#REF!</v>
      </c>
    </row>
    <row r="33" spans="1:7" x14ac:dyDescent="0.25">
      <c r="A33" s="48">
        <f t="shared" si="7"/>
        <v>24</v>
      </c>
      <c r="B33" s="182" t="e">
        <f t="shared" ca="1" si="0"/>
        <v>#NAME?</v>
      </c>
      <c r="C33" s="63"/>
      <c r="D33" s="62"/>
      <c r="E33" s="183">
        <f t="shared" si="5"/>
        <v>0</v>
      </c>
      <c r="F33" s="64" t="e">
        <f t="shared" si="6"/>
        <v>#REF!</v>
      </c>
      <c r="G33" s="71" t="e">
        <f t="shared" si="8"/>
        <v>#REF!</v>
      </c>
    </row>
    <row r="34" spans="1:7" x14ac:dyDescent="0.25">
      <c r="A34" s="48">
        <f t="shared" si="7"/>
        <v>25</v>
      </c>
      <c r="B34" s="182" t="e">
        <f t="shared" ca="1" si="0"/>
        <v>#NAME?</v>
      </c>
      <c r="C34" s="63"/>
      <c r="D34" s="62"/>
      <c r="E34" s="183">
        <f t="shared" si="5"/>
        <v>0</v>
      </c>
      <c r="F34" s="64" t="e">
        <f t="shared" si="6"/>
        <v>#REF!</v>
      </c>
      <c r="G34" s="71" t="e">
        <f t="shared" si="8"/>
        <v>#REF!</v>
      </c>
    </row>
    <row r="35" spans="1:7" x14ac:dyDescent="0.25">
      <c r="A35" s="48">
        <f t="shared" si="7"/>
        <v>26</v>
      </c>
      <c r="B35" s="182" t="e">
        <f t="shared" ca="1" si="0"/>
        <v>#NAME?</v>
      </c>
      <c r="C35" s="63"/>
      <c r="D35" s="62"/>
      <c r="E35" s="183">
        <f t="shared" si="5"/>
        <v>0</v>
      </c>
      <c r="F35" s="64" t="e">
        <f t="shared" si="6"/>
        <v>#REF!</v>
      </c>
      <c r="G35" s="71" t="e">
        <f t="shared" si="8"/>
        <v>#REF!</v>
      </c>
    </row>
    <row r="36" spans="1:7" x14ac:dyDescent="0.25">
      <c r="A36" s="48">
        <f t="shared" si="7"/>
        <v>27</v>
      </c>
      <c r="B36" s="182" t="e">
        <f t="shared" ca="1" si="0"/>
        <v>#NAME?</v>
      </c>
      <c r="C36" s="63"/>
      <c r="D36" s="62"/>
      <c r="E36" s="183">
        <f t="shared" si="5"/>
        <v>0</v>
      </c>
      <c r="F36" s="64" t="e">
        <f t="shared" si="6"/>
        <v>#REF!</v>
      </c>
      <c r="G36" s="71" t="e">
        <f t="shared" si="8"/>
        <v>#REF!</v>
      </c>
    </row>
    <row r="37" spans="1:7" x14ac:dyDescent="0.25">
      <c r="A37" s="48">
        <f t="shared" si="7"/>
        <v>28</v>
      </c>
      <c r="B37" s="182" t="e">
        <f t="shared" ca="1" si="0"/>
        <v>#NAME?</v>
      </c>
      <c r="C37" s="63"/>
      <c r="D37" s="62"/>
      <c r="E37" s="183">
        <f t="shared" si="5"/>
        <v>0</v>
      </c>
      <c r="F37" s="64" t="e">
        <f t="shared" si="6"/>
        <v>#REF!</v>
      </c>
      <c r="G37" s="71" t="e">
        <f t="shared" si="8"/>
        <v>#REF!</v>
      </c>
    </row>
    <row r="38" spans="1:7" x14ac:dyDescent="0.25">
      <c r="A38" s="48">
        <f t="shared" si="7"/>
        <v>29</v>
      </c>
      <c r="B38" s="182" t="e">
        <f t="shared" ca="1" si="0"/>
        <v>#NAME?</v>
      </c>
      <c r="C38" s="63"/>
      <c r="D38" s="62"/>
      <c r="E38" s="183">
        <f t="shared" si="5"/>
        <v>0</v>
      </c>
      <c r="F38" s="64" t="e">
        <f t="shared" si="6"/>
        <v>#REF!</v>
      </c>
      <c r="G38" s="71" t="e">
        <f t="shared" si="8"/>
        <v>#REF!</v>
      </c>
    </row>
    <row r="39" spans="1:7" x14ac:dyDescent="0.25">
      <c r="A39" s="48">
        <f t="shared" si="7"/>
        <v>30</v>
      </c>
      <c r="B39" s="182" t="e">
        <f t="shared" ca="1" si="0"/>
        <v>#NAME?</v>
      </c>
      <c r="C39" s="63"/>
      <c r="D39" s="62"/>
      <c r="E39" s="183">
        <f t="shared" si="5"/>
        <v>0</v>
      </c>
      <c r="F39" s="64" t="e">
        <f t="shared" si="6"/>
        <v>#REF!</v>
      </c>
      <c r="G39" s="71" t="e">
        <f t="shared" si="8"/>
        <v>#REF!</v>
      </c>
    </row>
    <row r="40" spans="1:7" x14ac:dyDescent="0.25">
      <c r="A40" s="48">
        <f t="shared" si="7"/>
        <v>31</v>
      </c>
      <c r="B40" s="182" t="e">
        <f t="shared" ca="1" si="0"/>
        <v>#NAME?</v>
      </c>
      <c r="C40" s="63"/>
      <c r="D40" s="62"/>
      <c r="E40" s="183">
        <f t="shared" si="5"/>
        <v>0</v>
      </c>
      <c r="F40" s="64" t="e">
        <f t="shared" si="6"/>
        <v>#REF!</v>
      </c>
      <c r="G40" s="71" t="e">
        <f t="shared" si="8"/>
        <v>#REF!</v>
      </c>
    </row>
    <row r="41" spans="1:7" x14ac:dyDescent="0.25">
      <c r="A41" s="48">
        <f t="shared" si="7"/>
        <v>32</v>
      </c>
      <c r="B41" s="182" t="e">
        <f t="shared" ca="1" si="0"/>
        <v>#NAME?</v>
      </c>
      <c r="C41" s="63"/>
      <c r="D41" s="62"/>
      <c r="E41" s="183">
        <f t="shared" si="5"/>
        <v>0</v>
      </c>
      <c r="F41" s="64" t="e">
        <f t="shared" si="6"/>
        <v>#REF!</v>
      </c>
      <c r="G41" s="71" t="e">
        <f t="shared" si="8"/>
        <v>#REF!</v>
      </c>
    </row>
    <row r="42" spans="1:7" x14ac:dyDescent="0.25">
      <c r="A42" s="48">
        <f t="shared" si="7"/>
        <v>33</v>
      </c>
      <c r="B42" s="182" t="e">
        <f t="shared" ref="B42:B73" ca="1" si="9">EOMONTH(STARTCONST,A42-1)</f>
        <v>#NAME?</v>
      </c>
      <c r="C42" s="63"/>
      <c r="D42" s="62"/>
      <c r="E42" s="183">
        <f t="shared" si="5"/>
        <v>0</v>
      </c>
      <c r="F42" s="64" t="e">
        <f t="shared" si="6"/>
        <v>#REF!</v>
      </c>
      <c r="G42" s="71" t="e">
        <f t="shared" si="8"/>
        <v>#REF!</v>
      </c>
    </row>
    <row r="43" spans="1:7" x14ac:dyDescent="0.25">
      <c r="A43" s="48">
        <f t="shared" si="7"/>
        <v>34</v>
      </c>
      <c r="B43" s="182" t="e">
        <f t="shared" ca="1" si="9"/>
        <v>#NAME?</v>
      </c>
      <c r="C43" s="63"/>
      <c r="D43" s="62"/>
      <c r="E43" s="183">
        <f t="shared" ref="E43:E58" si="10">IF(TERM_C&gt;=A43, 1/TERM_C, 0)</f>
        <v>0</v>
      </c>
      <c r="F43" s="64" t="e">
        <f t="shared" ref="F43:F58" si="11">E43*$D$5</f>
        <v>#REF!</v>
      </c>
      <c r="G43" s="71" t="e">
        <f t="shared" si="8"/>
        <v>#REF!</v>
      </c>
    </row>
    <row r="44" spans="1:7" x14ac:dyDescent="0.25">
      <c r="A44" s="48">
        <f t="shared" ref="A44:A59" si="12">A43+1</f>
        <v>35</v>
      </c>
      <c r="B44" s="182" t="e">
        <f t="shared" ca="1" si="9"/>
        <v>#NAME?</v>
      </c>
      <c r="C44" s="63"/>
      <c r="D44" s="62"/>
      <c r="E44" s="183">
        <f t="shared" si="10"/>
        <v>0</v>
      </c>
      <c r="F44" s="64" t="e">
        <f t="shared" si="11"/>
        <v>#REF!</v>
      </c>
      <c r="G44" s="71" t="e">
        <f t="shared" ref="G44:G59" si="13">F44+G43</f>
        <v>#REF!</v>
      </c>
    </row>
    <row r="45" spans="1:7" x14ac:dyDescent="0.25">
      <c r="A45" s="48">
        <f t="shared" si="12"/>
        <v>36</v>
      </c>
      <c r="B45" s="182" t="e">
        <f t="shared" ca="1" si="9"/>
        <v>#NAME?</v>
      </c>
      <c r="C45" s="63"/>
      <c r="D45" s="62"/>
      <c r="E45" s="183">
        <f t="shared" si="10"/>
        <v>0</v>
      </c>
      <c r="F45" s="64" t="e">
        <f t="shared" si="11"/>
        <v>#REF!</v>
      </c>
      <c r="G45" s="71" t="e">
        <f t="shared" si="13"/>
        <v>#REF!</v>
      </c>
    </row>
    <row r="46" spans="1:7" x14ac:dyDescent="0.25">
      <c r="A46" s="48">
        <f t="shared" si="12"/>
        <v>37</v>
      </c>
      <c r="B46" s="182" t="e">
        <f t="shared" ca="1" si="9"/>
        <v>#NAME?</v>
      </c>
      <c r="C46" s="63"/>
      <c r="D46" s="62"/>
      <c r="E46" s="183">
        <f t="shared" si="10"/>
        <v>0</v>
      </c>
      <c r="F46" s="64" t="e">
        <f t="shared" si="11"/>
        <v>#REF!</v>
      </c>
      <c r="G46" s="71" t="e">
        <f t="shared" si="13"/>
        <v>#REF!</v>
      </c>
    </row>
    <row r="47" spans="1:7" x14ac:dyDescent="0.25">
      <c r="A47" s="48">
        <f t="shared" si="12"/>
        <v>38</v>
      </c>
      <c r="B47" s="182" t="e">
        <f t="shared" ca="1" si="9"/>
        <v>#NAME?</v>
      </c>
      <c r="C47" s="63"/>
      <c r="D47" s="62"/>
      <c r="E47" s="183">
        <f t="shared" si="10"/>
        <v>0</v>
      </c>
      <c r="F47" s="64" t="e">
        <f t="shared" si="11"/>
        <v>#REF!</v>
      </c>
      <c r="G47" s="71" t="e">
        <f t="shared" si="13"/>
        <v>#REF!</v>
      </c>
    </row>
    <row r="48" spans="1:7" x14ac:dyDescent="0.25">
      <c r="A48" s="48">
        <f t="shared" si="12"/>
        <v>39</v>
      </c>
      <c r="B48" s="182" t="e">
        <f t="shared" ca="1" si="9"/>
        <v>#NAME?</v>
      </c>
      <c r="C48" s="63"/>
      <c r="D48" s="62"/>
      <c r="E48" s="183">
        <f t="shared" si="10"/>
        <v>0</v>
      </c>
      <c r="F48" s="64" t="e">
        <f t="shared" si="11"/>
        <v>#REF!</v>
      </c>
      <c r="G48" s="71" t="e">
        <f t="shared" si="13"/>
        <v>#REF!</v>
      </c>
    </row>
    <row r="49" spans="1:7" x14ac:dyDescent="0.25">
      <c r="A49" s="48">
        <f t="shared" si="12"/>
        <v>40</v>
      </c>
      <c r="B49" s="182" t="e">
        <f t="shared" ca="1" si="9"/>
        <v>#NAME?</v>
      </c>
      <c r="C49" s="63"/>
      <c r="D49" s="62"/>
      <c r="E49" s="183">
        <f t="shared" si="10"/>
        <v>0</v>
      </c>
      <c r="F49" s="64" t="e">
        <f t="shared" si="11"/>
        <v>#REF!</v>
      </c>
      <c r="G49" s="71" t="e">
        <f t="shared" si="13"/>
        <v>#REF!</v>
      </c>
    </row>
    <row r="50" spans="1:7" x14ac:dyDescent="0.25">
      <c r="A50" s="48">
        <f t="shared" si="12"/>
        <v>41</v>
      </c>
      <c r="B50" s="182" t="e">
        <f t="shared" ca="1" si="9"/>
        <v>#NAME?</v>
      </c>
      <c r="C50" s="63"/>
      <c r="D50" s="62"/>
      <c r="E50" s="183">
        <f t="shared" si="10"/>
        <v>0</v>
      </c>
      <c r="F50" s="64" t="e">
        <f t="shared" si="11"/>
        <v>#REF!</v>
      </c>
      <c r="G50" s="71" t="e">
        <f t="shared" si="13"/>
        <v>#REF!</v>
      </c>
    </row>
    <row r="51" spans="1:7" x14ac:dyDescent="0.25">
      <c r="A51" s="48">
        <f t="shared" si="12"/>
        <v>42</v>
      </c>
      <c r="B51" s="182" t="e">
        <f t="shared" ca="1" si="9"/>
        <v>#NAME?</v>
      </c>
      <c r="C51" s="63"/>
      <c r="D51" s="62"/>
      <c r="E51" s="183">
        <f t="shared" si="10"/>
        <v>0</v>
      </c>
      <c r="F51" s="64" t="e">
        <f t="shared" si="11"/>
        <v>#REF!</v>
      </c>
      <c r="G51" s="71" t="e">
        <f t="shared" si="13"/>
        <v>#REF!</v>
      </c>
    </row>
    <row r="52" spans="1:7" x14ac:dyDescent="0.25">
      <c r="A52" s="48">
        <f t="shared" si="12"/>
        <v>43</v>
      </c>
      <c r="B52" s="182" t="e">
        <f t="shared" ca="1" si="9"/>
        <v>#NAME?</v>
      </c>
      <c r="C52" s="63"/>
      <c r="D52" s="62"/>
      <c r="E52" s="183">
        <f t="shared" si="10"/>
        <v>0</v>
      </c>
      <c r="F52" s="64" t="e">
        <f t="shared" si="11"/>
        <v>#REF!</v>
      </c>
      <c r="G52" s="71" t="e">
        <f t="shared" si="13"/>
        <v>#REF!</v>
      </c>
    </row>
    <row r="53" spans="1:7" x14ac:dyDescent="0.25">
      <c r="A53" s="48">
        <f t="shared" si="12"/>
        <v>44</v>
      </c>
      <c r="B53" s="182" t="e">
        <f t="shared" ca="1" si="9"/>
        <v>#NAME?</v>
      </c>
      <c r="C53" s="63"/>
      <c r="D53" s="62"/>
      <c r="E53" s="183">
        <f t="shared" si="10"/>
        <v>0</v>
      </c>
      <c r="F53" s="64" t="e">
        <f t="shared" si="11"/>
        <v>#REF!</v>
      </c>
      <c r="G53" s="71" t="e">
        <f t="shared" si="13"/>
        <v>#REF!</v>
      </c>
    </row>
    <row r="54" spans="1:7" x14ac:dyDescent="0.25">
      <c r="A54" s="48">
        <f t="shared" si="12"/>
        <v>45</v>
      </c>
      <c r="B54" s="182" t="e">
        <f t="shared" ca="1" si="9"/>
        <v>#NAME?</v>
      </c>
      <c r="C54" s="63"/>
      <c r="D54" s="62"/>
      <c r="E54" s="183">
        <f t="shared" si="10"/>
        <v>0</v>
      </c>
      <c r="F54" s="64" t="e">
        <f t="shared" si="11"/>
        <v>#REF!</v>
      </c>
      <c r="G54" s="71" t="e">
        <f t="shared" si="13"/>
        <v>#REF!</v>
      </c>
    </row>
    <row r="55" spans="1:7" x14ac:dyDescent="0.25">
      <c r="A55" s="48">
        <f t="shared" si="12"/>
        <v>46</v>
      </c>
      <c r="B55" s="182" t="e">
        <f t="shared" ca="1" si="9"/>
        <v>#NAME?</v>
      </c>
      <c r="C55" s="63"/>
      <c r="D55" s="62"/>
      <c r="E55" s="183">
        <f t="shared" si="10"/>
        <v>0</v>
      </c>
      <c r="F55" s="64" t="e">
        <f t="shared" si="11"/>
        <v>#REF!</v>
      </c>
      <c r="G55" s="71" t="e">
        <f t="shared" si="13"/>
        <v>#REF!</v>
      </c>
    </row>
    <row r="56" spans="1:7" x14ac:dyDescent="0.25">
      <c r="A56" s="48">
        <f t="shared" si="12"/>
        <v>47</v>
      </c>
      <c r="B56" s="182" t="e">
        <f t="shared" ca="1" si="9"/>
        <v>#NAME?</v>
      </c>
      <c r="C56" s="63"/>
      <c r="D56" s="62"/>
      <c r="E56" s="183">
        <f t="shared" si="10"/>
        <v>0</v>
      </c>
      <c r="F56" s="64" t="e">
        <f t="shared" si="11"/>
        <v>#REF!</v>
      </c>
      <c r="G56" s="71" t="e">
        <f t="shared" si="13"/>
        <v>#REF!</v>
      </c>
    </row>
    <row r="57" spans="1:7" x14ac:dyDescent="0.25">
      <c r="A57" s="48">
        <f t="shared" si="12"/>
        <v>48</v>
      </c>
      <c r="B57" s="182" t="e">
        <f t="shared" ca="1" si="9"/>
        <v>#NAME?</v>
      </c>
      <c r="C57" s="63"/>
      <c r="D57" s="62"/>
      <c r="E57" s="183">
        <f t="shared" si="10"/>
        <v>0</v>
      </c>
      <c r="F57" s="64" t="e">
        <f t="shared" si="11"/>
        <v>#REF!</v>
      </c>
      <c r="G57" s="71" t="e">
        <f t="shared" si="13"/>
        <v>#REF!</v>
      </c>
    </row>
    <row r="58" spans="1:7" x14ac:dyDescent="0.25">
      <c r="A58" s="48">
        <f t="shared" si="12"/>
        <v>49</v>
      </c>
      <c r="B58" s="182" t="e">
        <f t="shared" ca="1" si="9"/>
        <v>#NAME?</v>
      </c>
      <c r="C58" s="63"/>
      <c r="D58" s="62"/>
      <c r="E58" s="183">
        <f t="shared" si="10"/>
        <v>0</v>
      </c>
      <c r="F58" s="64" t="e">
        <f t="shared" si="11"/>
        <v>#REF!</v>
      </c>
      <c r="G58" s="71" t="e">
        <f t="shared" si="13"/>
        <v>#REF!</v>
      </c>
    </row>
    <row r="59" spans="1:7" x14ac:dyDescent="0.25">
      <c r="A59" s="48">
        <f t="shared" si="12"/>
        <v>50</v>
      </c>
      <c r="B59" s="182" t="e">
        <f t="shared" ca="1" si="9"/>
        <v>#NAME?</v>
      </c>
      <c r="C59" s="63"/>
      <c r="D59" s="62"/>
      <c r="E59" s="183">
        <f t="shared" ref="E59:E69" si="14">IF(TERM_C&gt;=A59, 1/TERM_C, 0)</f>
        <v>0</v>
      </c>
      <c r="F59" s="64" t="e">
        <f t="shared" ref="F59:F69" si="15">E59*$D$5</f>
        <v>#REF!</v>
      </c>
      <c r="G59" s="71" t="e">
        <f t="shared" si="13"/>
        <v>#REF!</v>
      </c>
    </row>
    <row r="60" spans="1:7" x14ac:dyDescent="0.25">
      <c r="A60" s="48">
        <f t="shared" ref="A60:A69" si="16">A59+1</f>
        <v>51</v>
      </c>
      <c r="B60" s="182" t="e">
        <f t="shared" ca="1" si="9"/>
        <v>#NAME?</v>
      </c>
      <c r="C60" s="63"/>
      <c r="D60" s="62"/>
      <c r="E60" s="183">
        <f t="shared" si="14"/>
        <v>0</v>
      </c>
      <c r="F60" s="64" t="e">
        <f t="shared" si="15"/>
        <v>#REF!</v>
      </c>
      <c r="G60" s="71" t="e">
        <f t="shared" ref="G60:G69" si="17">F60+G59</f>
        <v>#REF!</v>
      </c>
    </row>
    <row r="61" spans="1:7" x14ac:dyDescent="0.25">
      <c r="A61" s="48">
        <f t="shared" si="16"/>
        <v>52</v>
      </c>
      <c r="B61" s="182" t="e">
        <f t="shared" ca="1" si="9"/>
        <v>#NAME?</v>
      </c>
      <c r="C61" s="63"/>
      <c r="D61" s="62"/>
      <c r="E61" s="183">
        <f t="shared" si="14"/>
        <v>0</v>
      </c>
      <c r="F61" s="64" t="e">
        <f t="shared" si="15"/>
        <v>#REF!</v>
      </c>
      <c r="G61" s="71" t="e">
        <f t="shared" si="17"/>
        <v>#REF!</v>
      </c>
    </row>
    <row r="62" spans="1:7" x14ac:dyDescent="0.25">
      <c r="A62" s="48">
        <f t="shared" si="16"/>
        <v>53</v>
      </c>
      <c r="B62" s="182" t="e">
        <f t="shared" ca="1" si="9"/>
        <v>#NAME?</v>
      </c>
      <c r="C62" s="63"/>
      <c r="D62" s="62"/>
      <c r="E62" s="183">
        <f t="shared" si="14"/>
        <v>0</v>
      </c>
      <c r="F62" s="64" t="e">
        <f t="shared" si="15"/>
        <v>#REF!</v>
      </c>
      <c r="G62" s="71" t="e">
        <f t="shared" si="17"/>
        <v>#REF!</v>
      </c>
    </row>
    <row r="63" spans="1:7" x14ac:dyDescent="0.25">
      <c r="A63" s="48">
        <f t="shared" si="16"/>
        <v>54</v>
      </c>
      <c r="B63" s="182" t="e">
        <f t="shared" ca="1" si="9"/>
        <v>#NAME?</v>
      </c>
      <c r="C63" s="63"/>
      <c r="D63" s="62"/>
      <c r="E63" s="183">
        <f t="shared" si="14"/>
        <v>0</v>
      </c>
      <c r="F63" s="64" t="e">
        <f t="shared" si="15"/>
        <v>#REF!</v>
      </c>
      <c r="G63" s="71" t="e">
        <f t="shared" si="17"/>
        <v>#REF!</v>
      </c>
    </row>
    <row r="64" spans="1:7" x14ac:dyDescent="0.25">
      <c r="A64" s="48">
        <f t="shared" si="16"/>
        <v>55</v>
      </c>
      <c r="B64" s="182" t="e">
        <f t="shared" ca="1" si="9"/>
        <v>#NAME?</v>
      </c>
      <c r="C64" s="63"/>
      <c r="D64" s="62"/>
      <c r="E64" s="183">
        <f t="shared" si="14"/>
        <v>0</v>
      </c>
      <c r="F64" s="64" t="e">
        <f t="shared" si="15"/>
        <v>#REF!</v>
      </c>
      <c r="G64" s="71" t="e">
        <f t="shared" si="17"/>
        <v>#REF!</v>
      </c>
    </row>
    <row r="65" spans="1:7" x14ac:dyDescent="0.25">
      <c r="A65" s="48">
        <f t="shared" si="16"/>
        <v>56</v>
      </c>
      <c r="B65" s="182" t="e">
        <f t="shared" ca="1" si="9"/>
        <v>#NAME?</v>
      </c>
      <c r="C65" s="63"/>
      <c r="D65" s="62"/>
      <c r="E65" s="183">
        <f t="shared" si="14"/>
        <v>0</v>
      </c>
      <c r="F65" s="64" t="e">
        <f t="shared" si="15"/>
        <v>#REF!</v>
      </c>
      <c r="G65" s="71" t="e">
        <f t="shared" si="17"/>
        <v>#REF!</v>
      </c>
    </row>
    <row r="66" spans="1:7" x14ac:dyDescent="0.25">
      <c r="A66" s="48">
        <f t="shared" si="16"/>
        <v>57</v>
      </c>
      <c r="B66" s="182" t="e">
        <f t="shared" ca="1" si="9"/>
        <v>#NAME?</v>
      </c>
      <c r="C66" s="63"/>
      <c r="D66" s="62"/>
      <c r="E66" s="183">
        <f t="shared" si="14"/>
        <v>0</v>
      </c>
      <c r="F66" s="64" t="e">
        <f t="shared" si="15"/>
        <v>#REF!</v>
      </c>
      <c r="G66" s="71" t="e">
        <f t="shared" si="17"/>
        <v>#REF!</v>
      </c>
    </row>
    <row r="67" spans="1:7" x14ac:dyDescent="0.25">
      <c r="A67" s="48">
        <f t="shared" si="16"/>
        <v>58</v>
      </c>
      <c r="B67" s="182" t="e">
        <f t="shared" ca="1" si="9"/>
        <v>#NAME?</v>
      </c>
      <c r="C67" s="63"/>
      <c r="D67" s="62"/>
      <c r="E67" s="183">
        <f t="shared" si="14"/>
        <v>0</v>
      </c>
      <c r="F67" s="64" t="e">
        <f t="shared" si="15"/>
        <v>#REF!</v>
      </c>
      <c r="G67" s="71" t="e">
        <f t="shared" si="17"/>
        <v>#REF!</v>
      </c>
    </row>
    <row r="68" spans="1:7" x14ac:dyDescent="0.25">
      <c r="A68" s="48">
        <f t="shared" si="16"/>
        <v>59</v>
      </c>
      <c r="B68" s="182" t="e">
        <f t="shared" ca="1" si="9"/>
        <v>#NAME?</v>
      </c>
      <c r="C68" s="63"/>
      <c r="D68" s="62"/>
      <c r="E68" s="183">
        <f t="shared" si="14"/>
        <v>0</v>
      </c>
      <c r="F68" s="64" t="e">
        <f t="shared" si="15"/>
        <v>#REF!</v>
      </c>
      <c r="G68" s="71" t="e">
        <f t="shared" si="17"/>
        <v>#REF!</v>
      </c>
    </row>
    <row r="69" spans="1:7" x14ac:dyDescent="0.25">
      <c r="A69" s="48">
        <f t="shared" si="16"/>
        <v>60</v>
      </c>
      <c r="B69" s="182" t="e">
        <f t="shared" ca="1" si="9"/>
        <v>#NAME?</v>
      </c>
      <c r="C69" s="63"/>
      <c r="D69" s="62"/>
      <c r="E69" s="183">
        <f t="shared" si="14"/>
        <v>0</v>
      </c>
      <c r="F69" s="64" t="e">
        <f t="shared" si="15"/>
        <v>#REF!</v>
      </c>
      <c r="G69" s="71" t="e">
        <f t="shared" si="17"/>
        <v>#REF!</v>
      </c>
    </row>
    <row r="70" spans="1:7" ht="13.8" thickBot="1" x14ac:dyDescent="0.3">
      <c r="B70" s="51"/>
      <c r="C70" s="63"/>
      <c r="D70" s="62"/>
      <c r="E70" s="183" t="s">
        <v>7</v>
      </c>
      <c r="F70" s="63"/>
      <c r="G70" s="62"/>
    </row>
    <row r="71" spans="1:7" ht="14.4" thickTop="1" thickBot="1" x14ac:dyDescent="0.3">
      <c r="B71" s="337" t="s">
        <v>247</v>
      </c>
      <c r="C71" s="331"/>
      <c r="D71" s="338"/>
      <c r="E71" s="339">
        <f>SUM(E10:E70)</f>
        <v>0.99999999999999989</v>
      </c>
      <c r="F71" s="340" t="e">
        <f>SUM(F10:F70)</f>
        <v>#REF!</v>
      </c>
      <c r="G71" s="338"/>
    </row>
    <row r="72" spans="1:7" ht="13.8" thickTop="1" x14ac:dyDescent="0.25"/>
    <row r="74" spans="1:7" x14ac:dyDescent="0.25">
      <c r="A74" s="382">
        <v>1</v>
      </c>
      <c r="B74" s="382">
        <f t="shared" ref="B74:G74" si="18">A74+1</f>
        <v>2</v>
      </c>
      <c r="C74" s="382">
        <f t="shared" si="18"/>
        <v>3</v>
      </c>
      <c r="D74" s="382">
        <f t="shared" si="18"/>
        <v>4</v>
      </c>
      <c r="E74" s="382">
        <f t="shared" si="18"/>
        <v>5</v>
      </c>
      <c r="F74" s="382">
        <f t="shared" si="18"/>
        <v>6</v>
      </c>
      <c r="G74" s="382">
        <f t="shared" si="18"/>
        <v>7</v>
      </c>
    </row>
  </sheetData>
  <printOptions horizontalCentered="1"/>
  <pageMargins left="0.5" right="1" top="0.75" bottom="0.75" header="0.5" footer="0.5"/>
  <pageSetup scale="52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P42"/>
  <sheetViews>
    <sheetView topLeftCell="K9" workbookViewId="0">
      <selection activeCell="AP38" sqref="AP38"/>
    </sheetView>
  </sheetViews>
  <sheetFormatPr defaultColWidth="9.109375" defaultRowHeight="13.2" x14ac:dyDescent="0.25"/>
  <cols>
    <col min="1" max="1" width="26.6640625" style="48" customWidth="1"/>
    <col min="2" max="2" width="10.6640625" style="48" customWidth="1"/>
    <col min="3" max="3" width="3.6640625" style="48" customWidth="1"/>
    <col min="4" max="16384" width="9.109375" style="48"/>
  </cols>
  <sheetData>
    <row r="1" spans="1:42" ht="15.6" x14ac:dyDescent="0.3">
      <c r="A1" s="209" t="s">
        <v>248</v>
      </c>
      <c r="B1" s="201"/>
      <c r="C1" s="204"/>
      <c r="D1" s="52"/>
    </row>
    <row r="2" spans="1:42" ht="15.6" x14ac:dyDescent="0.3">
      <c r="A2" s="205">
        <f>ASS!A4</f>
        <v>0</v>
      </c>
      <c r="B2" s="206"/>
      <c r="C2" s="207"/>
      <c r="D2" s="52"/>
    </row>
    <row r="3" spans="1:42" ht="15.6" x14ac:dyDescent="0.3">
      <c r="A3" s="202" t="str">
        <f>ASS!A5</f>
        <v>BASE MODEL</v>
      </c>
      <c r="B3" s="203"/>
      <c r="C3" s="208"/>
      <c r="D3" s="52"/>
    </row>
    <row r="6" spans="1:42" x14ac:dyDescent="0.25">
      <c r="A6" s="53" t="s">
        <v>249</v>
      </c>
      <c r="B6" s="60"/>
      <c r="C6" s="60"/>
      <c r="D6" s="60"/>
      <c r="E6" s="180">
        <f>1</f>
        <v>1</v>
      </c>
      <c r="F6" s="180">
        <f t="shared" ref="F6:O6" si="0">E6+1</f>
        <v>2</v>
      </c>
      <c r="G6" s="180">
        <f t="shared" si="0"/>
        <v>3</v>
      </c>
      <c r="H6" s="180">
        <f t="shared" si="0"/>
        <v>4</v>
      </c>
      <c r="I6" s="180">
        <f t="shared" si="0"/>
        <v>5</v>
      </c>
      <c r="J6" s="180">
        <f t="shared" si="0"/>
        <v>6</v>
      </c>
      <c r="K6" s="180">
        <f t="shared" si="0"/>
        <v>7</v>
      </c>
      <c r="L6" s="180">
        <f t="shared" si="0"/>
        <v>8</v>
      </c>
      <c r="M6" s="180">
        <f t="shared" si="0"/>
        <v>9</v>
      </c>
      <c r="N6" s="180">
        <f t="shared" si="0"/>
        <v>10</v>
      </c>
      <c r="O6" s="180">
        <f t="shared" si="0"/>
        <v>11</v>
      </c>
      <c r="P6" s="180">
        <f t="shared" ref="P6:Y6" si="1">O6+1</f>
        <v>12</v>
      </c>
      <c r="Q6" s="180">
        <f t="shared" si="1"/>
        <v>13</v>
      </c>
      <c r="R6" s="180">
        <f t="shared" si="1"/>
        <v>14</v>
      </c>
      <c r="S6" s="180">
        <f t="shared" si="1"/>
        <v>15</v>
      </c>
      <c r="T6" s="180">
        <f t="shared" si="1"/>
        <v>16</v>
      </c>
      <c r="U6" s="180">
        <f t="shared" si="1"/>
        <v>17</v>
      </c>
      <c r="V6" s="180">
        <f t="shared" si="1"/>
        <v>18</v>
      </c>
      <c r="W6" s="180">
        <f t="shared" si="1"/>
        <v>19</v>
      </c>
      <c r="X6" s="180">
        <f t="shared" si="1"/>
        <v>20</v>
      </c>
      <c r="Y6" s="180">
        <f t="shared" si="1"/>
        <v>21</v>
      </c>
      <c r="Z6" s="180">
        <f t="shared" ref="Z6:AN6" si="2">Y6+1</f>
        <v>22</v>
      </c>
      <c r="AA6" s="180">
        <f t="shared" si="2"/>
        <v>23</v>
      </c>
      <c r="AB6" s="180">
        <f t="shared" si="2"/>
        <v>24</v>
      </c>
      <c r="AC6" s="180">
        <f t="shared" si="2"/>
        <v>25</v>
      </c>
      <c r="AD6" s="180">
        <f t="shared" si="2"/>
        <v>26</v>
      </c>
      <c r="AE6" s="180">
        <f t="shared" si="2"/>
        <v>27</v>
      </c>
      <c r="AF6" s="180">
        <f t="shared" si="2"/>
        <v>28</v>
      </c>
      <c r="AG6" s="180">
        <f t="shared" si="2"/>
        <v>29</v>
      </c>
      <c r="AH6" s="180">
        <f t="shared" si="2"/>
        <v>30</v>
      </c>
      <c r="AI6" s="180">
        <f t="shared" si="2"/>
        <v>31</v>
      </c>
      <c r="AJ6" s="180">
        <f t="shared" si="2"/>
        <v>32</v>
      </c>
      <c r="AK6" s="180">
        <f t="shared" si="2"/>
        <v>33</v>
      </c>
      <c r="AL6" s="180">
        <f t="shared" si="2"/>
        <v>34</v>
      </c>
      <c r="AM6" s="180">
        <f t="shared" si="2"/>
        <v>35</v>
      </c>
      <c r="AN6" s="181">
        <f t="shared" si="2"/>
        <v>36</v>
      </c>
      <c r="AO6" s="49"/>
    </row>
    <row r="7" spans="1:42" x14ac:dyDescent="0.25">
      <c r="A7" s="156" t="s">
        <v>250</v>
      </c>
      <c r="B7" s="324"/>
      <c r="C7" s="324"/>
      <c r="D7" s="324"/>
      <c r="E7" s="325" t="e">
        <f t="shared" ref="E7:AN7" ca="1" si="3">EOMONTH(STARTCONST,E6-1)</f>
        <v>#NAME?</v>
      </c>
      <c r="F7" s="325" t="e">
        <f t="shared" ca="1" si="3"/>
        <v>#NAME?</v>
      </c>
      <c r="G7" s="325" t="e">
        <f t="shared" ca="1" si="3"/>
        <v>#NAME?</v>
      </c>
      <c r="H7" s="325" t="e">
        <f t="shared" ca="1" si="3"/>
        <v>#NAME?</v>
      </c>
      <c r="I7" s="325" t="e">
        <f t="shared" ca="1" si="3"/>
        <v>#NAME?</v>
      </c>
      <c r="J7" s="325" t="e">
        <f t="shared" ca="1" si="3"/>
        <v>#NAME?</v>
      </c>
      <c r="K7" s="325" t="e">
        <f t="shared" ca="1" si="3"/>
        <v>#NAME?</v>
      </c>
      <c r="L7" s="325" t="e">
        <f t="shared" ca="1" si="3"/>
        <v>#NAME?</v>
      </c>
      <c r="M7" s="325" t="e">
        <f t="shared" ca="1" si="3"/>
        <v>#NAME?</v>
      </c>
      <c r="N7" s="325" t="e">
        <f t="shared" ca="1" si="3"/>
        <v>#NAME?</v>
      </c>
      <c r="O7" s="325" t="e">
        <f t="shared" ca="1" si="3"/>
        <v>#NAME?</v>
      </c>
      <c r="P7" s="325" t="e">
        <f t="shared" ca="1" si="3"/>
        <v>#NAME?</v>
      </c>
      <c r="Q7" s="325" t="e">
        <f t="shared" ca="1" si="3"/>
        <v>#NAME?</v>
      </c>
      <c r="R7" s="325" t="e">
        <f t="shared" ca="1" si="3"/>
        <v>#NAME?</v>
      </c>
      <c r="S7" s="325" t="e">
        <f t="shared" ca="1" si="3"/>
        <v>#NAME?</v>
      </c>
      <c r="T7" s="325" t="e">
        <f t="shared" ca="1" si="3"/>
        <v>#NAME?</v>
      </c>
      <c r="U7" s="325" t="e">
        <f t="shared" ca="1" si="3"/>
        <v>#NAME?</v>
      </c>
      <c r="V7" s="325" t="e">
        <f t="shared" ca="1" si="3"/>
        <v>#NAME?</v>
      </c>
      <c r="W7" s="325" t="e">
        <f t="shared" ca="1" si="3"/>
        <v>#NAME?</v>
      </c>
      <c r="X7" s="325" t="e">
        <f t="shared" ca="1" si="3"/>
        <v>#NAME?</v>
      </c>
      <c r="Y7" s="325" t="e">
        <f t="shared" ca="1" si="3"/>
        <v>#NAME?</v>
      </c>
      <c r="Z7" s="325" t="e">
        <f t="shared" ca="1" si="3"/>
        <v>#NAME?</v>
      </c>
      <c r="AA7" s="325" t="e">
        <f t="shared" ca="1" si="3"/>
        <v>#NAME?</v>
      </c>
      <c r="AB7" s="325" t="e">
        <f t="shared" ca="1" si="3"/>
        <v>#NAME?</v>
      </c>
      <c r="AC7" s="325" t="e">
        <f t="shared" ca="1" si="3"/>
        <v>#NAME?</v>
      </c>
      <c r="AD7" s="325" t="e">
        <f t="shared" ca="1" si="3"/>
        <v>#NAME?</v>
      </c>
      <c r="AE7" s="325" t="e">
        <f t="shared" ca="1" si="3"/>
        <v>#NAME?</v>
      </c>
      <c r="AF7" s="325" t="e">
        <f t="shared" ca="1" si="3"/>
        <v>#NAME?</v>
      </c>
      <c r="AG7" s="325" t="e">
        <f t="shared" ca="1" si="3"/>
        <v>#NAME?</v>
      </c>
      <c r="AH7" s="325" t="e">
        <f t="shared" ca="1" si="3"/>
        <v>#NAME?</v>
      </c>
      <c r="AI7" s="325" t="e">
        <f t="shared" ca="1" si="3"/>
        <v>#NAME?</v>
      </c>
      <c r="AJ7" s="325" t="e">
        <f t="shared" ca="1" si="3"/>
        <v>#NAME?</v>
      </c>
      <c r="AK7" s="325" t="e">
        <f t="shared" ca="1" si="3"/>
        <v>#NAME?</v>
      </c>
      <c r="AL7" s="325" t="e">
        <f t="shared" ca="1" si="3"/>
        <v>#NAME?</v>
      </c>
      <c r="AM7" s="325" t="e">
        <f t="shared" ca="1" si="3"/>
        <v>#NAME?</v>
      </c>
      <c r="AN7" s="325" t="e">
        <f t="shared" ca="1" si="3"/>
        <v>#NAME?</v>
      </c>
      <c r="AO7" s="252" t="s">
        <v>247</v>
      </c>
      <c r="AP7" s="368">
        <v>1</v>
      </c>
    </row>
    <row r="8" spans="1:42" x14ac:dyDescent="0.25">
      <c r="AP8" s="48">
        <f>AP7+1</f>
        <v>2</v>
      </c>
    </row>
    <row r="9" spans="1:42" x14ac:dyDescent="0.25">
      <c r="AP9" s="48">
        <f t="shared" ref="AP9:AP38" si="4">AP8+1</f>
        <v>3</v>
      </c>
    </row>
    <row r="10" spans="1:42" x14ac:dyDescent="0.25">
      <c r="A10" s="100"/>
      <c r="B10" s="126" t="s">
        <v>251</v>
      </c>
      <c r="C10" s="126"/>
      <c r="D10" s="141" t="s">
        <v>252</v>
      </c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54"/>
      <c r="AO10" s="49"/>
      <c r="AP10" s="48">
        <f t="shared" si="4"/>
        <v>4</v>
      </c>
    </row>
    <row r="11" spans="1:42" x14ac:dyDescent="0.25">
      <c r="A11" s="109" t="s">
        <v>253</v>
      </c>
      <c r="B11" s="210">
        <f>EST_COST-EST_IDC</f>
        <v>82876.510568732905</v>
      </c>
      <c r="C11" s="210"/>
      <c r="D11" s="214">
        <f>EST_COST</f>
        <v>85273.792512220287</v>
      </c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2"/>
      <c r="AO11" s="51"/>
      <c r="AP11" s="48">
        <f t="shared" si="4"/>
        <v>5</v>
      </c>
    </row>
    <row r="12" spans="1:42" x14ac:dyDescent="0.25">
      <c r="A12" s="109" t="s">
        <v>254</v>
      </c>
      <c r="B12" s="88"/>
      <c r="C12" s="88"/>
      <c r="D12" s="428" t="e">
        <f>ASS!$X$31</f>
        <v>#REF!</v>
      </c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2"/>
      <c r="AO12" s="51"/>
      <c r="AP12" s="48">
        <f t="shared" si="4"/>
        <v>6</v>
      </c>
    </row>
    <row r="13" spans="1:42" x14ac:dyDescent="0.25">
      <c r="A13" s="156" t="s">
        <v>399</v>
      </c>
      <c r="B13" s="520" t="str">
        <f>ASS!W82</f>
        <v/>
      </c>
      <c r="C13" s="520"/>
      <c r="D13" s="521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2"/>
      <c r="AO13" s="51"/>
      <c r="AP13" s="48">
        <f t="shared" si="4"/>
        <v>7</v>
      </c>
    </row>
    <row r="14" spans="1:42" x14ac:dyDescent="0.25">
      <c r="A14" s="61" t="s">
        <v>7</v>
      </c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2"/>
      <c r="AO14" s="51"/>
      <c r="AP14" s="48">
        <f t="shared" si="4"/>
        <v>8</v>
      </c>
    </row>
    <row r="15" spans="1:42" x14ac:dyDescent="0.25">
      <c r="A15" s="61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2"/>
      <c r="AO15" s="51"/>
      <c r="AP15" s="48">
        <f t="shared" si="4"/>
        <v>9</v>
      </c>
    </row>
    <row r="16" spans="1:42" x14ac:dyDescent="0.25">
      <c r="A16" s="147" t="s">
        <v>255</v>
      </c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2"/>
      <c r="AO16" s="51"/>
      <c r="AP16" s="48">
        <f t="shared" si="4"/>
        <v>10</v>
      </c>
    </row>
    <row r="17" spans="1:42" x14ac:dyDescent="0.25">
      <c r="A17" s="61" t="s">
        <v>256</v>
      </c>
      <c r="B17" s="63"/>
      <c r="C17" s="63"/>
      <c r="D17" s="63"/>
      <c r="E17" s="211">
        <v>0</v>
      </c>
      <c r="F17" s="164" t="e">
        <f t="shared" ref="F17:AN17" si="5">E20</f>
        <v>#REF!</v>
      </c>
      <c r="G17" s="164" t="e">
        <f t="shared" si="5"/>
        <v>#REF!</v>
      </c>
      <c r="H17" s="164" t="e">
        <f t="shared" si="5"/>
        <v>#REF!</v>
      </c>
      <c r="I17" s="164" t="e">
        <f t="shared" si="5"/>
        <v>#REF!</v>
      </c>
      <c r="J17" s="164" t="e">
        <f t="shared" si="5"/>
        <v>#REF!</v>
      </c>
      <c r="K17" s="164" t="e">
        <f t="shared" si="5"/>
        <v>#REF!</v>
      </c>
      <c r="L17" s="164" t="e">
        <f t="shared" si="5"/>
        <v>#REF!</v>
      </c>
      <c r="M17" s="164" t="e">
        <f t="shared" si="5"/>
        <v>#REF!</v>
      </c>
      <c r="N17" s="164" t="e">
        <f t="shared" si="5"/>
        <v>#REF!</v>
      </c>
      <c r="O17" s="164" t="e">
        <f t="shared" si="5"/>
        <v>#REF!</v>
      </c>
      <c r="P17" s="164" t="e">
        <f t="shared" si="5"/>
        <v>#REF!</v>
      </c>
      <c r="Q17" s="164" t="e">
        <f t="shared" si="5"/>
        <v>#REF!</v>
      </c>
      <c r="R17" s="164" t="e">
        <f t="shared" si="5"/>
        <v>#REF!</v>
      </c>
      <c r="S17" s="164" t="e">
        <f t="shared" si="5"/>
        <v>#REF!</v>
      </c>
      <c r="T17" s="164" t="e">
        <f t="shared" si="5"/>
        <v>#REF!</v>
      </c>
      <c r="U17" s="164" t="e">
        <f t="shared" si="5"/>
        <v>#REF!</v>
      </c>
      <c r="V17" s="164" t="e">
        <f t="shared" si="5"/>
        <v>#REF!</v>
      </c>
      <c r="W17" s="164" t="e">
        <f t="shared" si="5"/>
        <v>#REF!</v>
      </c>
      <c r="X17" s="164" t="e">
        <f t="shared" si="5"/>
        <v>#REF!</v>
      </c>
      <c r="Y17" s="164" t="e">
        <f t="shared" si="5"/>
        <v>#REF!</v>
      </c>
      <c r="Z17" s="164" t="e">
        <f t="shared" si="5"/>
        <v>#REF!</v>
      </c>
      <c r="AA17" s="164" t="e">
        <f t="shared" si="5"/>
        <v>#REF!</v>
      </c>
      <c r="AB17" s="164" t="e">
        <f t="shared" si="5"/>
        <v>#REF!</v>
      </c>
      <c r="AC17" s="164" t="e">
        <f t="shared" si="5"/>
        <v>#REF!</v>
      </c>
      <c r="AD17" s="164" t="e">
        <f t="shared" si="5"/>
        <v>#REF!</v>
      </c>
      <c r="AE17" s="164" t="e">
        <f t="shared" si="5"/>
        <v>#REF!</v>
      </c>
      <c r="AF17" s="164" t="e">
        <f t="shared" si="5"/>
        <v>#REF!</v>
      </c>
      <c r="AG17" s="164" t="e">
        <f t="shared" si="5"/>
        <v>#REF!</v>
      </c>
      <c r="AH17" s="164" t="e">
        <f t="shared" si="5"/>
        <v>#REF!</v>
      </c>
      <c r="AI17" s="164" t="e">
        <f t="shared" si="5"/>
        <v>#REF!</v>
      </c>
      <c r="AJ17" s="164" t="e">
        <f t="shared" si="5"/>
        <v>#REF!</v>
      </c>
      <c r="AK17" s="164" t="e">
        <f t="shared" si="5"/>
        <v>#REF!</v>
      </c>
      <c r="AL17" s="164" t="e">
        <f t="shared" si="5"/>
        <v>#REF!</v>
      </c>
      <c r="AM17" s="164" t="e">
        <f t="shared" si="5"/>
        <v>#REF!</v>
      </c>
      <c r="AN17" s="170" t="e">
        <f t="shared" si="5"/>
        <v>#REF!</v>
      </c>
      <c r="AO17" s="51"/>
      <c r="AP17" s="48">
        <f t="shared" si="4"/>
        <v>11</v>
      </c>
    </row>
    <row r="18" spans="1:42" x14ac:dyDescent="0.25">
      <c r="A18" s="61" t="s">
        <v>257</v>
      </c>
      <c r="B18" s="63"/>
      <c r="C18" s="63"/>
      <c r="D18" s="63"/>
      <c r="E18" s="164" t="e">
        <f>VLOOKUP(E6,DRAW_TABLE,DRAWDOWN!$F$74)</f>
        <v>#REF!</v>
      </c>
      <c r="F18" s="164" t="e">
        <f>VLOOKUP(F6,DRAW_TABLE,DRAWDOWN!$F$74)</f>
        <v>#REF!</v>
      </c>
      <c r="G18" s="164" t="e">
        <f>VLOOKUP(G6,DRAW_TABLE,DRAWDOWN!$F$74)</f>
        <v>#REF!</v>
      </c>
      <c r="H18" s="164" t="e">
        <f>VLOOKUP(H6,DRAW_TABLE,DRAWDOWN!$F$74)</f>
        <v>#REF!</v>
      </c>
      <c r="I18" s="164" t="e">
        <f>VLOOKUP(I6,DRAW_TABLE,DRAWDOWN!$F$74)</f>
        <v>#REF!</v>
      </c>
      <c r="J18" s="164" t="e">
        <f>VLOOKUP(J6,DRAW_TABLE,DRAWDOWN!$F$74)</f>
        <v>#REF!</v>
      </c>
      <c r="K18" s="164" t="e">
        <f>VLOOKUP(K6,DRAW_TABLE,DRAWDOWN!$F$74)</f>
        <v>#REF!</v>
      </c>
      <c r="L18" s="164" t="e">
        <f>VLOOKUP(L6,DRAW_TABLE,DRAWDOWN!$F$74)</f>
        <v>#REF!</v>
      </c>
      <c r="M18" s="164" t="e">
        <f>VLOOKUP(M6,DRAW_TABLE,DRAWDOWN!$F$74)</f>
        <v>#REF!</v>
      </c>
      <c r="N18" s="164" t="e">
        <f>VLOOKUP(N6,DRAW_TABLE,DRAWDOWN!$F$74)</f>
        <v>#REF!</v>
      </c>
      <c r="O18" s="164" t="e">
        <f>VLOOKUP(O6,DRAW_TABLE,DRAWDOWN!$F$74)</f>
        <v>#REF!</v>
      </c>
      <c r="P18" s="164" t="e">
        <f>VLOOKUP(P6,DRAW_TABLE,DRAWDOWN!$F$74)</f>
        <v>#REF!</v>
      </c>
      <c r="Q18" s="164" t="e">
        <f>VLOOKUP(Q6,DRAW_TABLE,DRAWDOWN!$F$74)</f>
        <v>#REF!</v>
      </c>
      <c r="R18" s="164" t="e">
        <f>VLOOKUP(R6,DRAW_TABLE,DRAWDOWN!$F$74)</f>
        <v>#REF!</v>
      </c>
      <c r="S18" s="164" t="e">
        <f>VLOOKUP(S6,DRAW_TABLE,DRAWDOWN!$F$74)</f>
        <v>#REF!</v>
      </c>
      <c r="T18" s="164" t="e">
        <f>VLOOKUP(T6,DRAW_TABLE,DRAWDOWN!$F$74)</f>
        <v>#REF!</v>
      </c>
      <c r="U18" s="164" t="e">
        <f>VLOOKUP(U6,DRAW_TABLE,DRAWDOWN!$F$74)</f>
        <v>#REF!</v>
      </c>
      <c r="V18" s="164" t="e">
        <f>VLOOKUP(V6,DRAW_TABLE,DRAWDOWN!$F$74)</f>
        <v>#REF!</v>
      </c>
      <c r="W18" s="164" t="e">
        <f>VLOOKUP(W6,DRAW_TABLE,DRAWDOWN!$F$74)</f>
        <v>#REF!</v>
      </c>
      <c r="X18" s="164" t="e">
        <f>VLOOKUP(X6,DRAW_TABLE,DRAWDOWN!$F$74)</f>
        <v>#REF!</v>
      </c>
      <c r="Y18" s="164" t="e">
        <f>VLOOKUP(Y6,DRAW_TABLE,DRAWDOWN!$F$74)</f>
        <v>#REF!</v>
      </c>
      <c r="Z18" s="164" t="e">
        <f>VLOOKUP(Z6,DRAW_TABLE,DRAWDOWN!$F$74)</f>
        <v>#REF!</v>
      </c>
      <c r="AA18" s="164" t="e">
        <f>VLOOKUP(AA6,DRAW_TABLE,DRAWDOWN!$F$74)</f>
        <v>#REF!</v>
      </c>
      <c r="AB18" s="164" t="e">
        <f>VLOOKUP(AB6,DRAW_TABLE,DRAWDOWN!$F$74)</f>
        <v>#REF!</v>
      </c>
      <c r="AC18" s="164" t="e">
        <f>VLOOKUP(AC6,DRAW_TABLE,DRAWDOWN!$F$74)</f>
        <v>#REF!</v>
      </c>
      <c r="AD18" s="164" t="e">
        <f>VLOOKUP(AD6,DRAW_TABLE,DRAWDOWN!$F$74)</f>
        <v>#REF!</v>
      </c>
      <c r="AE18" s="164" t="e">
        <f>VLOOKUP(AE6,DRAW_TABLE,DRAWDOWN!$F$74)</f>
        <v>#REF!</v>
      </c>
      <c r="AF18" s="164" t="e">
        <f>VLOOKUP(AF6,DRAW_TABLE,DRAWDOWN!$F$74)</f>
        <v>#REF!</v>
      </c>
      <c r="AG18" s="164" t="e">
        <f>VLOOKUP(AG6,DRAW_TABLE,DRAWDOWN!$F$74)</f>
        <v>#REF!</v>
      </c>
      <c r="AH18" s="164" t="e">
        <f>VLOOKUP(AH6,DRAW_TABLE,DRAWDOWN!$F$74)</f>
        <v>#REF!</v>
      </c>
      <c r="AI18" s="164" t="e">
        <f>VLOOKUP(AI6,DRAW_TABLE,DRAWDOWN!$F$74)</f>
        <v>#REF!</v>
      </c>
      <c r="AJ18" s="164" t="e">
        <f>VLOOKUP(AJ6,DRAW_TABLE,DRAWDOWN!$F$74)</f>
        <v>#REF!</v>
      </c>
      <c r="AK18" s="164" t="e">
        <f>VLOOKUP(AK6,DRAW_TABLE,DRAWDOWN!$F$74)</f>
        <v>#REF!</v>
      </c>
      <c r="AL18" s="164" t="e">
        <f>VLOOKUP(AL6,DRAW_TABLE,DRAWDOWN!$F$74)</f>
        <v>#REF!</v>
      </c>
      <c r="AM18" s="164" t="e">
        <f>VLOOKUP(AM6,DRAW_TABLE,DRAWDOWN!$F$74)</f>
        <v>#REF!</v>
      </c>
      <c r="AN18" s="164" t="e">
        <f>VLOOKUP(AN6,DRAW_TABLE,DRAWDOWN!$F$74)</f>
        <v>#REF!</v>
      </c>
      <c r="AO18" s="84" t="e">
        <f>SUM(E18:AN18)</f>
        <v>#REF!</v>
      </c>
      <c r="AP18" s="48">
        <f t="shared" si="4"/>
        <v>12</v>
      </c>
    </row>
    <row r="19" spans="1:42" x14ac:dyDescent="0.25">
      <c r="A19" s="61" t="s">
        <v>1</v>
      </c>
      <c r="B19" s="63"/>
      <c r="C19" s="63"/>
      <c r="D19" s="63"/>
      <c r="E19" s="165" t="e">
        <f t="shared" ref="E19:AN19" si="6">E30</f>
        <v>#REF!</v>
      </c>
      <c r="F19" s="165" t="e">
        <f t="shared" si="6"/>
        <v>#REF!</v>
      </c>
      <c r="G19" s="165" t="e">
        <f t="shared" si="6"/>
        <v>#REF!</v>
      </c>
      <c r="H19" s="165" t="e">
        <f t="shared" si="6"/>
        <v>#REF!</v>
      </c>
      <c r="I19" s="165" t="e">
        <f t="shared" si="6"/>
        <v>#REF!</v>
      </c>
      <c r="J19" s="165" t="e">
        <f t="shared" si="6"/>
        <v>#REF!</v>
      </c>
      <c r="K19" s="165">
        <f t="shared" si="6"/>
        <v>0</v>
      </c>
      <c r="L19" s="165">
        <f t="shared" si="6"/>
        <v>0</v>
      </c>
      <c r="M19" s="165">
        <f t="shared" si="6"/>
        <v>0</v>
      </c>
      <c r="N19" s="165">
        <f t="shared" si="6"/>
        <v>0</v>
      </c>
      <c r="O19" s="165">
        <f t="shared" si="6"/>
        <v>0</v>
      </c>
      <c r="P19" s="165">
        <f t="shared" si="6"/>
        <v>0</v>
      </c>
      <c r="Q19" s="165">
        <f t="shared" si="6"/>
        <v>0</v>
      </c>
      <c r="R19" s="165">
        <f t="shared" si="6"/>
        <v>0</v>
      </c>
      <c r="S19" s="165">
        <f t="shared" si="6"/>
        <v>0</v>
      </c>
      <c r="T19" s="165">
        <f t="shared" si="6"/>
        <v>0</v>
      </c>
      <c r="U19" s="165">
        <f t="shared" si="6"/>
        <v>0</v>
      </c>
      <c r="V19" s="165">
        <f t="shared" si="6"/>
        <v>0</v>
      </c>
      <c r="W19" s="165">
        <f t="shared" si="6"/>
        <v>0</v>
      </c>
      <c r="X19" s="165">
        <f t="shared" si="6"/>
        <v>0</v>
      </c>
      <c r="Y19" s="165">
        <f t="shared" si="6"/>
        <v>0</v>
      </c>
      <c r="Z19" s="165">
        <f t="shared" si="6"/>
        <v>0</v>
      </c>
      <c r="AA19" s="165">
        <f t="shared" si="6"/>
        <v>0</v>
      </c>
      <c r="AB19" s="165">
        <f t="shared" si="6"/>
        <v>0</v>
      </c>
      <c r="AC19" s="165">
        <f t="shared" si="6"/>
        <v>0</v>
      </c>
      <c r="AD19" s="165">
        <f t="shared" si="6"/>
        <v>0</v>
      </c>
      <c r="AE19" s="165">
        <f t="shared" si="6"/>
        <v>0</v>
      </c>
      <c r="AF19" s="165">
        <f t="shared" si="6"/>
        <v>0</v>
      </c>
      <c r="AG19" s="165">
        <f t="shared" si="6"/>
        <v>0</v>
      </c>
      <c r="AH19" s="165">
        <f t="shared" si="6"/>
        <v>0</v>
      </c>
      <c r="AI19" s="165">
        <f t="shared" si="6"/>
        <v>0</v>
      </c>
      <c r="AJ19" s="165">
        <f t="shared" si="6"/>
        <v>0</v>
      </c>
      <c r="AK19" s="165">
        <f t="shared" si="6"/>
        <v>0</v>
      </c>
      <c r="AL19" s="165">
        <f t="shared" si="6"/>
        <v>0</v>
      </c>
      <c r="AM19" s="165">
        <f t="shared" si="6"/>
        <v>0</v>
      </c>
      <c r="AN19" s="171">
        <f t="shared" si="6"/>
        <v>0</v>
      </c>
      <c r="AO19" s="84" t="e">
        <f>SUM(E19:AN19)</f>
        <v>#REF!</v>
      </c>
      <c r="AP19" s="48">
        <f t="shared" si="4"/>
        <v>13</v>
      </c>
    </row>
    <row r="20" spans="1:42" x14ac:dyDescent="0.25">
      <c r="A20" s="61" t="s">
        <v>258</v>
      </c>
      <c r="B20" s="63"/>
      <c r="C20" s="63"/>
      <c r="D20" s="63"/>
      <c r="E20" s="164" t="e">
        <f>SUM(E17:E19)</f>
        <v>#REF!</v>
      </c>
      <c r="F20" s="164" t="e">
        <f t="shared" ref="F20:U20" si="7">SUM(F17:F19)</f>
        <v>#REF!</v>
      </c>
      <c r="G20" s="164" t="e">
        <f t="shared" si="7"/>
        <v>#REF!</v>
      </c>
      <c r="H20" s="164" t="e">
        <f t="shared" si="7"/>
        <v>#REF!</v>
      </c>
      <c r="I20" s="164" t="e">
        <f t="shared" si="7"/>
        <v>#REF!</v>
      </c>
      <c r="J20" s="164" t="e">
        <f t="shared" si="7"/>
        <v>#REF!</v>
      </c>
      <c r="K20" s="164" t="e">
        <f t="shared" si="7"/>
        <v>#REF!</v>
      </c>
      <c r="L20" s="164" t="e">
        <f t="shared" si="7"/>
        <v>#REF!</v>
      </c>
      <c r="M20" s="164" t="e">
        <f t="shared" si="7"/>
        <v>#REF!</v>
      </c>
      <c r="N20" s="164" t="e">
        <f t="shared" si="7"/>
        <v>#REF!</v>
      </c>
      <c r="O20" s="164" t="e">
        <f t="shared" si="7"/>
        <v>#REF!</v>
      </c>
      <c r="P20" s="164" t="e">
        <f t="shared" si="7"/>
        <v>#REF!</v>
      </c>
      <c r="Q20" s="164" t="e">
        <f t="shared" si="7"/>
        <v>#REF!</v>
      </c>
      <c r="R20" s="164" t="e">
        <f t="shared" si="7"/>
        <v>#REF!</v>
      </c>
      <c r="S20" s="164" t="e">
        <f t="shared" si="7"/>
        <v>#REF!</v>
      </c>
      <c r="T20" s="164" t="e">
        <f t="shared" si="7"/>
        <v>#REF!</v>
      </c>
      <c r="U20" s="164" t="e">
        <f t="shared" si="7"/>
        <v>#REF!</v>
      </c>
      <c r="V20" s="164" t="e">
        <f t="shared" ref="V20:AK20" si="8">SUM(V17:V19)</f>
        <v>#REF!</v>
      </c>
      <c r="W20" s="164" t="e">
        <f t="shared" si="8"/>
        <v>#REF!</v>
      </c>
      <c r="X20" s="164" t="e">
        <f t="shared" si="8"/>
        <v>#REF!</v>
      </c>
      <c r="Y20" s="164" t="e">
        <f t="shared" si="8"/>
        <v>#REF!</v>
      </c>
      <c r="Z20" s="164" t="e">
        <f t="shared" si="8"/>
        <v>#REF!</v>
      </c>
      <c r="AA20" s="164" t="e">
        <f t="shared" si="8"/>
        <v>#REF!</v>
      </c>
      <c r="AB20" s="164" t="e">
        <f t="shared" si="8"/>
        <v>#REF!</v>
      </c>
      <c r="AC20" s="164" t="e">
        <f t="shared" si="8"/>
        <v>#REF!</v>
      </c>
      <c r="AD20" s="164" t="e">
        <f t="shared" si="8"/>
        <v>#REF!</v>
      </c>
      <c r="AE20" s="164" t="e">
        <f t="shared" si="8"/>
        <v>#REF!</v>
      </c>
      <c r="AF20" s="164" t="e">
        <f t="shared" si="8"/>
        <v>#REF!</v>
      </c>
      <c r="AG20" s="164" t="e">
        <f t="shared" si="8"/>
        <v>#REF!</v>
      </c>
      <c r="AH20" s="164" t="e">
        <f t="shared" si="8"/>
        <v>#REF!</v>
      </c>
      <c r="AI20" s="164" t="e">
        <f t="shared" si="8"/>
        <v>#REF!</v>
      </c>
      <c r="AJ20" s="164" t="e">
        <f t="shared" si="8"/>
        <v>#REF!</v>
      </c>
      <c r="AK20" s="164" t="e">
        <f t="shared" si="8"/>
        <v>#REF!</v>
      </c>
      <c r="AL20" s="164" t="e">
        <f>SUM(AL17:AL19)</f>
        <v>#REF!</v>
      </c>
      <c r="AM20" s="164" t="e">
        <f>SUM(AM17:AM19)</f>
        <v>#REF!</v>
      </c>
      <c r="AN20" s="170" t="e">
        <f>SUM(AN17:AN19)</f>
        <v>#REF!</v>
      </c>
      <c r="AO20" s="51"/>
      <c r="AP20" s="48">
        <f t="shared" si="4"/>
        <v>14</v>
      </c>
    </row>
    <row r="21" spans="1:42" x14ac:dyDescent="0.25">
      <c r="A21" s="61" t="s">
        <v>259</v>
      </c>
      <c r="B21" s="63"/>
      <c r="C21" s="63"/>
      <c r="D21" s="63"/>
      <c r="E21" s="212" t="e">
        <f>SUM($E$18:E18)/$B$11</f>
        <v>#REF!</v>
      </c>
      <c r="F21" s="212" t="e">
        <f>SUM($E$18:F18)/$B$11</f>
        <v>#REF!</v>
      </c>
      <c r="G21" s="212" t="e">
        <f>SUM($E$18:G18)/$B$11</f>
        <v>#REF!</v>
      </c>
      <c r="H21" s="212" t="e">
        <f>SUM($E$18:H18)/$B$11</f>
        <v>#REF!</v>
      </c>
      <c r="I21" s="212" t="e">
        <f>SUM($E$18:I18)/$B$11</f>
        <v>#REF!</v>
      </c>
      <c r="J21" s="212" t="e">
        <f>SUM($E$18:J18)/$B$11</f>
        <v>#REF!</v>
      </c>
      <c r="K21" s="212" t="e">
        <f>SUM($E$18:K18)/$B$11</f>
        <v>#REF!</v>
      </c>
      <c r="L21" s="212" t="e">
        <f>SUM($E$18:L18)/$B$11</f>
        <v>#REF!</v>
      </c>
      <c r="M21" s="212" t="e">
        <f>SUM($E$18:M18)/$B$11</f>
        <v>#REF!</v>
      </c>
      <c r="N21" s="212" t="e">
        <f>SUM($E$18:N18)/$B$11</f>
        <v>#REF!</v>
      </c>
      <c r="O21" s="212" t="e">
        <f>SUM($E$18:O18)/$B$11</f>
        <v>#REF!</v>
      </c>
      <c r="P21" s="212" t="e">
        <f>SUM($E$18:P18)/$B$11</f>
        <v>#REF!</v>
      </c>
      <c r="Q21" s="212" t="e">
        <f>SUM($E$18:Q18)/$B$11</f>
        <v>#REF!</v>
      </c>
      <c r="R21" s="212" t="e">
        <f>SUM($E$18:R18)/$B$11</f>
        <v>#REF!</v>
      </c>
      <c r="S21" s="212" t="e">
        <f>SUM($E$18:S18)/$B$11</f>
        <v>#REF!</v>
      </c>
      <c r="T21" s="212" t="e">
        <f>SUM($E$18:T18)/$B$11</f>
        <v>#REF!</v>
      </c>
      <c r="U21" s="212" t="e">
        <f>SUM($E$18:U18)/$B$11</f>
        <v>#REF!</v>
      </c>
      <c r="V21" s="212" t="e">
        <f>SUM($E$18:V18)/$B$11</f>
        <v>#REF!</v>
      </c>
      <c r="W21" s="212" t="e">
        <f>SUM($E$18:W18)/$B$11</f>
        <v>#REF!</v>
      </c>
      <c r="X21" s="212" t="e">
        <f>SUM($E$18:X18)/$B$11</f>
        <v>#REF!</v>
      </c>
      <c r="Y21" s="212" t="e">
        <f>SUM($E$18:Y18)/$B$11</f>
        <v>#REF!</v>
      </c>
      <c r="Z21" s="212" t="e">
        <f>SUM($E$18:Z18)/$B$11</f>
        <v>#REF!</v>
      </c>
      <c r="AA21" s="212" t="e">
        <f>SUM($E$18:AA18)/$B$11</f>
        <v>#REF!</v>
      </c>
      <c r="AB21" s="212" t="e">
        <f>SUM($E$18:AB18)/$B$11</f>
        <v>#REF!</v>
      </c>
      <c r="AC21" s="212" t="e">
        <f>SUM($E$18:AC18)/$B$11</f>
        <v>#REF!</v>
      </c>
      <c r="AD21" s="212" t="e">
        <f>SUM($E$18:AD18)/$B$11</f>
        <v>#REF!</v>
      </c>
      <c r="AE21" s="212" t="e">
        <f>SUM($E$18:AE18)/$B$11</f>
        <v>#REF!</v>
      </c>
      <c r="AF21" s="212" t="e">
        <f>SUM($E$18:AF18)/$B$11</f>
        <v>#REF!</v>
      </c>
      <c r="AG21" s="212" t="e">
        <f>SUM($E$18:AG18)/$B$11</f>
        <v>#REF!</v>
      </c>
      <c r="AH21" s="212" t="e">
        <f>SUM($E$18:AH18)/$B$11</f>
        <v>#REF!</v>
      </c>
      <c r="AI21" s="212" t="e">
        <f>SUM($E$18:AI18)/$B$11</f>
        <v>#REF!</v>
      </c>
      <c r="AJ21" s="212" t="e">
        <f>SUM($E$18:AJ18)/$B$11</f>
        <v>#REF!</v>
      </c>
      <c r="AK21" s="212" t="e">
        <f>SUM($E$18:AK18)/$B$11</f>
        <v>#REF!</v>
      </c>
      <c r="AL21" s="212" t="e">
        <f>SUM($E$18:AL18)/$B$11</f>
        <v>#REF!</v>
      </c>
      <c r="AM21" s="212" t="e">
        <f>SUM($E$18:AM18)/$B$11</f>
        <v>#REF!</v>
      </c>
      <c r="AN21" s="213" t="e">
        <f>SUM($E$18:AN18)/$B$11</f>
        <v>#REF!</v>
      </c>
      <c r="AO21" s="51"/>
      <c r="AP21" s="48">
        <f t="shared" si="4"/>
        <v>15</v>
      </c>
    </row>
    <row r="22" spans="1:42" x14ac:dyDescent="0.25">
      <c r="A22" s="61" t="s">
        <v>260</v>
      </c>
      <c r="B22" s="63"/>
      <c r="C22" s="63"/>
      <c r="D22" s="63"/>
      <c r="E22" s="212" t="e">
        <f>E20/$D$11</f>
        <v>#REF!</v>
      </c>
      <c r="F22" s="212" t="e">
        <f t="shared" ref="F22:U22" si="9">F20/$D$11</f>
        <v>#REF!</v>
      </c>
      <c r="G22" s="212" t="e">
        <f t="shared" si="9"/>
        <v>#REF!</v>
      </c>
      <c r="H22" s="212" t="e">
        <f t="shared" si="9"/>
        <v>#REF!</v>
      </c>
      <c r="I22" s="212" t="e">
        <f t="shared" si="9"/>
        <v>#REF!</v>
      </c>
      <c r="J22" s="212" t="e">
        <f t="shared" si="9"/>
        <v>#REF!</v>
      </c>
      <c r="K22" s="212" t="e">
        <f t="shared" si="9"/>
        <v>#REF!</v>
      </c>
      <c r="L22" s="212" t="e">
        <f t="shared" si="9"/>
        <v>#REF!</v>
      </c>
      <c r="M22" s="212" t="e">
        <f t="shared" si="9"/>
        <v>#REF!</v>
      </c>
      <c r="N22" s="212" t="e">
        <f t="shared" si="9"/>
        <v>#REF!</v>
      </c>
      <c r="O22" s="212" t="e">
        <f t="shared" si="9"/>
        <v>#REF!</v>
      </c>
      <c r="P22" s="212" t="e">
        <f t="shared" si="9"/>
        <v>#REF!</v>
      </c>
      <c r="Q22" s="212" t="e">
        <f t="shared" si="9"/>
        <v>#REF!</v>
      </c>
      <c r="R22" s="212" t="e">
        <f t="shared" si="9"/>
        <v>#REF!</v>
      </c>
      <c r="S22" s="212" t="e">
        <f t="shared" si="9"/>
        <v>#REF!</v>
      </c>
      <c r="T22" s="212" t="e">
        <f t="shared" si="9"/>
        <v>#REF!</v>
      </c>
      <c r="U22" s="212" t="e">
        <f t="shared" si="9"/>
        <v>#REF!</v>
      </c>
      <c r="V22" s="212" t="e">
        <f t="shared" ref="V22:AK22" si="10">V20/$D$11</f>
        <v>#REF!</v>
      </c>
      <c r="W22" s="212" t="e">
        <f t="shared" si="10"/>
        <v>#REF!</v>
      </c>
      <c r="X22" s="212" t="e">
        <f t="shared" si="10"/>
        <v>#REF!</v>
      </c>
      <c r="Y22" s="212" t="e">
        <f t="shared" si="10"/>
        <v>#REF!</v>
      </c>
      <c r="Z22" s="212" t="e">
        <f t="shared" si="10"/>
        <v>#REF!</v>
      </c>
      <c r="AA22" s="212" t="e">
        <f t="shared" si="10"/>
        <v>#REF!</v>
      </c>
      <c r="AB22" s="212" t="e">
        <f t="shared" si="10"/>
        <v>#REF!</v>
      </c>
      <c r="AC22" s="212" t="e">
        <f t="shared" si="10"/>
        <v>#REF!</v>
      </c>
      <c r="AD22" s="212" t="e">
        <f t="shared" si="10"/>
        <v>#REF!</v>
      </c>
      <c r="AE22" s="212" t="e">
        <f t="shared" si="10"/>
        <v>#REF!</v>
      </c>
      <c r="AF22" s="212" t="e">
        <f t="shared" si="10"/>
        <v>#REF!</v>
      </c>
      <c r="AG22" s="212" t="e">
        <f t="shared" si="10"/>
        <v>#REF!</v>
      </c>
      <c r="AH22" s="212" t="e">
        <f t="shared" si="10"/>
        <v>#REF!</v>
      </c>
      <c r="AI22" s="212" t="e">
        <f t="shared" si="10"/>
        <v>#REF!</v>
      </c>
      <c r="AJ22" s="212" t="e">
        <f t="shared" si="10"/>
        <v>#REF!</v>
      </c>
      <c r="AK22" s="212" t="e">
        <f t="shared" si="10"/>
        <v>#REF!</v>
      </c>
      <c r="AL22" s="212" t="e">
        <f>AL20/$D$11</f>
        <v>#REF!</v>
      </c>
      <c r="AM22" s="212" t="e">
        <f>AM20/$D$11</f>
        <v>#REF!</v>
      </c>
      <c r="AN22" s="213" t="e">
        <f>AN20/$D$11</f>
        <v>#REF!</v>
      </c>
      <c r="AO22" s="51"/>
      <c r="AP22" s="48">
        <f t="shared" si="4"/>
        <v>16</v>
      </c>
    </row>
    <row r="23" spans="1:42" x14ac:dyDescent="0.25">
      <c r="A23" s="61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2"/>
      <c r="AO23" s="51"/>
      <c r="AP23" s="48">
        <f t="shared" si="4"/>
        <v>17</v>
      </c>
    </row>
    <row r="24" spans="1:42" x14ac:dyDescent="0.25">
      <c r="A24" s="147" t="s">
        <v>261</v>
      </c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2"/>
      <c r="AO24" s="51"/>
      <c r="AP24" s="48">
        <f t="shared" si="4"/>
        <v>18</v>
      </c>
    </row>
    <row r="25" spans="1:42" x14ac:dyDescent="0.25">
      <c r="A25" s="61" t="s">
        <v>262</v>
      </c>
      <c r="B25" s="63"/>
      <c r="C25" s="63"/>
      <c r="D25" s="63"/>
      <c r="E25" s="164">
        <f>E17*DEBTPERC</f>
        <v>0</v>
      </c>
      <c r="F25" s="164" t="e">
        <f t="shared" ref="F25:U27" si="11">F17*DEBTPERC</f>
        <v>#REF!</v>
      </c>
      <c r="G25" s="164" t="e">
        <f t="shared" si="11"/>
        <v>#REF!</v>
      </c>
      <c r="H25" s="164" t="e">
        <f t="shared" si="11"/>
        <v>#REF!</v>
      </c>
      <c r="I25" s="164" t="e">
        <f t="shared" si="11"/>
        <v>#REF!</v>
      </c>
      <c r="J25" s="164" t="e">
        <f t="shared" si="11"/>
        <v>#REF!</v>
      </c>
      <c r="K25" s="164" t="e">
        <f t="shared" si="11"/>
        <v>#REF!</v>
      </c>
      <c r="L25" s="164" t="e">
        <f t="shared" si="11"/>
        <v>#REF!</v>
      </c>
      <c r="M25" s="164" t="e">
        <f t="shared" si="11"/>
        <v>#REF!</v>
      </c>
      <c r="N25" s="164" t="e">
        <f t="shared" si="11"/>
        <v>#REF!</v>
      </c>
      <c r="O25" s="164" t="e">
        <f t="shared" si="11"/>
        <v>#REF!</v>
      </c>
      <c r="P25" s="164" t="e">
        <f t="shared" si="11"/>
        <v>#REF!</v>
      </c>
      <c r="Q25" s="164" t="e">
        <f t="shared" si="11"/>
        <v>#REF!</v>
      </c>
      <c r="R25" s="164" t="e">
        <f t="shared" si="11"/>
        <v>#REF!</v>
      </c>
      <c r="S25" s="164" t="e">
        <f t="shared" si="11"/>
        <v>#REF!</v>
      </c>
      <c r="T25" s="164" t="e">
        <f t="shared" si="11"/>
        <v>#REF!</v>
      </c>
      <c r="U25" s="164" t="e">
        <f t="shared" si="11"/>
        <v>#REF!</v>
      </c>
      <c r="V25" s="164" t="e">
        <f t="shared" ref="V25:AK27" si="12">V17*DEBTPERC</f>
        <v>#REF!</v>
      </c>
      <c r="W25" s="164" t="e">
        <f t="shared" si="12"/>
        <v>#REF!</v>
      </c>
      <c r="X25" s="164" t="e">
        <f t="shared" si="12"/>
        <v>#REF!</v>
      </c>
      <c r="Y25" s="164" t="e">
        <f t="shared" si="12"/>
        <v>#REF!</v>
      </c>
      <c r="Z25" s="164" t="e">
        <f t="shared" si="12"/>
        <v>#REF!</v>
      </c>
      <c r="AA25" s="164" t="e">
        <f t="shared" si="12"/>
        <v>#REF!</v>
      </c>
      <c r="AB25" s="164" t="e">
        <f t="shared" si="12"/>
        <v>#REF!</v>
      </c>
      <c r="AC25" s="164" t="e">
        <f t="shared" si="12"/>
        <v>#REF!</v>
      </c>
      <c r="AD25" s="164" t="e">
        <f t="shared" si="12"/>
        <v>#REF!</v>
      </c>
      <c r="AE25" s="164" t="e">
        <f t="shared" si="12"/>
        <v>#REF!</v>
      </c>
      <c r="AF25" s="164" t="e">
        <f t="shared" si="12"/>
        <v>#REF!</v>
      </c>
      <c r="AG25" s="164" t="e">
        <f t="shared" si="12"/>
        <v>#REF!</v>
      </c>
      <c r="AH25" s="164" t="e">
        <f t="shared" si="12"/>
        <v>#REF!</v>
      </c>
      <c r="AI25" s="164" t="e">
        <f t="shared" si="12"/>
        <v>#REF!</v>
      </c>
      <c r="AJ25" s="164" t="e">
        <f t="shared" si="12"/>
        <v>#REF!</v>
      </c>
      <c r="AK25" s="164" t="e">
        <f t="shared" si="12"/>
        <v>#REF!</v>
      </c>
      <c r="AL25" s="164" t="e">
        <f t="shared" ref="AL25:AN27" si="13">AL17*DEBTPERC</f>
        <v>#REF!</v>
      </c>
      <c r="AM25" s="164" t="e">
        <f t="shared" si="13"/>
        <v>#REF!</v>
      </c>
      <c r="AN25" s="170" t="e">
        <f t="shared" si="13"/>
        <v>#REF!</v>
      </c>
      <c r="AO25" s="51"/>
      <c r="AP25" s="48">
        <f t="shared" si="4"/>
        <v>19</v>
      </c>
    </row>
    <row r="26" spans="1:42" x14ac:dyDescent="0.25">
      <c r="A26" s="61" t="s">
        <v>263</v>
      </c>
      <c r="B26" s="63"/>
      <c r="C26" s="63"/>
      <c r="D26" s="63"/>
      <c r="E26" s="164" t="e">
        <f>E18*DEBTPERC</f>
        <v>#REF!</v>
      </c>
      <c r="F26" s="164" t="e">
        <f t="shared" si="11"/>
        <v>#REF!</v>
      </c>
      <c r="G26" s="164" t="e">
        <f t="shared" si="11"/>
        <v>#REF!</v>
      </c>
      <c r="H26" s="164" t="e">
        <f t="shared" si="11"/>
        <v>#REF!</v>
      </c>
      <c r="I26" s="164" t="e">
        <f t="shared" si="11"/>
        <v>#REF!</v>
      </c>
      <c r="J26" s="164" t="e">
        <f t="shared" si="11"/>
        <v>#REF!</v>
      </c>
      <c r="K26" s="164" t="e">
        <f t="shared" si="11"/>
        <v>#REF!</v>
      </c>
      <c r="L26" s="164" t="e">
        <f t="shared" si="11"/>
        <v>#REF!</v>
      </c>
      <c r="M26" s="164" t="e">
        <f t="shared" si="11"/>
        <v>#REF!</v>
      </c>
      <c r="N26" s="164" t="e">
        <f t="shared" si="11"/>
        <v>#REF!</v>
      </c>
      <c r="O26" s="164" t="e">
        <f t="shared" si="11"/>
        <v>#REF!</v>
      </c>
      <c r="P26" s="164" t="e">
        <f t="shared" si="11"/>
        <v>#REF!</v>
      </c>
      <c r="Q26" s="164" t="e">
        <f t="shared" si="11"/>
        <v>#REF!</v>
      </c>
      <c r="R26" s="164" t="e">
        <f t="shared" si="11"/>
        <v>#REF!</v>
      </c>
      <c r="S26" s="164" t="e">
        <f t="shared" si="11"/>
        <v>#REF!</v>
      </c>
      <c r="T26" s="164" t="e">
        <f t="shared" si="11"/>
        <v>#REF!</v>
      </c>
      <c r="U26" s="164" t="e">
        <f t="shared" si="11"/>
        <v>#REF!</v>
      </c>
      <c r="V26" s="164" t="e">
        <f t="shared" si="12"/>
        <v>#REF!</v>
      </c>
      <c r="W26" s="164" t="e">
        <f t="shared" si="12"/>
        <v>#REF!</v>
      </c>
      <c r="X26" s="164" t="e">
        <f t="shared" si="12"/>
        <v>#REF!</v>
      </c>
      <c r="Y26" s="164" t="e">
        <f t="shared" si="12"/>
        <v>#REF!</v>
      </c>
      <c r="Z26" s="164" t="e">
        <f t="shared" si="12"/>
        <v>#REF!</v>
      </c>
      <c r="AA26" s="164" t="e">
        <f t="shared" si="12"/>
        <v>#REF!</v>
      </c>
      <c r="AB26" s="164" t="e">
        <f t="shared" si="12"/>
        <v>#REF!</v>
      </c>
      <c r="AC26" s="164" t="e">
        <f t="shared" si="12"/>
        <v>#REF!</v>
      </c>
      <c r="AD26" s="164" t="e">
        <f t="shared" si="12"/>
        <v>#REF!</v>
      </c>
      <c r="AE26" s="164" t="e">
        <f t="shared" si="12"/>
        <v>#REF!</v>
      </c>
      <c r="AF26" s="164" t="e">
        <f t="shared" si="12"/>
        <v>#REF!</v>
      </c>
      <c r="AG26" s="164" t="e">
        <f t="shared" si="12"/>
        <v>#REF!</v>
      </c>
      <c r="AH26" s="164" t="e">
        <f t="shared" si="12"/>
        <v>#REF!</v>
      </c>
      <c r="AI26" s="164" t="e">
        <f t="shared" si="12"/>
        <v>#REF!</v>
      </c>
      <c r="AJ26" s="164" t="e">
        <f t="shared" si="12"/>
        <v>#REF!</v>
      </c>
      <c r="AK26" s="164" t="e">
        <f t="shared" si="12"/>
        <v>#REF!</v>
      </c>
      <c r="AL26" s="164" t="e">
        <f t="shared" si="13"/>
        <v>#REF!</v>
      </c>
      <c r="AM26" s="164" t="e">
        <f t="shared" si="13"/>
        <v>#REF!</v>
      </c>
      <c r="AN26" s="170" t="e">
        <f t="shared" si="13"/>
        <v>#REF!</v>
      </c>
      <c r="AO26" s="84" t="e">
        <f>SUM(E26:AN26)</f>
        <v>#REF!</v>
      </c>
      <c r="AP26" s="48">
        <f t="shared" si="4"/>
        <v>20</v>
      </c>
    </row>
    <row r="27" spans="1:42" x14ac:dyDescent="0.25">
      <c r="A27" s="61" t="s">
        <v>264</v>
      </c>
      <c r="B27" s="63"/>
      <c r="C27" s="63"/>
      <c r="D27" s="63"/>
      <c r="E27" s="165" t="e">
        <f>E19*DEBTPERC</f>
        <v>#REF!</v>
      </c>
      <c r="F27" s="165" t="e">
        <f t="shared" si="11"/>
        <v>#REF!</v>
      </c>
      <c r="G27" s="165" t="e">
        <f t="shared" si="11"/>
        <v>#REF!</v>
      </c>
      <c r="H27" s="165" t="e">
        <f t="shared" si="11"/>
        <v>#REF!</v>
      </c>
      <c r="I27" s="165" t="e">
        <f t="shared" si="11"/>
        <v>#REF!</v>
      </c>
      <c r="J27" s="165" t="e">
        <f t="shared" si="11"/>
        <v>#REF!</v>
      </c>
      <c r="K27" s="165">
        <f t="shared" si="11"/>
        <v>0</v>
      </c>
      <c r="L27" s="165">
        <f t="shared" si="11"/>
        <v>0</v>
      </c>
      <c r="M27" s="165">
        <f t="shared" si="11"/>
        <v>0</v>
      </c>
      <c r="N27" s="165">
        <f t="shared" si="11"/>
        <v>0</v>
      </c>
      <c r="O27" s="165">
        <f t="shared" si="11"/>
        <v>0</v>
      </c>
      <c r="P27" s="165">
        <f t="shared" si="11"/>
        <v>0</v>
      </c>
      <c r="Q27" s="165">
        <f t="shared" si="11"/>
        <v>0</v>
      </c>
      <c r="R27" s="165">
        <f t="shared" si="11"/>
        <v>0</v>
      </c>
      <c r="S27" s="165">
        <f t="shared" si="11"/>
        <v>0</v>
      </c>
      <c r="T27" s="165">
        <f t="shared" si="11"/>
        <v>0</v>
      </c>
      <c r="U27" s="165">
        <f t="shared" si="11"/>
        <v>0</v>
      </c>
      <c r="V27" s="165">
        <f t="shared" si="12"/>
        <v>0</v>
      </c>
      <c r="W27" s="165">
        <f t="shared" si="12"/>
        <v>0</v>
      </c>
      <c r="X27" s="165">
        <f t="shared" si="12"/>
        <v>0</v>
      </c>
      <c r="Y27" s="165">
        <f t="shared" si="12"/>
        <v>0</v>
      </c>
      <c r="Z27" s="165">
        <f t="shared" si="12"/>
        <v>0</v>
      </c>
      <c r="AA27" s="165">
        <f t="shared" si="12"/>
        <v>0</v>
      </c>
      <c r="AB27" s="165">
        <f t="shared" si="12"/>
        <v>0</v>
      </c>
      <c r="AC27" s="165">
        <f t="shared" si="12"/>
        <v>0</v>
      </c>
      <c r="AD27" s="165">
        <f t="shared" si="12"/>
        <v>0</v>
      </c>
      <c r="AE27" s="165">
        <f t="shared" si="12"/>
        <v>0</v>
      </c>
      <c r="AF27" s="165">
        <f t="shared" si="12"/>
        <v>0</v>
      </c>
      <c r="AG27" s="165">
        <f t="shared" si="12"/>
        <v>0</v>
      </c>
      <c r="AH27" s="165">
        <f t="shared" si="12"/>
        <v>0</v>
      </c>
      <c r="AI27" s="165">
        <f t="shared" si="12"/>
        <v>0</v>
      </c>
      <c r="AJ27" s="165">
        <f t="shared" si="12"/>
        <v>0</v>
      </c>
      <c r="AK27" s="165">
        <f t="shared" si="12"/>
        <v>0</v>
      </c>
      <c r="AL27" s="165">
        <f t="shared" si="13"/>
        <v>0</v>
      </c>
      <c r="AM27" s="165">
        <f t="shared" si="13"/>
        <v>0</v>
      </c>
      <c r="AN27" s="171">
        <f t="shared" si="13"/>
        <v>0</v>
      </c>
      <c r="AO27" s="84" t="e">
        <f>SUM(E27:AN27)</f>
        <v>#REF!</v>
      </c>
      <c r="AP27" s="48">
        <f t="shared" si="4"/>
        <v>21</v>
      </c>
    </row>
    <row r="28" spans="1:42" x14ac:dyDescent="0.25">
      <c r="A28" s="61" t="s">
        <v>265</v>
      </c>
      <c r="B28" s="63"/>
      <c r="C28" s="63"/>
      <c r="D28" s="63"/>
      <c r="E28" s="164" t="e">
        <f>SUM(E25:E27)</f>
        <v>#REF!</v>
      </c>
      <c r="F28" s="164" t="e">
        <f t="shared" ref="F28:U28" si="14">SUM(F25:F27)</f>
        <v>#REF!</v>
      </c>
      <c r="G28" s="164" t="e">
        <f t="shared" si="14"/>
        <v>#REF!</v>
      </c>
      <c r="H28" s="164" t="e">
        <f t="shared" si="14"/>
        <v>#REF!</v>
      </c>
      <c r="I28" s="164" t="e">
        <f t="shared" si="14"/>
        <v>#REF!</v>
      </c>
      <c r="J28" s="164" t="e">
        <f t="shared" si="14"/>
        <v>#REF!</v>
      </c>
      <c r="K28" s="164" t="e">
        <f t="shared" si="14"/>
        <v>#REF!</v>
      </c>
      <c r="L28" s="164" t="e">
        <f t="shared" si="14"/>
        <v>#REF!</v>
      </c>
      <c r="M28" s="164" t="e">
        <f t="shared" si="14"/>
        <v>#REF!</v>
      </c>
      <c r="N28" s="164" t="e">
        <f t="shared" si="14"/>
        <v>#REF!</v>
      </c>
      <c r="O28" s="164" t="e">
        <f t="shared" si="14"/>
        <v>#REF!</v>
      </c>
      <c r="P28" s="164" t="e">
        <f t="shared" si="14"/>
        <v>#REF!</v>
      </c>
      <c r="Q28" s="164" t="e">
        <f t="shared" si="14"/>
        <v>#REF!</v>
      </c>
      <c r="R28" s="164" t="e">
        <f t="shared" si="14"/>
        <v>#REF!</v>
      </c>
      <c r="S28" s="164" t="e">
        <f t="shared" si="14"/>
        <v>#REF!</v>
      </c>
      <c r="T28" s="164" t="e">
        <f t="shared" si="14"/>
        <v>#REF!</v>
      </c>
      <c r="U28" s="164" t="e">
        <f t="shared" si="14"/>
        <v>#REF!</v>
      </c>
      <c r="V28" s="164" t="e">
        <f t="shared" ref="V28:AK28" si="15">SUM(V25:V27)</f>
        <v>#REF!</v>
      </c>
      <c r="W28" s="164" t="e">
        <f t="shared" si="15"/>
        <v>#REF!</v>
      </c>
      <c r="X28" s="164" t="e">
        <f t="shared" si="15"/>
        <v>#REF!</v>
      </c>
      <c r="Y28" s="164" t="e">
        <f t="shared" si="15"/>
        <v>#REF!</v>
      </c>
      <c r="Z28" s="164" t="e">
        <f t="shared" si="15"/>
        <v>#REF!</v>
      </c>
      <c r="AA28" s="164" t="e">
        <f t="shared" si="15"/>
        <v>#REF!</v>
      </c>
      <c r="AB28" s="164" t="e">
        <f t="shared" si="15"/>
        <v>#REF!</v>
      </c>
      <c r="AC28" s="164" t="e">
        <f t="shared" si="15"/>
        <v>#REF!</v>
      </c>
      <c r="AD28" s="164" t="e">
        <f t="shared" si="15"/>
        <v>#REF!</v>
      </c>
      <c r="AE28" s="164" t="e">
        <f t="shared" si="15"/>
        <v>#REF!</v>
      </c>
      <c r="AF28" s="164" t="e">
        <f t="shared" si="15"/>
        <v>#REF!</v>
      </c>
      <c r="AG28" s="164" t="e">
        <f t="shared" si="15"/>
        <v>#REF!</v>
      </c>
      <c r="AH28" s="164" t="e">
        <f t="shared" si="15"/>
        <v>#REF!</v>
      </c>
      <c r="AI28" s="164" t="e">
        <f t="shared" si="15"/>
        <v>#REF!</v>
      </c>
      <c r="AJ28" s="164" t="e">
        <f t="shared" si="15"/>
        <v>#REF!</v>
      </c>
      <c r="AK28" s="164" t="e">
        <f t="shared" si="15"/>
        <v>#REF!</v>
      </c>
      <c r="AL28" s="164" t="e">
        <f>SUM(AL25:AL27)</f>
        <v>#REF!</v>
      </c>
      <c r="AM28" s="164" t="e">
        <f>SUM(AM25:AM27)</f>
        <v>#REF!</v>
      </c>
      <c r="AN28" s="170" t="e">
        <f>SUM(AN25:AN27)</f>
        <v>#REF!</v>
      </c>
      <c r="AO28" s="51"/>
      <c r="AP28" s="48">
        <f t="shared" si="4"/>
        <v>22</v>
      </c>
    </row>
    <row r="29" spans="1:42" x14ac:dyDescent="0.25">
      <c r="A29" s="61"/>
      <c r="B29" s="63"/>
      <c r="C29" s="63"/>
      <c r="D29" s="63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  <c r="AH29" s="164"/>
      <c r="AI29" s="164"/>
      <c r="AJ29" s="164"/>
      <c r="AK29" s="164"/>
      <c r="AL29" s="164"/>
      <c r="AM29" s="164"/>
      <c r="AN29" s="170"/>
      <c r="AO29" s="51"/>
      <c r="AP29" s="48">
        <f t="shared" si="4"/>
        <v>23</v>
      </c>
    </row>
    <row r="30" spans="1:42" x14ac:dyDescent="0.25">
      <c r="A30" s="109" t="s">
        <v>266</v>
      </c>
      <c r="B30" s="88"/>
      <c r="C30" s="88"/>
      <c r="D30" s="88"/>
      <c r="E30" s="210" t="e">
        <f>IF(E6&gt;ASS!$E$16,0,(E25+SUM(E25:E26))/2*$D$12/12)</f>
        <v>#REF!</v>
      </c>
      <c r="F30" s="210" t="e">
        <f>IF(F6&gt;ASS!$E$16,0,(F25+SUM(F25:F26))/2*$D$12/12)</f>
        <v>#REF!</v>
      </c>
      <c r="G30" s="210" t="e">
        <f>IF(G6&gt;ASS!$E$16,0,(G25+SUM(G25:G26))/2*$D$12/12)</f>
        <v>#REF!</v>
      </c>
      <c r="H30" s="210" t="e">
        <f>IF(H6&gt;ASS!$E$16,0,(H25+SUM(H25:H26))/2*$D$12/12)</f>
        <v>#REF!</v>
      </c>
      <c r="I30" s="210" t="e">
        <f>IF(I6&gt;ASS!$E$16,0,(I25+SUM(I25:I26))/2*$D$12/12)</f>
        <v>#REF!</v>
      </c>
      <c r="J30" s="210" t="e">
        <f>IF(J6&gt;ASS!$E$16,0,(J25+SUM(J25:J26))/2*$D$12/12)</f>
        <v>#REF!</v>
      </c>
      <c r="K30" s="210">
        <f>IF(K6&gt;ASS!$E$16,0,(K25+SUM(K25:K26))/2*$D$12/12)</f>
        <v>0</v>
      </c>
      <c r="L30" s="210">
        <f>IF(L6&gt;ASS!$E$16,0,(L25+SUM(L25:L26))/2*$D$12/12)</f>
        <v>0</v>
      </c>
      <c r="M30" s="210">
        <f>IF(M6&gt;ASS!$E$16,0,(M25+SUM(M25:M26))/2*$D$12/12)</f>
        <v>0</v>
      </c>
      <c r="N30" s="210">
        <f>IF(N6&gt;ASS!$E$16,0,(N25+SUM(N25:N26))/2*$D$12/12)</f>
        <v>0</v>
      </c>
      <c r="O30" s="210">
        <f>IF(O6&gt;ASS!$E$16,0,(O25+SUM(O25:O26))/2*$D$12/12)</f>
        <v>0</v>
      </c>
      <c r="P30" s="210">
        <f>IF(P6&gt;ASS!$E$16,0,(P25+SUM(P25:P26))/2*$D$12/12)</f>
        <v>0</v>
      </c>
      <c r="Q30" s="210">
        <f>IF(Q6&gt;ASS!$E$16,0,(Q25+SUM(Q25:Q26))/2*$D$12/12)</f>
        <v>0</v>
      </c>
      <c r="R30" s="210">
        <f>IF(R6&gt;ASS!$E$16,0,(R25+SUM(R25:R26))/2*$D$12/12)</f>
        <v>0</v>
      </c>
      <c r="S30" s="210">
        <f>IF(S6&gt;ASS!$E$16,0,(S25+SUM(S25:S26))/2*$D$12/12)</f>
        <v>0</v>
      </c>
      <c r="T30" s="210">
        <f>IF(T6&gt;ASS!$E$16,0,(T25+SUM(T25:T26))/2*$D$12/12)</f>
        <v>0</v>
      </c>
      <c r="U30" s="210">
        <f>IF(U6&gt;ASS!$E$16,0,(U25+SUM(U25:U26))/2*$D$12/12)</f>
        <v>0</v>
      </c>
      <c r="V30" s="210">
        <f>IF(V6&gt;ASS!$E$16,0,(V25+SUM(V25:V26))/2*$D$12/12)</f>
        <v>0</v>
      </c>
      <c r="W30" s="210">
        <f>IF(W6&gt;ASS!$E$16,0,(W25+SUM(W25:W26))/2*$D$12/12)</f>
        <v>0</v>
      </c>
      <c r="X30" s="210">
        <f>IF(X6&gt;ASS!$E$16,0,(X25+SUM(X25:X26))/2*$D$12/12)</f>
        <v>0</v>
      </c>
      <c r="Y30" s="210">
        <f>IF(Y6&gt;ASS!$E$16,0,(Y25+SUM(Y25:Y26))/2*$D$12/12)</f>
        <v>0</v>
      </c>
      <c r="Z30" s="210">
        <f>IF(Z6&gt;ASS!$E$16,0,(Z25+SUM(Z25:Z26))/2*$D$12/12)</f>
        <v>0</v>
      </c>
      <c r="AA30" s="210">
        <f>IF(AA6&gt;ASS!$E$16,0,(AA25+SUM(AA25:AA26))/2*$D$12/12)</f>
        <v>0</v>
      </c>
      <c r="AB30" s="210">
        <f>IF(AB6&gt;ASS!$E$16,0,(AB25+SUM(AB25:AB26))/2*$D$12/12)</f>
        <v>0</v>
      </c>
      <c r="AC30" s="210">
        <f>IF(AC6&gt;ASS!$E$16,0,(AC25+SUM(AC25:AC26))/2*$D$12/12)</f>
        <v>0</v>
      </c>
      <c r="AD30" s="210">
        <f>IF(AD6&gt;ASS!$E$16,0,(AD25+SUM(AD25:AD26))/2*$D$12/12)</f>
        <v>0</v>
      </c>
      <c r="AE30" s="210">
        <f>IF(AE6&gt;ASS!$E$16,0,(AE25+SUM(AE25:AE26))/2*$D$12/12)</f>
        <v>0</v>
      </c>
      <c r="AF30" s="210">
        <f>IF(AF6&gt;ASS!$E$16,0,(AF25+SUM(AF25:AF26))/2*$D$12/12)</f>
        <v>0</v>
      </c>
      <c r="AG30" s="210">
        <f>IF(AG6&gt;ASS!$E$16,0,(AG25+SUM(AG25:AG26))/2*$D$12/12)</f>
        <v>0</v>
      </c>
      <c r="AH30" s="210">
        <f>IF(AH6&gt;ASS!$E$16,0,(AH25+SUM(AH25:AH26))/2*$D$12/12)</f>
        <v>0</v>
      </c>
      <c r="AI30" s="210">
        <f>IF(AI6&gt;ASS!$E$16,0,(AI25+SUM(AI25:AI26))/2*$D$12/12)</f>
        <v>0</v>
      </c>
      <c r="AJ30" s="210">
        <f>IF(AJ6&gt;ASS!$E$16,0,(AJ25+SUM(AJ25:AJ26))/2*$D$12/12)</f>
        <v>0</v>
      </c>
      <c r="AK30" s="210">
        <f>IF(AK6&gt;ASS!$E$16,0,(AK25+SUM(AK25:AK26))/2*$D$12/12)</f>
        <v>0</v>
      </c>
      <c r="AL30" s="210">
        <f>IF(AL6&gt;ASS!$E$16,0,(AL25+SUM(AL25:AL26))/2*$D$12/12)</f>
        <v>0</v>
      </c>
      <c r="AM30" s="210">
        <f>IF(AM6&gt;ASS!$E$16,0,(AM25+SUM(AM25:AM26))/2*$D$12/12)</f>
        <v>0</v>
      </c>
      <c r="AN30" s="214">
        <f>IF(AN6&gt;ASS!$E$16,0,(AN25+SUM(AN25:AN26))/2*$D$12/12)</f>
        <v>0</v>
      </c>
      <c r="AO30" s="275" t="e">
        <f>SUM(E30:AN30)</f>
        <v>#REF!</v>
      </c>
      <c r="AP30" s="48">
        <f t="shared" si="4"/>
        <v>24</v>
      </c>
    </row>
    <row r="31" spans="1:42" x14ac:dyDescent="0.25">
      <c r="A31" s="109" t="s">
        <v>403</v>
      </c>
      <c r="B31" s="88"/>
      <c r="C31" s="88"/>
      <c r="D31" s="88"/>
      <c r="E31" s="210" t="e">
        <f>D31+E30</f>
        <v>#REF!</v>
      </c>
      <c r="F31" s="210" t="e">
        <f t="shared" ref="F31:AN31" si="16">E31+F30</f>
        <v>#REF!</v>
      </c>
      <c r="G31" s="210" t="e">
        <f t="shared" si="16"/>
        <v>#REF!</v>
      </c>
      <c r="H31" s="210" t="e">
        <f t="shared" si="16"/>
        <v>#REF!</v>
      </c>
      <c r="I31" s="210" t="e">
        <f t="shared" si="16"/>
        <v>#REF!</v>
      </c>
      <c r="J31" s="210" t="e">
        <f t="shared" si="16"/>
        <v>#REF!</v>
      </c>
      <c r="K31" s="210" t="e">
        <f t="shared" si="16"/>
        <v>#REF!</v>
      </c>
      <c r="L31" s="210" t="e">
        <f t="shared" si="16"/>
        <v>#REF!</v>
      </c>
      <c r="M31" s="210" t="e">
        <f t="shared" si="16"/>
        <v>#REF!</v>
      </c>
      <c r="N31" s="210" t="e">
        <f t="shared" si="16"/>
        <v>#REF!</v>
      </c>
      <c r="O31" s="210" t="e">
        <f t="shared" si="16"/>
        <v>#REF!</v>
      </c>
      <c r="P31" s="210" t="e">
        <f t="shared" si="16"/>
        <v>#REF!</v>
      </c>
      <c r="Q31" s="210" t="e">
        <f t="shared" si="16"/>
        <v>#REF!</v>
      </c>
      <c r="R31" s="210" t="e">
        <f t="shared" si="16"/>
        <v>#REF!</v>
      </c>
      <c r="S31" s="210" t="e">
        <f t="shared" si="16"/>
        <v>#REF!</v>
      </c>
      <c r="T31" s="210" t="e">
        <f t="shared" si="16"/>
        <v>#REF!</v>
      </c>
      <c r="U31" s="210" t="e">
        <f t="shared" si="16"/>
        <v>#REF!</v>
      </c>
      <c r="V31" s="210" t="e">
        <f t="shared" si="16"/>
        <v>#REF!</v>
      </c>
      <c r="W31" s="210" t="e">
        <f t="shared" si="16"/>
        <v>#REF!</v>
      </c>
      <c r="X31" s="210" t="e">
        <f t="shared" si="16"/>
        <v>#REF!</v>
      </c>
      <c r="Y31" s="210" t="e">
        <f t="shared" si="16"/>
        <v>#REF!</v>
      </c>
      <c r="Z31" s="210" t="e">
        <f t="shared" si="16"/>
        <v>#REF!</v>
      </c>
      <c r="AA31" s="210" t="e">
        <f t="shared" si="16"/>
        <v>#REF!</v>
      </c>
      <c r="AB31" s="210" t="e">
        <f t="shared" si="16"/>
        <v>#REF!</v>
      </c>
      <c r="AC31" s="210" t="e">
        <f t="shared" si="16"/>
        <v>#REF!</v>
      </c>
      <c r="AD31" s="210" t="e">
        <f t="shared" si="16"/>
        <v>#REF!</v>
      </c>
      <c r="AE31" s="210" t="e">
        <f t="shared" si="16"/>
        <v>#REF!</v>
      </c>
      <c r="AF31" s="210" t="e">
        <f t="shared" si="16"/>
        <v>#REF!</v>
      </c>
      <c r="AG31" s="210" t="e">
        <f t="shared" si="16"/>
        <v>#REF!</v>
      </c>
      <c r="AH31" s="210" t="e">
        <f t="shared" si="16"/>
        <v>#REF!</v>
      </c>
      <c r="AI31" s="210" t="e">
        <f t="shared" si="16"/>
        <v>#REF!</v>
      </c>
      <c r="AJ31" s="210" t="e">
        <f t="shared" si="16"/>
        <v>#REF!</v>
      </c>
      <c r="AK31" s="210" t="e">
        <f t="shared" si="16"/>
        <v>#REF!</v>
      </c>
      <c r="AL31" s="210" t="e">
        <f t="shared" si="16"/>
        <v>#REF!</v>
      </c>
      <c r="AM31" s="210" t="e">
        <f t="shared" si="16"/>
        <v>#REF!</v>
      </c>
      <c r="AN31" s="210" t="e">
        <f t="shared" si="16"/>
        <v>#REF!</v>
      </c>
      <c r="AO31" s="275"/>
      <c r="AP31" s="48">
        <f t="shared" si="4"/>
        <v>25</v>
      </c>
    </row>
    <row r="32" spans="1:42" x14ac:dyDescent="0.25">
      <c r="A32" s="109" t="s">
        <v>267</v>
      </c>
      <c r="B32" s="88"/>
      <c r="C32" s="88"/>
      <c r="D32" s="88"/>
      <c r="E32" s="210" t="e">
        <f>(ASS!#REF!/(1-ASS!#REF!))*IDC!E30</f>
        <v>#REF!</v>
      </c>
      <c r="F32" s="210" t="e">
        <f>(ASS!#REF!/(1-ASS!#REF!))*IDC!F30</f>
        <v>#REF!</v>
      </c>
      <c r="G32" s="210" t="e">
        <f>(ASS!#REF!/(1-ASS!#REF!))*IDC!G30</f>
        <v>#REF!</v>
      </c>
      <c r="H32" s="210" t="e">
        <f>(ASS!#REF!/(1-ASS!#REF!))*IDC!H30</f>
        <v>#REF!</v>
      </c>
      <c r="I32" s="210" t="e">
        <f>(ASS!#REF!/(1-ASS!#REF!))*IDC!I30</f>
        <v>#REF!</v>
      </c>
      <c r="J32" s="210" t="e">
        <f>(ASS!#REF!/(1-ASS!#REF!))*IDC!J30</f>
        <v>#REF!</v>
      </c>
      <c r="K32" s="210" t="e">
        <f>(ASS!#REF!/(1-ASS!#REF!))*IDC!K30</f>
        <v>#REF!</v>
      </c>
      <c r="L32" s="210" t="e">
        <f>(ASS!#REF!/(1-ASS!#REF!))*IDC!L30</f>
        <v>#REF!</v>
      </c>
      <c r="M32" s="210" t="e">
        <f>(ASS!#REF!/(1-ASS!#REF!))*IDC!M30</f>
        <v>#REF!</v>
      </c>
      <c r="N32" s="210" t="e">
        <f>(ASS!#REF!/(1-ASS!#REF!))*IDC!N30</f>
        <v>#REF!</v>
      </c>
      <c r="O32" s="210" t="e">
        <f>(ASS!#REF!/(1-ASS!#REF!))*IDC!O30</f>
        <v>#REF!</v>
      </c>
      <c r="P32" s="210" t="e">
        <f>(ASS!#REF!/(1-ASS!#REF!))*IDC!P30</f>
        <v>#REF!</v>
      </c>
      <c r="Q32" s="210" t="e">
        <f>(ASS!#REF!/(1-ASS!#REF!))*IDC!Q30</f>
        <v>#REF!</v>
      </c>
      <c r="R32" s="210" t="e">
        <f>(ASS!#REF!/(1-ASS!#REF!))*IDC!R30</f>
        <v>#REF!</v>
      </c>
      <c r="S32" s="210" t="e">
        <f>(ASS!#REF!/(1-ASS!#REF!))*IDC!S30</f>
        <v>#REF!</v>
      </c>
      <c r="T32" s="210" t="e">
        <f>(ASS!#REF!/(1-ASS!#REF!))*IDC!T30</f>
        <v>#REF!</v>
      </c>
      <c r="U32" s="210" t="e">
        <f>(ASS!#REF!/(1-ASS!#REF!))*IDC!U30</f>
        <v>#REF!</v>
      </c>
      <c r="V32" s="210" t="e">
        <f>(ASS!#REF!/(1-ASS!#REF!))*IDC!V30</f>
        <v>#REF!</v>
      </c>
      <c r="W32" s="210" t="e">
        <f>(ASS!#REF!/(1-ASS!#REF!))*IDC!W30</f>
        <v>#REF!</v>
      </c>
      <c r="X32" s="210" t="e">
        <f>(ASS!#REF!/(1-ASS!#REF!))*IDC!X30</f>
        <v>#REF!</v>
      </c>
      <c r="Y32" s="210" t="e">
        <f>(ASS!#REF!/(1-ASS!#REF!))*IDC!Y30</f>
        <v>#REF!</v>
      </c>
      <c r="Z32" s="210" t="e">
        <f>(ASS!#REF!/(1-ASS!#REF!))*IDC!Z30</f>
        <v>#REF!</v>
      </c>
      <c r="AA32" s="210" t="e">
        <f>(ASS!#REF!/(1-ASS!#REF!))*IDC!AA30</f>
        <v>#REF!</v>
      </c>
      <c r="AB32" s="210" t="e">
        <f>(ASS!#REF!/(1-ASS!#REF!))*IDC!AB30</f>
        <v>#REF!</v>
      </c>
      <c r="AC32" s="210" t="e">
        <f>(ASS!#REF!/(1-ASS!#REF!))*IDC!AC30</f>
        <v>#REF!</v>
      </c>
      <c r="AD32" s="210" t="e">
        <f>(ASS!#REF!/(1-ASS!#REF!))*IDC!AD30</f>
        <v>#REF!</v>
      </c>
      <c r="AE32" s="210" t="e">
        <f>(ASS!#REF!/(1-ASS!#REF!))*IDC!AE30</f>
        <v>#REF!</v>
      </c>
      <c r="AF32" s="210" t="e">
        <f>(ASS!#REF!/(1-ASS!#REF!))*IDC!AF30</f>
        <v>#REF!</v>
      </c>
      <c r="AG32" s="210" t="e">
        <f>(ASS!#REF!/(1-ASS!#REF!))*IDC!AG30</f>
        <v>#REF!</v>
      </c>
      <c r="AH32" s="210" t="e">
        <f>(ASS!#REF!/(1-ASS!#REF!))*IDC!AH30</f>
        <v>#REF!</v>
      </c>
      <c r="AI32" s="210" t="e">
        <f>(ASS!#REF!/(1-ASS!#REF!))*IDC!AI30</f>
        <v>#REF!</v>
      </c>
      <c r="AJ32" s="210" t="e">
        <f>(ASS!#REF!/(1-ASS!#REF!))*IDC!AJ30</f>
        <v>#REF!</v>
      </c>
      <c r="AK32" s="210" t="e">
        <f>(ASS!#REF!/(1-ASS!#REF!))*IDC!AK30</f>
        <v>#REF!</v>
      </c>
      <c r="AL32" s="210" t="e">
        <f>(ASS!#REF!/(1-ASS!#REF!))*IDC!AL30</f>
        <v>#REF!</v>
      </c>
      <c r="AM32" s="210" t="e">
        <f>(ASS!#REF!/(1-ASS!#REF!))*IDC!AM30</f>
        <v>#REF!</v>
      </c>
      <c r="AN32" s="210" t="e">
        <f>(ASS!#REF!/(1-ASS!#REF!))*IDC!AN30</f>
        <v>#REF!</v>
      </c>
      <c r="AO32" s="275" t="e">
        <f>SUM(E32:AN32)</f>
        <v>#REF!</v>
      </c>
      <c r="AP32" s="48">
        <f t="shared" si="4"/>
        <v>26</v>
      </c>
    </row>
    <row r="33" spans="1:42" x14ac:dyDescent="0.25">
      <c r="A33" s="61"/>
      <c r="B33" s="63"/>
      <c r="C33" s="63"/>
      <c r="D33" s="63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  <c r="AD33" s="164"/>
      <c r="AE33" s="164"/>
      <c r="AF33" s="164"/>
      <c r="AG33" s="164"/>
      <c r="AH33" s="164"/>
      <c r="AI33" s="164"/>
      <c r="AJ33" s="164"/>
      <c r="AK33" s="164"/>
      <c r="AL33" s="164"/>
      <c r="AM33" s="164"/>
      <c r="AN33" s="170"/>
      <c r="AO33" s="51"/>
      <c r="AP33" s="48">
        <f t="shared" si="4"/>
        <v>27</v>
      </c>
    </row>
    <row r="34" spans="1:42" x14ac:dyDescent="0.25">
      <c r="A34" s="147" t="s">
        <v>268</v>
      </c>
      <c r="B34" s="63"/>
      <c r="C34" s="63"/>
      <c r="D34" s="63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64"/>
      <c r="AH34" s="164"/>
      <c r="AI34" s="164"/>
      <c r="AJ34" s="164"/>
      <c r="AK34" s="164"/>
      <c r="AL34" s="164"/>
      <c r="AM34" s="164"/>
      <c r="AN34" s="170"/>
      <c r="AO34" s="51"/>
      <c r="AP34" s="48">
        <f t="shared" si="4"/>
        <v>28</v>
      </c>
    </row>
    <row r="35" spans="1:42" x14ac:dyDescent="0.25">
      <c r="A35" s="61" t="s">
        <v>269</v>
      </c>
      <c r="B35" s="63"/>
      <c r="C35" s="63"/>
      <c r="D35" s="63"/>
      <c r="E35" s="164">
        <f t="shared" ref="E35:U35" si="17">E17-E25</f>
        <v>0</v>
      </c>
      <c r="F35" s="164" t="e">
        <f t="shared" si="17"/>
        <v>#REF!</v>
      </c>
      <c r="G35" s="164" t="e">
        <f t="shared" si="17"/>
        <v>#REF!</v>
      </c>
      <c r="H35" s="164" t="e">
        <f t="shared" si="17"/>
        <v>#REF!</v>
      </c>
      <c r="I35" s="164" t="e">
        <f t="shared" si="17"/>
        <v>#REF!</v>
      </c>
      <c r="J35" s="164" t="e">
        <f t="shared" si="17"/>
        <v>#REF!</v>
      </c>
      <c r="K35" s="164" t="e">
        <f t="shared" si="17"/>
        <v>#REF!</v>
      </c>
      <c r="L35" s="164" t="e">
        <f t="shared" si="17"/>
        <v>#REF!</v>
      </c>
      <c r="M35" s="164" t="e">
        <f t="shared" si="17"/>
        <v>#REF!</v>
      </c>
      <c r="N35" s="164" t="e">
        <f t="shared" si="17"/>
        <v>#REF!</v>
      </c>
      <c r="O35" s="164" t="e">
        <f t="shared" si="17"/>
        <v>#REF!</v>
      </c>
      <c r="P35" s="164" t="e">
        <f t="shared" si="17"/>
        <v>#REF!</v>
      </c>
      <c r="Q35" s="164" t="e">
        <f t="shared" si="17"/>
        <v>#REF!</v>
      </c>
      <c r="R35" s="164" t="e">
        <f t="shared" si="17"/>
        <v>#REF!</v>
      </c>
      <c r="S35" s="164" t="e">
        <f t="shared" si="17"/>
        <v>#REF!</v>
      </c>
      <c r="T35" s="164" t="e">
        <f t="shared" si="17"/>
        <v>#REF!</v>
      </c>
      <c r="U35" s="164" t="e">
        <f t="shared" si="17"/>
        <v>#REF!</v>
      </c>
      <c r="V35" s="164" t="e">
        <f t="shared" ref="V35:AK38" si="18">V17-V25</f>
        <v>#REF!</v>
      </c>
      <c r="W35" s="164" t="e">
        <f t="shared" si="18"/>
        <v>#REF!</v>
      </c>
      <c r="X35" s="164" t="e">
        <f t="shared" si="18"/>
        <v>#REF!</v>
      </c>
      <c r="Y35" s="164" t="e">
        <f t="shared" si="18"/>
        <v>#REF!</v>
      </c>
      <c r="Z35" s="164" t="e">
        <f t="shared" si="18"/>
        <v>#REF!</v>
      </c>
      <c r="AA35" s="164" t="e">
        <f t="shared" si="18"/>
        <v>#REF!</v>
      </c>
      <c r="AB35" s="164" t="e">
        <f t="shared" si="18"/>
        <v>#REF!</v>
      </c>
      <c r="AC35" s="164" t="e">
        <f t="shared" si="18"/>
        <v>#REF!</v>
      </c>
      <c r="AD35" s="164" t="e">
        <f t="shared" si="18"/>
        <v>#REF!</v>
      </c>
      <c r="AE35" s="164" t="e">
        <f t="shared" si="18"/>
        <v>#REF!</v>
      </c>
      <c r="AF35" s="164" t="e">
        <f t="shared" si="18"/>
        <v>#REF!</v>
      </c>
      <c r="AG35" s="164" t="e">
        <f t="shared" si="18"/>
        <v>#REF!</v>
      </c>
      <c r="AH35" s="164" t="e">
        <f t="shared" si="18"/>
        <v>#REF!</v>
      </c>
      <c r="AI35" s="164" t="e">
        <f t="shared" si="18"/>
        <v>#REF!</v>
      </c>
      <c r="AJ35" s="164" t="e">
        <f t="shared" si="18"/>
        <v>#REF!</v>
      </c>
      <c r="AK35" s="164" t="e">
        <f t="shared" si="18"/>
        <v>#REF!</v>
      </c>
      <c r="AL35" s="164" t="e">
        <f t="shared" ref="AL35:AN38" si="19">AL17-AL25</f>
        <v>#REF!</v>
      </c>
      <c r="AM35" s="164" t="e">
        <f t="shared" si="19"/>
        <v>#REF!</v>
      </c>
      <c r="AN35" s="170" t="e">
        <f t="shared" si="19"/>
        <v>#REF!</v>
      </c>
      <c r="AO35" s="51"/>
      <c r="AP35" s="48">
        <f t="shared" si="4"/>
        <v>29</v>
      </c>
    </row>
    <row r="36" spans="1:42" x14ac:dyDescent="0.25">
      <c r="A36" s="61" t="s">
        <v>270</v>
      </c>
      <c r="B36" s="63"/>
      <c r="C36" s="63"/>
      <c r="D36" s="63"/>
      <c r="E36" s="164" t="e">
        <f t="shared" ref="E36:T38" si="20">E18-E26</f>
        <v>#REF!</v>
      </c>
      <c r="F36" s="164" t="e">
        <f t="shared" si="20"/>
        <v>#REF!</v>
      </c>
      <c r="G36" s="164" t="e">
        <f t="shared" si="20"/>
        <v>#REF!</v>
      </c>
      <c r="H36" s="164" t="e">
        <f t="shared" si="20"/>
        <v>#REF!</v>
      </c>
      <c r="I36" s="164" t="e">
        <f t="shared" si="20"/>
        <v>#REF!</v>
      </c>
      <c r="J36" s="164" t="e">
        <f t="shared" si="20"/>
        <v>#REF!</v>
      </c>
      <c r="K36" s="164" t="e">
        <f t="shared" si="20"/>
        <v>#REF!</v>
      </c>
      <c r="L36" s="164" t="e">
        <f t="shared" si="20"/>
        <v>#REF!</v>
      </c>
      <c r="M36" s="164" t="e">
        <f t="shared" si="20"/>
        <v>#REF!</v>
      </c>
      <c r="N36" s="164" t="e">
        <f t="shared" si="20"/>
        <v>#REF!</v>
      </c>
      <c r="O36" s="164" t="e">
        <f t="shared" si="20"/>
        <v>#REF!</v>
      </c>
      <c r="P36" s="164" t="e">
        <f t="shared" si="20"/>
        <v>#REF!</v>
      </c>
      <c r="Q36" s="164" t="e">
        <f t="shared" si="20"/>
        <v>#REF!</v>
      </c>
      <c r="R36" s="164" t="e">
        <f t="shared" si="20"/>
        <v>#REF!</v>
      </c>
      <c r="S36" s="164" t="e">
        <f t="shared" si="20"/>
        <v>#REF!</v>
      </c>
      <c r="T36" s="164" t="e">
        <f t="shared" si="20"/>
        <v>#REF!</v>
      </c>
      <c r="U36" s="164" t="e">
        <f>U18-U26</f>
        <v>#REF!</v>
      </c>
      <c r="V36" s="164" t="e">
        <f t="shared" si="18"/>
        <v>#REF!</v>
      </c>
      <c r="W36" s="164" t="e">
        <f t="shared" si="18"/>
        <v>#REF!</v>
      </c>
      <c r="X36" s="164" t="e">
        <f t="shared" si="18"/>
        <v>#REF!</v>
      </c>
      <c r="Y36" s="164" t="e">
        <f t="shared" si="18"/>
        <v>#REF!</v>
      </c>
      <c r="Z36" s="164" t="e">
        <f t="shared" si="18"/>
        <v>#REF!</v>
      </c>
      <c r="AA36" s="164" t="e">
        <f t="shared" si="18"/>
        <v>#REF!</v>
      </c>
      <c r="AB36" s="164" t="e">
        <f t="shared" si="18"/>
        <v>#REF!</v>
      </c>
      <c r="AC36" s="164" t="e">
        <f t="shared" si="18"/>
        <v>#REF!</v>
      </c>
      <c r="AD36" s="164" t="e">
        <f t="shared" si="18"/>
        <v>#REF!</v>
      </c>
      <c r="AE36" s="164" t="e">
        <f t="shared" si="18"/>
        <v>#REF!</v>
      </c>
      <c r="AF36" s="164" t="e">
        <f t="shared" si="18"/>
        <v>#REF!</v>
      </c>
      <c r="AG36" s="164" t="e">
        <f t="shared" si="18"/>
        <v>#REF!</v>
      </c>
      <c r="AH36" s="164" t="e">
        <f t="shared" si="18"/>
        <v>#REF!</v>
      </c>
      <c r="AI36" s="164" t="e">
        <f t="shared" si="18"/>
        <v>#REF!</v>
      </c>
      <c r="AJ36" s="164" t="e">
        <f t="shared" si="18"/>
        <v>#REF!</v>
      </c>
      <c r="AK36" s="164" t="e">
        <f t="shared" si="18"/>
        <v>#REF!</v>
      </c>
      <c r="AL36" s="164" t="e">
        <f t="shared" si="19"/>
        <v>#REF!</v>
      </c>
      <c r="AM36" s="164" t="e">
        <f t="shared" si="19"/>
        <v>#REF!</v>
      </c>
      <c r="AN36" s="170" t="e">
        <f t="shared" si="19"/>
        <v>#REF!</v>
      </c>
      <c r="AO36" s="84" t="e">
        <f>SUM(E36:AN36)</f>
        <v>#REF!</v>
      </c>
      <c r="AP36" s="48">
        <f t="shared" si="4"/>
        <v>30</v>
      </c>
    </row>
    <row r="37" spans="1:42" x14ac:dyDescent="0.25">
      <c r="A37" s="61" t="s">
        <v>271</v>
      </c>
      <c r="B37" s="63"/>
      <c r="C37" s="63"/>
      <c r="D37" s="63"/>
      <c r="E37" s="165" t="e">
        <f t="shared" si="20"/>
        <v>#REF!</v>
      </c>
      <c r="F37" s="165" t="e">
        <f t="shared" si="20"/>
        <v>#REF!</v>
      </c>
      <c r="G37" s="165" t="e">
        <f t="shared" si="20"/>
        <v>#REF!</v>
      </c>
      <c r="H37" s="165" t="e">
        <f t="shared" si="20"/>
        <v>#REF!</v>
      </c>
      <c r="I37" s="165" t="e">
        <f t="shared" si="20"/>
        <v>#REF!</v>
      </c>
      <c r="J37" s="165" t="e">
        <f t="shared" si="20"/>
        <v>#REF!</v>
      </c>
      <c r="K37" s="165">
        <f t="shared" si="20"/>
        <v>0</v>
      </c>
      <c r="L37" s="165">
        <f t="shared" si="20"/>
        <v>0</v>
      </c>
      <c r="M37" s="165">
        <f t="shared" si="20"/>
        <v>0</v>
      </c>
      <c r="N37" s="165">
        <f t="shared" si="20"/>
        <v>0</v>
      </c>
      <c r="O37" s="165">
        <f t="shared" si="20"/>
        <v>0</v>
      </c>
      <c r="P37" s="165">
        <f t="shared" si="20"/>
        <v>0</v>
      </c>
      <c r="Q37" s="165">
        <f t="shared" si="20"/>
        <v>0</v>
      </c>
      <c r="R37" s="165">
        <f t="shared" si="20"/>
        <v>0</v>
      </c>
      <c r="S37" s="165">
        <f t="shared" si="20"/>
        <v>0</v>
      </c>
      <c r="T37" s="165">
        <f t="shared" si="20"/>
        <v>0</v>
      </c>
      <c r="U37" s="165">
        <f>U19-U27</f>
        <v>0</v>
      </c>
      <c r="V37" s="165">
        <f t="shared" si="18"/>
        <v>0</v>
      </c>
      <c r="W37" s="165">
        <f t="shared" si="18"/>
        <v>0</v>
      </c>
      <c r="X37" s="165">
        <f t="shared" si="18"/>
        <v>0</v>
      </c>
      <c r="Y37" s="165">
        <f t="shared" si="18"/>
        <v>0</v>
      </c>
      <c r="Z37" s="165">
        <f t="shared" si="18"/>
        <v>0</v>
      </c>
      <c r="AA37" s="165">
        <f t="shared" si="18"/>
        <v>0</v>
      </c>
      <c r="AB37" s="165">
        <f t="shared" si="18"/>
        <v>0</v>
      </c>
      <c r="AC37" s="165">
        <f t="shared" si="18"/>
        <v>0</v>
      </c>
      <c r="AD37" s="165">
        <f t="shared" si="18"/>
        <v>0</v>
      </c>
      <c r="AE37" s="165">
        <f t="shared" si="18"/>
        <v>0</v>
      </c>
      <c r="AF37" s="165">
        <f t="shared" si="18"/>
        <v>0</v>
      </c>
      <c r="AG37" s="165">
        <f t="shared" si="18"/>
        <v>0</v>
      </c>
      <c r="AH37" s="165">
        <f t="shared" si="18"/>
        <v>0</v>
      </c>
      <c r="AI37" s="165">
        <f t="shared" si="18"/>
        <v>0</v>
      </c>
      <c r="AJ37" s="165">
        <f t="shared" si="18"/>
        <v>0</v>
      </c>
      <c r="AK37" s="165">
        <f t="shared" si="18"/>
        <v>0</v>
      </c>
      <c r="AL37" s="165">
        <f t="shared" si="19"/>
        <v>0</v>
      </c>
      <c r="AM37" s="165">
        <f t="shared" si="19"/>
        <v>0</v>
      </c>
      <c r="AN37" s="171">
        <f t="shared" si="19"/>
        <v>0</v>
      </c>
      <c r="AO37" s="84" t="e">
        <f>SUM(E37:AN37)</f>
        <v>#REF!</v>
      </c>
      <c r="AP37" s="48">
        <f t="shared" si="4"/>
        <v>31</v>
      </c>
    </row>
    <row r="38" spans="1:42" x14ac:dyDescent="0.25">
      <c r="A38" s="72" t="s">
        <v>272</v>
      </c>
      <c r="B38" s="80"/>
      <c r="C38" s="80"/>
      <c r="D38" s="80"/>
      <c r="E38" s="215" t="e">
        <f t="shared" si="20"/>
        <v>#REF!</v>
      </c>
      <c r="F38" s="215" t="e">
        <f t="shared" si="20"/>
        <v>#REF!</v>
      </c>
      <c r="G38" s="215" t="e">
        <f t="shared" si="20"/>
        <v>#REF!</v>
      </c>
      <c r="H38" s="215" t="e">
        <f t="shared" si="20"/>
        <v>#REF!</v>
      </c>
      <c r="I38" s="215" t="e">
        <f t="shared" si="20"/>
        <v>#REF!</v>
      </c>
      <c r="J38" s="215" t="e">
        <f t="shared" si="20"/>
        <v>#REF!</v>
      </c>
      <c r="K38" s="215" t="e">
        <f t="shared" si="20"/>
        <v>#REF!</v>
      </c>
      <c r="L38" s="215" t="e">
        <f t="shared" si="20"/>
        <v>#REF!</v>
      </c>
      <c r="M38" s="215" t="e">
        <f t="shared" si="20"/>
        <v>#REF!</v>
      </c>
      <c r="N38" s="215" t="e">
        <f t="shared" si="20"/>
        <v>#REF!</v>
      </c>
      <c r="O38" s="215" t="e">
        <f t="shared" si="20"/>
        <v>#REF!</v>
      </c>
      <c r="P38" s="215" t="e">
        <f t="shared" si="20"/>
        <v>#REF!</v>
      </c>
      <c r="Q38" s="215" t="e">
        <f t="shared" si="20"/>
        <v>#REF!</v>
      </c>
      <c r="R38" s="215" t="e">
        <f t="shared" si="20"/>
        <v>#REF!</v>
      </c>
      <c r="S38" s="215" t="e">
        <f t="shared" si="20"/>
        <v>#REF!</v>
      </c>
      <c r="T38" s="215" t="e">
        <f t="shared" si="20"/>
        <v>#REF!</v>
      </c>
      <c r="U38" s="215" t="e">
        <f>U20-U28</f>
        <v>#REF!</v>
      </c>
      <c r="V38" s="215" t="e">
        <f t="shared" si="18"/>
        <v>#REF!</v>
      </c>
      <c r="W38" s="215" t="e">
        <f t="shared" si="18"/>
        <v>#REF!</v>
      </c>
      <c r="X38" s="215" t="e">
        <f t="shared" si="18"/>
        <v>#REF!</v>
      </c>
      <c r="Y38" s="215" t="e">
        <f t="shared" si="18"/>
        <v>#REF!</v>
      </c>
      <c r="Z38" s="215" t="e">
        <f t="shared" si="18"/>
        <v>#REF!</v>
      </c>
      <c r="AA38" s="215" t="e">
        <f t="shared" si="18"/>
        <v>#REF!</v>
      </c>
      <c r="AB38" s="215" t="e">
        <f t="shared" si="18"/>
        <v>#REF!</v>
      </c>
      <c r="AC38" s="215" t="e">
        <f t="shared" si="18"/>
        <v>#REF!</v>
      </c>
      <c r="AD38" s="215" t="e">
        <f t="shared" si="18"/>
        <v>#REF!</v>
      </c>
      <c r="AE38" s="215" t="e">
        <f t="shared" si="18"/>
        <v>#REF!</v>
      </c>
      <c r="AF38" s="215" t="e">
        <f t="shared" si="18"/>
        <v>#REF!</v>
      </c>
      <c r="AG38" s="215" t="e">
        <f t="shared" si="18"/>
        <v>#REF!</v>
      </c>
      <c r="AH38" s="215" t="e">
        <f t="shared" si="18"/>
        <v>#REF!</v>
      </c>
      <c r="AI38" s="215" t="e">
        <f t="shared" si="18"/>
        <v>#REF!</v>
      </c>
      <c r="AJ38" s="215" t="e">
        <f t="shared" si="18"/>
        <v>#REF!</v>
      </c>
      <c r="AK38" s="215" t="e">
        <f t="shared" si="18"/>
        <v>#REF!</v>
      </c>
      <c r="AL38" s="215" t="e">
        <f t="shared" si="19"/>
        <v>#REF!</v>
      </c>
      <c r="AM38" s="215" t="e">
        <f t="shared" si="19"/>
        <v>#REF!</v>
      </c>
      <c r="AN38" s="216" t="e">
        <f t="shared" si="19"/>
        <v>#REF!</v>
      </c>
      <c r="AO38" s="98"/>
      <c r="AP38" s="48">
        <f t="shared" si="4"/>
        <v>32</v>
      </c>
    </row>
    <row r="39" spans="1:42" ht="13.8" thickBot="1" x14ac:dyDescent="0.3"/>
    <row r="40" spans="1:42" ht="13.8" thickTop="1" x14ac:dyDescent="0.25">
      <c r="A40" s="371" t="s">
        <v>273</v>
      </c>
      <c r="B40" s="372"/>
      <c r="C40" s="372"/>
      <c r="D40" s="373" t="e">
        <f>SUM(E30:AN30)</f>
        <v>#REF!</v>
      </c>
    </row>
    <row r="41" spans="1:42" ht="13.8" thickBot="1" x14ac:dyDescent="0.3">
      <c r="A41" s="374" t="s">
        <v>274</v>
      </c>
      <c r="B41" s="375"/>
      <c r="C41" s="375"/>
      <c r="D41" s="376" t="e">
        <f>AO32</f>
        <v>#REF!</v>
      </c>
    </row>
    <row r="42" spans="1:42" ht="13.8" thickTop="1" x14ac:dyDescent="0.25"/>
  </sheetData>
  <mergeCells count="1">
    <mergeCell ref="B13:D13"/>
  </mergeCells>
  <printOptions horizontalCentered="1"/>
  <pageMargins left="0.5" right="1" top="0.75" bottom="0.75" header="0.5" footer="0.5"/>
  <pageSetup scale="30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E64"/>
  <sheetViews>
    <sheetView workbookViewId="0">
      <selection activeCell="D10" sqref="D10"/>
    </sheetView>
  </sheetViews>
  <sheetFormatPr defaultColWidth="9.109375" defaultRowHeight="13.2" x14ac:dyDescent="0.25"/>
  <cols>
    <col min="1" max="1" width="9.109375" style="48"/>
    <col min="2" max="2" width="6.33203125" style="48" customWidth="1"/>
    <col min="3" max="26" width="9.6640625" style="48" customWidth="1"/>
    <col min="27" max="16384" width="9.109375" style="48"/>
  </cols>
  <sheetData>
    <row r="1" spans="1:31" ht="15.6" x14ac:dyDescent="0.3">
      <c r="A1" s="221" t="s">
        <v>275</v>
      </c>
      <c r="B1" s="273"/>
      <c r="C1" s="273"/>
      <c r="D1" s="273"/>
      <c r="E1" s="243"/>
    </row>
    <row r="2" spans="1:31" ht="15.6" x14ac:dyDescent="0.3">
      <c r="A2" s="244">
        <f>ASS!A4</f>
        <v>0</v>
      </c>
      <c r="B2" s="238"/>
      <c r="C2" s="238"/>
      <c r="D2" s="238"/>
      <c r="E2" s="245"/>
      <c r="G2" s="481"/>
      <c r="H2" s="481"/>
    </row>
    <row r="3" spans="1:31" ht="15.6" x14ac:dyDescent="0.3">
      <c r="A3" s="246" t="str">
        <f>ASS!A5</f>
        <v>BASE MODEL</v>
      </c>
      <c r="B3" s="274"/>
      <c r="C3" s="274"/>
      <c r="D3" s="274"/>
      <c r="E3" s="247"/>
    </row>
    <row r="4" spans="1:31" x14ac:dyDescent="0.25">
      <c r="A4"/>
      <c r="B4"/>
      <c r="C4"/>
      <c r="D4" s="220">
        <f>B24</f>
        <v>1</v>
      </c>
      <c r="E4" s="220">
        <f>D4+2</f>
        <v>3</v>
      </c>
      <c r="F4" s="220">
        <f t="shared" ref="F4:U4" si="0">E4+2</f>
        <v>5</v>
      </c>
      <c r="G4" s="220">
        <f t="shared" si="0"/>
        <v>7</v>
      </c>
      <c r="H4" s="220">
        <f t="shared" si="0"/>
        <v>9</v>
      </c>
      <c r="I4" s="220">
        <f t="shared" si="0"/>
        <v>11</v>
      </c>
      <c r="J4" s="220">
        <f t="shared" si="0"/>
        <v>13</v>
      </c>
      <c r="K4" s="220">
        <f t="shared" si="0"/>
        <v>15</v>
      </c>
      <c r="L4" s="220">
        <f t="shared" si="0"/>
        <v>17</v>
      </c>
      <c r="M4" s="220">
        <f t="shared" si="0"/>
        <v>19</v>
      </c>
      <c r="N4" s="220">
        <f t="shared" si="0"/>
        <v>21</v>
      </c>
      <c r="O4" s="220">
        <f t="shared" si="0"/>
        <v>23</v>
      </c>
      <c r="P4" s="220">
        <f t="shared" si="0"/>
        <v>25</v>
      </c>
      <c r="Q4" s="220">
        <f t="shared" si="0"/>
        <v>27</v>
      </c>
      <c r="R4" s="220">
        <f t="shared" si="0"/>
        <v>29</v>
      </c>
      <c r="S4" s="220">
        <f t="shared" si="0"/>
        <v>31</v>
      </c>
      <c r="T4" s="220">
        <f t="shared" si="0"/>
        <v>33</v>
      </c>
      <c r="U4" s="220">
        <f t="shared" si="0"/>
        <v>35</v>
      </c>
      <c r="V4" s="220">
        <f t="shared" ref="V4:AC4" si="1">U4+2</f>
        <v>37</v>
      </c>
      <c r="W4" s="220">
        <f t="shared" si="1"/>
        <v>39</v>
      </c>
      <c r="X4" s="220">
        <f t="shared" si="1"/>
        <v>41</v>
      </c>
      <c r="Y4" s="220">
        <f t="shared" si="1"/>
        <v>43</v>
      </c>
      <c r="Z4" s="220">
        <f t="shared" si="1"/>
        <v>45</v>
      </c>
      <c r="AA4" s="220">
        <f t="shared" si="1"/>
        <v>47</v>
      </c>
      <c r="AB4" s="220">
        <f t="shared" si="1"/>
        <v>49</v>
      </c>
      <c r="AC4" s="220">
        <f t="shared" si="1"/>
        <v>51</v>
      </c>
    </row>
    <row r="5" spans="1:31" x14ac:dyDescent="0.25">
      <c r="A5" s="53" t="s">
        <v>173</v>
      </c>
      <c r="B5" s="60"/>
      <c r="C5" s="60"/>
      <c r="D5" s="60">
        <f>CF!D5</f>
        <v>1</v>
      </c>
      <c r="E5" s="60">
        <f>CF!E5</f>
        <v>2</v>
      </c>
      <c r="F5" s="60">
        <f>CF!F5</f>
        <v>3</v>
      </c>
      <c r="G5" s="60">
        <f>CF!G5</f>
        <v>4</v>
      </c>
      <c r="H5" s="60">
        <f>CF!H5</f>
        <v>5</v>
      </c>
      <c r="I5" s="60">
        <f>CF!I5</f>
        <v>6</v>
      </c>
      <c r="J5" s="60">
        <f>CF!J5</f>
        <v>7</v>
      </c>
      <c r="K5" s="60">
        <f>CF!K5</f>
        <v>8</v>
      </c>
      <c r="L5" s="60">
        <f>CF!L5</f>
        <v>9</v>
      </c>
      <c r="M5" s="60">
        <f>CF!M5</f>
        <v>10</v>
      </c>
      <c r="N5" s="60">
        <f>CF!N5</f>
        <v>11</v>
      </c>
      <c r="O5" s="60">
        <f>CF!O5</f>
        <v>12</v>
      </c>
      <c r="P5" s="60">
        <f>CF!P5</f>
        <v>13</v>
      </c>
      <c r="Q5" s="60">
        <f>CF!Q5</f>
        <v>14</v>
      </c>
      <c r="R5" s="60">
        <f>CF!R5</f>
        <v>15</v>
      </c>
      <c r="S5" s="60">
        <f>CF!S5</f>
        <v>16</v>
      </c>
      <c r="T5" s="60">
        <f>CF!T5</f>
        <v>17</v>
      </c>
      <c r="U5" s="60">
        <f>CF!U5</f>
        <v>18</v>
      </c>
      <c r="V5" s="60">
        <f>CF!V5</f>
        <v>19</v>
      </c>
      <c r="W5" s="60">
        <f>CF!W5</f>
        <v>20</v>
      </c>
      <c r="X5" s="60">
        <f>CF!X5</f>
        <v>21</v>
      </c>
      <c r="Y5" s="60">
        <f>CF!Y5</f>
        <v>22</v>
      </c>
      <c r="Z5" s="60">
        <f>CF!Z5</f>
        <v>23</v>
      </c>
      <c r="AA5" s="60">
        <f>CF!AA5</f>
        <v>24</v>
      </c>
      <c r="AB5" s="60">
        <f>CF!AB5</f>
        <v>25</v>
      </c>
      <c r="AC5" s="60">
        <f>CF!AC5</f>
        <v>26</v>
      </c>
      <c r="AD5" s="49"/>
    </row>
    <row r="6" spans="1:31" x14ac:dyDescent="0.25">
      <c r="A6" s="326" t="s">
        <v>174</v>
      </c>
      <c r="B6" s="63"/>
      <c r="C6" s="63"/>
      <c r="D6" s="322">
        <f>CF!D6</f>
        <v>2001</v>
      </c>
      <c r="E6" s="322">
        <f>CF!E6</f>
        <v>2002</v>
      </c>
      <c r="F6" s="322">
        <f>CF!F6</f>
        <v>2003</v>
      </c>
      <c r="G6" s="322">
        <f>CF!G6</f>
        <v>2004</v>
      </c>
      <c r="H6" s="322">
        <f>CF!H6</f>
        <v>2005</v>
      </c>
      <c r="I6" s="322">
        <f>CF!I6</f>
        <v>2006</v>
      </c>
      <c r="J6" s="322">
        <f>CF!J6</f>
        <v>2007</v>
      </c>
      <c r="K6" s="322">
        <f>CF!K6</f>
        <v>2008</v>
      </c>
      <c r="L6" s="322">
        <f>CF!L6</f>
        <v>2009</v>
      </c>
      <c r="M6" s="322">
        <f>CF!M6</f>
        <v>2010</v>
      </c>
      <c r="N6" s="322">
        <f>CF!N6</f>
        <v>2011</v>
      </c>
      <c r="O6" s="322">
        <f>CF!O6</f>
        <v>2012</v>
      </c>
      <c r="P6" s="322">
        <f>CF!P6</f>
        <v>2013</v>
      </c>
      <c r="Q6" s="322">
        <f>CF!Q6</f>
        <v>2014</v>
      </c>
      <c r="R6" s="322">
        <f>CF!R6</f>
        <v>2015</v>
      </c>
      <c r="S6" s="322">
        <f>CF!S6</f>
        <v>2016</v>
      </c>
      <c r="T6" s="322">
        <f>CF!T6</f>
        <v>2017</v>
      </c>
      <c r="U6" s="322">
        <f>CF!U6</f>
        <v>2018</v>
      </c>
      <c r="V6" s="322">
        <f>CF!V6</f>
        <v>2019</v>
      </c>
      <c r="W6" s="322">
        <f>CF!W6</f>
        <v>2020</v>
      </c>
      <c r="X6" s="322">
        <f>CF!X6</f>
        <v>2021</v>
      </c>
      <c r="Y6" s="322">
        <f>CF!Y6</f>
        <v>2022</v>
      </c>
      <c r="Z6" s="322">
        <f>CF!Z6</f>
        <v>2023</v>
      </c>
      <c r="AA6" s="322">
        <f>CF!AA6</f>
        <v>2024</v>
      </c>
      <c r="AB6" s="322">
        <f>CF!AB6</f>
        <v>2025</v>
      </c>
      <c r="AC6" s="322">
        <f>CF!AC6</f>
        <v>2026</v>
      </c>
      <c r="AD6" s="50" t="s">
        <v>276</v>
      </c>
    </row>
    <row r="7" spans="1:31" x14ac:dyDescent="0.25">
      <c r="A7" s="72" t="s">
        <v>176</v>
      </c>
      <c r="B7" s="80"/>
      <c r="C7" s="80"/>
      <c r="D7" s="80">
        <f>CF!D7</f>
        <v>7</v>
      </c>
      <c r="E7" s="80">
        <f>CF!E7</f>
        <v>12</v>
      </c>
      <c r="F7" s="80">
        <f>CF!F7</f>
        <v>12</v>
      </c>
      <c r="G7" s="80">
        <f>CF!G7</f>
        <v>12</v>
      </c>
      <c r="H7" s="80">
        <f>CF!H7</f>
        <v>12</v>
      </c>
      <c r="I7" s="80">
        <f>CF!I7</f>
        <v>12</v>
      </c>
      <c r="J7" s="80">
        <f>CF!J7</f>
        <v>12</v>
      </c>
      <c r="K7" s="80">
        <f>CF!K7</f>
        <v>12</v>
      </c>
      <c r="L7" s="80">
        <f>CF!L7</f>
        <v>12</v>
      </c>
      <c r="M7" s="80">
        <f>CF!M7</f>
        <v>12</v>
      </c>
      <c r="N7" s="80">
        <f>CF!N7</f>
        <v>12</v>
      </c>
      <c r="O7" s="80">
        <f>CF!O7</f>
        <v>12</v>
      </c>
      <c r="P7" s="80">
        <f>CF!P7</f>
        <v>12</v>
      </c>
      <c r="Q7" s="80">
        <f>CF!Q7</f>
        <v>12</v>
      </c>
      <c r="R7" s="80">
        <f>CF!R7</f>
        <v>12</v>
      </c>
      <c r="S7" s="80">
        <f>CF!S7</f>
        <v>12</v>
      </c>
      <c r="T7" s="80">
        <f>CF!T7</f>
        <v>12</v>
      </c>
      <c r="U7" s="80">
        <f>CF!U7</f>
        <v>12</v>
      </c>
      <c r="V7" s="80">
        <f>CF!V7</f>
        <v>12</v>
      </c>
      <c r="W7" s="80">
        <f>CF!W7</f>
        <v>12</v>
      </c>
      <c r="X7" s="80">
        <f>CF!X7</f>
        <v>12</v>
      </c>
      <c r="Y7" s="80">
        <f>CF!Y7</f>
        <v>12</v>
      </c>
      <c r="Z7" s="80">
        <f>CF!Z7</f>
        <v>12</v>
      </c>
      <c r="AA7" s="80">
        <f>CF!AA7</f>
        <v>12</v>
      </c>
      <c r="AB7" s="80">
        <f>CF!AB7</f>
        <v>12</v>
      </c>
      <c r="AC7" s="80">
        <f>CF!AC7</f>
        <v>0</v>
      </c>
      <c r="AD7" s="98"/>
    </row>
    <row r="8" spans="1:31" x14ac:dyDescent="0.25">
      <c r="AD8" s="63"/>
    </row>
    <row r="9" spans="1:31" x14ac:dyDescent="0.25">
      <c r="A9" s="327" t="s">
        <v>277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49"/>
    </row>
    <row r="10" spans="1:31" x14ac:dyDescent="0.25">
      <c r="A10" s="352" t="s">
        <v>278</v>
      </c>
      <c r="B10" s="63"/>
      <c r="C10" s="63"/>
      <c r="D10" s="164" t="e">
        <f>VLOOKUP(D4,FIN_TABLE,26)</f>
        <v>#REF!</v>
      </c>
      <c r="E10" s="164" t="e">
        <f t="shared" ref="E10:T10" si="2">VLOOKUP(E4,FIN_TABLE,26)</f>
        <v>#REF!</v>
      </c>
      <c r="F10" s="164" t="e">
        <f t="shared" si="2"/>
        <v>#REF!</v>
      </c>
      <c r="G10" s="164" t="e">
        <f t="shared" si="2"/>
        <v>#REF!</v>
      </c>
      <c r="H10" s="164" t="e">
        <f t="shared" si="2"/>
        <v>#REF!</v>
      </c>
      <c r="I10" s="164" t="e">
        <f t="shared" si="2"/>
        <v>#REF!</v>
      </c>
      <c r="J10" s="164" t="e">
        <f t="shared" si="2"/>
        <v>#REF!</v>
      </c>
      <c r="K10" s="164" t="e">
        <f t="shared" si="2"/>
        <v>#REF!</v>
      </c>
      <c r="L10" s="164" t="e">
        <f t="shared" si="2"/>
        <v>#REF!</v>
      </c>
      <c r="M10" s="164" t="e">
        <f t="shared" si="2"/>
        <v>#REF!</v>
      </c>
      <c r="N10" s="164" t="e">
        <f t="shared" si="2"/>
        <v>#REF!</v>
      </c>
      <c r="O10" s="164" t="e">
        <f t="shared" si="2"/>
        <v>#REF!</v>
      </c>
      <c r="P10" s="164" t="e">
        <f t="shared" si="2"/>
        <v>#REF!</v>
      </c>
      <c r="Q10" s="164" t="e">
        <f t="shared" si="2"/>
        <v>#REF!</v>
      </c>
      <c r="R10" s="164" t="e">
        <f t="shared" si="2"/>
        <v>#REF!</v>
      </c>
      <c r="S10" s="164" t="e">
        <f t="shared" si="2"/>
        <v>#REF!</v>
      </c>
      <c r="T10" s="164" t="e">
        <f t="shared" si="2"/>
        <v>#REF!</v>
      </c>
      <c r="U10" s="164" t="e">
        <f t="shared" ref="U10:AC10" si="3">VLOOKUP(U4,FIN_TABLE,26)</f>
        <v>#REF!</v>
      </c>
      <c r="V10" s="164" t="e">
        <f t="shared" si="3"/>
        <v>#REF!</v>
      </c>
      <c r="W10" s="164" t="e">
        <f t="shared" si="3"/>
        <v>#REF!</v>
      </c>
      <c r="X10" s="164" t="e">
        <f t="shared" si="3"/>
        <v>#REF!</v>
      </c>
      <c r="Y10" s="164" t="e">
        <f t="shared" si="3"/>
        <v>#REF!</v>
      </c>
      <c r="Z10" s="164" t="e">
        <f t="shared" si="3"/>
        <v>#REF!</v>
      </c>
      <c r="AA10" s="164" t="e">
        <f t="shared" si="3"/>
        <v>#REF!</v>
      </c>
      <c r="AB10" s="164" t="e">
        <f t="shared" si="3"/>
        <v>#REF!</v>
      </c>
      <c r="AC10" s="164" t="e">
        <f t="shared" si="3"/>
        <v>#REF!</v>
      </c>
      <c r="AD10" s="84" t="e">
        <f>SUM(D10:X10)</f>
        <v>#REF!</v>
      </c>
    </row>
    <row r="11" spans="1:31" x14ac:dyDescent="0.25">
      <c r="A11" s="352" t="s">
        <v>279</v>
      </c>
      <c r="B11" s="63"/>
      <c r="C11" s="63"/>
      <c r="D11" s="165" t="e">
        <f>VLOOKUP(D4,FIN_TABLE,27)</f>
        <v>#REF!</v>
      </c>
      <c r="E11" s="165" t="e">
        <f t="shared" ref="E11:T11" si="4">VLOOKUP(E4,FIN_TABLE,27)</f>
        <v>#REF!</v>
      </c>
      <c r="F11" s="165" t="e">
        <f t="shared" si="4"/>
        <v>#REF!</v>
      </c>
      <c r="G11" s="165" t="e">
        <f t="shared" si="4"/>
        <v>#REF!</v>
      </c>
      <c r="H11" s="165" t="e">
        <f t="shared" si="4"/>
        <v>#REF!</v>
      </c>
      <c r="I11" s="165" t="e">
        <f t="shared" si="4"/>
        <v>#REF!</v>
      </c>
      <c r="J11" s="165" t="e">
        <f t="shared" si="4"/>
        <v>#REF!</v>
      </c>
      <c r="K11" s="165" t="e">
        <f t="shared" si="4"/>
        <v>#REF!</v>
      </c>
      <c r="L11" s="165" t="e">
        <f t="shared" si="4"/>
        <v>#REF!</v>
      </c>
      <c r="M11" s="165" t="e">
        <f t="shared" si="4"/>
        <v>#REF!</v>
      </c>
      <c r="N11" s="165" t="e">
        <f t="shared" si="4"/>
        <v>#REF!</v>
      </c>
      <c r="O11" s="165" t="e">
        <f t="shared" si="4"/>
        <v>#REF!</v>
      </c>
      <c r="P11" s="165" t="e">
        <f t="shared" si="4"/>
        <v>#REF!</v>
      </c>
      <c r="Q11" s="165" t="e">
        <f t="shared" si="4"/>
        <v>#REF!</v>
      </c>
      <c r="R11" s="165" t="e">
        <f t="shared" si="4"/>
        <v>#REF!</v>
      </c>
      <c r="S11" s="165" t="e">
        <f t="shared" si="4"/>
        <v>#REF!</v>
      </c>
      <c r="T11" s="165" t="e">
        <f t="shared" si="4"/>
        <v>#REF!</v>
      </c>
      <c r="U11" s="165" t="e">
        <f t="shared" ref="U11:AC11" si="5">VLOOKUP(U4,FIN_TABLE,27)</f>
        <v>#REF!</v>
      </c>
      <c r="V11" s="165" t="e">
        <f t="shared" si="5"/>
        <v>#REF!</v>
      </c>
      <c r="W11" s="165" t="e">
        <f t="shared" si="5"/>
        <v>#REF!</v>
      </c>
      <c r="X11" s="165" t="e">
        <f t="shared" si="5"/>
        <v>#REF!</v>
      </c>
      <c r="Y11" s="165" t="e">
        <f t="shared" si="5"/>
        <v>#REF!</v>
      </c>
      <c r="Z11" s="165" t="e">
        <f t="shared" si="5"/>
        <v>#REF!</v>
      </c>
      <c r="AA11" s="165" t="e">
        <f t="shared" si="5"/>
        <v>#REF!</v>
      </c>
      <c r="AB11" s="165" t="e">
        <f t="shared" si="5"/>
        <v>#REF!</v>
      </c>
      <c r="AC11" s="165" t="e">
        <f t="shared" si="5"/>
        <v>#REF!</v>
      </c>
      <c r="AD11" s="91" t="e">
        <f>SUM(D11:X11)</f>
        <v>#REF!</v>
      </c>
      <c r="AE11" s="99" t="e">
        <f>IF(ABS(AD11-DEBT)&lt;0.01," ","SUM OF PRINCIPAL PAYMENTS DOES NOT EQUAL DEBT")</f>
        <v>#REF!</v>
      </c>
    </row>
    <row r="12" spans="1:31" x14ac:dyDescent="0.25">
      <c r="A12" s="353" t="s">
        <v>280</v>
      </c>
      <c r="B12" s="274"/>
      <c r="C12" s="274"/>
      <c r="D12" s="354" t="e">
        <f>SUM(D10:D11)</f>
        <v>#REF!</v>
      </c>
      <c r="E12" s="354" t="e">
        <f t="shared" ref="E12:S12" si="6">SUM(E10:E11)</f>
        <v>#REF!</v>
      </c>
      <c r="F12" s="354" t="e">
        <f t="shared" si="6"/>
        <v>#REF!</v>
      </c>
      <c r="G12" s="354" t="e">
        <f t="shared" si="6"/>
        <v>#REF!</v>
      </c>
      <c r="H12" s="354" t="e">
        <f t="shared" si="6"/>
        <v>#REF!</v>
      </c>
      <c r="I12" s="354" t="e">
        <f t="shared" si="6"/>
        <v>#REF!</v>
      </c>
      <c r="J12" s="354" t="e">
        <f t="shared" si="6"/>
        <v>#REF!</v>
      </c>
      <c r="K12" s="354" t="e">
        <f t="shared" si="6"/>
        <v>#REF!</v>
      </c>
      <c r="L12" s="354" t="e">
        <f t="shared" si="6"/>
        <v>#REF!</v>
      </c>
      <c r="M12" s="354" t="e">
        <f t="shared" si="6"/>
        <v>#REF!</v>
      </c>
      <c r="N12" s="354" t="e">
        <f t="shared" si="6"/>
        <v>#REF!</v>
      </c>
      <c r="O12" s="354" t="e">
        <f t="shared" si="6"/>
        <v>#REF!</v>
      </c>
      <c r="P12" s="354" t="e">
        <f t="shared" si="6"/>
        <v>#REF!</v>
      </c>
      <c r="Q12" s="354" t="e">
        <f t="shared" si="6"/>
        <v>#REF!</v>
      </c>
      <c r="R12" s="354" t="e">
        <f t="shared" si="6"/>
        <v>#REF!</v>
      </c>
      <c r="S12" s="354" t="e">
        <f t="shared" si="6"/>
        <v>#REF!</v>
      </c>
      <c r="T12" s="354" t="e">
        <f t="shared" ref="T12:AC12" si="7">SUM(T10:T11)</f>
        <v>#REF!</v>
      </c>
      <c r="U12" s="354" t="e">
        <f t="shared" si="7"/>
        <v>#REF!</v>
      </c>
      <c r="V12" s="354" t="e">
        <f t="shared" si="7"/>
        <v>#REF!</v>
      </c>
      <c r="W12" s="354" t="e">
        <f t="shared" si="7"/>
        <v>#REF!</v>
      </c>
      <c r="X12" s="354" t="e">
        <f t="shared" si="7"/>
        <v>#REF!</v>
      </c>
      <c r="Y12" s="354" t="e">
        <f t="shared" si="7"/>
        <v>#REF!</v>
      </c>
      <c r="Z12" s="354" t="e">
        <f t="shared" si="7"/>
        <v>#REF!</v>
      </c>
      <c r="AA12" s="354" t="e">
        <f t="shared" si="7"/>
        <v>#REF!</v>
      </c>
      <c r="AB12" s="354" t="e">
        <f t="shared" si="7"/>
        <v>#REF!</v>
      </c>
      <c r="AC12" s="354" t="e">
        <f t="shared" si="7"/>
        <v>#REF!</v>
      </c>
      <c r="AD12" s="355" t="e">
        <f>SUM(AD10:AD11)</f>
        <v>#REF!</v>
      </c>
    </row>
    <row r="15" spans="1:31" x14ac:dyDescent="0.25">
      <c r="A15" s="327" t="s">
        <v>281</v>
      </c>
      <c r="B15" s="54"/>
      <c r="C15" s="55" t="str">
        <f>ASS!T33</f>
        <v xml:space="preserve">   Tranche 1:</v>
      </c>
      <c r="D15" s="56"/>
      <c r="E15" s="56"/>
      <c r="F15" s="57"/>
      <c r="G15" s="55" t="str">
        <f>ASS!T41</f>
        <v xml:space="preserve">   Tranche 2:</v>
      </c>
      <c r="H15" s="58"/>
      <c r="I15" s="58"/>
      <c r="J15" s="59"/>
      <c r="K15" s="55" t="str">
        <f>ASS!T49</f>
        <v xml:space="preserve">   Tranche 3: Other</v>
      </c>
      <c r="L15" s="58"/>
      <c r="M15" s="58"/>
      <c r="N15" s="59"/>
      <c r="O15" s="55" t="str">
        <f>ASS!T57</f>
        <v xml:space="preserve">   Tranche 4: Other</v>
      </c>
      <c r="P15" s="58"/>
      <c r="Q15" s="58"/>
      <c r="R15" s="59"/>
      <c r="S15" s="55" t="str">
        <f>ASS!T65</f>
        <v xml:space="preserve">   Tranche 5: Other</v>
      </c>
      <c r="T15" s="58"/>
      <c r="U15" s="58"/>
      <c r="V15" s="59"/>
      <c r="W15" s="55" t="str">
        <f>ASS!T73</f>
        <v xml:space="preserve">   Tranche 6: Other</v>
      </c>
      <c r="X15" s="58"/>
      <c r="Y15" s="58"/>
      <c r="Z15" s="59"/>
      <c r="AA15" s="60"/>
      <c r="AB15" s="54"/>
    </row>
    <row r="16" spans="1:31" x14ac:dyDescent="0.25">
      <c r="A16" s="328" t="s">
        <v>282</v>
      </c>
      <c r="B16" s="62"/>
      <c r="C16" s="61" t="s">
        <v>10</v>
      </c>
      <c r="D16" s="63"/>
      <c r="E16" s="185" t="e">
        <f>ASS!X34</f>
        <v>#REF!</v>
      </c>
      <c r="F16" s="62"/>
      <c r="G16" s="61" t="s">
        <v>10</v>
      </c>
      <c r="H16" s="63"/>
      <c r="I16" s="185" t="e">
        <f>ASS!X42</f>
        <v>#REF!</v>
      </c>
      <c r="J16" s="185"/>
      <c r="K16" s="61" t="s">
        <v>10</v>
      </c>
      <c r="L16" s="63"/>
      <c r="M16" s="64" t="e">
        <f>ASS!X50</f>
        <v>#REF!</v>
      </c>
      <c r="N16" s="64"/>
      <c r="O16" s="61" t="s">
        <v>10</v>
      </c>
      <c r="P16" s="63"/>
      <c r="Q16" s="64" t="e">
        <f>ASS!X58</f>
        <v>#REF!</v>
      </c>
      <c r="R16" s="62"/>
      <c r="S16" s="61" t="s">
        <v>10</v>
      </c>
      <c r="T16" s="63"/>
      <c r="U16" s="64" t="e">
        <f>ASS!X66</f>
        <v>#REF!</v>
      </c>
      <c r="V16" s="62"/>
      <c r="W16" s="61" t="s">
        <v>10</v>
      </c>
      <c r="X16" s="63"/>
      <c r="Y16" s="185" t="e">
        <f>ASS!X74</f>
        <v>#REF!</v>
      </c>
      <c r="Z16" s="62"/>
      <c r="AA16" s="63"/>
      <c r="AB16" s="62"/>
    </row>
    <row r="17" spans="1:28" x14ac:dyDescent="0.25">
      <c r="A17" s="61"/>
      <c r="B17" s="62"/>
      <c r="C17" s="61" t="s">
        <v>283</v>
      </c>
      <c r="D17" s="63"/>
      <c r="E17" s="63">
        <f>ASS!X35</f>
        <v>0</v>
      </c>
      <c r="F17" s="62" t="s">
        <v>284</v>
      </c>
      <c r="G17" s="61" t="s">
        <v>283</v>
      </c>
      <c r="H17" s="63"/>
      <c r="I17" s="63">
        <f>ASS!X43</f>
        <v>0</v>
      </c>
      <c r="J17" s="62" t="s">
        <v>284</v>
      </c>
      <c r="K17" s="61" t="s">
        <v>283</v>
      </c>
      <c r="L17" s="63"/>
      <c r="M17" s="63">
        <f>ASS!X51</f>
        <v>0</v>
      </c>
      <c r="N17" s="62" t="s">
        <v>284</v>
      </c>
      <c r="O17" s="61" t="s">
        <v>283</v>
      </c>
      <c r="P17" s="63"/>
      <c r="Q17" s="63">
        <f>ASS!X59</f>
        <v>0</v>
      </c>
      <c r="R17" s="62" t="s">
        <v>284</v>
      </c>
      <c r="S17" s="61" t="s">
        <v>283</v>
      </c>
      <c r="T17" s="63"/>
      <c r="U17" s="63">
        <f>ASS!X67</f>
        <v>0</v>
      </c>
      <c r="V17" s="62" t="s">
        <v>284</v>
      </c>
      <c r="W17" s="61" t="s">
        <v>283</v>
      </c>
      <c r="X17" s="63"/>
      <c r="Y17" s="63">
        <f>ASS!X75</f>
        <v>0</v>
      </c>
      <c r="Z17" s="62" t="s">
        <v>284</v>
      </c>
      <c r="AA17" s="63"/>
      <c r="AB17" s="62"/>
    </row>
    <row r="18" spans="1:28" x14ac:dyDescent="0.25">
      <c r="A18" s="61"/>
      <c r="B18" s="62"/>
      <c r="C18" s="61" t="s">
        <v>254</v>
      </c>
      <c r="D18" s="63"/>
      <c r="E18" s="65">
        <f>ASS!X38</f>
        <v>0</v>
      </c>
      <c r="F18" s="62"/>
      <c r="G18" s="61" t="s">
        <v>254</v>
      </c>
      <c r="H18" s="63"/>
      <c r="I18" s="65">
        <f>ASS!X46</f>
        <v>0</v>
      </c>
      <c r="J18" s="62"/>
      <c r="K18" s="61" t="s">
        <v>254</v>
      </c>
      <c r="L18" s="63"/>
      <c r="M18" s="65">
        <f>ASS!X54</f>
        <v>0</v>
      </c>
      <c r="N18" s="62"/>
      <c r="O18" s="61" t="s">
        <v>254</v>
      </c>
      <c r="P18" s="63"/>
      <c r="Q18" s="65">
        <f>ASS!X62</f>
        <v>0</v>
      </c>
      <c r="R18" s="62"/>
      <c r="S18" s="61" t="s">
        <v>254</v>
      </c>
      <c r="T18" s="63"/>
      <c r="U18" s="65">
        <f>ASS!X70</f>
        <v>0</v>
      </c>
      <c r="V18" s="62"/>
      <c r="W18" s="61" t="s">
        <v>254</v>
      </c>
      <c r="X18" s="63"/>
      <c r="Y18" s="65">
        <f>ASS!X78</f>
        <v>0</v>
      </c>
      <c r="Z18" s="62"/>
      <c r="AA18" s="63"/>
      <c r="AB18" s="62"/>
    </row>
    <row r="19" spans="1:28" x14ac:dyDescent="0.25">
      <c r="A19" s="61"/>
      <c r="B19" s="62"/>
      <c r="C19" s="61" t="s">
        <v>285</v>
      </c>
      <c r="D19" s="63"/>
      <c r="E19" s="365">
        <f>ASS!$X$37</f>
        <v>0</v>
      </c>
      <c r="F19" s="62" t="s">
        <v>124</v>
      </c>
      <c r="G19" s="61" t="s">
        <v>285</v>
      </c>
      <c r="H19" s="63"/>
      <c r="I19" s="365">
        <f>ASS!$X$45</f>
        <v>0</v>
      </c>
      <c r="J19" s="62" t="s">
        <v>124</v>
      </c>
      <c r="K19" s="61" t="s">
        <v>285</v>
      </c>
      <c r="L19" s="63"/>
      <c r="M19" s="365">
        <f>ASS!$X$53</f>
        <v>0</v>
      </c>
      <c r="N19" s="62" t="s">
        <v>124</v>
      </c>
      <c r="O19" s="61" t="s">
        <v>285</v>
      </c>
      <c r="P19" s="63"/>
      <c r="Q19" s="365">
        <f>ASS!$X$61</f>
        <v>0</v>
      </c>
      <c r="R19" s="62" t="s">
        <v>124</v>
      </c>
      <c r="S19" s="61" t="s">
        <v>285</v>
      </c>
      <c r="T19" s="63"/>
      <c r="U19" s="365">
        <f>ASS!$X$69</f>
        <v>0</v>
      </c>
      <c r="V19" s="62" t="s">
        <v>124</v>
      </c>
      <c r="W19" s="61" t="s">
        <v>285</v>
      </c>
      <c r="X19" s="63"/>
      <c r="Y19" s="365">
        <f>ASS!$X$77</f>
        <v>0</v>
      </c>
      <c r="Z19" s="62" t="s">
        <v>124</v>
      </c>
      <c r="AA19" s="63"/>
      <c r="AB19" s="62"/>
    </row>
    <row r="20" spans="1:28" x14ac:dyDescent="0.25">
      <c r="A20" s="61"/>
      <c r="B20" s="62"/>
      <c r="C20" s="61" t="str">
        <f>IF(ASS!$W$33=1,"STRAIGHT LINE AMORTIZATION", IF(ASS!$W$33=2,"MORTGAGE STYLE AMORTIZATION","CHECK"))</f>
        <v>CHECK</v>
      </c>
      <c r="D20" s="63"/>
      <c r="E20" s="63"/>
      <c r="F20" s="62"/>
      <c r="G20" s="61" t="str">
        <f>IF(ASS!$W$41=1,"STRAIGHT LINE AMORTIZATION", IF(ASS!$W$41=2,"MORTGAGE STYLE AMORTIZATION","CHECK"))</f>
        <v>CHECK</v>
      </c>
      <c r="H20" s="63"/>
      <c r="I20" s="63"/>
      <c r="J20" s="62"/>
      <c r="K20" s="61" t="str">
        <f>IF(ASS!$W$49=1,"STRAIGHT LINE AMORTIZATION", IF(ASS!$W$49=2,"MORTGAGE STYLE AMORTIZATION","CHECK"))</f>
        <v>CHECK</v>
      </c>
      <c r="L20" s="63"/>
      <c r="M20" s="63"/>
      <c r="N20" s="62"/>
      <c r="O20" s="61" t="str">
        <f>IF(ASS!$W$57=1,"STRAIGHT LINE AMORTIZATION", IF(ASS!$W$57=2,"MORTGAGE STYLE AMORTIZATION","CHECK"))</f>
        <v>CHECK</v>
      </c>
      <c r="P20" s="63"/>
      <c r="Q20" s="63"/>
      <c r="R20" s="62"/>
      <c r="S20" s="61" t="str">
        <f>IF(ASS!$W$65=1,"STRAIGHT LINE AMORTIZATION", IF(ASS!$W$65=2,"MORTGAGE STYLE AMORTIZATION","CHECK"))</f>
        <v>CHECK</v>
      </c>
      <c r="T20" s="63"/>
      <c r="U20" s="63"/>
      <c r="V20" s="62"/>
      <c r="W20" s="61" t="str">
        <f>IF(ASS!$W$73=1,"STRAIGHT LINE AMORTIZATION", IF(ASS!$W$73=2,"MORTGAGE STYLE AMORTIZATION","CHECK"))</f>
        <v>CHECK</v>
      </c>
      <c r="X20" s="63"/>
      <c r="Y20" s="63"/>
      <c r="Z20" s="62"/>
      <c r="AA20" s="66" t="s">
        <v>252</v>
      </c>
      <c r="AB20" s="67" t="s">
        <v>252</v>
      </c>
    </row>
    <row r="21" spans="1:28" x14ac:dyDescent="0.25">
      <c r="A21" s="61"/>
      <c r="B21" s="62"/>
      <c r="C21" s="61"/>
      <c r="D21" s="63"/>
      <c r="E21" s="63"/>
      <c r="F21" s="62"/>
      <c r="G21" s="61"/>
      <c r="H21" s="63"/>
      <c r="I21" s="63"/>
      <c r="J21" s="62"/>
      <c r="K21" s="61"/>
      <c r="L21" s="63"/>
      <c r="M21" s="63"/>
      <c r="N21" s="62"/>
      <c r="O21" s="61"/>
      <c r="P21" s="63"/>
      <c r="Q21" s="63"/>
      <c r="R21" s="62"/>
      <c r="S21" s="61"/>
      <c r="T21" s="63"/>
      <c r="U21" s="63"/>
      <c r="V21" s="62"/>
      <c r="W21" s="61"/>
      <c r="X21" s="63"/>
      <c r="Y21" s="63"/>
      <c r="Z21" s="62"/>
      <c r="AA21" s="63"/>
      <c r="AB21" s="62"/>
    </row>
    <row r="22" spans="1:28" x14ac:dyDescent="0.25">
      <c r="A22" s="68" t="s">
        <v>286</v>
      </c>
      <c r="B22" s="69" t="s">
        <v>287</v>
      </c>
      <c r="C22" s="68" t="s">
        <v>288</v>
      </c>
      <c r="D22" s="70" t="s">
        <v>289</v>
      </c>
      <c r="E22" s="70" t="s">
        <v>290</v>
      </c>
      <c r="F22" s="69" t="s">
        <v>291</v>
      </c>
      <c r="G22" s="68" t="s">
        <v>288</v>
      </c>
      <c r="H22" s="70" t="s">
        <v>289</v>
      </c>
      <c r="I22" s="70" t="s">
        <v>290</v>
      </c>
      <c r="J22" s="69" t="s">
        <v>291</v>
      </c>
      <c r="K22" s="68" t="s">
        <v>288</v>
      </c>
      <c r="L22" s="70" t="s">
        <v>289</v>
      </c>
      <c r="M22" s="70" t="s">
        <v>290</v>
      </c>
      <c r="N22" s="69" t="s">
        <v>291</v>
      </c>
      <c r="O22" s="68" t="s">
        <v>288</v>
      </c>
      <c r="P22" s="70" t="s">
        <v>289</v>
      </c>
      <c r="Q22" s="70" t="s">
        <v>290</v>
      </c>
      <c r="R22" s="69" t="s">
        <v>291</v>
      </c>
      <c r="S22" s="68" t="s">
        <v>288</v>
      </c>
      <c r="T22" s="70" t="s">
        <v>289</v>
      </c>
      <c r="U22" s="70" t="s">
        <v>290</v>
      </c>
      <c r="V22" s="69" t="s">
        <v>291</v>
      </c>
      <c r="W22" s="68" t="s">
        <v>288</v>
      </c>
      <c r="X22" s="70" t="s">
        <v>289</v>
      </c>
      <c r="Y22" s="70" t="s">
        <v>290</v>
      </c>
      <c r="Z22" s="69" t="s">
        <v>291</v>
      </c>
      <c r="AA22" s="70" t="s">
        <v>289</v>
      </c>
      <c r="AB22" s="69" t="s">
        <v>290</v>
      </c>
    </row>
    <row r="23" spans="1:28" x14ac:dyDescent="0.25">
      <c r="A23" s="61">
        <f>STARTYR</f>
        <v>2001</v>
      </c>
      <c r="B23" s="62">
        <f>IF(MOSYR1&gt;1, 0, 1)</f>
        <v>0</v>
      </c>
      <c r="C23" s="184" t="e">
        <f>E16</f>
        <v>#REF!</v>
      </c>
      <c r="D23" s="185" t="e">
        <f>IF($C23&gt;0, IF(D7&gt;6, C23*(D7-6)/12*E18, 0),0)</f>
        <v>#REF!</v>
      </c>
      <c r="E23" s="185">
        <f>IF(D7&lt;12,0,IF($E$19&gt;=B23, 0, IF(C23&gt;1, IF(ASS!$W$33=1,$E$16/(($E$17*2)-$E$19), -PMT($E$18/2,($E$17*2-$E$19),$E$16,0)-D23), 0)))</f>
        <v>0</v>
      </c>
      <c r="F23" s="186" t="e">
        <f>C23-E23</f>
        <v>#REF!</v>
      </c>
      <c r="G23" s="184" t="e">
        <f>I16</f>
        <v>#REF!</v>
      </c>
      <c r="H23" s="185" t="e">
        <f>IF($G23&gt;0, IF(D7&gt;6, G23*(D7-6)/12*I18, 0),0)</f>
        <v>#REF!</v>
      </c>
      <c r="I23" s="185">
        <f>IF(D7&lt;12,0,IF($I$19&gt;=$B23, 0, IF(G23&gt;1, IF(ASS!$W$41=1,$I$16/(($I$17*2)-$I$19),-PMT($I$18/2,($I$17*2-$I$19),$I$16,0)-H23), 0)))</f>
        <v>0</v>
      </c>
      <c r="J23" s="186" t="e">
        <f>G23-I23</f>
        <v>#REF!</v>
      </c>
      <c r="K23" s="184" t="e">
        <f>M16</f>
        <v>#REF!</v>
      </c>
      <c r="L23" s="185" t="e">
        <f>IF($K23&gt;0, IF(D7&gt;6, K23*(D7-6)/12*M18, 0),0)</f>
        <v>#REF!</v>
      </c>
      <c r="M23" s="185">
        <f>IF(D7&lt;12,0,IF($M$19&gt;=$B23, 0, IF(K23&gt;1, IF(ASS!$W$49=1,$M$16/(($M$17*2)-$M$19), -PMT($M$18/2,($M$17*2-$M$19),$M$16,0)-L23), 0)))</f>
        <v>0</v>
      </c>
      <c r="N23" s="186" t="e">
        <f>K23-M23</f>
        <v>#REF!</v>
      </c>
      <c r="O23" s="184" t="e">
        <f>Q16</f>
        <v>#REF!</v>
      </c>
      <c r="P23" s="185" t="e">
        <f>IF($O23&gt;0, IF(D7&gt;6, O23*(D7-6)/12*Q18, 0),0)</f>
        <v>#REF!</v>
      </c>
      <c r="Q23" s="185">
        <f>IF(D7&lt;12,0,IF($Q$19&gt;=B23, 0, IF(O23&gt;1, IF(ASS!$W$57=1,$Q$16/(($Q$17*2)-$Q$19), -PMT($Q$18/2,($Q$17*2-$Q$19),$Q$16,0)-P23), 0)))</f>
        <v>0</v>
      </c>
      <c r="R23" s="186" t="e">
        <f>O23-Q23</f>
        <v>#REF!</v>
      </c>
      <c r="S23" s="184" t="e">
        <f>U16</f>
        <v>#REF!</v>
      </c>
      <c r="T23" s="185" t="e">
        <f>IF(S23&gt;0, IF($D7&gt;6, S23*($D7-6)/12*U18, 0),0)</f>
        <v>#REF!</v>
      </c>
      <c r="U23" s="185">
        <f>IF(D7&lt;12,0,IF($U$19&gt;=B23, 0, IF(S23&gt;1, IF(ASS!$W$65=1,$U$16/(($U$17*2)-$U$19), -PMT($U$18/2,($U$17*2-$U$19),$U$16,0)-T23), 0)))</f>
        <v>0</v>
      </c>
      <c r="V23" s="186" t="e">
        <f>S23-U23</f>
        <v>#REF!</v>
      </c>
      <c r="W23" s="184" t="e">
        <f>Y16</f>
        <v>#REF!</v>
      </c>
      <c r="X23" s="185" t="e">
        <f>IF(W23&gt;0, IF($D7&gt;6, W23*($D7-6)/12*Y18, 0),0)</f>
        <v>#REF!</v>
      </c>
      <c r="Y23" s="185">
        <f>IF(D7&lt;12,0,IF($Y$19&gt;=B23, 0, IF(W23&gt;1, IF(ASS!$W$73=1,$Y$16/(($Y$17*2)-$Y$19), -PMT($Y$18/2,($Y$17*2-$Y$19),$Y$16,0)-X23), 0)))</f>
        <v>0</v>
      </c>
      <c r="Z23" s="186" t="e">
        <f>W23-Y23</f>
        <v>#REF!</v>
      </c>
      <c r="AA23" s="185"/>
      <c r="AB23" s="186"/>
    </row>
    <row r="24" spans="1:28" x14ac:dyDescent="0.25">
      <c r="A24" s="72">
        <f>A23</f>
        <v>2001</v>
      </c>
      <c r="B24" s="73">
        <f>B23+1</f>
        <v>1</v>
      </c>
      <c r="C24" s="187" t="e">
        <f t="shared" ref="C24:C62" si="8">F23</f>
        <v>#REF!</v>
      </c>
      <c r="D24" s="188" t="e">
        <f>IF($D$7&gt;6, C24*$E$18*0.5, C24*E18*$D$7/12)</f>
        <v>#REF!</v>
      </c>
      <c r="E24" s="367" t="e">
        <f>IF($E$19&gt;=B24, 0, IF(C24&gt;1, IF(ASS!$W$33=1,$E$16/(($E$17*2)-$E$19), -PMT($E$18/2,($E$17*2-B23),C24,0)-D24), 0))</f>
        <v>#REF!</v>
      </c>
      <c r="F24" s="189" t="e">
        <f>C24-E24</f>
        <v>#REF!</v>
      </c>
      <c r="G24" s="187" t="e">
        <f t="shared" ref="G24:G62" si="9">J23</f>
        <v>#REF!</v>
      </c>
      <c r="H24" s="188" t="e">
        <f>IF($D$7&gt;6, G24*$I$18*0.5, G24*$I$18*$D$7/12)</f>
        <v>#REF!</v>
      </c>
      <c r="I24" s="367" t="e">
        <f>IF($I$19&gt;=B24, 0, IF(G24&gt;1, IF(ASS!$W$41=1,$I$16/(($I$17*2)-$I$19), -PMT($I$18/2,($I$17*2-B23),G24,0)-H24), 0))</f>
        <v>#REF!</v>
      </c>
      <c r="J24" s="189" t="e">
        <f t="shared" ref="J24:J39" si="10">G24-I24</f>
        <v>#REF!</v>
      </c>
      <c r="K24" s="187" t="e">
        <f t="shared" ref="K24:K62" si="11">N23</f>
        <v>#REF!</v>
      </c>
      <c r="L24" s="188" t="e">
        <f>IF($D$7&gt;6, K24*$M$18*0.5, K24*$M$18*$D$7/12)</f>
        <v>#REF!</v>
      </c>
      <c r="M24" s="367" t="e">
        <f>IF($M$19&gt;=B24, 0, IF(K24&gt;1, IF(ASS!$W$49=1,$M$16/(($M$17*2)-$M$19), -PMT($M$18/2,($M$17*2-B23),K24,0)-L24), 0))</f>
        <v>#REF!</v>
      </c>
      <c r="N24" s="189" t="e">
        <f t="shared" ref="N24:N39" si="12">K24-M24</f>
        <v>#REF!</v>
      </c>
      <c r="O24" s="187" t="e">
        <f t="shared" ref="O24:O62" si="13">R23</f>
        <v>#REF!</v>
      </c>
      <c r="P24" s="188" t="e">
        <f>IF($D$7&gt;6, O24*$Q$18*0.5, O24*$Q$18*$D$7/12)</f>
        <v>#REF!</v>
      </c>
      <c r="Q24" s="367" t="e">
        <f>IF($Q$19&gt;=B24, 0, IF(O24&gt;1, IF(ASS!$W$57=1,$Q$16/(($Q$17*2)-$Q$19), -PMT($Q$18/2,($Q$17*2-B23),O24,0)-P24), 0))</f>
        <v>#REF!</v>
      </c>
      <c r="R24" s="189" t="e">
        <f t="shared" ref="R24:R39" si="14">O24-Q24</f>
        <v>#REF!</v>
      </c>
      <c r="S24" s="187" t="e">
        <f t="shared" ref="S24:S62" si="15">V23</f>
        <v>#REF!</v>
      </c>
      <c r="T24" s="188" t="e">
        <f>IF($D$7&gt;6, S24*$U$18*0.5, S24*$U$18*$D$7/12)</f>
        <v>#REF!</v>
      </c>
      <c r="U24" s="367" t="e">
        <f>IF($U$19&gt;=B24, 0, IF(S24&gt;1, IF(ASS!$W$65=1,$U$16/(($U$17*2)-$U$19), -PMT($U$18/2,($U$17*2-B23),S24,0)-T24), 0))</f>
        <v>#REF!</v>
      </c>
      <c r="V24" s="189" t="e">
        <f t="shared" ref="V24:V39" si="16">S24-U24</f>
        <v>#REF!</v>
      </c>
      <c r="W24" s="187" t="e">
        <f t="shared" ref="W24:W62" si="17">Z23</f>
        <v>#REF!</v>
      </c>
      <c r="X24" s="188" t="e">
        <f>IF($D$7&gt;6, W24*$Y$18*0.5, W24*$Y$18*$D$7/12)</f>
        <v>#REF!</v>
      </c>
      <c r="Y24" s="367" t="e">
        <f>IF($Y$19&gt;=B24, 0, IF(W24&gt;1, IF(ASS!$W$73=1,$Y$16/(($Y$17*2)-$Y$19), -PMT($Y$18/2,($Y$17*2-B23),W24,0)-X24), 0))</f>
        <v>#REF!</v>
      </c>
      <c r="Z24" s="189" t="e">
        <f t="shared" ref="Z24:Z39" si="18">W24-Y24</f>
        <v>#REF!</v>
      </c>
      <c r="AA24" s="188" t="e">
        <f>SUM(D23:D24,H23:H24,L23:L24, P23:P24, T23:T24, X23:X24)</f>
        <v>#REF!</v>
      </c>
      <c r="AB24" s="189" t="e">
        <f>SUM(E23:E24, I23:I24, M23:M24, Q23:Q24, U23:U24, Y23:Y24)</f>
        <v>#REF!</v>
      </c>
    </row>
    <row r="25" spans="1:28" x14ac:dyDescent="0.25">
      <c r="A25" s="61">
        <f>A23+1</f>
        <v>2002</v>
      </c>
      <c r="B25" s="62">
        <f t="shared" ref="B25:B40" si="19">B24+1</f>
        <v>2</v>
      </c>
      <c r="C25" s="184" t="e">
        <f t="shared" si="8"/>
        <v>#REF!</v>
      </c>
      <c r="D25" s="185" t="e">
        <f>C25*$E$18*0.5</f>
        <v>#REF!</v>
      </c>
      <c r="E25" s="185" t="e">
        <f>IF($E$19&gt;=B25, 0, IF(C25&gt;1, IF(ASS!$W$33=1,$E$16/(($E$17*2)-$E$19), -PMT($E$18/2,($E$17*2-B24),C25,0)-D25), 0))</f>
        <v>#REF!</v>
      </c>
      <c r="F25" s="186" t="e">
        <f t="shared" ref="F25:F40" si="20">C25-E25</f>
        <v>#REF!</v>
      </c>
      <c r="G25" s="184" t="e">
        <f t="shared" si="9"/>
        <v>#REF!</v>
      </c>
      <c r="H25" s="185" t="e">
        <f>G25*$I$18*0.5</f>
        <v>#REF!</v>
      </c>
      <c r="I25" s="185" t="e">
        <f>IF($I$19&gt;=B25, 0, IF(G25&gt;1, IF(ASS!$W$41=1,$I$16/(($I$17*2)-$I$19), -PMT($I$18/2,($I$17*2-B24),G25,0)-H25), 0))</f>
        <v>#REF!</v>
      </c>
      <c r="J25" s="186" t="e">
        <f t="shared" si="10"/>
        <v>#REF!</v>
      </c>
      <c r="K25" s="184" t="e">
        <f t="shared" si="11"/>
        <v>#REF!</v>
      </c>
      <c r="L25" s="185" t="e">
        <f>K25*$M$18*0.5</f>
        <v>#REF!</v>
      </c>
      <c r="M25" s="185" t="e">
        <f>IF($M$19&gt;=B25, 0, IF(K25&gt;1, IF(ASS!$W$49=1,$M$16/(($M$17*2)-$M$19), -PMT($M$18/2,($M$17*2-B24),K25,0)-L25), 0))</f>
        <v>#REF!</v>
      </c>
      <c r="N25" s="186" t="e">
        <f t="shared" si="12"/>
        <v>#REF!</v>
      </c>
      <c r="O25" s="184" t="e">
        <f t="shared" si="13"/>
        <v>#REF!</v>
      </c>
      <c r="P25" s="185" t="e">
        <f>O25*$Q$18*0.5</f>
        <v>#REF!</v>
      </c>
      <c r="Q25" s="185" t="e">
        <f>IF($Q$19&gt;=B25, 0, IF(O25&gt;1, IF(ASS!$W$57=1,$Q$16/(($Q$17*2)-$Q$19), -PMT($Q$18/2,($Q$17*2-B24),O25,0)-P25), 0))</f>
        <v>#REF!</v>
      </c>
      <c r="R25" s="186" t="e">
        <f t="shared" si="14"/>
        <v>#REF!</v>
      </c>
      <c r="S25" s="184" t="e">
        <f t="shared" si="15"/>
        <v>#REF!</v>
      </c>
      <c r="T25" s="185" t="e">
        <f>S25*$U$18*0.5</f>
        <v>#REF!</v>
      </c>
      <c r="U25" s="185" t="e">
        <f>IF($U$19&gt;=B25, 0, IF(S25&gt;1, IF(ASS!$W$65=1,$U$16/(($U$17*2)-$U$19), -PMT($U$18/2,($U$17*2-B24),S25,0)-T25), 0))</f>
        <v>#REF!</v>
      </c>
      <c r="V25" s="186" t="e">
        <f t="shared" si="16"/>
        <v>#REF!</v>
      </c>
      <c r="W25" s="184" t="e">
        <f t="shared" si="17"/>
        <v>#REF!</v>
      </c>
      <c r="X25" s="185" t="e">
        <f>W25*$Y$18*0.5</f>
        <v>#REF!</v>
      </c>
      <c r="Y25" s="185" t="e">
        <f>IF($Y$19&gt;=B25, 0, IF(W25&gt;1, IF(ASS!$W$73=1,$Y$16/(($Y$17*2)-$Y$19), -PMT($Y$18/2,($Y$17*2-B24),W25,0)-X25), 0))</f>
        <v>#REF!</v>
      </c>
      <c r="Z25" s="186" t="e">
        <f t="shared" si="18"/>
        <v>#REF!</v>
      </c>
      <c r="AA25" s="185"/>
      <c r="AB25" s="186"/>
    </row>
    <row r="26" spans="1:28" x14ac:dyDescent="0.25">
      <c r="A26" s="72">
        <f>A25</f>
        <v>2002</v>
      </c>
      <c r="B26" s="73">
        <f t="shared" si="19"/>
        <v>3</v>
      </c>
      <c r="C26" s="187" t="e">
        <f t="shared" si="8"/>
        <v>#REF!</v>
      </c>
      <c r="D26" s="188" t="e">
        <f t="shared" ref="D26:D41" si="21">C26*$E$18*0.5</f>
        <v>#REF!</v>
      </c>
      <c r="E26" s="188" t="e">
        <f>IF($E$19&gt;=B26, 0, IF(C26&gt;1, IF(ASS!$W$33=1,$E$16/(($E$17*2)-$E$19), -PMT($E$18/2,($E$17*2-B25),C26,0)-D26), 0))</f>
        <v>#REF!</v>
      </c>
      <c r="F26" s="189" t="e">
        <f t="shared" si="20"/>
        <v>#REF!</v>
      </c>
      <c r="G26" s="187" t="e">
        <f t="shared" si="9"/>
        <v>#REF!</v>
      </c>
      <c r="H26" s="188" t="e">
        <f t="shared" ref="H26:H41" si="22">G26*$I$18*0.5</f>
        <v>#REF!</v>
      </c>
      <c r="I26" s="188" t="e">
        <f>IF($I$19&gt;=B26, 0, IF(G26&gt;1, IF(ASS!$W$41=1,$I$16/(($I$17*2)-$I$19), -PMT($I$18/2,($I$17*2-B25),G26,0)-H26), 0))</f>
        <v>#REF!</v>
      </c>
      <c r="J26" s="189" t="e">
        <f t="shared" si="10"/>
        <v>#REF!</v>
      </c>
      <c r="K26" s="187" t="e">
        <f t="shared" si="11"/>
        <v>#REF!</v>
      </c>
      <c r="L26" s="188" t="e">
        <f>K26*$M$18*0.5</f>
        <v>#REF!</v>
      </c>
      <c r="M26" s="188" t="e">
        <f>IF($M$19&gt;=B26, 0, IF(K26&gt;1, IF(ASS!$W$49=1,$M$16/(($M$17*2)-$M$19), -PMT($M$18/2,($M$17*2-B25),K26,0)-L26), 0))</f>
        <v>#REF!</v>
      </c>
      <c r="N26" s="189" t="e">
        <f t="shared" si="12"/>
        <v>#REF!</v>
      </c>
      <c r="O26" s="187" t="e">
        <f t="shared" si="13"/>
        <v>#REF!</v>
      </c>
      <c r="P26" s="188" t="e">
        <f t="shared" ref="P26:P41" si="23">O26*$Q$18*0.5</f>
        <v>#REF!</v>
      </c>
      <c r="Q26" s="188" t="e">
        <f>IF($Q$19&gt;=B26, 0, IF(O26&gt;1, IF(ASS!$W$57=1,$Q$16/(($Q$17*2)-$Q$19), -PMT($Q$18/2,($Q$17*2-B25),O26,0)-P26), 0))</f>
        <v>#REF!</v>
      </c>
      <c r="R26" s="189" t="e">
        <f t="shared" si="14"/>
        <v>#REF!</v>
      </c>
      <c r="S26" s="187" t="e">
        <f t="shared" si="15"/>
        <v>#REF!</v>
      </c>
      <c r="T26" s="188" t="e">
        <f t="shared" ref="T26:T41" si="24">S26*$U$18*0.5</f>
        <v>#REF!</v>
      </c>
      <c r="U26" s="188" t="e">
        <f>IF($U$19&gt;=B26, 0, IF(S26&gt;1, IF(ASS!$W$65=1,$U$16/(($U$17*2)-$U$19), -PMT($U$18/2,($U$17*2-B25),S26,0)-T26), 0))</f>
        <v>#REF!</v>
      </c>
      <c r="V26" s="189" t="e">
        <f t="shared" si="16"/>
        <v>#REF!</v>
      </c>
      <c r="W26" s="187" t="e">
        <f t="shared" si="17"/>
        <v>#REF!</v>
      </c>
      <c r="X26" s="188" t="e">
        <f t="shared" ref="X26:X41" si="25">W26*$Y$18*0.5</f>
        <v>#REF!</v>
      </c>
      <c r="Y26" s="188" t="e">
        <f>IF($Y$19&gt;=B26, 0, IF(W26&gt;1, IF(ASS!$W$73=1,$Y$16/(($Y$17*2)-$Y$19), -PMT($Y$18/2,($Y$17*2-B25),W26,0)-X26), 0))</f>
        <v>#REF!</v>
      </c>
      <c r="Z26" s="189" t="e">
        <f t="shared" si="18"/>
        <v>#REF!</v>
      </c>
      <c r="AA26" s="188" t="e">
        <f>SUM(D25:D26,H25:H26,L25:L26, P25:P26, T25:T26, X25:X26)</f>
        <v>#REF!</v>
      </c>
      <c r="AB26" s="189" t="e">
        <f>SUM(E25:E26, I25:I26, M25:M26, Q25:Q26, U25:U26, Y25:Y26)</f>
        <v>#REF!</v>
      </c>
    </row>
    <row r="27" spans="1:28" x14ac:dyDescent="0.25">
      <c r="A27" s="61">
        <f>A25+1</f>
        <v>2003</v>
      </c>
      <c r="B27" s="62">
        <f t="shared" si="19"/>
        <v>4</v>
      </c>
      <c r="C27" s="184" t="e">
        <f t="shared" si="8"/>
        <v>#REF!</v>
      </c>
      <c r="D27" s="185" t="e">
        <f t="shared" si="21"/>
        <v>#REF!</v>
      </c>
      <c r="E27" s="185" t="e">
        <f>IF($E$19&gt;=B27, 0, IF(C27&gt;1, IF(ASS!$W$33=1,$E$16/(($E$17*2)-$E$19), -PMT($E$18/2,($E$17*2-B26),C27,0)-D27), 0))</f>
        <v>#REF!</v>
      </c>
      <c r="F27" s="186" t="e">
        <f t="shared" si="20"/>
        <v>#REF!</v>
      </c>
      <c r="G27" s="184" t="e">
        <f t="shared" si="9"/>
        <v>#REF!</v>
      </c>
      <c r="H27" s="185" t="e">
        <f t="shared" si="22"/>
        <v>#REF!</v>
      </c>
      <c r="I27" s="185" t="e">
        <f>IF($I$19&gt;=B27, 0, IF(G27&gt;1, IF(ASS!$W$41=1,$I$16/(($I$17*2)-$I$19), -PMT($I$18/2,($I$17*2-B26),G27,0)-H27), 0))</f>
        <v>#REF!</v>
      </c>
      <c r="J27" s="186" t="e">
        <f t="shared" si="10"/>
        <v>#REF!</v>
      </c>
      <c r="K27" s="184" t="e">
        <f t="shared" si="11"/>
        <v>#REF!</v>
      </c>
      <c r="L27" s="185" t="e">
        <f t="shared" ref="L27:L42" si="26">K27*$M$18*0.5</f>
        <v>#REF!</v>
      </c>
      <c r="M27" s="185" t="e">
        <f>IF($M$19&gt;=B27, 0, IF(K27&gt;1, IF(ASS!$W$49=1,$M$16/(($M$17*2)-$M$19), -PMT($M$18/2,($M$17*2-B26),K27,0)-L27), 0))</f>
        <v>#REF!</v>
      </c>
      <c r="N27" s="186" t="e">
        <f t="shared" si="12"/>
        <v>#REF!</v>
      </c>
      <c r="O27" s="184" t="e">
        <f t="shared" si="13"/>
        <v>#REF!</v>
      </c>
      <c r="P27" s="185" t="e">
        <f t="shared" si="23"/>
        <v>#REF!</v>
      </c>
      <c r="Q27" s="185" t="e">
        <f>IF($Q$19&gt;=B27, 0, IF(O27&gt;1, IF(ASS!$W$57=1,$Q$16/(($Q$17*2)-$Q$19), -PMT($Q$18/2,($Q$17*2-B26),O27,0)-P27), 0))</f>
        <v>#REF!</v>
      </c>
      <c r="R27" s="186" t="e">
        <f t="shared" si="14"/>
        <v>#REF!</v>
      </c>
      <c r="S27" s="184" t="e">
        <f t="shared" si="15"/>
        <v>#REF!</v>
      </c>
      <c r="T27" s="185" t="e">
        <f t="shared" si="24"/>
        <v>#REF!</v>
      </c>
      <c r="U27" s="185" t="e">
        <f>IF($U$19&gt;=B27, 0, IF(S27&gt;1, IF(ASS!$W$65=1,$U$16/(($U$17*2)-$U$19), -PMT($U$18/2,($U$17*2-B26),S27,0)-T27), 0))</f>
        <v>#REF!</v>
      </c>
      <c r="V27" s="186" t="e">
        <f t="shared" si="16"/>
        <v>#REF!</v>
      </c>
      <c r="W27" s="184" t="e">
        <f t="shared" si="17"/>
        <v>#REF!</v>
      </c>
      <c r="X27" s="185" t="e">
        <f t="shared" si="25"/>
        <v>#REF!</v>
      </c>
      <c r="Y27" s="185" t="e">
        <f>IF($Y$19&gt;=B27, 0, IF(W27&gt;1, IF(ASS!$W$73=1,$Y$16/(($Y$17*2)-$Y$19), -PMT($Y$18/2,($Y$17*2-B26),W27,0)-X27), 0))</f>
        <v>#REF!</v>
      </c>
      <c r="Z27" s="186" t="e">
        <f t="shared" si="18"/>
        <v>#REF!</v>
      </c>
      <c r="AA27" s="185"/>
      <c r="AB27" s="186"/>
    </row>
    <row r="28" spans="1:28" x14ac:dyDescent="0.25">
      <c r="A28" s="72">
        <f t="shared" ref="A28:A43" si="27">A26+1</f>
        <v>2003</v>
      </c>
      <c r="B28" s="73">
        <f t="shared" si="19"/>
        <v>5</v>
      </c>
      <c r="C28" s="187" t="e">
        <f t="shared" si="8"/>
        <v>#REF!</v>
      </c>
      <c r="D28" s="188" t="e">
        <f t="shared" si="21"/>
        <v>#REF!</v>
      </c>
      <c r="E28" s="188" t="e">
        <f>IF($E$19&gt;=B28, 0, IF(C28&gt;1, IF(ASS!$W$33=1,$E$16/(($E$17*2)-$E$19), -PMT($E$18/2,($E$17*2-B27),C28,0)-D28), 0))</f>
        <v>#REF!</v>
      </c>
      <c r="F28" s="189" t="e">
        <f t="shared" si="20"/>
        <v>#REF!</v>
      </c>
      <c r="G28" s="187" t="e">
        <f t="shared" si="9"/>
        <v>#REF!</v>
      </c>
      <c r="H28" s="188" t="e">
        <f t="shared" si="22"/>
        <v>#REF!</v>
      </c>
      <c r="I28" s="188" t="e">
        <f>IF($I$19&gt;=B28, 0, IF(G28&gt;1, IF(ASS!$W$41=1,$I$16/(($I$17*2)-$I$19), -PMT($I$18/2,($I$17*2-B27),G28,0)-H28), 0))</f>
        <v>#REF!</v>
      </c>
      <c r="J28" s="189" t="e">
        <f t="shared" si="10"/>
        <v>#REF!</v>
      </c>
      <c r="K28" s="187" t="e">
        <f t="shared" si="11"/>
        <v>#REF!</v>
      </c>
      <c r="L28" s="188" t="e">
        <f t="shared" si="26"/>
        <v>#REF!</v>
      </c>
      <c r="M28" s="188" t="e">
        <f>IF($M$19&gt;=B28, 0, IF(K28&gt;1, IF(ASS!$W$49=1,$M$16/(($M$17*2)-$M$19), -PMT($M$18/2,($M$17*2-B27),K28,0)-L28), 0))</f>
        <v>#REF!</v>
      </c>
      <c r="N28" s="189" t="e">
        <f t="shared" si="12"/>
        <v>#REF!</v>
      </c>
      <c r="O28" s="187" t="e">
        <f t="shared" si="13"/>
        <v>#REF!</v>
      </c>
      <c r="P28" s="188" t="e">
        <f t="shared" si="23"/>
        <v>#REF!</v>
      </c>
      <c r="Q28" s="188" t="e">
        <f>IF($Q$19&gt;=B28, 0, IF(O28&gt;1, IF(ASS!$W$57=1,$Q$16/(($Q$17*2)-$Q$19), -PMT($Q$18/2,($Q$17*2-B27),O28,0)-P28), 0))</f>
        <v>#REF!</v>
      </c>
      <c r="R28" s="189" t="e">
        <f t="shared" si="14"/>
        <v>#REF!</v>
      </c>
      <c r="S28" s="187" t="e">
        <f t="shared" si="15"/>
        <v>#REF!</v>
      </c>
      <c r="T28" s="188" t="e">
        <f t="shared" si="24"/>
        <v>#REF!</v>
      </c>
      <c r="U28" s="188" t="e">
        <f>IF($U$19&gt;=B28, 0, IF(S28&gt;1, IF(ASS!$W$65=1,$U$16/(($U$17*2)-$U$19), -PMT($U$18/2,($U$17*2-B27),S28,0)-T28), 0))</f>
        <v>#REF!</v>
      </c>
      <c r="V28" s="189" t="e">
        <f t="shared" si="16"/>
        <v>#REF!</v>
      </c>
      <c r="W28" s="187" t="e">
        <f t="shared" si="17"/>
        <v>#REF!</v>
      </c>
      <c r="X28" s="188" t="e">
        <f t="shared" si="25"/>
        <v>#REF!</v>
      </c>
      <c r="Y28" s="188" t="e">
        <f>IF($Y$19&gt;=B28, 0, IF(W28&gt;1, IF(ASS!$W$73=1,$Y$16/(($Y$17*2)-$Y$19), -PMT($Y$18/2,($Y$17*2-B27),W28,0)-X28), 0))</f>
        <v>#REF!</v>
      </c>
      <c r="Z28" s="189" t="e">
        <f t="shared" si="18"/>
        <v>#REF!</v>
      </c>
      <c r="AA28" s="188" t="e">
        <f>SUM(D27:D28,H27:H28,L27:L28, P27:P28, T27:T28, X27:X28)</f>
        <v>#REF!</v>
      </c>
      <c r="AB28" s="189" t="e">
        <f>SUM(E27:E28, I27:I28, M27:M28, Q27:Q28, U27:U28, Y27:Y28)</f>
        <v>#REF!</v>
      </c>
    </row>
    <row r="29" spans="1:28" x14ac:dyDescent="0.25">
      <c r="A29" s="61">
        <f t="shared" si="27"/>
        <v>2004</v>
      </c>
      <c r="B29" s="62">
        <f t="shared" si="19"/>
        <v>6</v>
      </c>
      <c r="C29" s="184" t="e">
        <f t="shared" si="8"/>
        <v>#REF!</v>
      </c>
      <c r="D29" s="185" t="e">
        <f t="shared" si="21"/>
        <v>#REF!</v>
      </c>
      <c r="E29" s="185" t="e">
        <f>IF($E$19&gt;=B29, 0, IF(C29&gt;1, IF(ASS!$W$33=1,$E$16/(($E$17*2)-$E$19), -PMT($E$18/2,($E$17*2-B28),C29,0)-D29), 0))</f>
        <v>#REF!</v>
      </c>
      <c r="F29" s="186" t="e">
        <f t="shared" si="20"/>
        <v>#REF!</v>
      </c>
      <c r="G29" s="184" t="e">
        <f t="shared" si="9"/>
        <v>#REF!</v>
      </c>
      <c r="H29" s="185" t="e">
        <f t="shared" si="22"/>
        <v>#REF!</v>
      </c>
      <c r="I29" s="185" t="e">
        <f>IF($I$19&gt;=B29, 0, IF(G29&gt;1, IF(ASS!$W$41=1,$I$16/(($I$17*2)-$I$19), -PMT($I$18/2,($I$17*2-B28),G29,0)-H29), 0))</f>
        <v>#REF!</v>
      </c>
      <c r="J29" s="186" t="e">
        <f t="shared" si="10"/>
        <v>#REF!</v>
      </c>
      <c r="K29" s="184" t="e">
        <f t="shared" si="11"/>
        <v>#REF!</v>
      </c>
      <c r="L29" s="185" t="e">
        <f t="shared" si="26"/>
        <v>#REF!</v>
      </c>
      <c r="M29" s="185" t="e">
        <f>IF($M$19&gt;=B29, 0, IF(K29&gt;1, IF(ASS!$W$49=1,$M$16/(($M$17*2)-$M$19), -PMT($M$18/2,($M$17*2-B28),K29,0)-L29), 0))</f>
        <v>#REF!</v>
      </c>
      <c r="N29" s="186" t="e">
        <f t="shared" si="12"/>
        <v>#REF!</v>
      </c>
      <c r="O29" s="184" t="e">
        <f t="shared" si="13"/>
        <v>#REF!</v>
      </c>
      <c r="P29" s="185" t="e">
        <f t="shared" si="23"/>
        <v>#REF!</v>
      </c>
      <c r="Q29" s="185" t="e">
        <f>IF($Q$19&gt;=B29, 0, IF(O29&gt;1, IF(ASS!$W$57=1,$Q$16/(($Q$17*2)-$Q$19), -PMT($Q$18/2,($Q$17*2-B28),O29,0)-P29), 0))</f>
        <v>#REF!</v>
      </c>
      <c r="R29" s="186" t="e">
        <f t="shared" si="14"/>
        <v>#REF!</v>
      </c>
      <c r="S29" s="184" t="e">
        <f t="shared" si="15"/>
        <v>#REF!</v>
      </c>
      <c r="T29" s="185" t="e">
        <f t="shared" si="24"/>
        <v>#REF!</v>
      </c>
      <c r="U29" s="185" t="e">
        <f>IF($U$19&gt;=B29, 0, IF(S29&gt;1, IF(ASS!$W$65=1,$U$16/(($U$17*2)-$U$19), -PMT($U$18/2,($U$17*2-B28),S29,0)-T29), 0))</f>
        <v>#REF!</v>
      </c>
      <c r="V29" s="186" t="e">
        <f t="shared" si="16"/>
        <v>#REF!</v>
      </c>
      <c r="W29" s="184" t="e">
        <f t="shared" si="17"/>
        <v>#REF!</v>
      </c>
      <c r="X29" s="185" t="e">
        <f t="shared" si="25"/>
        <v>#REF!</v>
      </c>
      <c r="Y29" s="185" t="e">
        <f>IF($Y$19&gt;=B29, 0, IF(W29&gt;1, IF(ASS!$W$73=1,$Y$16/(($Y$17*2)-$Y$19), -PMT($Y$18/2,($Y$17*2-B28),W29,0)-X29), 0))</f>
        <v>#REF!</v>
      </c>
      <c r="Z29" s="186" t="e">
        <f t="shared" si="18"/>
        <v>#REF!</v>
      </c>
      <c r="AA29" s="185"/>
      <c r="AB29" s="186"/>
    </row>
    <row r="30" spans="1:28" x14ac:dyDescent="0.25">
      <c r="A30" s="72">
        <f>A29</f>
        <v>2004</v>
      </c>
      <c r="B30" s="73">
        <f t="shared" si="19"/>
        <v>7</v>
      </c>
      <c r="C30" s="187" t="e">
        <f t="shared" si="8"/>
        <v>#REF!</v>
      </c>
      <c r="D30" s="188" t="e">
        <f t="shared" si="21"/>
        <v>#REF!</v>
      </c>
      <c r="E30" s="188" t="e">
        <f>IF($E$19&gt;=B30, 0, IF(C30&gt;1, IF(ASS!$W$33=1,$E$16/(($E$17*2)-$E$19), -PMT($E$18/2,($E$17*2-B29),C30,0)-D30), 0))</f>
        <v>#REF!</v>
      </c>
      <c r="F30" s="189" t="e">
        <f t="shared" si="20"/>
        <v>#REF!</v>
      </c>
      <c r="G30" s="187" t="e">
        <f t="shared" si="9"/>
        <v>#REF!</v>
      </c>
      <c r="H30" s="188" t="e">
        <f t="shared" si="22"/>
        <v>#REF!</v>
      </c>
      <c r="I30" s="188" t="e">
        <f>IF($I$19&gt;=B30, 0, IF(G30&gt;1, IF(ASS!$W$41=1,$I$16/(($I$17*2)-$I$19), -PMT($I$18/2,($I$17*2-B29),G30,0)-H30), 0))</f>
        <v>#REF!</v>
      </c>
      <c r="J30" s="189" t="e">
        <f t="shared" si="10"/>
        <v>#REF!</v>
      </c>
      <c r="K30" s="187" t="e">
        <f t="shared" si="11"/>
        <v>#REF!</v>
      </c>
      <c r="L30" s="188" t="e">
        <f t="shared" si="26"/>
        <v>#REF!</v>
      </c>
      <c r="M30" s="188" t="e">
        <f>IF($M$19&gt;=B30, 0, IF(K30&gt;1, IF(ASS!$W$49=1,$M$16/(($M$17*2)-$M$19), -PMT($M$18/2,($M$17*2-B29),K30,0)-L30), 0))</f>
        <v>#REF!</v>
      </c>
      <c r="N30" s="189" t="e">
        <f t="shared" si="12"/>
        <v>#REF!</v>
      </c>
      <c r="O30" s="187" t="e">
        <f t="shared" si="13"/>
        <v>#REF!</v>
      </c>
      <c r="P30" s="188" t="e">
        <f t="shared" si="23"/>
        <v>#REF!</v>
      </c>
      <c r="Q30" s="188" t="e">
        <f>IF($Q$19&gt;=B30, 0, IF(O30&gt;1, IF(ASS!$W$57=1,$Q$16/(($Q$17*2)-$Q$19), -PMT($Q$18/2,($Q$17*2-B29),O30,0)-P30), 0))</f>
        <v>#REF!</v>
      </c>
      <c r="R30" s="189" t="e">
        <f t="shared" si="14"/>
        <v>#REF!</v>
      </c>
      <c r="S30" s="187" t="e">
        <f t="shared" si="15"/>
        <v>#REF!</v>
      </c>
      <c r="T30" s="188" t="e">
        <f t="shared" si="24"/>
        <v>#REF!</v>
      </c>
      <c r="U30" s="188" t="e">
        <f>IF($U$19&gt;=B30, 0, IF(S30&gt;1, IF(ASS!$W$65=1,$U$16/(($U$17*2)-$U$19), -PMT($U$18/2,($U$17*2-B29),S30,0)-T30), 0))</f>
        <v>#REF!</v>
      </c>
      <c r="V30" s="189" t="e">
        <f t="shared" si="16"/>
        <v>#REF!</v>
      </c>
      <c r="W30" s="187" t="e">
        <f t="shared" si="17"/>
        <v>#REF!</v>
      </c>
      <c r="X30" s="188" t="e">
        <f t="shared" si="25"/>
        <v>#REF!</v>
      </c>
      <c r="Y30" s="188" t="e">
        <f>IF($Y$19&gt;=B30, 0, IF(W30&gt;1, IF(ASS!$W$73=1,$Y$16/(($Y$17*2)-$Y$19), -PMT($Y$18/2,($Y$17*2-B29),W30,0)-X30), 0))</f>
        <v>#REF!</v>
      </c>
      <c r="Z30" s="189" t="e">
        <f t="shared" si="18"/>
        <v>#REF!</v>
      </c>
      <c r="AA30" s="188" t="e">
        <f>SUM(D29:D30,H29:H30,L29:L30, P29:P30, T29:T30, X29:X30)</f>
        <v>#REF!</v>
      </c>
      <c r="AB30" s="189" t="e">
        <f>SUM(E29:E30, I29:I30, M29:M30, Q29:Q30, U29:U30, Y29:Y30)</f>
        <v>#REF!</v>
      </c>
    </row>
    <row r="31" spans="1:28" x14ac:dyDescent="0.25">
      <c r="A31" s="61">
        <f t="shared" si="27"/>
        <v>2005</v>
      </c>
      <c r="B31" s="62">
        <f t="shared" si="19"/>
        <v>8</v>
      </c>
      <c r="C31" s="184" t="e">
        <f t="shared" si="8"/>
        <v>#REF!</v>
      </c>
      <c r="D31" s="185" t="e">
        <f t="shared" si="21"/>
        <v>#REF!</v>
      </c>
      <c r="E31" s="185" t="e">
        <f>IF($E$19&gt;=B31, 0, IF(C31&gt;1, IF(ASS!$W$33=1,$E$16/(($E$17*2)-$E$19), -PMT($E$18/2,($E$17*2-B30),C31,0)-D31), 0))</f>
        <v>#REF!</v>
      </c>
      <c r="F31" s="186" t="e">
        <f t="shared" si="20"/>
        <v>#REF!</v>
      </c>
      <c r="G31" s="184" t="e">
        <f t="shared" si="9"/>
        <v>#REF!</v>
      </c>
      <c r="H31" s="185" t="e">
        <f t="shared" si="22"/>
        <v>#REF!</v>
      </c>
      <c r="I31" s="185" t="e">
        <f>IF($I$19&gt;=B31, 0, IF(G31&gt;1, IF(ASS!$W$41=1,$I$16/(($I$17*2)-$I$19), -PMT($I$18/2,($I$17*2-B30),G31,0)-H31), 0))</f>
        <v>#REF!</v>
      </c>
      <c r="J31" s="186" t="e">
        <f t="shared" si="10"/>
        <v>#REF!</v>
      </c>
      <c r="K31" s="184" t="e">
        <f t="shared" si="11"/>
        <v>#REF!</v>
      </c>
      <c r="L31" s="185" t="e">
        <f t="shared" si="26"/>
        <v>#REF!</v>
      </c>
      <c r="M31" s="185" t="e">
        <f>IF($M$19&gt;=B31, 0, IF(K31&gt;1, IF(ASS!$W$49=1,$M$16/(($M$17*2)-$M$19), -PMT($M$18/2,($M$17*2-B30),K31,0)-L31), 0))</f>
        <v>#REF!</v>
      </c>
      <c r="N31" s="186" t="e">
        <f t="shared" si="12"/>
        <v>#REF!</v>
      </c>
      <c r="O31" s="184" t="e">
        <f t="shared" si="13"/>
        <v>#REF!</v>
      </c>
      <c r="P31" s="185" t="e">
        <f t="shared" si="23"/>
        <v>#REF!</v>
      </c>
      <c r="Q31" s="185" t="e">
        <f>IF($Q$19&gt;=B31, 0, IF(O31&gt;1, IF(ASS!$W$57=1,$Q$16/(($Q$17*2)-$Q$19), -PMT($Q$18/2,($Q$17*2-B30),O31,0)-P31), 0))</f>
        <v>#REF!</v>
      </c>
      <c r="R31" s="186" t="e">
        <f t="shared" si="14"/>
        <v>#REF!</v>
      </c>
      <c r="S31" s="184" t="e">
        <f t="shared" si="15"/>
        <v>#REF!</v>
      </c>
      <c r="T31" s="185" t="e">
        <f t="shared" si="24"/>
        <v>#REF!</v>
      </c>
      <c r="U31" s="185" t="e">
        <f>IF($U$19&gt;=B31, 0, IF(S31&gt;1, IF(ASS!$W$65=1,$U$16/(($U$17*2)-$U$19), -PMT($U$18/2,($U$17*2-B30),S31,0)-T31), 0))</f>
        <v>#REF!</v>
      </c>
      <c r="V31" s="186" t="e">
        <f t="shared" si="16"/>
        <v>#REF!</v>
      </c>
      <c r="W31" s="184" t="e">
        <f t="shared" si="17"/>
        <v>#REF!</v>
      </c>
      <c r="X31" s="185" t="e">
        <f t="shared" si="25"/>
        <v>#REF!</v>
      </c>
      <c r="Y31" s="185" t="e">
        <f>IF($Y$19&gt;=B31, 0, IF(W31&gt;1, IF(ASS!$W$73=1,$Y$16/(($Y$17*2)-$Y$19), -PMT($Y$18/2,($Y$17*2-B30),W31,0)-X31), 0))</f>
        <v>#REF!</v>
      </c>
      <c r="Z31" s="186" t="e">
        <f t="shared" si="18"/>
        <v>#REF!</v>
      </c>
      <c r="AA31" s="185"/>
      <c r="AB31" s="186"/>
    </row>
    <row r="32" spans="1:28" x14ac:dyDescent="0.25">
      <c r="A32" s="72">
        <f>A31</f>
        <v>2005</v>
      </c>
      <c r="B32" s="73">
        <f t="shared" si="19"/>
        <v>9</v>
      </c>
      <c r="C32" s="187" t="e">
        <f t="shared" si="8"/>
        <v>#REF!</v>
      </c>
      <c r="D32" s="188" t="e">
        <f t="shared" si="21"/>
        <v>#REF!</v>
      </c>
      <c r="E32" s="188" t="e">
        <f>IF($E$19&gt;=B32, 0, IF(C32&gt;1, IF(ASS!$W$33=1,$E$16/(($E$17*2)-$E$19), -PMT($E$18/2,($E$17*2-B31),C32,0)-D32), 0))</f>
        <v>#REF!</v>
      </c>
      <c r="F32" s="189" t="e">
        <f t="shared" si="20"/>
        <v>#REF!</v>
      </c>
      <c r="G32" s="187" t="e">
        <f t="shared" si="9"/>
        <v>#REF!</v>
      </c>
      <c r="H32" s="188" t="e">
        <f t="shared" si="22"/>
        <v>#REF!</v>
      </c>
      <c r="I32" s="188" t="e">
        <f>IF($I$19&gt;=B32, 0, IF(G32&gt;1, IF(ASS!$W$41=1,$I$16/(($I$17*2)-$I$19), -PMT($I$18/2,($I$17*2-B31),G32,0)-H32), 0))</f>
        <v>#REF!</v>
      </c>
      <c r="J32" s="189" t="e">
        <f t="shared" si="10"/>
        <v>#REF!</v>
      </c>
      <c r="K32" s="187" t="e">
        <f t="shared" si="11"/>
        <v>#REF!</v>
      </c>
      <c r="L32" s="188" t="e">
        <f t="shared" si="26"/>
        <v>#REF!</v>
      </c>
      <c r="M32" s="188" t="e">
        <f>IF($M$19&gt;=B32, 0, IF(K32&gt;1, IF(ASS!$W$49=1,$M$16/(($M$17*2)-$M$19), -PMT($M$18/2,($M$17*2-B31),K32,0)-L32), 0))</f>
        <v>#REF!</v>
      </c>
      <c r="N32" s="189" t="e">
        <f t="shared" si="12"/>
        <v>#REF!</v>
      </c>
      <c r="O32" s="187" t="e">
        <f t="shared" si="13"/>
        <v>#REF!</v>
      </c>
      <c r="P32" s="188" t="e">
        <f t="shared" si="23"/>
        <v>#REF!</v>
      </c>
      <c r="Q32" s="188" t="e">
        <f>IF($Q$19&gt;=B32, 0, IF(O32&gt;1, IF(ASS!$W$57=1,$Q$16/(($Q$17*2)-$Q$19), -PMT($Q$18/2,($Q$17*2-B31),O32,0)-P32), 0))</f>
        <v>#REF!</v>
      </c>
      <c r="R32" s="189" t="e">
        <f t="shared" si="14"/>
        <v>#REF!</v>
      </c>
      <c r="S32" s="187" t="e">
        <f t="shared" si="15"/>
        <v>#REF!</v>
      </c>
      <c r="T32" s="188" t="e">
        <f t="shared" si="24"/>
        <v>#REF!</v>
      </c>
      <c r="U32" s="188" t="e">
        <f>IF($U$19&gt;=B32, 0, IF(S32&gt;1, IF(ASS!$W$65=1,$U$16/(($U$17*2)-$U$19), -PMT($U$18/2,($U$17*2-B31),S32,0)-T32), 0))</f>
        <v>#REF!</v>
      </c>
      <c r="V32" s="189" t="e">
        <f t="shared" si="16"/>
        <v>#REF!</v>
      </c>
      <c r="W32" s="187" t="e">
        <f t="shared" si="17"/>
        <v>#REF!</v>
      </c>
      <c r="X32" s="188" t="e">
        <f t="shared" si="25"/>
        <v>#REF!</v>
      </c>
      <c r="Y32" s="188" t="e">
        <f>IF($Y$19&gt;=B32, 0, IF(W32&gt;1, IF(ASS!$W$73=1,$Y$16/(($Y$17*2)-$Y$19), -PMT($Y$18/2,($Y$17*2-B31),W32,0)-X32), 0))</f>
        <v>#REF!</v>
      </c>
      <c r="Z32" s="189" t="e">
        <f t="shared" si="18"/>
        <v>#REF!</v>
      </c>
      <c r="AA32" s="188" t="e">
        <f>SUM(D31:D32,H31:H32,L31:L32, P31:P32, T31:T32, X31:X32)</f>
        <v>#REF!</v>
      </c>
      <c r="AB32" s="189" t="e">
        <f>SUM(E31:E32, I31:I32, M31:M32, Q31:Q32, U31:U32, Y31:Y32)</f>
        <v>#REF!</v>
      </c>
    </row>
    <row r="33" spans="1:28" x14ac:dyDescent="0.25">
      <c r="A33" s="61">
        <f t="shared" si="27"/>
        <v>2006</v>
      </c>
      <c r="B33" s="62">
        <f t="shared" si="19"/>
        <v>10</v>
      </c>
      <c r="C33" s="184" t="e">
        <f t="shared" si="8"/>
        <v>#REF!</v>
      </c>
      <c r="D33" s="185" t="e">
        <f t="shared" si="21"/>
        <v>#REF!</v>
      </c>
      <c r="E33" s="185" t="e">
        <f>IF($E$19&gt;=B33, 0, IF(C33&gt;1, IF(ASS!$W$33=1,$E$16/(($E$17*2)-$E$19), -PMT($E$18/2,($E$17*2-B32),C33,0)-D33), 0))</f>
        <v>#REF!</v>
      </c>
      <c r="F33" s="186" t="e">
        <f t="shared" si="20"/>
        <v>#REF!</v>
      </c>
      <c r="G33" s="184" t="e">
        <f t="shared" si="9"/>
        <v>#REF!</v>
      </c>
      <c r="H33" s="185" t="e">
        <f t="shared" si="22"/>
        <v>#REF!</v>
      </c>
      <c r="I33" s="185" t="e">
        <f>IF($I$19&gt;=B33, 0, IF(G33&gt;1, IF(ASS!$W$41=1,$I$16/(($I$17*2)-$I$19), -PMT($I$18/2,($I$17*2-B32),G33,0)-H33), 0))</f>
        <v>#REF!</v>
      </c>
      <c r="J33" s="186" t="e">
        <f t="shared" si="10"/>
        <v>#REF!</v>
      </c>
      <c r="K33" s="184" t="e">
        <f t="shared" si="11"/>
        <v>#REF!</v>
      </c>
      <c r="L33" s="185" t="e">
        <f t="shared" si="26"/>
        <v>#REF!</v>
      </c>
      <c r="M33" s="185" t="e">
        <f>IF($M$19&gt;=B33, 0, IF(K33&gt;1, IF(ASS!$W$49=1,$M$16/(($M$17*2)-$M$19), -PMT($M$18/2,($M$17*2-B32),K33,0)-L33), 0))</f>
        <v>#REF!</v>
      </c>
      <c r="N33" s="186" t="e">
        <f t="shared" si="12"/>
        <v>#REF!</v>
      </c>
      <c r="O33" s="184" t="e">
        <f t="shared" si="13"/>
        <v>#REF!</v>
      </c>
      <c r="P33" s="185" t="e">
        <f t="shared" si="23"/>
        <v>#REF!</v>
      </c>
      <c r="Q33" s="185" t="e">
        <f>IF($Q$19&gt;=B33, 0, IF(O33&gt;1, IF(ASS!$W$57=1,$Q$16/(($Q$17*2)-$Q$19), -PMT($Q$18/2,($Q$17*2-B32),O33,0)-P33), 0))</f>
        <v>#REF!</v>
      </c>
      <c r="R33" s="186" t="e">
        <f t="shared" si="14"/>
        <v>#REF!</v>
      </c>
      <c r="S33" s="184" t="e">
        <f t="shared" si="15"/>
        <v>#REF!</v>
      </c>
      <c r="T33" s="185" t="e">
        <f t="shared" si="24"/>
        <v>#REF!</v>
      </c>
      <c r="U33" s="185" t="e">
        <f>IF($U$19&gt;=B33, 0, IF(S33&gt;1, IF(ASS!$W$65=1,$U$16/(($U$17*2)-$U$19), -PMT($U$18/2,($U$17*2-B32),S33,0)-T33), 0))</f>
        <v>#REF!</v>
      </c>
      <c r="V33" s="186" t="e">
        <f t="shared" si="16"/>
        <v>#REF!</v>
      </c>
      <c r="W33" s="184" t="e">
        <f t="shared" si="17"/>
        <v>#REF!</v>
      </c>
      <c r="X33" s="185" t="e">
        <f t="shared" si="25"/>
        <v>#REF!</v>
      </c>
      <c r="Y33" s="185" t="e">
        <f>IF($Y$19&gt;=B33, 0, IF(W33&gt;1, IF(ASS!$W$73=1,$Y$16/(($Y$17*2)-$Y$19), -PMT($Y$18/2,($Y$17*2-B32),W33,0)-X33), 0))</f>
        <v>#REF!</v>
      </c>
      <c r="Z33" s="186" t="e">
        <f t="shared" si="18"/>
        <v>#REF!</v>
      </c>
      <c r="AA33" s="185"/>
      <c r="AB33" s="186"/>
    </row>
    <row r="34" spans="1:28" x14ac:dyDescent="0.25">
      <c r="A34" s="72">
        <f>A33</f>
        <v>2006</v>
      </c>
      <c r="B34" s="73">
        <f t="shared" si="19"/>
        <v>11</v>
      </c>
      <c r="C34" s="187" t="e">
        <f t="shared" si="8"/>
        <v>#REF!</v>
      </c>
      <c r="D34" s="188" t="e">
        <f t="shared" si="21"/>
        <v>#REF!</v>
      </c>
      <c r="E34" s="188" t="e">
        <f>IF($E$19&gt;=B34, 0, IF(C34&gt;1, IF(ASS!$W$33=1,$E$16/(($E$17*2)-$E$19), -PMT($E$18/2,($E$17*2-B33),C34,0)-D34), 0))</f>
        <v>#REF!</v>
      </c>
      <c r="F34" s="189" t="e">
        <f t="shared" si="20"/>
        <v>#REF!</v>
      </c>
      <c r="G34" s="187" t="e">
        <f t="shared" si="9"/>
        <v>#REF!</v>
      </c>
      <c r="H34" s="188" t="e">
        <f t="shared" si="22"/>
        <v>#REF!</v>
      </c>
      <c r="I34" s="188" t="e">
        <f>IF($I$19&gt;=B34, 0, IF(G34&gt;1, IF(ASS!$W$41=1,$I$16/(($I$17*2)-$I$19), -PMT($I$18/2,($I$17*2-B33),G34,0)-H34), 0))</f>
        <v>#REF!</v>
      </c>
      <c r="J34" s="189" t="e">
        <f t="shared" si="10"/>
        <v>#REF!</v>
      </c>
      <c r="K34" s="187" t="e">
        <f t="shared" si="11"/>
        <v>#REF!</v>
      </c>
      <c r="L34" s="188" t="e">
        <f t="shared" si="26"/>
        <v>#REF!</v>
      </c>
      <c r="M34" s="188" t="e">
        <f>IF($M$19&gt;=B34, 0, IF(K34&gt;1, IF(ASS!$W$49=1,$M$16/(($M$17*2)-$M$19), -PMT($M$18/2,($M$17*2-B33),K34,0)-L34), 0))</f>
        <v>#REF!</v>
      </c>
      <c r="N34" s="189" t="e">
        <f t="shared" si="12"/>
        <v>#REF!</v>
      </c>
      <c r="O34" s="187" t="e">
        <f t="shared" si="13"/>
        <v>#REF!</v>
      </c>
      <c r="P34" s="188" t="e">
        <f t="shared" si="23"/>
        <v>#REF!</v>
      </c>
      <c r="Q34" s="188" t="e">
        <f>IF($Q$19&gt;=B34, 0, IF(O34&gt;1, IF(ASS!$W$57=1,$Q$16/(($Q$17*2)-$Q$19), -PMT($Q$18/2,($Q$17*2-B33),O34,0)-P34), 0))</f>
        <v>#REF!</v>
      </c>
      <c r="R34" s="189" t="e">
        <f t="shared" si="14"/>
        <v>#REF!</v>
      </c>
      <c r="S34" s="187" t="e">
        <f t="shared" si="15"/>
        <v>#REF!</v>
      </c>
      <c r="T34" s="188" t="e">
        <f t="shared" si="24"/>
        <v>#REF!</v>
      </c>
      <c r="U34" s="188" t="e">
        <f>IF($U$19&gt;=B34, 0, IF(S34&gt;1, IF(ASS!$W$65=1,$U$16/(($U$17*2)-$U$19), -PMT($U$18/2,($U$17*2-B33),S34,0)-T34), 0))</f>
        <v>#REF!</v>
      </c>
      <c r="V34" s="189" t="e">
        <f t="shared" si="16"/>
        <v>#REF!</v>
      </c>
      <c r="W34" s="187" t="e">
        <f t="shared" si="17"/>
        <v>#REF!</v>
      </c>
      <c r="X34" s="188" t="e">
        <f t="shared" si="25"/>
        <v>#REF!</v>
      </c>
      <c r="Y34" s="188" t="e">
        <f>IF($Y$19&gt;=B34, 0, IF(W34&gt;1, IF(ASS!$W$73=1,$Y$16/(($Y$17*2)-$Y$19), -PMT($Y$18/2,($Y$17*2-B33),W34,0)-X34), 0))</f>
        <v>#REF!</v>
      </c>
      <c r="Z34" s="189" t="e">
        <f t="shared" si="18"/>
        <v>#REF!</v>
      </c>
      <c r="AA34" s="188" t="e">
        <f>SUM(D33:D34,H33:H34,L33:L34, P33:P34, T33:T34, X33:X34)</f>
        <v>#REF!</v>
      </c>
      <c r="AB34" s="189" t="e">
        <f>SUM(E33:E34, I33:I34, M33:M34, Q33:Q34, U33:U34, Y33:Y34)</f>
        <v>#REF!</v>
      </c>
    </row>
    <row r="35" spans="1:28" x14ac:dyDescent="0.25">
      <c r="A35" s="61">
        <f t="shared" si="27"/>
        <v>2007</v>
      </c>
      <c r="B35" s="62">
        <f t="shared" si="19"/>
        <v>12</v>
      </c>
      <c r="C35" s="184" t="e">
        <f t="shared" si="8"/>
        <v>#REF!</v>
      </c>
      <c r="D35" s="185" t="e">
        <f t="shared" si="21"/>
        <v>#REF!</v>
      </c>
      <c r="E35" s="185" t="e">
        <f>IF($E$19&gt;=B35, 0, IF(C35&gt;1, IF(ASS!$W$33=1,$E$16/(($E$17*2)-$E$19), -PMT($E$18/2,($E$17*2-B34),C35,0)-D35), 0))</f>
        <v>#REF!</v>
      </c>
      <c r="F35" s="186" t="e">
        <f t="shared" si="20"/>
        <v>#REF!</v>
      </c>
      <c r="G35" s="184" t="e">
        <f t="shared" si="9"/>
        <v>#REF!</v>
      </c>
      <c r="H35" s="185" t="e">
        <f t="shared" si="22"/>
        <v>#REF!</v>
      </c>
      <c r="I35" s="185" t="e">
        <f>IF($I$19&gt;=B35, 0, IF(G35&gt;1, IF(ASS!$W$41=1,$I$16/(($I$17*2)-$I$19), -PMT($I$18/2,($I$17*2-B34),G35,0)-H35), 0))</f>
        <v>#REF!</v>
      </c>
      <c r="J35" s="186" t="e">
        <f t="shared" si="10"/>
        <v>#REF!</v>
      </c>
      <c r="K35" s="184" t="e">
        <f t="shared" si="11"/>
        <v>#REF!</v>
      </c>
      <c r="L35" s="185" t="e">
        <f t="shared" si="26"/>
        <v>#REF!</v>
      </c>
      <c r="M35" s="185" t="e">
        <f>IF($M$19&gt;=B35, 0, IF(K35&gt;1, IF(ASS!$W$49=1,$M$16/(($M$17*2)-$M$19), -PMT($M$18/2,($M$17*2-B34),K35,0)-L35), 0))</f>
        <v>#REF!</v>
      </c>
      <c r="N35" s="186" t="e">
        <f t="shared" si="12"/>
        <v>#REF!</v>
      </c>
      <c r="O35" s="184" t="e">
        <f t="shared" si="13"/>
        <v>#REF!</v>
      </c>
      <c r="P35" s="185" t="e">
        <f t="shared" si="23"/>
        <v>#REF!</v>
      </c>
      <c r="Q35" s="185" t="e">
        <f>IF($Q$19&gt;=B35, 0, IF(O35&gt;1, IF(ASS!$W$57=1,$Q$16/(($Q$17*2)-$Q$19), -PMT($Q$18/2,($Q$17*2-B34),O35,0)-P35), 0))</f>
        <v>#REF!</v>
      </c>
      <c r="R35" s="186" t="e">
        <f t="shared" si="14"/>
        <v>#REF!</v>
      </c>
      <c r="S35" s="184" t="e">
        <f t="shared" si="15"/>
        <v>#REF!</v>
      </c>
      <c r="T35" s="185" t="e">
        <f t="shared" si="24"/>
        <v>#REF!</v>
      </c>
      <c r="U35" s="185" t="e">
        <f>IF($U$19&gt;=B35, 0, IF(S35&gt;1, IF(ASS!$W$65=1,$U$16/(($U$17*2)-$U$19), -PMT($U$18/2,($U$17*2-B34),S35,0)-T35), 0))</f>
        <v>#REF!</v>
      </c>
      <c r="V35" s="186" t="e">
        <f t="shared" si="16"/>
        <v>#REF!</v>
      </c>
      <c r="W35" s="184" t="e">
        <f t="shared" si="17"/>
        <v>#REF!</v>
      </c>
      <c r="X35" s="185" t="e">
        <f t="shared" si="25"/>
        <v>#REF!</v>
      </c>
      <c r="Y35" s="185" t="e">
        <f>IF($Y$19&gt;=B35, 0, IF(W35&gt;1, IF(ASS!$W$73=1,$Y$16/(($Y$17*2)-$Y$19), -PMT($Y$18/2,($Y$17*2-B34),W35,0)-X35), 0))</f>
        <v>#REF!</v>
      </c>
      <c r="Z35" s="186" t="e">
        <f t="shared" si="18"/>
        <v>#REF!</v>
      </c>
      <c r="AA35" s="185"/>
      <c r="AB35" s="186"/>
    </row>
    <row r="36" spans="1:28" x14ac:dyDescent="0.25">
      <c r="A36" s="72">
        <f>A35</f>
        <v>2007</v>
      </c>
      <c r="B36" s="73">
        <f t="shared" si="19"/>
        <v>13</v>
      </c>
      <c r="C36" s="187" t="e">
        <f t="shared" si="8"/>
        <v>#REF!</v>
      </c>
      <c r="D36" s="188" t="e">
        <f t="shared" si="21"/>
        <v>#REF!</v>
      </c>
      <c r="E36" s="188" t="e">
        <f>IF($E$19&gt;=B36, 0, IF(C36&gt;1, IF(ASS!$W$33=1,$E$16/(($E$17*2)-$E$19), -PMT($E$18/2,($E$17*2-B35),C36,0)-D36), 0))</f>
        <v>#REF!</v>
      </c>
      <c r="F36" s="189" t="e">
        <f t="shared" si="20"/>
        <v>#REF!</v>
      </c>
      <c r="G36" s="187" t="e">
        <f t="shared" si="9"/>
        <v>#REF!</v>
      </c>
      <c r="H36" s="188" t="e">
        <f t="shared" si="22"/>
        <v>#REF!</v>
      </c>
      <c r="I36" s="188" t="e">
        <f>IF($I$19&gt;=B36, 0, IF(G36&gt;1, IF(ASS!$W$41=1,$I$16/(($I$17*2)-$I$19), -PMT($I$18/2,($I$17*2-B35),G36,0)-H36), 0))</f>
        <v>#REF!</v>
      </c>
      <c r="J36" s="189" t="e">
        <f t="shared" si="10"/>
        <v>#REF!</v>
      </c>
      <c r="K36" s="187" t="e">
        <f t="shared" si="11"/>
        <v>#REF!</v>
      </c>
      <c r="L36" s="188" t="e">
        <f t="shared" si="26"/>
        <v>#REF!</v>
      </c>
      <c r="M36" s="188" t="e">
        <f>IF($M$19&gt;=B36, 0, IF(K36&gt;1, IF(ASS!$W$49=1,$M$16/(($M$17*2)-$M$19), -PMT($M$18/2,($M$17*2-B35),K36,0)-L36), 0))</f>
        <v>#REF!</v>
      </c>
      <c r="N36" s="189" t="e">
        <f t="shared" si="12"/>
        <v>#REF!</v>
      </c>
      <c r="O36" s="187" t="e">
        <f t="shared" si="13"/>
        <v>#REF!</v>
      </c>
      <c r="P36" s="188" t="e">
        <f t="shared" si="23"/>
        <v>#REF!</v>
      </c>
      <c r="Q36" s="188" t="e">
        <f>IF($Q$19&gt;=B36, 0, IF(O36&gt;1, IF(ASS!$W$57=1,$Q$16/(($Q$17*2)-$Q$19), -PMT($Q$18/2,($Q$17*2-B35),O36,0)-P36), 0))</f>
        <v>#REF!</v>
      </c>
      <c r="R36" s="189" t="e">
        <f t="shared" si="14"/>
        <v>#REF!</v>
      </c>
      <c r="S36" s="187" t="e">
        <f t="shared" si="15"/>
        <v>#REF!</v>
      </c>
      <c r="T36" s="188" t="e">
        <f t="shared" si="24"/>
        <v>#REF!</v>
      </c>
      <c r="U36" s="188" t="e">
        <f>IF($U$19&gt;=B36, 0, IF(S36&gt;1, IF(ASS!$W$65=1,$U$16/(($U$17*2)-$U$19), -PMT($U$18/2,($U$17*2-B35),S36,0)-T36), 0))</f>
        <v>#REF!</v>
      </c>
      <c r="V36" s="189" t="e">
        <f t="shared" si="16"/>
        <v>#REF!</v>
      </c>
      <c r="W36" s="187" t="e">
        <f t="shared" si="17"/>
        <v>#REF!</v>
      </c>
      <c r="X36" s="188" t="e">
        <f t="shared" si="25"/>
        <v>#REF!</v>
      </c>
      <c r="Y36" s="188" t="e">
        <f>IF($Y$19&gt;=B36, 0, IF(W36&gt;1, IF(ASS!$W$73=1,$Y$16/(($Y$17*2)-$Y$19), -PMT($Y$18/2,($Y$17*2-B35),W36,0)-X36), 0))</f>
        <v>#REF!</v>
      </c>
      <c r="Z36" s="189" t="e">
        <f t="shared" si="18"/>
        <v>#REF!</v>
      </c>
      <c r="AA36" s="188" t="e">
        <f>SUM(D35:D36,H35:H36,L35:L36, P35:P36, T35:T36, X35:X36)</f>
        <v>#REF!</v>
      </c>
      <c r="AB36" s="189" t="e">
        <f>SUM(E35:E36, I35:I36, M35:M36, Q35:Q36, U35:U36, Y35:Y36)</f>
        <v>#REF!</v>
      </c>
    </row>
    <row r="37" spans="1:28" x14ac:dyDescent="0.25">
      <c r="A37" s="61">
        <f t="shared" si="27"/>
        <v>2008</v>
      </c>
      <c r="B37" s="62">
        <f t="shared" si="19"/>
        <v>14</v>
      </c>
      <c r="C37" s="184" t="e">
        <f t="shared" si="8"/>
        <v>#REF!</v>
      </c>
      <c r="D37" s="185" t="e">
        <f t="shared" si="21"/>
        <v>#REF!</v>
      </c>
      <c r="E37" s="185" t="e">
        <f>IF($E$19&gt;=B37, 0, IF(C37&gt;1, IF(ASS!$W$33=1,$E$16/(($E$17*2)-$E$19), -PMT($E$18/2,($E$17*2-B36),C37,0)-D37), 0))</f>
        <v>#REF!</v>
      </c>
      <c r="F37" s="186" t="e">
        <f t="shared" si="20"/>
        <v>#REF!</v>
      </c>
      <c r="G37" s="184" t="e">
        <f t="shared" si="9"/>
        <v>#REF!</v>
      </c>
      <c r="H37" s="185" t="e">
        <f t="shared" si="22"/>
        <v>#REF!</v>
      </c>
      <c r="I37" s="185" t="e">
        <f>IF($I$19&gt;=B37, 0, IF(G37&gt;1, IF(ASS!$W$41=1,$I$16/(($I$17*2)-$I$19), -PMT($I$18/2,($I$17*2-B36),G37,0)-H37), 0))</f>
        <v>#REF!</v>
      </c>
      <c r="J37" s="186" t="e">
        <f t="shared" si="10"/>
        <v>#REF!</v>
      </c>
      <c r="K37" s="184" t="e">
        <f t="shared" si="11"/>
        <v>#REF!</v>
      </c>
      <c r="L37" s="185" t="e">
        <f t="shared" si="26"/>
        <v>#REF!</v>
      </c>
      <c r="M37" s="185" t="e">
        <f>IF($M$19&gt;=B37, 0, IF(K37&gt;1, IF(ASS!$W$49=1,$M$16/(($M$17*2)-$M$19), -PMT($M$18/2,($M$17*2-B36),K37,0)-L37), 0))</f>
        <v>#REF!</v>
      </c>
      <c r="N37" s="186" t="e">
        <f t="shared" si="12"/>
        <v>#REF!</v>
      </c>
      <c r="O37" s="184" t="e">
        <f t="shared" si="13"/>
        <v>#REF!</v>
      </c>
      <c r="P37" s="185" t="e">
        <f t="shared" si="23"/>
        <v>#REF!</v>
      </c>
      <c r="Q37" s="185" t="e">
        <f>IF($Q$19&gt;=B37, 0, IF(O37&gt;1, IF(ASS!$W$57=1,$Q$16/(($Q$17*2)-$Q$19), -PMT($Q$18/2,($Q$17*2-B36),O37,0)-P37), 0))</f>
        <v>#REF!</v>
      </c>
      <c r="R37" s="186" t="e">
        <f t="shared" si="14"/>
        <v>#REF!</v>
      </c>
      <c r="S37" s="184" t="e">
        <f t="shared" si="15"/>
        <v>#REF!</v>
      </c>
      <c r="T37" s="185" t="e">
        <f t="shared" si="24"/>
        <v>#REF!</v>
      </c>
      <c r="U37" s="185" t="e">
        <f>IF($U$19&gt;=B37, 0, IF(S37&gt;1, IF(ASS!$W$65=1,$U$16/(($U$17*2)-$U$19), -PMT($U$18/2,($U$17*2-B36),S37,0)-T37), 0))</f>
        <v>#REF!</v>
      </c>
      <c r="V37" s="186" t="e">
        <f t="shared" si="16"/>
        <v>#REF!</v>
      </c>
      <c r="W37" s="184" t="e">
        <f t="shared" si="17"/>
        <v>#REF!</v>
      </c>
      <c r="X37" s="185" t="e">
        <f t="shared" si="25"/>
        <v>#REF!</v>
      </c>
      <c r="Y37" s="185" t="e">
        <f>IF($Y$19&gt;=B37, 0, IF(W37&gt;1, IF(ASS!$W$73=1,$Y$16/(($Y$17*2)-$Y$19), -PMT($Y$18/2,($Y$17*2-B36),W37,0)-X37), 0))</f>
        <v>#REF!</v>
      </c>
      <c r="Z37" s="186" t="e">
        <f t="shared" si="18"/>
        <v>#REF!</v>
      </c>
      <c r="AA37" s="185"/>
      <c r="AB37" s="186"/>
    </row>
    <row r="38" spans="1:28" x14ac:dyDescent="0.25">
      <c r="A38" s="72">
        <f>A37</f>
        <v>2008</v>
      </c>
      <c r="B38" s="73">
        <f t="shared" si="19"/>
        <v>15</v>
      </c>
      <c r="C38" s="187" t="e">
        <f t="shared" si="8"/>
        <v>#REF!</v>
      </c>
      <c r="D38" s="188" t="e">
        <f t="shared" si="21"/>
        <v>#REF!</v>
      </c>
      <c r="E38" s="188" t="e">
        <f>IF($E$19&gt;=B38, 0, IF(C38&gt;1, IF(ASS!$W$33=1,$E$16/(($E$17*2)-$E$19), -PMT($E$18/2,($E$17*2-B37),C38,0)-D38), 0))</f>
        <v>#REF!</v>
      </c>
      <c r="F38" s="189" t="e">
        <f t="shared" si="20"/>
        <v>#REF!</v>
      </c>
      <c r="G38" s="187" t="e">
        <f t="shared" si="9"/>
        <v>#REF!</v>
      </c>
      <c r="H38" s="188" t="e">
        <f t="shared" si="22"/>
        <v>#REF!</v>
      </c>
      <c r="I38" s="188" t="e">
        <f>IF($I$19&gt;=B38, 0, IF(G38&gt;1, IF(ASS!$W$41=1,$I$16/(($I$17*2)-$I$19), -PMT($I$18/2,($I$17*2-B37),G38,0)-H38), 0))</f>
        <v>#REF!</v>
      </c>
      <c r="J38" s="189" t="e">
        <f t="shared" si="10"/>
        <v>#REF!</v>
      </c>
      <c r="K38" s="187" t="e">
        <f t="shared" si="11"/>
        <v>#REF!</v>
      </c>
      <c r="L38" s="188" t="e">
        <f t="shared" si="26"/>
        <v>#REF!</v>
      </c>
      <c r="M38" s="188" t="e">
        <f>IF($M$19&gt;=B38, 0, IF(K38&gt;1, IF(ASS!$W$49=1,$M$16/(($M$17*2)-$M$19), -PMT($M$18/2,($M$17*2-B37),K38,0)-L38), 0))</f>
        <v>#REF!</v>
      </c>
      <c r="N38" s="189" t="e">
        <f t="shared" si="12"/>
        <v>#REF!</v>
      </c>
      <c r="O38" s="187" t="e">
        <f t="shared" si="13"/>
        <v>#REF!</v>
      </c>
      <c r="P38" s="188" t="e">
        <f t="shared" si="23"/>
        <v>#REF!</v>
      </c>
      <c r="Q38" s="188" t="e">
        <f>IF($Q$19&gt;=B38, 0, IF(O38&gt;1, IF(ASS!$W$57=1,$Q$16/(($Q$17*2)-$Q$19), -PMT($Q$18/2,($Q$17*2-B37),O38,0)-P38), 0))</f>
        <v>#REF!</v>
      </c>
      <c r="R38" s="189" t="e">
        <f t="shared" si="14"/>
        <v>#REF!</v>
      </c>
      <c r="S38" s="187" t="e">
        <f t="shared" si="15"/>
        <v>#REF!</v>
      </c>
      <c r="T38" s="188" t="e">
        <f t="shared" si="24"/>
        <v>#REF!</v>
      </c>
      <c r="U38" s="188" t="e">
        <f>IF($U$19&gt;=B38, 0, IF(S38&gt;1, IF(ASS!$W$65=1,$U$16/(($U$17*2)-$U$19), -PMT($U$18/2,($U$17*2-B37),S38,0)-T38), 0))</f>
        <v>#REF!</v>
      </c>
      <c r="V38" s="189" t="e">
        <f t="shared" si="16"/>
        <v>#REF!</v>
      </c>
      <c r="W38" s="187" t="e">
        <f t="shared" si="17"/>
        <v>#REF!</v>
      </c>
      <c r="X38" s="188" t="e">
        <f t="shared" si="25"/>
        <v>#REF!</v>
      </c>
      <c r="Y38" s="188" t="e">
        <f>IF($Y$19&gt;=B38, 0, IF(W38&gt;1, IF(ASS!$W$73=1,$Y$16/(($Y$17*2)-$Y$19), -PMT($Y$18/2,($Y$17*2-B37),W38,0)-X38), 0))</f>
        <v>#REF!</v>
      </c>
      <c r="Z38" s="189" t="e">
        <f t="shared" si="18"/>
        <v>#REF!</v>
      </c>
      <c r="AA38" s="188" t="e">
        <f>SUM(D37:D38,H37:H38,L37:L38, P37:P38, T37:T38, X37:X38)</f>
        <v>#REF!</v>
      </c>
      <c r="AB38" s="189" t="e">
        <f>SUM(E37:E38, I37:I38, M37:M38, Q37:Q38, U37:U38, Y37:Y38)</f>
        <v>#REF!</v>
      </c>
    </row>
    <row r="39" spans="1:28" x14ac:dyDescent="0.25">
      <c r="A39" s="61">
        <f t="shared" si="27"/>
        <v>2009</v>
      </c>
      <c r="B39" s="62">
        <f t="shared" si="19"/>
        <v>16</v>
      </c>
      <c r="C39" s="184" t="e">
        <f t="shared" si="8"/>
        <v>#REF!</v>
      </c>
      <c r="D39" s="185" t="e">
        <f t="shared" si="21"/>
        <v>#REF!</v>
      </c>
      <c r="E39" s="185" t="e">
        <f>IF($E$19&gt;=B39, 0, IF(C39&gt;1, IF(ASS!$W$33=1,$E$16/(($E$17*2)-$E$19), -PMT($E$18/2,($E$17*2-B38),C39,0)-D39), 0))</f>
        <v>#REF!</v>
      </c>
      <c r="F39" s="186" t="e">
        <f t="shared" si="20"/>
        <v>#REF!</v>
      </c>
      <c r="G39" s="184" t="e">
        <f t="shared" si="9"/>
        <v>#REF!</v>
      </c>
      <c r="H39" s="185" t="e">
        <f t="shared" si="22"/>
        <v>#REF!</v>
      </c>
      <c r="I39" s="185" t="e">
        <f>IF($I$19&gt;=B39, 0, IF(G39&gt;1, IF(ASS!$W$41=1,$I$16/(($I$17*2)-$I$19), -PMT($I$18/2,($I$17*2-B38),G39,0)-H39), 0))</f>
        <v>#REF!</v>
      </c>
      <c r="J39" s="186" t="e">
        <f t="shared" si="10"/>
        <v>#REF!</v>
      </c>
      <c r="K39" s="184" t="e">
        <f t="shared" si="11"/>
        <v>#REF!</v>
      </c>
      <c r="L39" s="185" t="e">
        <f t="shared" si="26"/>
        <v>#REF!</v>
      </c>
      <c r="M39" s="185" t="e">
        <f>IF($M$19&gt;=B39, 0, IF(K39&gt;1, IF(ASS!$W$49=1,$M$16/(($M$17*2)-$M$19), -PMT($M$18/2,($M$17*2-B38),K39,0)-L39), 0))</f>
        <v>#REF!</v>
      </c>
      <c r="N39" s="186" t="e">
        <f t="shared" si="12"/>
        <v>#REF!</v>
      </c>
      <c r="O39" s="184" t="e">
        <f t="shared" si="13"/>
        <v>#REF!</v>
      </c>
      <c r="P39" s="185" t="e">
        <f t="shared" si="23"/>
        <v>#REF!</v>
      </c>
      <c r="Q39" s="185" t="e">
        <f>IF($Q$19&gt;=B39, 0, IF(O39&gt;1, IF(ASS!$W$57=1,$Q$16/(($Q$17*2)-$Q$19), -PMT($Q$18/2,($Q$17*2-B38),O39,0)-P39), 0))</f>
        <v>#REF!</v>
      </c>
      <c r="R39" s="186" t="e">
        <f t="shared" si="14"/>
        <v>#REF!</v>
      </c>
      <c r="S39" s="184" t="e">
        <f t="shared" si="15"/>
        <v>#REF!</v>
      </c>
      <c r="T39" s="185" t="e">
        <f t="shared" si="24"/>
        <v>#REF!</v>
      </c>
      <c r="U39" s="185" t="e">
        <f>IF($U$19&gt;=B39, 0, IF(S39&gt;1, IF(ASS!$W$65=1,$U$16/(($U$17*2)-$U$19), -PMT($U$18/2,($U$17*2-B38),S39,0)-T39), 0))</f>
        <v>#REF!</v>
      </c>
      <c r="V39" s="186" t="e">
        <f t="shared" si="16"/>
        <v>#REF!</v>
      </c>
      <c r="W39" s="184" t="e">
        <f t="shared" si="17"/>
        <v>#REF!</v>
      </c>
      <c r="X39" s="185" t="e">
        <f t="shared" si="25"/>
        <v>#REF!</v>
      </c>
      <c r="Y39" s="185" t="e">
        <f>IF($Y$19&gt;=B39, 0, IF(W39&gt;1, IF(ASS!$W$73=1,$Y$16/(($Y$17*2)-$Y$19), -PMT($Y$18/2,($Y$17*2-B38),W39,0)-X39), 0))</f>
        <v>#REF!</v>
      </c>
      <c r="Z39" s="186" t="e">
        <f t="shared" si="18"/>
        <v>#REF!</v>
      </c>
      <c r="AA39" s="185"/>
      <c r="AB39" s="186"/>
    </row>
    <row r="40" spans="1:28" x14ac:dyDescent="0.25">
      <c r="A40" s="72">
        <f>A39</f>
        <v>2009</v>
      </c>
      <c r="B40" s="73">
        <f t="shared" si="19"/>
        <v>17</v>
      </c>
      <c r="C40" s="187" t="e">
        <f t="shared" si="8"/>
        <v>#REF!</v>
      </c>
      <c r="D40" s="188" t="e">
        <f t="shared" si="21"/>
        <v>#REF!</v>
      </c>
      <c r="E40" s="188" t="e">
        <f>IF($E$19&gt;=B40, 0, IF(C40&gt;1, IF(ASS!$W$33=1,$E$16/(($E$17*2)-$E$19), -PMT($E$18/2,($E$17*2-B39),C40,0)-D40), 0))</f>
        <v>#REF!</v>
      </c>
      <c r="F40" s="189" t="e">
        <f t="shared" si="20"/>
        <v>#REF!</v>
      </c>
      <c r="G40" s="187" t="e">
        <f t="shared" si="9"/>
        <v>#REF!</v>
      </c>
      <c r="H40" s="188" t="e">
        <f t="shared" si="22"/>
        <v>#REF!</v>
      </c>
      <c r="I40" s="188" t="e">
        <f>IF($I$19&gt;=B40, 0, IF(G40&gt;1, IF(ASS!$W$41=1,$I$16/(($I$17*2)-$I$19), -PMT($I$18/2,($I$17*2-B39),G40,0)-H40), 0))</f>
        <v>#REF!</v>
      </c>
      <c r="J40" s="189" t="e">
        <f t="shared" ref="J40:J55" si="28">G40-I40</f>
        <v>#REF!</v>
      </c>
      <c r="K40" s="187" t="e">
        <f t="shared" si="11"/>
        <v>#REF!</v>
      </c>
      <c r="L40" s="188" t="e">
        <f t="shared" si="26"/>
        <v>#REF!</v>
      </c>
      <c r="M40" s="188" t="e">
        <f>IF($M$19&gt;=B40, 0, IF(K40&gt;1, IF(ASS!$W$49=1,$M$16/(($M$17*2)-$M$19), -PMT($M$18/2,($M$17*2-B39),K40,0)-L40), 0))</f>
        <v>#REF!</v>
      </c>
      <c r="N40" s="189" t="e">
        <f t="shared" ref="N40:N55" si="29">K40-M40</f>
        <v>#REF!</v>
      </c>
      <c r="O40" s="187" t="e">
        <f t="shared" si="13"/>
        <v>#REF!</v>
      </c>
      <c r="P40" s="188" t="e">
        <f t="shared" si="23"/>
        <v>#REF!</v>
      </c>
      <c r="Q40" s="188" t="e">
        <f>IF($Q$19&gt;=B40, 0, IF(O40&gt;1, IF(ASS!$W$57=1,$Q$16/(($Q$17*2)-$Q$19), -PMT($Q$18/2,($Q$17*2-B39),O40,0)-P40), 0))</f>
        <v>#REF!</v>
      </c>
      <c r="R40" s="189" t="e">
        <f t="shared" ref="R40:R55" si="30">O40-Q40</f>
        <v>#REF!</v>
      </c>
      <c r="S40" s="187" t="e">
        <f t="shared" si="15"/>
        <v>#REF!</v>
      </c>
      <c r="T40" s="188" t="e">
        <f t="shared" si="24"/>
        <v>#REF!</v>
      </c>
      <c r="U40" s="188" t="e">
        <f>IF($U$19&gt;=B40, 0, IF(S40&gt;1, IF(ASS!$W$65=1,$U$16/(($U$17*2)-$U$19), -PMT($U$18/2,($U$17*2-B39),S40,0)-T40), 0))</f>
        <v>#REF!</v>
      </c>
      <c r="V40" s="189" t="e">
        <f t="shared" ref="V40:V55" si="31">S40-U40</f>
        <v>#REF!</v>
      </c>
      <c r="W40" s="187" t="e">
        <f t="shared" si="17"/>
        <v>#REF!</v>
      </c>
      <c r="X40" s="188" t="e">
        <f t="shared" si="25"/>
        <v>#REF!</v>
      </c>
      <c r="Y40" s="188" t="e">
        <f>IF($Y$19&gt;=B40, 0, IF(W40&gt;1, IF(ASS!$W$73=1,$Y$16/(($Y$17*2)-$Y$19), -PMT($Y$18/2,($Y$17*2-B39),W40,0)-X40), 0))</f>
        <v>#REF!</v>
      </c>
      <c r="Z40" s="189" t="e">
        <f t="shared" ref="Z40:Z55" si="32">W40-Y40</f>
        <v>#REF!</v>
      </c>
      <c r="AA40" s="188" t="e">
        <f>SUM(D39:D40,H39:H40,L39:L40, P39:P40, T39:T40, X39:X40)</f>
        <v>#REF!</v>
      </c>
      <c r="AB40" s="189" t="e">
        <f>SUM(E39:E40, I39:I40, M39:M40, Q39:Q40, U39:U40, Y39:Y40)</f>
        <v>#REF!</v>
      </c>
    </row>
    <row r="41" spans="1:28" x14ac:dyDescent="0.25">
      <c r="A41" s="61">
        <f t="shared" si="27"/>
        <v>2010</v>
      </c>
      <c r="B41" s="62">
        <f t="shared" ref="B41:B56" si="33">B40+1</f>
        <v>18</v>
      </c>
      <c r="C41" s="184" t="e">
        <f t="shared" si="8"/>
        <v>#REF!</v>
      </c>
      <c r="D41" s="185" t="e">
        <f t="shared" si="21"/>
        <v>#REF!</v>
      </c>
      <c r="E41" s="185" t="e">
        <f>IF($E$19&gt;=B41, 0, IF(C41&gt;1, IF(ASS!$W$33=1,$E$16/(($E$17*2)-$E$19), -PMT($E$18/2,($E$17*2-B40),C41,0)-D41), 0))</f>
        <v>#REF!</v>
      </c>
      <c r="F41" s="186" t="e">
        <f t="shared" ref="F41:F56" si="34">C41-E41</f>
        <v>#REF!</v>
      </c>
      <c r="G41" s="184" t="e">
        <f t="shared" si="9"/>
        <v>#REF!</v>
      </c>
      <c r="H41" s="185" t="e">
        <f t="shared" si="22"/>
        <v>#REF!</v>
      </c>
      <c r="I41" s="185" t="e">
        <f>IF($I$19&gt;=B41, 0, IF(G41&gt;1, IF(ASS!$W$41=1,$I$16/(($I$17*2)-$I$19), -PMT($I$18/2,($I$17*2-B40),G41,0)-H41), 0))</f>
        <v>#REF!</v>
      </c>
      <c r="J41" s="186" t="e">
        <f t="shared" si="28"/>
        <v>#REF!</v>
      </c>
      <c r="K41" s="184" t="e">
        <f t="shared" si="11"/>
        <v>#REF!</v>
      </c>
      <c r="L41" s="185" t="e">
        <f t="shared" si="26"/>
        <v>#REF!</v>
      </c>
      <c r="M41" s="185" t="e">
        <f>IF($M$19&gt;=B41, 0, IF(K41&gt;1, IF(ASS!$W$49=1,$M$16/(($M$17*2)-$M$19), -PMT($M$18/2,($M$17*2-B40),K41,0)-L41), 0))</f>
        <v>#REF!</v>
      </c>
      <c r="N41" s="186" t="e">
        <f t="shared" si="29"/>
        <v>#REF!</v>
      </c>
      <c r="O41" s="184" t="e">
        <f t="shared" si="13"/>
        <v>#REF!</v>
      </c>
      <c r="P41" s="185" t="e">
        <f t="shared" si="23"/>
        <v>#REF!</v>
      </c>
      <c r="Q41" s="185" t="e">
        <f>IF($Q$19&gt;=B41, 0, IF(O41&gt;1, IF(ASS!$W$57=1,$Q$16/(($Q$17*2)-$Q$19), -PMT($Q$18/2,($Q$17*2-B40),O41,0)-P41), 0))</f>
        <v>#REF!</v>
      </c>
      <c r="R41" s="186" t="e">
        <f t="shared" si="30"/>
        <v>#REF!</v>
      </c>
      <c r="S41" s="184" t="e">
        <f t="shared" si="15"/>
        <v>#REF!</v>
      </c>
      <c r="T41" s="185" t="e">
        <f t="shared" si="24"/>
        <v>#REF!</v>
      </c>
      <c r="U41" s="185" t="e">
        <f>IF($U$19&gt;=B41, 0, IF(S41&gt;1, IF(ASS!$W$65=1,$U$16/(($U$17*2)-$U$19), -PMT($U$18/2,($U$17*2-B40),S41,0)-T41), 0))</f>
        <v>#REF!</v>
      </c>
      <c r="V41" s="186" t="e">
        <f t="shared" si="31"/>
        <v>#REF!</v>
      </c>
      <c r="W41" s="184" t="e">
        <f t="shared" si="17"/>
        <v>#REF!</v>
      </c>
      <c r="X41" s="185" t="e">
        <f t="shared" si="25"/>
        <v>#REF!</v>
      </c>
      <c r="Y41" s="185" t="e">
        <f>IF($Y$19&gt;=B41, 0, IF(W41&gt;1, IF(ASS!$W$73=1,$Y$16/(($Y$17*2)-$Y$19), -PMT($Y$18/2,($Y$17*2-B40),W41,0)-X41), 0))</f>
        <v>#REF!</v>
      </c>
      <c r="Z41" s="186" t="e">
        <f t="shared" si="32"/>
        <v>#REF!</v>
      </c>
      <c r="AA41" s="185"/>
      <c r="AB41" s="186"/>
    </row>
    <row r="42" spans="1:28" x14ac:dyDescent="0.25">
      <c r="A42" s="72">
        <f>A41</f>
        <v>2010</v>
      </c>
      <c r="B42" s="73">
        <f t="shared" si="33"/>
        <v>19</v>
      </c>
      <c r="C42" s="187" t="e">
        <f t="shared" si="8"/>
        <v>#REF!</v>
      </c>
      <c r="D42" s="188" t="e">
        <f t="shared" ref="D42:D57" si="35">C42*$E$18*0.5</f>
        <v>#REF!</v>
      </c>
      <c r="E42" s="188" t="e">
        <f>IF($E$19&gt;=B42, 0, IF(C42&gt;1, IF(ASS!$W$33=1,$E$16/(($E$17*2)-$E$19), -PMT($E$18/2,($E$17*2-B41),C42,0)-D42), 0))</f>
        <v>#REF!</v>
      </c>
      <c r="F42" s="189" t="e">
        <f t="shared" si="34"/>
        <v>#REF!</v>
      </c>
      <c r="G42" s="187" t="e">
        <f t="shared" si="9"/>
        <v>#REF!</v>
      </c>
      <c r="H42" s="188" t="e">
        <f t="shared" ref="H42:H57" si="36">G42*$I$18*0.5</f>
        <v>#REF!</v>
      </c>
      <c r="I42" s="188" t="e">
        <f>IF($I$19&gt;=B42, 0, IF(G42&gt;1, IF(ASS!$W$41=1,$I$16/(($I$17*2)-$I$19), -PMT($I$18/2,($I$17*2-B41),G42,0)-H42), 0))</f>
        <v>#REF!</v>
      </c>
      <c r="J42" s="189" t="e">
        <f t="shared" si="28"/>
        <v>#REF!</v>
      </c>
      <c r="K42" s="187" t="e">
        <f t="shared" si="11"/>
        <v>#REF!</v>
      </c>
      <c r="L42" s="188" t="e">
        <f t="shared" si="26"/>
        <v>#REF!</v>
      </c>
      <c r="M42" s="188" t="e">
        <f>IF($M$19&gt;=B42, 0, IF(K42&gt;1, IF(ASS!$W$49=1,$M$16/(($M$17*2)-$M$19), -PMT($M$18/2,($M$17*2-B41),K42,0)-L42), 0))</f>
        <v>#REF!</v>
      </c>
      <c r="N42" s="189" t="e">
        <f t="shared" si="29"/>
        <v>#REF!</v>
      </c>
      <c r="O42" s="187" t="e">
        <f t="shared" si="13"/>
        <v>#REF!</v>
      </c>
      <c r="P42" s="188" t="e">
        <f t="shared" ref="P42:P57" si="37">O42*$Q$18*0.5</f>
        <v>#REF!</v>
      </c>
      <c r="Q42" s="188" t="e">
        <f>IF($Q$19&gt;=B42, 0, IF(O42&gt;1, IF(ASS!$W$57=1,$Q$16/(($Q$17*2)-$Q$19), -PMT($Q$18/2,($Q$17*2-B41),O42,0)-P42), 0))</f>
        <v>#REF!</v>
      </c>
      <c r="R42" s="189" t="e">
        <f t="shared" si="30"/>
        <v>#REF!</v>
      </c>
      <c r="S42" s="187" t="e">
        <f t="shared" si="15"/>
        <v>#REF!</v>
      </c>
      <c r="T42" s="188" t="e">
        <f t="shared" ref="T42:T57" si="38">S42*$U$18*0.5</f>
        <v>#REF!</v>
      </c>
      <c r="U42" s="188" t="e">
        <f>IF($U$19&gt;=B42, 0, IF(S42&gt;1, IF(ASS!$W$65=1,$U$16/(($U$17*2)-$U$19), -PMT($U$18/2,($U$17*2-B41),S42,0)-T42), 0))</f>
        <v>#REF!</v>
      </c>
      <c r="V42" s="189" t="e">
        <f t="shared" si="31"/>
        <v>#REF!</v>
      </c>
      <c r="W42" s="187" t="e">
        <f t="shared" si="17"/>
        <v>#REF!</v>
      </c>
      <c r="X42" s="188" t="e">
        <f t="shared" ref="X42:X57" si="39">W42*$Y$18*0.5</f>
        <v>#REF!</v>
      </c>
      <c r="Y42" s="188" t="e">
        <f>IF($Y$19&gt;=B42, 0, IF(W42&gt;1, IF(ASS!$W$73=1,$Y$16/(($Y$17*2)-$Y$19), -PMT($Y$18/2,($Y$17*2-B41),W42,0)-X42), 0))</f>
        <v>#REF!</v>
      </c>
      <c r="Z42" s="189" t="e">
        <f t="shared" si="32"/>
        <v>#REF!</v>
      </c>
      <c r="AA42" s="188" t="e">
        <f>SUM(D41:D42,H41:H42,L41:L42, P41:P42, T41:T42, X41:X42)</f>
        <v>#REF!</v>
      </c>
      <c r="AB42" s="189" t="e">
        <f>SUM(E41:E42, I41:I42, M41:M42, Q41:Q42, U41:U42, Y41:Y42)</f>
        <v>#REF!</v>
      </c>
    </row>
    <row r="43" spans="1:28" x14ac:dyDescent="0.25">
      <c r="A43" s="61">
        <f t="shared" si="27"/>
        <v>2011</v>
      </c>
      <c r="B43" s="62">
        <f t="shared" si="33"/>
        <v>20</v>
      </c>
      <c r="C43" s="184" t="e">
        <f t="shared" si="8"/>
        <v>#REF!</v>
      </c>
      <c r="D43" s="185" t="e">
        <f t="shared" si="35"/>
        <v>#REF!</v>
      </c>
      <c r="E43" s="185" t="e">
        <f>IF($E$19&gt;=B43, 0, IF(C43&gt;1, IF(ASS!$W$33=1,$E$16/(($E$17*2)-$E$19), -PMT($E$18/2,($E$17*2-B42),C43,0)-D43), 0))</f>
        <v>#REF!</v>
      </c>
      <c r="F43" s="186" t="e">
        <f t="shared" si="34"/>
        <v>#REF!</v>
      </c>
      <c r="G43" s="184" t="e">
        <f t="shared" si="9"/>
        <v>#REF!</v>
      </c>
      <c r="H43" s="185" t="e">
        <f t="shared" si="36"/>
        <v>#REF!</v>
      </c>
      <c r="I43" s="185" t="e">
        <f>IF($I$19&gt;=B43, 0, IF(G43&gt;1, IF(ASS!$W$41=1,$I$16/(($I$17*2)-$I$19), -PMT($I$18/2,($I$17*2-B42),G43,0)-H43), 0))</f>
        <v>#REF!</v>
      </c>
      <c r="J43" s="186" t="e">
        <f t="shared" si="28"/>
        <v>#REF!</v>
      </c>
      <c r="K43" s="184" t="e">
        <f t="shared" si="11"/>
        <v>#REF!</v>
      </c>
      <c r="L43" s="185" t="e">
        <f t="shared" ref="L43:L58" si="40">K43*$M$18*0.5</f>
        <v>#REF!</v>
      </c>
      <c r="M43" s="185" t="e">
        <f>IF($M$19&gt;=B43, 0, IF(K43&gt;1, IF(ASS!$W$49=1,$M$16/(($M$17*2)-$M$19), -PMT($M$18/2,($M$17*2-B42),K43,0)-L43), 0))</f>
        <v>#REF!</v>
      </c>
      <c r="N43" s="186" t="e">
        <f t="shared" si="29"/>
        <v>#REF!</v>
      </c>
      <c r="O43" s="184" t="e">
        <f t="shared" si="13"/>
        <v>#REF!</v>
      </c>
      <c r="P43" s="185" t="e">
        <f t="shared" si="37"/>
        <v>#REF!</v>
      </c>
      <c r="Q43" s="185" t="e">
        <f>IF($Q$19&gt;=B43, 0, IF(O43&gt;1, IF(ASS!$W$57=1,$Q$16/(($Q$17*2)-$Q$19), -PMT($Q$18/2,($Q$17*2-B42),O43,0)-P43), 0))</f>
        <v>#REF!</v>
      </c>
      <c r="R43" s="186" t="e">
        <f t="shared" si="30"/>
        <v>#REF!</v>
      </c>
      <c r="S43" s="184" t="e">
        <f t="shared" si="15"/>
        <v>#REF!</v>
      </c>
      <c r="T43" s="185" t="e">
        <f t="shared" si="38"/>
        <v>#REF!</v>
      </c>
      <c r="U43" s="185" t="e">
        <f>IF($U$19&gt;=B43, 0, IF(S43&gt;1, IF(ASS!$W$65=1,$U$16/(($U$17*2)-$U$19), -PMT($U$18/2,($U$17*2-B42),S43,0)-T43), 0))</f>
        <v>#REF!</v>
      </c>
      <c r="V43" s="186" t="e">
        <f t="shared" si="31"/>
        <v>#REF!</v>
      </c>
      <c r="W43" s="184" t="e">
        <f t="shared" si="17"/>
        <v>#REF!</v>
      </c>
      <c r="X43" s="185" t="e">
        <f t="shared" si="39"/>
        <v>#REF!</v>
      </c>
      <c r="Y43" s="185" t="e">
        <f>IF($Y$19&gt;=B43, 0, IF(W43&gt;1, IF(ASS!$W$73=1,$Y$16/(($Y$17*2)-$Y$19), -PMT($Y$18/2,($Y$17*2-B42),W43,0)-X43), 0))</f>
        <v>#REF!</v>
      </c>
      <c r="Z43" s="186" t="e">
        <f t="shared" si="32"/>
        <v>#REF!</v>
      </c>
      <c r="AA43" s="185"/>
      <c r="AB43" s="186"/>
    </row>
    <row r="44" spans="1:28" x14ac:dyDescent="0.25">
      <c r="A44" s="72">
        <f>A43</f>
        <v>2011</v>
      </c>
      <c r="B44" s="73">
        <f t="shared" si="33"/>
        <v>21</v>
      </c>
      <c r="C44" s="187" t="e">
        <f t="shared" si="8"/>
        <v>#REF!</v>
      </c>
      <c r="D44" s="188" t="e">
        <f t="shared" si="35"/>
        <v>#REF!</v>
      </c>
      <c r="E44" s="188" t="e">
        <f>IF($E$19&gt;=B44, 0, IF(C44&gt;1, IF(ASS!$W$33=1,$E$16/(($E$17*2)-$E$19), -PMT($E$18/2,($E$17*2-B43),C44,0)-D44), 0))</f>
        <v>#REF!</v>
      </c>
      <c r="F44" s="189" t="e">
        <f t="shared" si="34"/>
        <v>#REF!</v>
      </c>
      <c r="G44" s="187" t="e">
        <f t="shared" si="9"/>
        <v>#REF!</v>
      </c>
      <c r="H44" s="188" t="e">
        <f t="shared" si="36"/>
        <v>#REF!</v>
      </c>
      <c r="I44" s="188" t="e">
        <f>IF($I$19&gt;=B44, 0, IF(G44&gt;1, IF(ASS!$W$41=1,$I$16/(($I$17*2)-$I$19), -PMT($I$18/2,($I$17*2-B43),G44,0)-H44), 0))</f>
        <v>#REF!</v>
      </c>
      <c r="J44" s="189" t="e">
        <f t="shared" si="28"/>
        <v>#REF!</v>
      </c>
      <c r="K44" s="187" t="e">
        <f t="shared" si="11"/>
        <v>#REF!</v>
      </c>
      <c r="L44" s="188" t="e">
        <f t="shared" si="40"/>
        <v>#REF!</v>
      </c>
      <c r="M44" s="188" t="e">
        <f>IF($M$19&gt;=B44, 0, IF(K44&gt;1, IF(ASS!$W$49=1,$M$16/(($M$17*2)-$M$19), -PMT($M$18/2,($M$17*2-B43),K44,0)-L44), 0))</f>
        <v>#REF!</v>
      </c>
      <c r="N44" s="189" t="e">
        <f t="shared" si="29"/>
        <v>#REF!</v>
      </c>
      <c r="O44" s="187" t="e">
        <f t="shared" si="13"/>
        <v>#REF!</v>
      </c>
      <c r="P44" s="188" t="e">
        <f t="shared" si="37"/>
        <v>#REF!</v>
      </c>
      <c r="Q44" s="188" t="e">
        <f>IF($Q$19&gt;=B44, 0, IF(O44&gt;1, IF(ASS!$W$57=1,$Q$16/(($Q$17*2)-$Q$19), -PMT($Q$18/2,($Q$17*2-B43),O44,0)-P44), 0))</f>
        <v>#REF!</v>
      </c>
      <c r="R44" s="189" t="e">
        <f t="shared" si="30"/>
        <v>#REF!</v>
      </c>
      <c r="S44" s="187" t="e">
        <f t="shared" si="15"/>
        <v>#REF!</v>
      </c>
      <c r="T44" s="188" t="e">
        <f t="shared" si="38"/>
        <v>#REF!</v>
      </c>
      <c r="U44" s="188" t="e">
        <f>IF($U$19&gt;=B44, 0, IF(S44&gt;1, IF(ASS!$W$65=1,$U$16/(($U$17*2)-$U$19), -PMT($U$18/2,($U$17*2-B43),S44,0)-T44), 0))</f>
        <v>#REF!</v>
      </c>
      <c r="V44" s="189" t="e">
        <f t="shared" si="31"/>
        <v>#REF!</v>
      </c>
      <c r="W44" s="187" t="e">
        <f t="shared" si="17"/>
        <v>#REF!</v>
      </c>
      <c r="X44" s="188" t="e">
        <f t="shared" si="39"/>
        <v>#REF!</v>
      </c>
      <c r="Y44" s="188" t="e">
        <f>IF($Y$19&gt;=B44, 0, IF(W44&gt;1, IF(ASS!$W$73=1,$Y$16/(($Y$17*2)-$Y$19), -PMT($Y$18/2,($Y$17*2-B43),W44,0)-X44), 0))</f>
        <v>#REF!</v>
      </c>
      <c r="Z44" s="189" t="e">
        <f t="shared" si="32"/>
        <v>#REF!</v>
      </c>
      <c r="AA44" s="188" t="e">
        <f>SUM(D43:D44,H43:H44,L43:L44, P43:P44, T43:T44, X43:X44)</f>
        <v>#REF!</v>
      </c>
      <c r="AB44" s="189" t="e">
        <f>SUM(E43:E44, I43:I44, M43:M44, Q43:Q44, U43:U44, Y43:Y44)</f>
        <v>#REF!</v>
      </c>
    </row>
    <row r="45" spans="1:28" x14ac:dyDescent="0.25">
      <c r="A45" s="61">
        <f t="shared" ref="A45:A59" si="41">A43+1</f>
        <v>2012</v>
      </c>
      <c r="B45" s="62">
        <f t="shared" si="33"/>
        <v>22</v>
      </c>
      <c r="C45" s="184" t="e">
        <f t="shared" si="8"/>
        <v>#REF!</v>
      </c>
      <c r="D45" s="185" t="e">
        <f t="shared" si="35"/>
        <v>#REF!</v>
      </c>
      <c r="E45" s="185" t="e">
        <f>IF($E$19&gt;=B45, 0, IF(C45&gt;1, IF(ASS!$W$33=1,$E$16/(($E$17*2)-$E$19), -PMT($E$18/2,($E$17*2-B44),C45,0)-D45), 0))</f>
        <v>#REF!</v>
      </c>
      <c r="F45" s="186" t="e">
        <f t="shared" si="34"/>
        <v>#REF!</v>
      </c>
      <c r="G45" s="184" t="e">
        <f t="shared" si="9"/>
        <v>#REF!</v>
      </c>
      <c r="H45" s="185" t="e">
        <f t="shared" si="36"/>
        <v>#REF!</v>
      </c>
      <c r="I45" s="185" t="e">
        <f>IF($I$19&gt;=B45, 0, IF(G45&gt;1, IF(ASS!$W$41=1,$I$16/(($I$17*2)-$I$19), -PMT($I$18/2,($I$17*2-B44),G45,0)-H45), 0))</f>
        <v>#REF!</v>
      </c>
      <c r="J45" s="186" t="e">
        <f t="shared" si="28"/>
        <v>#REF!</v>
      </c>
      <c r="K45" s="184" t="e">
        <f t="shared" si="11"/>
        <v>#REF!</v>
      </c>
      <c r="L45" s="185" t="e">
        <f t="shared" si="40"/>
        <v>#REF!</v>
      </c>
      <c r="M45" s="185" t="e">
        <f>IF($M$19&gt;=B45, 0, IF(K45&gt;1, IF(ASS!$W$49=1,$M$16/(($M$17*2)-$M$19), -PMT($M$18/2,($M$17*2-B44),K45,0)-L45), 0))</f>
        <v>#REF!</v>
      </c>
      <c r="N45" s="186" t="e">
        <f t="shared" si="29"/>
        <v>#REF!</v>
      </c>
      <c r="O45" s="184" t="e">
        <f t="shared" si="13"/>
        <v>#REF!</v>
      </c>
      <c r="P45" s="185" t="e">
        <f t="shared" si="37"/>
        <v>#REF!</v>
      </c>
      <c r="Q45" s="185" t="e">
        <f>IF($Q$19&gt;=B45, 0, IF(O45&gt;1, IF(ASS!$W$57=1,$Q$16/(($Q$17*2)-$Q$19), -PMT($Q$18/2,($Q$17*2-B44),O45,0)-P45), 0))</f>
        <v>#REF!</v>
      </c>
      <c r="R45" s="186" t="e">
        <f t="shared" si="30"/>
        <v>#REF!</v>
      </c>
      <c r="S45" s="184" t="e">
        <f t="shared" si="15"/>
        <v>#REF!</v>
      </c>
      <c r="T45" s="185" t="e">
        <f t="shared" si="38"/>
        <v>#REF!</v>
      </c>
      <c r="U45" s="185" t="e">
        <f>IF($U$19&gt;=B45, 0, IF(S45&gt;1, IF(ASS!$W$65=1,$U$16/(($U$17*2)-$U$19), -PMT($U$18/2,($U$17*2-B44),S45,0)-T45), 0))</f>
        <v>#REF!</v>
      </c>
      <c r="V45" s="186" t="e">
        <f t="shared" si="31"/>
        <v>#REF!</v>
      </c>
      <c r="W45" s="184" t="e">
        <f t="shared" si="17"/>
        <v>#REF!</v>
      </c>
      <c r="X45" s="185" t="e">
        <f t="shared" si="39"/>
        <v>#REF!</v>
      </c>
      <c r="Y45" s="185" t="e">
        <f>IF($Y$19&gt;=B45, 0, IF(W45&gt;1, IF(ASS!$W$73=1,$Y$16/(($Y$17*2)-$Y$19), -PMT($Y$18/2,($Y$17*2-B44),W45,0)-X45), 0))</f>
        <v>#REF!</v>
      </c>
      <c r="Z45" s="186" t="e">
        <f t="shared" si="32"/>
        <v>#REF!</v>
      </c>
      <c r="AA45" s="185"/>
      <c r="AB45" s="186"/>
    </row>
    <row r="46" spans="1:28" x14ac:dyDescent="0.25">
      <c r="A46" s="72">
        <f>A45</f>
        <v>2012</v>
      </c>
      <c r="B46" s="73">
        <f t="shared" si="33"/>
        <v>23</v>
      </c>
      <c r="C46" s="187" t="e">
        <f t="shared" si="8"/>
        <v>#REF!</v>
      </c>
      <c r="D46" s="188" t="e">
        <f t="shared" si="35"/>
        <v>#REF!</v>
      </c>
      <c r="E46" s="188" t="e">
        <f>IF($E$19&gt;=B46, 0, IF(C46&gt;1, IF(ASS!$W$33=1,$E$16/(($E$17*2)-$E$19), -PMT($E$18/2,($E$17*2-B45),C46,0)-D46), 0))</f>
        <v>#REF!</v>
      </c>
      <c r="F46" s="189" t="e">
        <f t="shared" si="34"/>
        <v>#REF!</v>
      </c>
      <c r="G46" s="187" t="e">
        <f t="shared" si="9"/>
        <v>#REF!</v>
      </c>
      <c r="H46" s="188" t="e">
        <f t="shared" si="36"/>
        <v>#REF!</v>
      </c>
      <c r="I46" s="188" t="e">
        <f>IF($I$19&gt;=B46, 0, IF(G46&gt;1, IF(ASS!$W$41=1,$I$16/(($I$17*2)-$I$19), -PMT($I$18/2,($I$17*2-B45),G46,0)-H46), 0))</f>
        <v>#REF!</v>
      </c>
      <c r="J46" s="189" t="e">
        <f t="shared" si="28"/>
        <v>#REF!</v>
      </c>
      <c r="K46" s="187" t="e">
        <f t="shared" si="11"/>
        <v>#REF!</v>
      </c>
      <c r="L46" s="188" t="e">
        <f t="shared" si="40"/>
        <v>#REF!</v>
      </c>
      <c r="M46" s="188" t="e">
        <f>IF($M$19&gt;=B46, 0, IF(K46&gt;1, IF(ASS!$W$49=1,$M$16/(($M$17*2)-$M$19), -PMT($M$18/2,($M$17*2-B45),K46,0)-L46), 0))</f>
        <v>#REF!</v>
      </c>
      <c r="N46" s="189" t="e">
        <f t="shared" si="29"/>
        <v>#REF!</v>
      </c>
      <c r="O46" s="187" t="e">
        <f t="shared" si="13"/>
        <v>#REF!</v>
      </c>
      <c r="P46" s="188" t="e">
        <f t="shared" si="37"/>
        <v>#REF!</v>
      </c>
      <c r="Q46" s="188" t="e">
        <f>IF($Q$19&gt;=B46, 0, IF(O46&gt;1, IF(ASS!$W$57=1,$Q$16/(($Q$17*2)-$Q$19), -PMT($Q$18/2,($Q$17*2-B45),O46,0)-P46), 0))</f>
        <v>#REF!</v>
      </c>
      <c r="R46" s="189" t="e">
        <f t="shared" si="30"/>
        <v>#REF!</v>
      </c>
      <c r="S46" s="187" t="e">
        <f t="shared" si="15"/>
        <v>#REF!</v>
      </c>
      <c r="T46" s="188" t="e">
        <f t="shared" si="38"/>
        <v>#REF!</v>
      </c>
      <c r="U46" s="188" t="e">
        <f>IF($U$19&gt;=B46, 0, IF(S46&gt;1, IF(ASS!$W$65=1,$U$16/(($U$17*2)-$U$19), -PMT($U$18/2,($U$17*2-B45),S46,0)-T46), 0))</f>
        <v>#REF!</v>
      </c>
      <c r="V46" s="189" t="e">
        <f t="shared" si="31"/>
        <v>#REF!</v>
      </c>
      <c r="W46" s="187" t="e">
        <f t="shared" si="17"/>
        <v>#REF!</v>
      </c>
      <c r="X46" s="188" t="e">
        <f t="shared" si="39"/>
        <v>#REF!</v>
      </c>
      <c r="Y46" s="188" t="e">
        <f>IF($Y$19&gt;=B46, 0, IF(W46&gt;1, IF(ASS!$W$73=1,$Y$16/(($Y$17*2)-$Y$19), -PMT($Y$18/2,($Y$17*2-B45),W46,0)-X46), 0))</f>
        <v>#REF!</v>
      </c>
      <c r="Z46" s="189" t="e">
        <f t="shared" si="32"/>
        <v>#REF!</v>
      </c>
      <c r="AA46" s="188" t="e">
        <f>SUM(D45:D46,H45:H46,L45:L46, P45:P46, T45:T46, X45:X46)</f>
        <v>#REF!</v>
      </c>
      <c r="AB46" s="189" t="e">
        <f>SUM(E45:E46, I45:I46, M45:M46, Q45:Q46, U45:U46, Y45:Y46)</f>
        <v>#REF!</v>
      </c>
    </row>
    <row r="47" spans="1:28" x14ac:dyDescent="0.25">
      <c r="A47" s="61">
        <f t="shared" si="41"/>
        <v>2013</v>
      </c>
      <c r="B47" s="62">
        <f t="shared" si="33"/>
        <v>24</v>
      </c>
      <c r="C47" s="184" t="e">
        <f t="shared" si="8"/>
        <v>#REF!</v>
      </c>
      <c r="D47" s="185" t="e">
        <f t="shared" si="35"/>
        <v>#REF!</v>
      </c>
      <c r="E47" s="185" t="e">
        <f>IF($E$19&gt;=B47, 0, IF(C47&gt;1, IF(ASS!$W$33=1,$E$16/(($E$17*2)-$E$19), -PMT($E$18/2,($E$17*2-B46),C47,0)-D47), 0))</f>
        <v>#REF!</v>
      </c>
      <c r="F47" s="186" t="e">
        <f t="shared" si="34"/>
        <v>#REF!</v>
      </c>
      <c r="G47" s="184" t="e">
        <f t="shared" si="9"/>
        <v>#REF!</v>
      </c>
      <c r="H47" s="185" t="e">
        <f t="shared" si="36"/>
        <v>#REF!</v>
      </c>
      <c r="I47" s="185" t="e">
        <f>IF($I$19&gt;=B47, 0, IF(G47&gt;1, IF(ASS!$W$41=1,$I$16/(($I$17*2)-$I$19), -PMT($I$18/2,($I$17*2-B46),G47,0)-H47), 0))</f>
        <v>#REF!</v>
      </c>
      <c r="J47" s="186" t="e">
        <f t="shared" si="28"/>
        <v>#REF!</v>
      </c>
      <c r="K47" s="184" t="e">
        <f t="shared" si="11"/>
        <v>#REF!</v>
      </c>
      <c r="L47" s="185" t="e">
        <f t="shared" si="40"/>
        <v>#REF!</v>
      </c>
      <c r="M47" s="185" t="e">
        <f>IF($M$19&gt;=B47, 0, IF(K47&gt;1, IF(ASS!$W$49=1,$M$16/(($M$17*2)-$M$19), -PMT($M$18/2,($M$17*2-B46),K47,0)-L47), 0))</f>
        <v>#REF!</v>
      </c>
      <c r="N47" s="186" t="e">
        <f t="shared" si="29"/>
        <v>#REF!</v>
      </c>
      <c r="O47" s="184" t="e">
        <f t="shared" si="13"/>
        <v>#REF!</v>
      </c>
      <c r="P47" s="185" t="e">
        <f t="shared" si="37"/>
        <v>#REF!</v>
      </c>
      <c r="Q47" s="185" t="e">
        <f>IF($Q$19&gt;=B47, 0, IF(O47&gt;1, IF(ASS!$W$57=1,$Q$16/(($Q$17*2)-$Q$19), -PMT($Q$18/2,($Q$17*2-B46),O47,0)-P47), 0))</f>
        <v>#REF!</v>
      </c>
      <c r="R47" s="186" t="e">
        <f t="shared" si="30"/>
        <v>#REF!</v>
      </c>
      <c r="S47" s="184" t="e">
        <f t="shared" si="15"/>
        <v>#REF!</v>
      </c>
      <c r="T47" s="185" t="e">
        <f t="shared" si="38"/>
        <v>#REF!</v>
      </c>
      <c r="U47" s="185" t="e">
        <f>IF($U$19&gt;=B47, 0, IF(S47&gt;1, IF(ASS!$W$65=1,$U$16/(($U$17*2)-$U$19), -PMT($U$18/2,($U$17*2-B46),S47,0)-T47), 0))</f>
        <v>#REF!</v>
      </c>
      <c r="V47" s="186" t="e">
        <f t="shared" si="31"/>
        <v>#REF!</v>
      </c>
      <c r="W47" s="184" t="e">
        <f t="shared" si="17"/>
        <v>#REF!</v>
      </c>
      <c r="X47" s="185" t="e">
        <f t="shared" si="39"/>
        <v>#REF!</v>
      </c>
      <c r="Y47" s="185" t="e">
        <f>IF($Y$19&gt;=B47, 0, IF(W47&gt;1, IF(ASS!$W$73=1,$Y$16/(($Y$17*2)-$Y$19), -PMT($Y$18/2,($Y$17*2-B46),W47,0)-X47), 0))</f>
        <v>#REF!</v>
      </c>
      <c r="Z47" s="186" t="e">
        <f t="shared" si="32"/>
        <v>#REF!</v>
      </c>
      <c r="AA47" s="185"/>
      <c r="AB47" s="186"/>
    </row>
    <row r="48" spans="1:28" x14ac:dyDescent="0.25">
      <c r="A48" s="72">
        <f>A47</f>
        <v>2013</v>
      </c>
      <c r="B48" s="73">
        <f t="shared" si="33"/>
        <v>25</v>
      </c>
      <c r="C48" s="187" t="e">
        <f t="shared" si="8"/>
        <v>#REF!</v>
      </c>
      <c r="D48" s="188" t="e">
        <f t="shared" si="35"/>
        <v>#REF!</v>
      </c>
      <c r="E48" s="188" t="e">
        <f>IF($E$19&gt;=B48, 0, IF(C48&gt;1, IF(ASS!$W$33=1,$E$16/(($E$17*2)-$E$19), -PMT($E$18/2,($E$17*2-B47),C48,0)-D48), 0))</f>
        <v>#REF!</v>
      </c>
      <c r="F48" s="189" t="e">
        <f t="shared" si="34"/>
        <v>#REF!</v>
      </c>
      <c r="G48" s="187" t="e">
        <f t="shared" si="9"/>
        <v>#REF!</v>
      </c>
      <c r="H48" s="188" t="e">
        <f t="shared" si="36"/>
        <v>#REF!</v>
      </c>
      <c r="I48" s="188" t="e">
        <f>IF($I$19&gt;=B48, 0, IF(G48&gt;1, IF(ASS!$W$41=1,$I$16/(($I$17*2)-$I$19), -PMT($I$18/2,($I$17*2-B47),G48,0)-H48), 0))</f>
        <v>#REF!</v>
      </c>
      <c r="J48" s="189" t="e">
        <f t="shared" si="28"/>
        <v>#REF!</v>
      </c>
      <c r="K48" s="187" t="e">
        <f t="shared" si="11"/>
        <v>#REF!</v>
      </c>
      <c r="L48" s="188" t="e">
        <f t="shared" si="40"/>
        <v>#REF!</v>
      </c>
      <c r="M48" s="188" t="e">
        <f>IF($M$19&gt;=B48, 0, IF(K48&gt;1, IF(ASS!$W$49=1,$M$16/(($M$17*2)-$M$19), -PMT($M$18/2,($M$17*2-B47),K48,0)-L48), 0))</f>
        <v>#REF!</v>
      </c>
      <c r="N48" s="189" t="e">
        <f t="shared" si="29"/>
        <v>#REF!</v>
      </c>
      <c r="O48" s="187" t="e">
        <f t="shared" si="13"/>
        <v>#REF!</v>
      </c>
      <c r="P48" s="188" t="e">
        <f t="shared" si="37"/>
        <v>#REF!</v>
      </c>
      <c r="Q48" s="188" t="e">
        <f>IF($Q$19&gt;=B48, 0, IF(O48&gt;1, IF(ASS!$W$57=1,$Q$16/(($Q$17*2)-$Q$19), -PMT($Q$18/2,($Q$17*2-B47),O48,0)-P48), 0))</f>
        <v>#REF!</v>
      </c>
      <c r="R48" s="189" t="e">
        <f t="shared" si="30"/>
        <v>#REF!</v>
      </c>
      <c r="S48" s="187" t="e">
        <f t="shared" si="15"/>
        <v>#REF!</v>
      </c>
      <c r="T48" s="188" t="e">
        <f t="shared" si="38"/>
        <v>#REF!</v>
      </c>
      <c r="U48" s="188" t="e">
        <f>IF($U$19&gt;=B48, 0, IF(S48&gt;1, IF(ASS!$W$65=1,$U$16/(($U$17*2)-$U$19), -PMT($U$18/2,($U$17*2-B47),S48,0)-T48), 0))</f>
        <v>#REF!</v>
      </c>
      <c r="V48" s="189" t="e">
        <f t="shared" si="31"/>
        <v>#REF!</v>
      </c>
      <c r="W48" s="187" t="e">
        <f t="shared" si="17"/>
        <v>#REF!</v>
      </c>
      <c r="X48" s="188" t="e">
        <f t="shared" si="39"/>
        <v>#REF!</v>
      </c>
      <c r="Y48" s="188" t="e">
        <f>IF($Y$19&gt;=B48, 0, IF(W48&gt;1, IF(ASS!$W$73=1,$Y$16/(($Y$17*2)-$Y$19), -PMT($Y$18/2,($Y$17*2-B47),W48,0)-X48), 0))</f>
        <v>#REF!</v>
      </c>
      <c r="Z48" s="189" t="e">
        <f t="shared" si="32"/>
        <v>#REF!</v>
      </c>
      <c r="AA48" s="188" t="e">
        <f>SUM(D47:D48,H47:H48,L47:L48, P47:P48, T47:T48, X47:X48)</f>
        <v>#REF!</v>
      </c>
      <c r="AB48" s="189" t="e">
        <f>SUM(E47:E48, I47:I48, M47:M48, Q47:Q48, U47:U48, Y47:Y48)</f>
        <v>#REF!</v>
      </c>
    </row>
    <row r="49" spans="1:28" x14ac:dyDescent="0.25">
      <c r="A49" s="61">
        <f t="shared" si="41"/>
        <v>2014</v>
      </c>
      <c r="B49" s="62">
        <f t="shared" si="33"/>
        <v>26</v>
      </c>
      <c r="C49" s="184" t="e">
        <f t="shared" si="8"/>
        <v>#REF!</v>
      </c>
      <c r="D49" s="185" t="e">
        <f t="shared" si="35"/>
        <v>#REF!</v>
      </c>
      <c r="E49" s="185" t="e">
        <f>IF($E$19&gt;=B49, 0, IF(C49&gt;1, IF(ASS!$W$33=1,$E$16/(($E$17*2)-$E$19), -PMT($E$18/2,($E$17*2-B48),C49,0)-D49), 0))</f>
        <v>#REF!</v>
      </c>
      <c r="F49" s="186" t="e">
        <f t="shared" si="34"/>
        <v>#REF!</v>
      </c>
      <c r="G49" s="184" t="e">
        <f t="shared" si="9"/>
        <v>#REF!</v>
      </c>
      <c r="H49" s="185" t="e">
        <f t="shared" si="36"/>
        <v>#REF!</v>
      </c>
      <c r="I49" s="185" t="e">
        <f>IF($I$19&gt;=B49, 0, IF(G49&gt;1, IF(ASS!$W$41=1,$I$16/(($I$17*2)-$I$19), -PMT($I$18/2,($I$17*2-B48),G49,0)-H49), 0))</f>
        <v>#REF!</v>
      </c>
      <c r="J49" s="186" t="e">
        <f t="shared" si="28"/>
        <v>#REF!</v>
      </c>
      <c r="K49" s="184" t="e">
        <f t="shared" si="11"/>
        <v>#REF!</v>
      </c>
      <c r="L49" s="185" t="e">
        <f t="shared" si="40"/>
        <v>#REF!</v>
      </c>
      <c r="M49" s="185" t="e">
        <f>IF($M$19&gt;=B49, 0, IF(K49&gt;1, IF(ASS!$W$49=1,$M$16/(($M$17*2)-$M$19), -PMT($M$18/2,($M$17*2-B48),K49,0)-L49), 0))</f>
        <v>#REF!</v>
      </c>
      <c r="N49" s="186" t="e">
        <f t="shared" si="29"/>
        <v>#REF!</v>
      </c>
      <c r="O49" s="184" t="e">
        <f t="shared" si="13"/>
        <v>#REF!</v>
      </c>
      <c r="P49" s="185" t="e">
        <f t="shared" si="37"/>
        <v>#REF!</v>
      </c>
      <c r="Q49" s="185" t="e">
        <f>IF($Q$19&gt;=B49, 0, IF(O49&gt;1, IF(ASS!$W$57=1,$Q$16/(($Q$17*2)-$Q$19), -PMT($Q$18/2,($Q$17*2-B48),O49,0)-P49), 0))</f>
        <v>#REF!</v>
      </c>
      <c r="R49" s="186" t="e">
        <f t="shared" si="30"/>
        <v>#REF!</v>
      </c>
      <c r="S49" s="184" t="e">
        <f t="shared" si="15"/>
        <v>#REF!</v>
      </c>
      <c r="T49" s="185" t="e">
        <f t="shared" si="38"/>
        <v>#REF!</v>
      </c>
      <c r="U49" s="185" t="e">
        <f>IF($U$19&gt;=B49, 0, IF(S49&gt;1, IF(ASS!$W$65=1,$U$16/(($U$17*2)-$U$19), -PMT($U$18/2,($U$17*2-B48),S49,0)-T49), 0))</f>
        <v>#REF!</v>
      </c>
      <c r="V49" s="186" t="e">
        <f t="shared" si="31"/>
        <v>#REF!</v>
      </c>
      <c r="W49" s="184" t="e">
        <f t="shared" si="17"/>
        <v>#REF!</v>
      </c>
      <c r="X49" s="185" t="e">
        <f t="shared" si="39"/>
        <v>#REF!</v>
      </c>
      <c r="Y49" s="185" t="e">
        <f>IF($Y$19&gt;=B49, 0, IF(W49&gt;1, IF(ASS!$W$73=1,$Y$16/(($Y$17*2)-$Y$19), -PMT($Y$18/2,($Y$17*2-B48),W49,0)-X49), 0))</f>
        <v>#REF!</v>
      </c>
      <c r="Z49" s="186" t="e">
        <f t="shared" si="32"/>
        <v>#REF!</v>
      </c>
      <c r="AA49" s="185"/>
      <c r="AB49" s="186"/>
    </row>
    <row r="50" spans="1:28" x14ac:dyDescent="0.25">
      <c r="A50" s="72">
        <f>A49</f>
        <v>2014</v>
      </c>
      <c r="B50" s="73">
        <f t="shared" si="33"/>
        <v>27</v>
      </c>
      <c r="C50" s="187" t="e">
        <f t="shared" si="8"/>
        <v>#REF!</v>
      </c>
      <c r="D50" s="188" t="e">
        <f t="shared" si="35"/>
        <v>#REF!</v>
      </c>
      <c r="E50" s="188" t="e">
        <f>IF($E$19&gt;=B50, 0, IF(C50&gt;1, IF(ASS!$W$33=1,$E$16/(($E$17*2)-$E$19), -PMT($E$18/2,($E$17*2-B49),C50,0)-D50), 0))</f>
        <v>#REF!</v>
      </c>
      <c r="F50" s="189" t="e">
        <f t="shared" si="34"/>
        <v>#REF!</v>
      </c>
      <c r="G50" s="187" t="e">
        <f t="shared" si="9"/>
        <v>#REF!</v>
      </c>
      <c r="H50" s="188" t="e">
        <f t="shared" si="36"/>
        <v>#REF!</v>
      </c>
      <c r="I50" s="188" t="e">
        <f>IF($I$19&gt;=B50, 0, IF(G50&gt;1, IF(ASS!$W$41=1,$I$16/(($I$17*2)-$I$19), -PMT($I$18/2,($I$17*2-B49),G50,0)-H50), 0))</f>
        <v>#REF!</v>
      </c>
      <c r="J50" s="189" t="e">
        <f t="shared" si="28"/>
        <v>#REF!</v>
      </c>
      <c r="K50" s="187" t="e">
        <f t="shared" si="11"/>
        <v>#REF!</v>
      </c>
      <c r="L50" s="188" t="e">
        <f t="shared" si="40"/>
        <v>#REF!</v>
      </c>
      <c r="M50" s="188" t="e">
        <f>IF($M$19&gt;=B50, 0, IF(K50&gt;1, IF(ASS!$W$49=1,$M$16/(($M$17*2)-$M$19), -PMT($M$18/2,($M$17*2-B49),K50,0)-L50), 0))</f>
        <v>#REF!</v>
      </c>
      <c r="N50" s="189" t="e">
        <f t="shared" si="29"/>
        <v>#REF!</v>
      </c>
      <c r="O50" s="187" t="e">
        <f t="shared" si="13"/>
        <v>#REF!</v>
      </c>
      <c r="P50" s="188" t="e">
        <f t="shared" si="37"/>
        <v>#REF!</v>
      </c>
      <c r="Q50" s="188" t="e">
        <f>IF($Q$19&gt;=B50, 0, IF(O50&gt;1, IF(ASS!$W$57=1,$Q$16/(($Q$17*2)-$Q$19), -PMT($Q$18/2,($Q$17*2-B49),O50,0)-P50), 0))</f>
        <v>#REF!</v>
      </c>
      <c r="R50" s="189" t="e">
        <f t="shared" si="30"/>
        <v>#REF!</v>
      </c>
      <c r="S50" s="187" t="e">
        <f t="shared" si="15"/>
        <v>#REF!</v>
      </c>
      <c r="T50" s="188" t="e">
        <f t="shared" si="38"/>
        <v>#REF!</v>
      </c>
      <c r="U50" s="188" t="e">
        <f>IF($U$19&gt;=B50, 0, IF(S50&gt;1, IF(ASS!$W$65=1,$U$16/(($U$17*2)-$U$19), -PMT($U$18/2,($U$17*2-B49),S50,0)-T50), 0))</f>
        <v>#REF!</v>
      </c>
      <c r="V50" s="189" t="e">
        <f t="shared" si="31"/>
        <v>#REF!</v>
      </c>
      <c r="W50" s="187" t="e">
        <f t="shared" si="17"/>
        <v>#REF!</v>
      </c>
      <c r="X50" s="188" t="e">
        <f t="shared" si="39"/>
        <v>#REF!</v>
      </c>
      <c r="Y50" s="188" t="e">
        <f>IF($Y$19&gt;=B50, 0, IF(W50&gt;1, IF(ASS!$W$73=1,$Y$16/(($Y$17*2)-$Y$19), -PMT($Y$18/2,($Y$17*2-B49),W50,0)-X50), 0))</f>
        <v>#REF!</v>
      </c>
      <c r="Z50" s="189" t="e">
        <f t="shared" si="32"/>
        <v>#REF!</v>
      </c>
      <c r="AA50" s="188" t="e">
        <f>SUM(D49:D50,H49:H50,L49:L50, P49:P50, T49:T50, X49:X50)</f>
        <v>#REF!</v>
      </c>
      <c r="AB50" s="189" t="e">
        <f>SUM(E49:E50, I49:I50, M49:M50, Q49:Q50, U49:U50, Y49:Y50)</f>
        <v>#REF!</v>
      </c>
    </row>
    <row r="51" spans="1:28" x14ac:dyDescent="0.25">
      <c r="A51" s="61">
        <f t="shared" si="41"/>
        <v>2015</v>
      </c>
      <c r="B51" s="62">
        <f t="shared" si="33"/>
        <v>28</v>
      </c>
      <c r="C51" s="184" t="e">
        <f t="shared" si="8"/>
        <v>#REF!</v>
      </c>
      <c r="D51" s="185" t="e">
        <f t="shared" si="35"/>
        <v>#REF!</v>
      </c>
      <c r="E51" s="185" t="e">
        <f>IF($E$19&gt;=B51, 0, IF(C51&gt;1, IF(ASS!$W$33=1,$E$16/(($E$17*2)-$E$19), -PMT($E$18/2,($E$17*2-B50),C51,0)-D51), 0))</f>
        <v>#REF!</v>
      </c>
      <c r="F51" s="186" t="e">
        <f t="shared" si="34"/>
        <v>#REF!</v>
      </c>
      <c r="G51" s="184" t="e">
        <f t="shared" si="9"/>
        <v>#REF!</v>
      </c>
      <c r="H51" s="185" t="e">
        <f t="shared" si="36"/>
        <v>#REF!</v>
      </c>
      <c r="I51" s="185" t="e">
        <f>IF($I$19&gt;=B51, 0, IF(G51&gt;1, IF(ASS!$W$41=1,$I$16/(($I$17*2)-$I$19), -PMT($I$18/2,($I$17*2-B50),G51,0)-H51), 0))</f>
        <v>#REF!</v>
      </c>
      <c r="J51" s="186" t="e">
        <f t="shared" si="28"/>
        <v>#REF!</v>
      </c>
      <c r="K51" s="184" t="e">
        <f t="shared" si="11"/>
        <v>#REF!</v>
      </c>
      <c r="L51" s="185" t="e">
        <f t="shared" si="40"/>
        <v>#REF!</v>
      </c>
      <c r="M51" s="185" t="e">
        <f>IF($M$19&gt;=B51, 0, IF(K51&gt;1, IF(ASS!$W$49=1,$M$16/(($M$17*2)-$M$19), -PMT($M$18/2,($M$17*2-B50),K51,0)-L51), 0))</f>
        <v>#REF!</v>
      </c>
      <c r="N51" s="186" t="e">
        <f t="shared" si="29"/>
        <v>#REF!</v>
      </c>
      <c r="O51" s="184" t="e">
        <f t="shared" si="13"/>
        <v>#REF!</v>
      </c>
      <c r="P51" s="185" t="e">
        <f t="shared" si="37"/>
        <v>#REF!</v>
      </c>
      <c r="Q51" s="185" t="e">
        <f>IF($Q$19&gt;=B51, 0, IF(O51&gt;1, IF(ASS!$W$57=1,$Q$16/(($Q$17*2)-$Q$19), -PMT($Q$18/2,($Q$17*2-B50),O51,0)-P51), 0))</f>
        <v>#REF!</v>
      </c>
      <c r="R51" s="186" t="e">
        <f t="shared" si="30"/>
        <v>#REF!</v>
      </c>
      <c r="S51" s="184" t="e">
        <f t="shared" si="15"/>
        <v>#REF!</v>
      </c>
      <c r="T51" s="185" t="e">
        <f t="shared" si="38"/>
        <v>#REF!</v>
      </c>
      <c r="U51" s="185" t="e">
        <f>IF($U$19&gt;=B51, 0, IF(S51&gt;1, IF(ASS!$W$65=1,$U$16/(($U$17*2)-$U$19), -PMT($U$18/2,($U$17*2-B50),S51,0)-T51), 0))</f>
        <v>#REF!</v>
      </c>
      <c r="V51" s="186" t="e">
        <f t="shared" si="31"/>
        <v>#REF!</v>
      </c>
      <c r="W51" s="184" t="e">
        <f t="shared" si="17"/>
        <v>#REF!</v>
      </c>
      <c r="X51" s="185" t="e">
        <f t="shared" si="39"/>
        <v>#REF!</v>
      </c>
      <c r="Y51" s="185" t="e">
        <f>IF($Y$19&gt;=B51, 0, IF(W51&gt;1, IF(ASS!$W$73=1,$Y$16/(($Y$17*2)-$Y$19), -PMT($Y$18/2,($Y$17*2-B50),W51,0)-X51), 0))</f>
        <v>#REF!</v>
      </c>
      <c r="Z51" s="186" t="e">
        <f t="shared" si="32"/>
        <v>#REF!</v>
      </c>
      <c r="AA51" s="185"/>
      <c r="AB51" s="186"/>
    </row>
    <row r="52" spans="1:28" x14ac:dyDescent="0.25">
      <c r="A52" s="72">
        <f>A51</f>
        <v>2015</v>
      </c>
      <c r="B52" s="73">
        <f t="shared" si="33"/>
        <v>29</v>
      </c>
      <c r="C52" s="187" t="e">
        <f t="shared" si="8"/>
        <v>#REF!</v>
      </c>
      <c r="D52" s="188" t="e">
        <f t="shared" si="35"/>
        <v>#REF!</v>
      </c>
      <c r="E52" s="188" t="e">
        <f>IF($E$19&gt;=B52, 0, IF(C52&gt;1, IF(ASS!$W$33=1,$E$16/(($E$17*2)-$E$19), -PMT($E$18/2,($E$17*2-B51),C52,0)-D52), 0))</f>
        <v>#REF!</v>
      </c>
      <c r="F52" s="189" t="e">
        <f t="shared" si="34"/>
        <v>#REF!</v>
      </c>
      <c r="G52" s="187" t="e">
        <f t="shared" si="9"/>
        <v>#REF!</v>
      </c>
      <c r="H52" s="188" t="e">
        <f t="shared" si="36"/>
        <v>#REF!</v>
      </c>
      <c r="I52" s="188" t="e">
        <f>IF($I$19&gt;=B52, 0, IF(G52&gt;1, IF(ASS!$W$41=1,$I$16/(($I$17*2)-$I$19), -PMT($I$18/2,($I$17*2-B51),G52,0)-H52), 0))</f>
        <v>#REF!</v>
      </c>
      <c r="J52" s="189" t="e">
        <f t="shared" si="28"/>
        <v>#REF!</v>
      </c>
      <c r="K52" s="187" t="e">
        <f t="shared" si="11"/>
        <v>#REF!</v>
      </c>
      <c r="L52" s="188" t="e">
        <f t="shared" si="40"/>
        <v>#REF!</v>
      </c>
      <c r="M52" s="188" t="e">
        <f>IF($M$19&gt;=B52, 0, IF(K52&gt;1, IF(ASS!$W$49=1,$M$16/(($M$17*2)-$M$19), -PMT($M$18/2,($M$17*2-B51),K52,0)-L52), 0))</f>
        <v>#REF!</v>
      </c>
      <c r="N52" s="189" t="e">
        <f t="shared" si="29"/>
        <v>#REF!</v>
      </c>
      <c r="O52" s="187" t="e">
        <f t="shared" si="13"/>
        <v>#REF!</v>
      </c>
      <c r="P52" s="188" t="e">
        <f t="shared" si="37"/>
        <v>#REF!</v>
      </c>
      <c r="Q52" s="188" t="e">
        <f>IF($Q$19&gt;=B52, 0, IF(O52&gt;1, IF(ASS!$W$57=1,$Q$16/(($Q$17*2)-$Q$19), -PMT($Q$18/2,($Q$17*2-B51),O52,0)-P52), 0))</f>
        <v>#REF!</v>
      </c>
      <c r="R52" s="189" t="e">
        <f t="shared" si="30"/>
        <v>#REF!</v>
      </c>
      <c r="S52" s="187" t="e">
        <f t="shared" si="15"/>
        <v>#REF!</v>
      </c>
      <c r="T52" s="188" t="e">
        <f t="shared" si="38"/>
        <v>#REF!</v>
      </c>
      <c r="U52" s="188" t="e">
        <f>IF($U$19&gt;=B52, 0, IF(S52&gt;1, IF(ASS!$W$65=1,$U$16/(($U$17*2)-$U$19), -PMT($U$18/2,($U$17*2-B51),S52,0)-T52), 0))</f>
        <v>#REF!</v>
      </c>
      <c r="V52" s="189" t="e">
        <f t="shared" si="31"/>
        <v>#REF!</v>
      </c>
      <c r="W52" s="187" t="e">
        <f t="shared" si="17"/>
        <v>#REF!</v>
      </c>
      <c r="X52" s="188" t="e">
        <f t="shared" si="39"/>
        <v>#REF!</v>
      </c>
      <c r="Y52" s="188" t="e">
        <f>IF($Y$19&gt;=B52, 0, IF(W52&gt;1, IF(ASS!$W$73=1,$Y$16/(($Y$17*2)-$Y$19), -PMT($Y$18/2,($Y$17*2-B51),W52,0)-X52), 0))</f>
        <v>#REF!</v>
      </c>
      <c r="Z52" s="189" t="e">
        <f t="shared" si="32"/>
        <v>#REF!</v>
      </c>
      <c r="AA52" s="188" t="e">
        <f>SUM(D51:D52,H51:H52,L51:L52, P51:P52, T51:T52, X51:X52)</f>
        <v>#REF!</v>
      </c>
      <c r="AB52" s="189" t="e">
        <f>SUM(E51:E52, I51:I52, M51:M52, Q51:Q52, U51:U52, Y51:Y52)</f>
        <v>#REF!</v>
      </c>
    </row>
    <row r="53" spans="1:28" x14ac:dyDescent="0.25">
      <c r="A53" s="61">
        <f t="shared" si="41"/>
        <v>2016</v>
      </c>
      <c r="B53" s="62">
        <f t="shared" si="33"/>
        <v>30</v>
      </c>
      <c r="C53" s="184" t="e">
        <f t="shared" si="8"/>
        <v>#REF!</v>
      </c>
      <c r="D53" s="185" t="e">
        <f t="shared" si="35"/>
        <v>#REF!</v>
      </c>
      <c r="E53" s="185" t="e">
        <f>IF($E$19&gt;=B53, 0, IF(C53&gt;1, IF(ASS!$W$33=1,$E$16/(($E$17*2)-$E$19), -PMT($E$18/2,($E$17*2-B52),C53,0)-D53), 0))</f>
        <v>#REF!</v>
      </c>
      <c r="F53" s="186" t="e">
        <f t="shared" si="34"/>
        <v>#REF!</v>
      </c>
      <c r="G53" s="184" t="e">
        <f t="shared" si="9"/>
        <v>#REF!</v>
      </c>
      <c r="H53" s="185" t="e">
        <f t="shared" si="36"/>
        <v>#REF!</v>
      </c>
      <c r="I53" s="185" t="e">
        <f>IF($I$19&gt;=B53, 0, IF(G53&gt;1, IF(ASS!$W$41=1,$I$16/(($I$17*2)-$I$19), -PMT($I$18/2,($I$17*2-B52),G53,0)-H53), 0))</f>
        <v>#REF!</v>
      </c>
      <c r="J53" s="186" t="e">
        <f t="shared" si="28"/>
        <v>#REF!</v>
      </c>
      <c r="K53" s="184" t="e">
        <f t="shared" si="11"/>
        <v>#REF!</v>
      </c>
      <c r="L53" s="185" t="e">
        <f t="shared" si="40"/>
        <v>#REF!</v>
      </c>
      <c r="M53" s="185" t="e">
        <f>IF($M$19&gt;=B53, 0, IF(K53&gt;1, IF(ASS!$W$49=1,$M$16/(($M$17*2)-$M$19), -PMT($M$18/2,($M$17*2-B52),K53,0)-L53), 0))</f>
        <v>#REF!</v>
      </c>
      <c r="N53" s="186" t="e">
        <f t="shared" si="29"/>
        <v>#REF!</v>
      </c>
      <c r="O53" s="184" t="e">
        <f t="shared" si="13"/>
        <v>#REF!</v>
      </c>
      <c r="P53" s="185" t="e">
        <f t="shared" si="37"/>
        <v>#REF!</v>
      </c>
      <c r="Q53" s="185" t="e">
        <f>IF($Q$19&gt;=B53, 0, IF(O53&gt;1, IF(ASS!$W$57=1,$Q$16/(($Q$17*2)-$Q$19), -PMT($Q$18/2,($Q$17*2-B52),O53,0)-P53), 0))</f>
        <v>#REF!</v>
      </c>
      <c r="R53" s="186" t="e">
        <f t="shared" si="30"/>
        <v>#REF!</v>
      </c>
      <c r="S53" s="184" t="e">
        <f t="shared" si="15"/>
        <v>#REF!</v>
      </c>
      <c r="T53" s="185" t="e">
        <f t="shared" si="38"/>
        <v>#REF!</v>
      </c>
      <c r="U53" s="185" t="e">
        <f>IF($U$19&gt;=B53, 0, IF(S53&gt;1, IF(ASS!$W$65=1,$U$16/(($U$17*2)-$U$19), -PMT($U$18/2,($U$17*2-B52),S53,0)-T53), 0))</f>
        <v>#REF!</v>
      </c>
      <c r="V53" s="186" t="e">
        <f t="shared" si="31"/>
        <v>#REF!</v>
      </c>
      <c r="W53" s="184" t="e">
        <f t="shared" si="17"/>
        <v>#REF!</v>
      </c>
      <c r="X53" s="185" t="e">
        <f t="shared" si="39"/>
        <v>#REF!</v>
      </c>
      <c r="Y53" s="185" t="e">
        <f>IF($Y$19&gt;=B53, 0, IF(W53&gt;1, IF(ASS!$W$73=1,$Y$16/(($Y$17*2)-$Y$19), -PMT($Y$18/2,($Y$17*2-B52),W53,0)-X53), 0))</f>
        <v>#REF!</v>
      </c>
      <c r="Z53" s="186" t="e">
        <f t="shared" si="32"/>
        <v>#REF!</v>
      </c>
      <c r="AA53" s="185"/>
      <c r="AB53" s="186"/>
    </row>
    <row r="54" spans="1:28" x14ac:dyDescent="0.25">
      <c r="A54" s="72">
        <f>A53</f>
        <v>2016</v>
      </c>
      <c r="B54" s="73">
        <f t="shared" si="33"/>
        <v>31</v>
      </c>
      <c r="C54" s="187" t="e">
        <f t="shared" si="8"/>
        <v>#REF!</v>
      </c>
      <c r="D54" s="188" t="e">
        <f t="shared" si="35"/>
        <v>#REF!</v>
      </c>
      <c r="E54" s="188" t="e">
        <f>IF($E$19&gt;=B54, 0, IF(C54&gt;1, IF(ASS!$W$33=1,$E$16/(($E$17*2)-$E$19), -PMT($E$18/2,($E$17*2-B53),C54,0)-D54), 0))</f>
        <v>#REF!</v>
      </c>
      <c r="F54" s="189" t="e">
        <f t="shared" si="34"/>
        <v>#REF!</v>
      </c>
      <c r="G54" s="187" t="e">
        <f t="shared" si="9"/>
        <v>#REF!</v>
      </c>
      <c r="H54" s="188" t="e">
        <f t="shared" si="36"/>
        <v>#REF!</v>
      </c>
      <c r="I54" s="188" t="e">
        <f>IF($I$19&gt;=B54, 0, IF(G54&gt;1, IF(ASS!$W$41=1,$I$16/(($I$17*2)-$I$19), -PMT($I$18/2,($I$17*2-B53),G54,0)-H54), 0))</f>
        <v>#REF!</v>
      </c>
      <c r="J54" s="189" t="e">
        <f t="shared" si="28"/>
        <v>#REF!</v>
      </c>
      <c r="K54" s="187" t="e">
        <f t="shared" si="11"/>
        <v>#REF!</v>
      </c>
      <c r="L54" s="188" t="e">
        <f t="shared" si="40"/>
        <v>#REF!</v>
      </c>
      <c r="M54" s="188" t="e">
        <f>IF($M$19&gt;=B54, 0, IF(K54&gt;1, IF(ASS!$W$49=1,$M$16/(($M$17*2)-$M$19), -PMT($M$18/2,($M$17*2-B53),K54,0)-L54), 0))</f>
        <v>#REF!</v>
      </c>
      <c r="N54" s="189" t="e">
        <f t="shared" si="29"/>
        <v>#REF!</v>
      </c>
      <c r="O54" s="187" t="e">
        <f t="shared" si="13"/>
        <v>#REF!</v>
      </c>
      <c r="P54" s="188" t="e">
        <f t="shared" si="37"/>
        <v>#REF!</v>
      </c>
      <c r="Q54" s="188" t="e">
        <f>IF($Q$19&gt;=B54, 0, IF(O54&gt;1, IF(ASS!$W$57=1,$Q$16/(($Q$17*2)-$Q$19), -PMT($Q$18/2,($Q$17*2-B53),O54,0)-P54), 0))</f>
        <v>#REF!</v>
      </c>
      <c r="R54" s="189" t="e">
        <f t="shared" si="30"/>
        <v>#REF!</v>
      </c>
      <c r="S54" s="187" t="e">
        <f t="shared" si="15"/>
        <v>#REF!</v>
      </c>
      <c r="T54" s="188" t="e">
        <f t="shared" si="38"/>
        <v>#REF!</v>
      </c>
      <c r="U54" s="188" t="e">
        <f>IF($U$19&gt;=B54, 0, IF(S54&gt;1, IF(ASS!$W$65=1,$U$16/(($U$17*2)-$U$19), -PMT($U$18/2,($U$17*2-B53),S54,0)-T54), 0))</f>
        <v>#REF!</v>
      </c>
      <c r="V54" s="189" t="e">
        <f t="shared" si="31"/>
        <v>#REF!</v>
      </c>
      <c r="W54" s="187" t="e">
        <f t="shared" si="17"/>
        <v>#REF!</v>
      </c>
      <c r="X54" s="188" t="e">
        <f t="shared" si="39"/>
        <v>#REF!</v>
      </c>
      <c r="Y54" s="188" t="e">
        <f>IF($Y$19&gt;=B54, 0, IF(W54&gt;1, IF(ASS!$W$73=1,$Y$16/(($Y$17*2)-$Y$19), -PMT($Y$18/2,($Y$17*2-B53),W54,0)-X54), 0))</f>
        <v>#REF!</v>
      </c>
      <c r="Z54" s="189" t="e">
        <f t="shared" si="32"/>
        <v>#REF!</v>
      </c>
      <c r="AA54" s="188" t="e">
        <f>SUM(D53:D54,H53:H54,L53:L54, P53:P54, T53:T54, X53:X54)</f>
        <v>#REF!</v>
      </c>
      <c r="AB54" s="189" t="e">
        <f>SUM(E53:E54, I53:I54, M53:M54, Q53:Q54, U53:U54, Y53:Y54)</f>
        <v>#REF!</v>
      </c>
    </row>
    <row r="55" spans="1:28" x14ac:dyDescent="0.25">
      <c r="A55" s="61">
        <f t="shared" si="41"/>
        <v>2017</v>
      </c>
      <c r="B55" s="62">
        <f t="shared" si="33"/>
        <v>32</v>
      </c>
      <c r="C55" s="184" t="e">
        <f t="shared" si="8"/>
        <v>#REF!</v>
      </c>
      <c r="D55" s="185" t="e">
        <f t="shared" si="35"/>
        <v>#REF!</v>
      </c>
      <c r="E55" s="185" t="e">
        <f>IF($E$19&gt;=B55, 0, IF(C55&gt;1, IF(ASS!$W$33=1,$E$16/(($E$17*2)-$E$19), -PMT($E$18/2,($E$17*2-B54),C55,0)-D55), 0))</f>
        <v>#REF!</v>
      </c>
      <c r="F55" s="186" t="e">
        <f t="shared" si="34"/>
        <v>#REF!</v>
      </c>
      <c r="G55" s="184" t="e">
        <f t="shared" si="9"/>
        <v>#REF!</v>
      </c>
      <c r="H55" s="185" t="e">
        <f t="shared" si="36"/>
        <v>#REF!</v>
      </c>
      <c r="I55" s="185" t="e">
        <f>IF($I$19&gt;=B55, 0, IF(G55&gt;1, IF(ASS!$W$41=1,$I$16/(($I$17*2)-$I$19), -PMT($I$18/2,($I$17*2-B54),G55,0)-H55), 0))</f>
        <v>#REF!</v>
      </c>
      <c r="J55" s="186" t="e">
        <f t="shared" si="28"/>
        <v>#REF!</v>
      </c>
      <c r="K55" s="184" t="e">
        <f t="shared" si="11"/>
        <v>#REF!</v>
      </c>
      <c r="L55" s="185" t="e">
        <f t="shared" si="40"/>
        <v>#REF!</v>
      </c>
      <c r="M55" s="185" t="e">
        <f>IF($M$19&gt;=B55, 0, IF(K55&gt;1, IF(ASS!$W$49=1,$M$16/(($M$17*2)-$M$19), -PMT($M$18/2,($M$17*2-B54),K55,0)-L55), 0))</f>
        <v>#REF!</v>
      </c>
      <c r="N55" s="186" t="e">
        <f t="shared" si="29"/>
        <v>#REF!</v>
      </c>
      <c r="O55" s="184" t="e">
        <f t="shared" si="13"/>
        <v>#REF!</v>
      </c>
      <c r="P55" s="185" t="e">
        <f t="shared" si="37"/>
        <v>#REF!</v>
      </c>
      <c r="Q55" s="185" t="e">
        <f>IF($Q$19&gt;=B55, 0, IF(O55&gt;1, IF(ASS!$W$57=1,$Q$16/(($Q$17*2)-$Q$19), -PMT($Q$18/2,($Q$17*2-B54),O55,0)-P55), 0))</f>
        <v>#REF!</v>
      </c>
      <c r="R55" s="186" t="e">
        <f t="shared" si="30"/>
        <v>#REF!</v>
      </c>
      <c r="S55" s="184" t="e">
        <f t="shared" si="15"/>
        <v>#REF!</v>
      </c>
      <c r="T55" s="185" t="e">
        <f t="shared" si="38"/>
        <v>#REF!</v>
      </c>
      <c r="U55" s="185" t="e">
        <f>IF($U$19&gt;=B55, 0, IF(S55&gt;1, IF(ASS!$W$65=1,$U$16/(($U$17*2)-$U$19), -PMT($U$18/2,($U$17*2-B54),S55,0)-T55), 0))</f>
        <v>#REF!</v>
      </c>
      <c r="V55" s="186" t="e">
        <f t="shared" si="31"/>
        <v>#REF!</v>
      </c>
      <c r="W55" s="184" t="e">
        <f t="shared" si="17"/>
        <v>#REF!</v>
      </c>
      <c r="X55" s="185" t="e">
        <f t="shared" si="39"/>
        <v>#REF!</v>
      </c>
      <c r="Y55" s="185" t="e">
        <f>IF($Y$19&gt;=B55, 0, IF(W55&gt;1, IF(ASS!$W$73=1,$Y$16/(($Y$17*2)-$Y$19), -PMT($Y$18/2,($Y$17*2-B54),W55,0)-X55), 0))</f>
        <v>#REF!</v>
      </c>
      <c r="Z55" s="186" t="e">
        <f t="shared" si="32"/>
        <v>#REF!</v>
      </c>
      <c r="AA55" s="185"/>
      <c r="AB55" s="186"/>
    </row>
    <row r="56" spans="1:28" x14ac:dyDescent="0.25">
      <c r="A56" s="72">
        <f>A55</f>
        <v>2017</v>
      </c>
      <c r="B56" s="73">
        <f t="shared" si="33"/>
        <v>33</v>
      </c>
      <c r="C56" s="187" t="e">
        <f t="shared" si="8"/>
        <v>#REF!</v>
      </c>
      <c r="D56" s="188" t="e">
        <f t="shared" si="35"/>
        <v>#REF!</v>
      </c>
      <c r="E56" s="188" t="e">
        <f>IF($E$19&gt;=B56, 0, IF(C56&gt;1, IF(ASS!$W$33=1,$E$16/(($E$17*2)-$E$19), -PMT($E$18/2,($E$17*2-B55),C56,0)-D56), 0))</f>
        <v>#REF!</v>
      </c>
      <c r="F56" s="189" t="e">
        <f t="shared" si="34"/>
        <v>#REF!</v>
      </c>
      <c r="G56" s="187" t="e">
        <f t="shared" si="9"/>
        <v>#REF!</v>
      </c>
      <c r="H56" s="188" t="e">
        <f t="shared" si="36"/>
        <v>#REF!</v>
      </c>
      <c r="I56" s="188" t="e">
        <f>IF($I$19&gt;=B56, 0, IF(G56&gt;1, IF(ASS!$W$41=1,$I$16/(($I$17*2)-$I$19), -PMT($I$18/2,($I$17*2-B55),G56,0)-H56), 0))</f>
        <v>#REF!</v>
      </c>
      <c r="J56" s="189" t="e">
        <f t="shared" ref="J56:J62" si="42">G56-I56</f>
        <v>#REF!</v>
      </c>
      <c r="K56" s="187" t="e">
        <f t="shared" si="11"/>
        <v>#REF!</v>
      </c>
      <c r="L56" s="188" t="e">
        <f t="shared" si="40"/>
        <v>#REF!</v>
      </c>
      <c r="M56" s="188" t="e">
        <f>IF($M$19&gt;=B56, 0, IF(K56&gt;1, IF(ASS!$W$49=1,$M$16/(($M$17*2)-$M$19), -PMT($M$18/2,($M$17*2-B55),K56,0)-L56), 0))</f>
        <v>#REF!</v>
      </c>
      <c r="N56" s="189" t="e">
        <f t="shared" ref="N56:N62" si="43">K56-M56</f>
        <v>#REF!</v>
      </c>
      <c r="O56" s="187" t="e">
        <f t="shared" si="13"/>
        <v>#REF!</v>
      </c>
      <c r="P56" s="188" t="e">
        <f t="shared" si="37"/>
        <v>#REF!</v>
      </c>
      <c r="Q56" s="188" t="e">
        <f>IF($Q$19&gt;=B56, 0, IF(O56&gt;1, IF(ASS!$W$57=1,$Q$16/(($Q$17*2)-$Q$19), -PMT($Q$18/2,($Q$17*2-B55),O56,0)-P56), 0))</f>
        <v>#REF!</v>
      </c>
      <c r="R56" s="189" t="e">
        <f t="shared" ref="R56:R62" si="44">O56-Q56</f>
        <v>#REF!</v>
      </c>
      <c r="S56" s="187" t="e">
        <f t="shared" si="15"/>
        <v>#REF!</v>
      </c>
      <c r="T56" s="188" t="e">
        <f t="shared" si="38"/>
        <v>#REF!</v>
      </c>
      <c r="U56" s="188" t="e">
        <f>IF($U$19&gt;=B56, 0, IF(S56&gt;1, IF(ASS!$W$65=1,$U$16/(($U$17*2)-$U$19), -PMT($U$18/2,($U$17*2-B55),S56,0)-T56), 0))</f>
        <v>#REF!</v>
      </c>
      <c r="V56" s="189" t="e">
        <f t="shared" ref="V56:V62" si="45">S56-U56</f>
        <v>#REF!</v>
      </c>
      <c r="W56" s="187" t="e">
        <f t="shared" si="17"/>
        <v>#REF!</v>
      </c>
      <c r="X56" s="188" t="e">
        <f t="shared" si="39"/>
        <v>#REF!</v>
      </c>
      <c r="Y56" s="188" t="e">
        <f>IF($Y$19&gt;=B56, 0, IF(W56&gt;1, IF(ASS!$W$73=1,$Y$16/(($Y$17*2)-$Y$19), -PMT($Y$18/2,($Y$17*2-B55),W56,0)-X56), 0))</f>
        <v>#REF!</v>
      </c>
      <c r="Z56" s="189" t="e">
        <f t="shared" ref="Z56:Z62" si="46">W56-Y56</f>
        <v>#REF!</v>
      </c>
      <c r="AA56" s="188" t="e">
        <f>SUM(D55:D56,H55:H56,L55:L56, P55:P56, T55:T56, X55:X56)</f>
        <v>#REF!</v>
      </c>
      <c r="AB56" s="189" t="e">
        <f>SUM(E55:E56, I55:I56, M55:M56, Q55:Q56, U55:U56, Y55:Y56)</f>
        <v>#REF!</v>
      </c>
    </row>
    <row r="57" spans="1:28" x14ac:dyDescent="0.25">
      <c r="A57" s="61">
        <f t="shared" si="41"/>
        <v>2018</v>
      </c>
      <c r="B57" s="62">
        <f t="shared" ref="B57:B62" si="47">B56+1</f>
        <v>34</v>
      </c>
      <c r="C57" s="184" t="e">
        <f t="shared" si="8"/>
        <v>#REF!</v>
      </c>
      <c r="D57" s="185" t="e">
        <f t="shared" si="35"/>
        <v>#REF!</v>
      </c>
      <c r="E57" s="185" t="e">
        <f>IF($E$19&gt;=B57, 0, IF(C57&gt;1, IF(ASS!$W$33=1,$E$16/(($E$17*2)-$E$19), -PMT($E$18/2,($E$17*2-B56),C57,0)-D57), 0))</f>
        <v>#REF!</v>
      </c>
      <c r="F57" s="186" t="e">
        <f t="shared" ref="F57:F62" si="48">C57-E57</f>
        <v>#REF!</v>
      </c>
      <c r="G57" s="184" t="e">
        <f t="shared" si="9"/>
        <v>#REF!</v>
      </c>
      <c r="H57" s="185" t="e">
        <f t="shared" si="36"/>
        <v>#REF!</v>
      </c>
      <c r="I57" s="185" t="e">
        <f>IF($I$19&gt;=B57, 0, IF(G57&gt;1, IF(ASS!$W$41=1,$I$16/(($I$17*2)-$I$19), -PMT($I$18/2,($I$17*2-B56),G57,0)-H57), 0))</f>
        <v>#REF!</v>
      </c>
      <c r="J57" s="186" t="e">
        <f t="shared" si="42"/>
        <v>#REF!</v>
      </c>
      <c r="K57" s="184" t="e">
        <f t="shared" si="11"/>
        <v>#REF!</v>
      </c>
      <c r="L57" s="185" t="e">
        <f t="shared" si="40"/>
        <v>#REF!</v>
      </c>
      <c r="M57" s="185" t="e">
        <f>IF($M$19&gt;=B57, 0, IF(K57&gt;1, IF(ASS!$W$49=1,$M$16/(($M$17*2)-$M$19), -PMT($M$18/2,($M$17*2-B56),K57,0)-L57), 0))</f>
        <v>#REF!</v>
      </c>
      <c r="N57" s="186" t="e">
        <f t="shared" si="43"/>
        <v>#REF!</v>
      </c>
      <c r="O57" s="184" t="e">
        <f t="shared" si="13"/>
        <v>#REF!</v>
      </c>
      <c r="P57" s="185" t="e">
        <f t="shared" si="37"/>
        <v>#REF!</v>
      </c>
      <c r="Q57" s="185" t="e">
        <f>IF($Q$19&gt;=B57, 0, IF(O57&gt;1, IF(ASS!$W$57=1,$Q$16/(($Q$17*2)-$Q$19), -PMT($Q$18/2,($Q$17*2-B56),O57,0)-P57), 0))</f>
        <v>#REF!</v>
      </c>
      <c r="R57" s="186" t="e">
        <f t="shared" si="44"/>
        <v>#REF!</v>
      </c>
      <c r="S57" s="184" t="e">
        <f t="shared" si="15"/>
        <v>#REF!</v>
      </c>
      <c r="T57" s="185" t="e">
        <f t="shared" si="38"/>
        <v>#REF!</v>
      </c>
      <c r="U57" s="185" t="e">
        <f>IF($U$19&gt;=B57, 0, IF(S57&gt;1, IF(ASS!$W$65=1,$U$16/(($U$17*2)-$U$19), -PMT($U$18/2,($U$17*2-B56),S57,0)-T57), 0))</f>
        <v>#REF!</v>
      </c>
      <c r="V57" s="186" t="e">
        <f t="shared" si="45"/>
        <v>#REF!</v>
      </c>
      <c r="W57" s="184" t="e">
        <f t="shared" si="17"/>
        <v>#REF!</v>
      </c>
      <c r="X57" s="185" t="e">
        <f t="shared" si="39"/>
        <v>#REF!</v>
      </c>
      <c r="Y57" s="185" t="e">
        <f>IF($Y$19&gt;=B57, 0, IF(W57&gt;1, IF(ASS!$W$73=1,$Y$16/(($Y$17*2)-$Y$19), -PMT($Y$18/2,($Y$17*2-B56),W57,0)-X57), 0))</f>
        <v>#REF!</v>
      </c>
      <c r="Z57" s="186" t="e">
        <f t="shared" si="46"/>
        <v>#REF!</v>
      </c>
      <c r="AA57" s="185"/>
      <c r="AB57" s="186"/>
    </row>
    <row r="58" spans="1:28" x14ac:dyDescent="0.25">
      <c r="A58" s="72">
        <f>A57</f>
        <v>2018</v>
      </c>
      <c r="B58" s="73">
        <f t="shared" si="47"/>
        <v>35</v>
      </c>
      <c r="C58" s="187" t="e">
        <f t="shared" si="8"/>
        <v>#REF!</v>
      </c>
      <c r="D58" s="188" t="e">
        <f>C58*$E$18*0.5</f>
        <v>#REF!</v>
      </c>
      <c r="E58" s="188" t="e">
        <f>IF($E$19&gt;=B58, 0, IF(C58&gt;1, IF(ASS!$W$33=1,$E$16/(($E$17*2)-$E$19), -PMT($E$18/2,($E$17*2-B57),C58,0)-D58), 0))</f>
        <v>#REF!</v>
      </c>
      <c r="F58" s="189" t="e">
        <f t="shared" si="48"/>
        <v>#REF!</v>
      </c>
      <c r="G58" s="187" t="e">
        <f t="shared" si="9"/>
        <v>#REF!</v>
      </c>
      <c r="H58" s="188" t="e">
        <f>G58*$I$18*0.5</f>
        <v>#REF!</v>
      </c>
      <c r="I58" s="188" t="e">
        <f>IF($I$19&gt;=B58, 0, IF(G58&gt;1, IF(ASS!$W$41=1,$I$16/(($I$17*2)-$I$19), -PMT($I$18/2,($I$17*2-B57),G58,0)-H58), 0))</f>
        <v>#REF!</v>
      </c>
      <c r="J58" s="189" t="e">
        <f t="shared" si="42"/>
        <v>#REF!</v>
      </c>
      <c r="K58" s="187" t="e">
        <f t="shared" si="11"/>
        <v>#REF!</v>
      </c>
      <c r="L58" s="188" t="e">
        <f t="shared" si="40"/>
        <v>#REF!</v>
      </c>
      <c r="M58" s="188" t="e">
        <f>IF($M$19&gt;=B58, 0, IF(K58&gt;1, IF(ASS!$W$49=1,$M$16/(($M$17*2)-$M$19), -PMT($M$18/2,($M$17*2-B57),K58,0)-L58), 0))</f>
        <v>#REF!</v>
      </c>
      <c r="N58" s="189" t="e">
        <f t="shared" si="43"/>
        <v>#REF!</v>
      </c>
      <c r="O58" s="187" t="e">
        <f t="shared" si="13"/>
        <v>#REF!</v>
      </c>
      <c r="P58" s="188" t="e">
        <f>O58*$Q$18*0.5</f>
        <v>#REF!</v>
      </c>
      <c r="Q58" s="188" t="e">
        <f>IF($Q$19&gt;=B58, 0, IF(O58&gt;1, IF(ASS!$W$57=1,$Q$16/(($Q$17*2)-$Q$19), -PMT($Q$18/2,($Q$17*2-B57),O58,0)-P58), 0))</f>
        <v>#REF!</v>
      </c>
      <c r="R58" s="189" t="e">
        <f t="shared" si="44"/>
        <v>#REF!</v>
      </c>
      <c r="S58" s="187" t="e">
        <f t="shared" si="15"/>
        <v>#REF!</v>
      </c>
      <c r="T58" s="188" t="e">
        <f>S58*$U$18*0.5</f>
        <v>#REF!</v>
      </c>
      <c r="U58" s="188" t="e">
        <f>IF($U$19&gt;=B58, 0, IF(S58&gt;1, IF(ASS!$W$65=1,$U$16/(($U$17*2)-$U$19), -PMT($U$18/2,($U$17*2-B57),S58,0)-T58), 0))</f>
        <v>#REF!</v>
      </c>
      <c r="V58" s="189" t="e">
        <f t="shared" si="45"/>
        <v>#REF!</v>
      </c>
      <c r="W58" s="187" t="e">
        <f t="shared" si="17"/>
        <v>#REF!</v>
      </c>
      <c r="X58" s="188" t="e">
        <f>W58*$Y$18*0.5</f>
        <v>#REF!</v>
      </c>
      <c r="Y58" s="188" t="e">
        <f>IF($Y$19&gt;=B58, 0, IF(W58&gt;1, IF(ASS!$W$73=1,$Y$16/(($Y$17*2)-$Y$19), -PMT($Y$18/2,($Y$17*2-B57),W58,0)-X58), 0))</f>
        <v>#REF!</v>
      </c>
      <c r="Z58" s="189" t="e">
        <f t="shared" si="46"/>
        <v>#REF!</v>
      </c>
      <c r="AA58" s="188" t="e">
        <f>SUM(D57:D58,H57:H58,L57:L58, P57:P58, T57:T58, X57:X58)</f>
        <v>#REF!</v>
      </c>
      <c r="AB58" s="189" t="e">
        <f>SUM(E57:E58, I57:I58, M57:M58, Q57:Q58, U57:U58, Y57:Y58)</f>
        <v>#REF!</v>
      </c>
    </row>
    <row r="59" spans="1:28" x14ac:dyDescent="0.25">
      <c r="A59" s="61">
        <f t="shared" si="41"/>
        <v>2019</v>
      </c>
      <c r="B59" s="62">
        <f t="shared" si="47"/>
        <v>36</v>
      </c>
      <c r="C59" s="184" t="e">
        <f t="shared" si="8"/>
        <v>#REF!</v>
      </c>
      <c r="D59" s="185" t="e">
        <f>C59*$E$18*0.5</f>
        <v>#REF!</v>
      </c>
      <c r="E59" s="185" t="e">
        <f>IF($E$19&gt;=B59, 0, IF(C59&gt;1, IF(ASS!$W$33=1,$E$16/(($E$17*2)-$E$19), -PMT($E$18/2,($E$17*2-B58),C59,0)-D59), 0))</f>
        <v>#REF!</v>
      </c>
      <c r="F59" s="186" t="e">
        <f t="shared" si="48"/>
        <v>#REF!</v>
      </c>
      <c r="G59" s="184" t="e">
        <f t="shared" si="9"/>
        <v>#REF!</v>
      </c>
      <c r="H59" s="185" t="e">
        <f>G59*$I$18*0.5</f>
        <v>#REF!</v>
      </c>
      <c r="I59" s="185" t="e">
        <f>IF($I$19&gt;=B59, 0, IF(G59&gt;1, IF(ASS!$W$41=1,$I$16/(($I$17*2)-$I$19), -PMT($I$18/2,($I$17*2-B58),G59,0)-H59), 0))</f>
        <v>#REF!</v>
      </c>
      <c r="J59" s="186" t="e">
        <f t="shared" si="42"/>
        <v>#REF!</v>
      </c>
      <c r="K59" s="184" t="e">
        <f t="shared" si="11"/>
        <v>#REF!</v>
      </c>
      <c r="L59" s="185" t="e">
        <f>K59*$M$18*0.5</f>
        <v>#REF!</v>
      </c>
      <c r="M59" s="185" t="e">
        <f>IF($M$19&gt;=B59, 0, IF(K59&gt;1, IF(ASS!$W$49=1,$M$16/(($M$17*2)-$M$19), -PMT($M$18/2,($M$17*2-B58),K59,0)-L59), 0))</f>
        <v>#REF!</v>
      </c>
      <c r="N59" s="186" t="e">
        <f t="shared" si="43"/>
        <v>#REF!</v>
      </c>
      <c r="O59" s="184" t="e">
        <f t="shared" si="13"/>
        <v>#REF!</v>
      </c>
      <c r="P59" s="185" t="e">
        <f>O59*$Q$18*0.5</f>
        <v>#REF!</v>
      </c>
      <c r="Q59" s="185" t="e">
        <f>IF($Q$19&gt;=B59, 0, IF(O59&gt;1, IF(ASS!$W$57=1,$Q$16/(($Q$17*2)-$Q$19), -PMT($Q$18/2,($Q$17*2-B58),O59,0)-P59), 0))</f>
        <v>#REF!</v>
      </c>
      <c r="R59" s="186" t="e">
        <f t="shared" si="44"/>
        <v>#REF!</v>
      </c>
      <c r="S59" s="184" t="e">
        <f t="shared" si="15"/>
        <v>#REF!</v>
      </c>
      <c r="T59" s="185" t="e">
        <f>S59*$U$18*0.5</f>
        <v>#REF!</v>
      </c>
      <c r="U59" s="185" t="e">
        <f>IF($U$19&gt;=B59, 0, IF(S59&gt;1, IF(ASS!$W$65=1,$U$16/(($U$17*2)-$U$19), -PMT($U$18/2,($U$17*2-B58),S59,0)-T59), 0))</f>
        <v>#REF!</v>
      </c>
      <c r="V59" s="186" t="e">
        <f t="shared" si="45"/>
        <v>#REF!</v>
      </c>
      <c r="W59" s="184" t="e">
        <f t="shared" si="17"/>
        <v>#REF!</v>
      </c>
      <c r="X59" s="185" t="e">
        <f>W59*$Y$18*0.5</f>
        <v>#REF!</v>
      </c>
      <c r="Y59" s="185" t="e">
        <f>IF($Y$19&gt;=B59, 0, IF(W59&gt;1, IF(ASS!$W$73=1,$Y$16/(($Y$17*2)-$Y$19), -PMT($Y$18/2,($Y$17*2-B58),W59,0)-X59), 0))</f>
        <v>#REF!</v>
      </c>
      <c r="Z59" s="186" t="e">
        <f t="shared" si="46"/>
        <v>#REF!</v>
      </c>
      <c r="AA59" s="185"/>
      <c r="AB59" s="186"/>
    </row>
    <row r="60" spans="1:28" x14ac:dyDescent="0.25">
      <c r="A60" s="72">
        <f>A59</f>
        <v>2019</v>
      </c>
      <c r="B60" s="73">
        <f t="shared" si="47"/>
        <v>37</v>
      </c>
      <c r="C60" s="187" t="e">
        <f t="shared" si="8"/>
        <v>#REF!</v>
      </c>
      <c r="D60" s="188" t="e">
        <f>C60*$E$18*0.5</f>
        <v>#REF!</v>
      </c>
      <c r="E60" s="188" t="e">
        <f>IF($E$19&gt;=B60, 0, IF(C60&gt;1, IF(ASS!$W$33=1,$E$16/(($E$17*2)-$E$19), -PMT($E$18/2,($E$17*2-B59),C60,0)-D60), 0))</f>
        <v>#REF!</v>
      </c>
      <c r="F60" s="189" t="e">
        <f t="shared" si="48"/>
        <v>#REF!</v>
      </c>
      <c r="G60" s="187" t="e">
        <f t="shared" si="9"/>
        <v>#REF!</v>
      </c>
      <c r="H60" s="188" t="e">
        <f>G60*$I$18*0.5</f>
        <v>#REF!</v>
      </c>
      <c r="I60" s="188" t="e">
        <f>IF($I$19&gt;=B60, 0, IF(G60&gt;1, IF(ASS!$W$41=1,$I$16/(($I$17*2)-$I$19), -PMT($I$18/2,($I$17*2-B59),G60,0)-H60), 0))</f>
        <v>#REF!</v>
      </c>
      <c r="J60" s="189" t="e">
        <f t="shared" si="42"/>
        <v>#REF!</v>
      </c>
      <c r="K60" s="187" t="e">
        <f t="shared" si="11"/>
        <v>#REF!</v>
      </c>
      <c r="L60" s="188" t="e">
        <f>K60*$M$18*0.5</f>
        <v>#REF!</v>
      </c>
      <c r="M60" s="188" t="e">
        <f>IF($M$19&gt;=B60, 0, IF(K60&gt;1, IF(ASS!$W$49=1,$M$16/(($M$17*2)-$M$19), -PMT($M$18/2,($M$17*2-B59),K60,0)-L60), 0))</f>
        <v>#REF!</v>
      </c>
      <c r="N60" s="189" t="e">
        <f t="shared" si="43"/>
        <v>#REF!</v>
      </c>
      <c r="O60" s="187" t="e">
        <f t="shared" si="13"/>
        <v>#REF!</v>
      </c>
      <c r="P60" s="188" t="e">
        <f>O60*$Q$18*0.5</f>
        <v>#REF!</v>
      </c>
      <c r="Q60" s="188" t="e">
        <f>IF($Q$19&gt;=B60, 0, IF(O60&gt;1, IF(ASS!$W$57=1,$Q$16/(($Q$17*2)-$Q$19), -PMT($Q$18/2,($Q$17*2-B59),O60,0)-P60), 0))</f>
        <v>#REF!</v>
      </c>
      <c r="R60" s="189" t="e">
        <f t="shared" si="44"/>
        <v>#REF!</v>
      </c>
      <c r="S60" s="187" t="e">
        <f t="shared" si="15"/>
        <v>#REF!</v>
      </c>
      <c r="T60" s="188" t="e">
        <f>S60*$U$18*0.5</f>
        <v>#REF!</v>
      </c>
      <c r="U60" s="188" t="e">
        <f>IF($U$19&gt;=B60, 0, IF(S60&gt;1, IF(ASS!$W$65=1,$U$16/(($U$17*2)-$U$19), -PMT($U$18/2,($U$17*2-B59),S60,0)-T60), 0))</f>
        <v>#REF!</v>
      </c>
      <c r="V60" s="189" t="e">
        <f t="shared" si="45"/>
        <v>#REF!</v>
      </c>
      <c r="W60" s="187" t="e">
        <f t="shared" si="17"/>
        <v>#REF!</v>
      </c>
      <c r="X60" s="188" t="e">
        <f>W60*$Y$18*0.5</f>
        <v>#REF!</v>
      </c>
      <c r="Y60" s="188" t="e">
        <f>IF($Y$19&gt;=B60, 0, IF(W60&gt;1, IF(ASS!$W$73=1,$Y$16/(($Y$17*2)-$Y$19), -PMT($Y$18/2,($Y$17*2-B59),W60,0)-X60), 0))</f>
        <v>#REF!</v>
      </c>
      <c r="Z60" s="189" t="e">
        <f t="shared" si="46"/>
        <v>#REF!</v>
      </c>
      <c r="AA60" s="188" t="e">
        <f>SUM(D59:D60,H59:H60,L59:L60, P59:P60, T59:T60, X59:X60)</f>
        <v>#REF!</v>
      </c>
      <c r="AB60" s="189" t="e">
        <f>SUM(E59:E60, I59:I60, M59:M60, Q59:Q60, U59:U60, Y59:Y60)</f>
        <v>#REF!</v>
      </c>
    </row>
    <row r="61" spans="1:28" x14ac:dyDescent="0.25">
      <c r="A61" s="61">
        <f>A59+1</f>
        <v>2020</v>
      </c>
      <c r="B61" s="62">
        <f t="shared" si="47"/>
        <v>38</v>
      </c>
      <c r="C61" s="184" t="e">
        <f t="shared" si="8"/>
        <v>#REF!</v>
      </c>
      <c r="D61" s="185" t="e">
        <f>C61*$E$18*0.5</f>
        <v>#REF!</v>
      </c>
      <c r="E61" s="185" t="e">
        <f>IF($E$19&gt;=B61, 0, IF(C61&gt;1, IF(ASS!$W$33=1,$E$16/(($E$17*2)-$E$19), -PMT($E$18/2,($E$17*2-B60),C61,0)-D61), 0))</f>
        <v>#REF!</v>
      </c>
      <c r="F61" s="186" t="e">
        <f t="shared" si="48"/>
        <v>#REF!</v>
      </c>
      <c r="G61" s="184" t="e">
        <f t="shared" si="9"/>
        <v>#REF!</v>
      </c>
      <c r="H61" s="185" t="e">
        <f>G61*$I$18*0.5</f>
        <v>#REF!</v>
      </c>
      <c r="I61" s="185" t="e">
        <f>IF($I$19&gt;=B61, 0, IF(G61&gt;1, IF(ASS!$W$41=1,$I$16/(($I$17*2)-$I$19), -PMT($I$18/2,($I$17*2-B60),G61,0)-H61), 0))</f>
        <v>#REF!</v>
      </c>
      <c r="J61" s="186" t="e">
        <f t="shared" si="42"/>
        <v>#REF!</v>
      </c>
      <c r="K61" s="184" t="e">
        <f t="shared" si="11"/>
        <v>#REF!</v>
      </c>
      <c r="L61" s="185" t="e">
        <f>K61*$M$18*0.5</f>
        <v>#REF!</v>
      </c>
      <c r="M61" s="185" t="e">
        <f>IF($M$19&gt;=B61, 0, IF(K61&gt;1, IF(ASS!$W$49=1,$M$16/(($M$17*2)-$M$19), -PMT($M$18/2,($M$17*2-B60),K61,0)-L61), 0))</f>
        <v>#REF!</v>
      </c>
      <c r="N61" s="186" t="e">
        <f t="shared" si="43"/>
        <v>#REF!</v>
      </c>
      <c r="O61" s="184" t="e">
        <f t="shared" si="13"/>
        <v>#REF!</v>
      </c>
      <c r="P61" s="185" t="e">
        <f>O61*$Q$18*0.5</f>
        <v>#REF!</v>
      </c>
      <c r="Q61" s="185" t="e">
        <f>IF($Q$19&gt;=B61, 0, IF(O61&gt;1, IF(ASS!$W$57=1,$Q$16/(($Q$17*2)-$Q$19), -PMT($Q$18/2,($Q$17*2-B60),O61,0)-P61), 0))</f>
        <v>#REF!</v>
      </c>
      <c r="R61" s="186" t="e">
        <f t="shared" si="44"/>
        <v>#REF!</v>
      </c>
      <c r="S61" s="184" t="e">
        <f t="shared" si="15"/>
        <v>#REF!</v>
      </c>
      <c r="T61" s="185" t="e">
        <f>S61*$U$18*0.5</f>
        <v>#REF!</v>
      </c>
      <c r="U61" s="185" t="e">
        <f>IF($U$19&gt;=B61, 0, IF(S61&gt;1, IF(ASS!$W$65=1,$U$16/(($U$17*2)-$U$19), -PMT($U$18/2,($U$17*2-B60),S61,0)-T61), 0))</f>
        <v>#REF!</v>
      </c>
      <c r="V61" s="186" t="e">
        <f t="shared" si="45"/>
        <v>#REF!</v>
      </c>
      <c r="W61" s="184" t="e">
        <f t="shared" si="17"/>
        <v>#REF!</v>
      </c>
      <c r="X61" s="185" t="e">
        <f>W61*$Y$18*0.5</f>
        <v>#REF!</v>
      </c>
      <c r="Y61" s="185" t="e">
        <f>IF($Y$19&gt;=B61, 0, IF(W61&gt;1, IF(ASS!$W$73=1,$Y$16/(($Y$17*2)-$Y$19), -PMT($Y$18/2,($Y$17*2-B60),W61,0)-X61), 0))</f>
        <v>#REF!</v>
      </c>
      <c r="Z61" s="186" t="e">
        <f t="shared" si="46"/>
        <v>#REF!</v>
      </c>
      <c r="AA61" s="185"/>
      <c r="AB61" s="186"/>
    </row>
    <row r="62" spans="1:28" ht="13.8" thickBot="1" x14ac:dyDescent="0.3">
      <c r="A62" s="72">
        <f>A61</f>
        <v>2020</v>
      </c>
      <c r="B62" s="73">
        <f t="shared" si="47"/>
        <v>39</v>
      </c>
      <c r="C62" s="187" t="e">
        <f t="shared" si="8"/>
        <v>#REF!</v>
      </c>
      <c r="D62" s="188" t="e">
        <f>C62*$E$18*0.5</f>
        <v>#REF!</v>
      </c>
      <c r="E62" s="188" t="e">
        <f>IF($E$19&gt;=B62, 0, IF(C62&gt;1, IF(ASS!$W$33=1,$E$16/(($E$17*2)-$E$19), -PMT($E$18/2,($E$17*2-B61),C62,0)-D62), 0))</f>
        <v>#REF!</v>
      </c>
      <c r="F62" s="189" t="e">
        <f t="shared" si="48"/>
        <v>#REF!</v>
      </c>
      <c r="G62" s="187" t="e">
        <f t="shared" si="9"/>
        <v>#REF!</v>
      </c>
      <c r="H62" s="188" t="e">
        <f>G62*$I$18*0.5</f>
        <v>#REF!</v>
      </c>
      <c r="I62" s="188" t="e">
        <f>IF($I$19&gt;=B62, 0, IF(G62&gt;1, IF(ASS!$W$41=1,$I$16/(($I$17*2)-$I$19), -PMT($I$18/2,($I$17*2-B61),G62,0)-H62), 0))</f>
        <v>#REF!</v>
      </c>
      <c r="J62" s="189" t="e">
        <f t="shared" si="42"/>
        <v>#REF!</v>
      </c>
      <c r="K62" s="187" t="e">
        <f t="shared" si="11"/>
        <v>#REF!</v>
      </c>
      <c r="L62" s="188" t="e">
        <f>K62*$M$18*0.5</f>
        <v>#REF!</v>
      </c>
      <c r="M62" s="188" t="e">
        <f>IF($M$19&gt;=B62, 0, IF(K62&gt;1, IF(ASS!$W$49=1,$M$16/(($M$17*2)-$M$19), -PMT($M$18/2,($M$17*2-B61),K62,0)-L62), 0))</f>
        <v>#REF!</v>
      </c>
      <c r="N62" s="189" t="e">
        <f t="shared" si="43"/>
        <v>#REF!</v>
      </c>
      <c r="O62" s="187" t="e">
        <f t="shared" si="13"/>
        <v>#REF!</v>
      </c>
      <c r="P62" s="188" t="e">
        <f>O62*$Q$18*0.5</f>
        <v>#REF!</v>
      </c>
      <c r="Q62" s="188" t="e">
        <f>IF($Q$19&gt;=B62, 0, IF(O62&gt;1, IF(ASS!$W$57=1,$Q$16/(($Q$17*2)-$Q$19), -PMT($Q$18/2,($Q$17*2-B61),O62,0)-P62), 0))</f>
        <v>#REF!</v>
      </c>
      <c r="R62" s="189" t="e">
        <f t="shared" si="44"/>
        <v>#REF!</v>
      </c>
      <c r="S62" s="187" t="e">
        <f t="shared" si="15"/>
        <v>#REF!</v>
      </c>
      <c r="T62" s="188" t="e">
        <f>S62*$U$18*0.5</f>
        <v>#REF!</v>
      </c>
      <c r="U62" s="188" t="e">
        <f>IF($U$19&gt;=B62, 0, IF(S62&gt;1, IF(ASS!$W$65=1,$U$16/(($U$17*2)-$U$19), -PMT($U$18/2,($U$17*2-B61),S62,0)-T62), 0))</f>
        <v>#REF!</v>
      </c>
      <c r="V62" s="189" t="e">
        <f t="shared" si="45"/>
        <v>#REF!</v>
      </c>
      <c r="W62" s="187" t="e">
        <f t="shared" si="17"/>
        <v>#REF!</v>
      </c>
      <c r="X62" s="188" t="e">
        <f>W62*$Y$18*0.5</f>
        <v>#REF!</v>
      </c>
      <c r="Y62" s="188" t="e">
        <f>IF($Y$19&gt;=B62, 0, IF(W62&gt;1, IF(ASS!$W$73=1,$Y$16/(($Y$17*2)-$Y$19), -PMT($Y$18/2,($Y$17*2-B61),W62,0)-X62), 0))</f>
        <v>#REF!</v>
      </c>
      <c r="Z62" s="189" t="e">
        <f t="shared" si="46"/>
        <v>#REF!</v>
      </c>
      <c r="AA62" s="188" t="e">
        <f>SUM(D61:D62,H61:H62,L61:L62, P61:P62, T61:T62, X61:X62)</f>
        <v>#REF!</v>
      </c>
      <c r="AB62" s="189" t="e">
        <f>SUM(E61:E62, I61:I62, M61:M62, Q61:Q62, U61:U62, Y61:Y62)</f>
        <v>#REF!</v>
      </c>
    </row>
    <row r="63" spans="1:28" ht="14.4" thickTop="1" thickBot="1" x14ac:dyDescent="0.3">
      <c r="A63" s="329" t="s">
        <v>292</v>
      </c>
      <c r="B63" s="330"/>
      <c r="C63" s="331"/>
      <c r="D63" s="332" t="e">
        <f>SUM(D23:D62)</f>
        <v>#REF!</v>
      </c>
      <c r="E63" s="332" t="e">
        <f>SUM(E23:E62)</f>
        <v>#REF!</v>
      </c>
      <c r="F63" s="331"/>
      <c r="G63" s="331"/>
      <c r="H63" s="332" t="e">
        <f>SUM(H23:H62)</f>
        <v>#REF!</v>
      </c>
      <c r="I63" s="332" t="e">
        <f>SUM(I23:I62)</f>
        <v>#REF!</v>
      </c>
      <c r="J63" s="331"/>
      <c r="K63" s="331"/>
      <c r="L63" s="332" t="e">
        <f>SUM(L23:L62)</f>
        <v>#REF!</v>
      </c>
      <c r="M63" s="332" t="e">
        <f>SUM(M23:M62)</f>
        <v>#REF!</v>
      </c>
      <c r="N63" s="331"/>
      <c r="O63" s="331"/>
      <c r="P63" s="332" t="e">
        <f>SUM(P23:P62)</f>
        <v>#REF!</v>
      </c>
      <c r="Q63" s="332" t="e">
        <f>SUM(Q23:Q62)</f>
        <v>#REF!</v>
      </c>
      <c r="R63" s="331"/>
      <c r="S63" s="331"/>
      <c r="T63" s="332" t="e">
        <f>SUM(T23:T62)</f>
        <v>#REF!</v>
      </c>
      <c r="U63" s="332" t="e">
        <f>SUM(U23:U62)</f>
        <v>#REF!</v>
      </c>
      <c r="V63" s="331"/>
      <c r="W63" s="331"/>
      <c r="X63" s="332" t="e">
        <f>SUM(X23:X62)</f>
        <v>#REF!</v>
      </c>
      <c r="Y63" s="332" t="e">
        <f>SUM(Y23:Y62)</f>
        <v>#REF!</v>
      </c>
      <c r="Z63" s="331"/>
      <c r="AA63" s="332" t="e">
        <f>SUM(AA23:AA62)</f>
        <v>#REF!</v>
      </c>
      <c r="AB63" s="333" t="e">
        <f>SUM(AB23:AB62)</f>
        <v>#REF!</v>
      </c>
    </row>
    <row r="64" spans="1:28" ht="13.8" thickTop="1" x14ac:dyDescent="0.25"/>
  </sheetData>
  <printOptions horizontalCentered="1"/>
  <pageMargins left="0.5" right="1" top="0.75" bottom="0.75" header="0.5" footer="0.5"/>
  <pageSetup scale="43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E85"/>
  <sheetViews>
    <sheetView workbookViewId="0">
      <selection activeCell="F12" sqref="F12"/>
    </sheetView>
  </sheetViews>
  <sheetFormatPr defaultColWidth="9.109375" defaultRowHeight="13.2" x14ac:dyDescent="0.25"/>
  <cols>
    <col min="1" max="1" width="12.33203125" style="1" customWidth="1"/>
    <col min="2" max="2" width="13" style="1" customWidth="1"/>
    <col min="3" max="3" width="13.6640625" style="1" customWidth="1"/>
    <col min="4" max="25" width="11.6640625" style="1" customWidth="1"/>
    <col min="26" max="16384" width="9.109375" style="1"/>
  </cols>
  <sheetData>
    <row r="1" spans="1:31" ht="15.6" x14ac:dyDescent="0.3">
      <c r="A1" s="281" t="s">
        <v>293</v>
      </c>
      <c r="B1" s="282"/>
      <c r="C1" s="283"/>
      <c r="D1" s="285"/>
    </row>
    <row r="2" spans="1:31" ht="15.6" x14ac:dyDescent="0.3">
      <c r="A2" s="284">
        <f>ASS!A4</f>
        <v>0</v>
      </c>
      <c r="B2" s="285"/>
      <c r="C2" s="286"/>
      <c r="D2" s="285"/>
    </row>
    <row r="3" spans="1:31" ht="15.6" x14ac:dyDescent="0.3">
      <c r="A3" s="287" t="str">
        <f>ASS!A5</f>
        <v>BASE MODEL</v>
      </c>
      <c r="B3" s="288"/>
      <c r="C3" s="289"/>
      <c r="D3" s="285"/>
    </row>
    <row r="4" spans="1:31" x14ac:dyDescent="0.25">
      <c r="A4"/>
      <c r="B4"/>
      <c r="C4"/>
      <c r="D4"/>
    </row>
    <row r="5" spans="1:31" x14ac:dyDescent="0.25">
      <c r="A5" s="15" t="s">
        <v>173</v>
      </c>
      <c r="B5" s="2"/>
      <c r="C5" s="2"/>
      <c r="D5" s="2">
        <f>CF!D5</f>
        <v>1</v>
      </c>
      <c r="E5" s="2">
        <f>CF!E5</f>
        <v>2</v>
      </c>
      <c r="F5" s="2">
        <f>CF!F5</f>
        <v>3</v>
      </c>
      <c r="G5" s="2">
        <f>CF!G5</f>
        <v>4</v>
      </c>
      <c r="H5" s="2">
        <f>CF!H5</f>
        <v>5</v>
      </c>
      <c r="I5" s="2">
        <f>CF!I5</f>
        <v>6</v>
      </c>
      <c r="J5" s="2">
        <f>CF!J5</f>
        <v>7</v>
      </c>
      <c r="K5" s="2">
        <f>CF!K5</f>
        <v>8</v>
      </c>
      <c r="L5" s="2">
        <f>CF!L5</f>
        <v>9</v>
      </c>
      <c r="M5" s="2">
        <f>CF!M5</f>
        <v>10</v>
      </c>
      <c r="N5" s="2">
        <f>CF!N5</f>
        <v>11</v>
      </c>
      <c r="O5" s="2">
        <f>CF!O5</f>
        <v>12</v>
      </c>
      <c r="P5" s="2">
        <f>CF!P5</f>
        <v>13</v>
      </c>
      <c r="Q5" s="2">
        <f>CF!Q5</f>
        <v>14</v>
      </c>
      <c r="R5" s="2">
        <f>CF!R5</f>
        <v>15</v>
      </c>
      <c r="S5" s="2">
        <f>CF!S5</f>
        <v>16</v>
      </c>
      <c r="T5" s="2">
        <f>CF!T5</f>
        <v>17</v>
      </c>
      <c r="U5" s="2">
        <f>CF!U5</f>
        <v>18</v>
      </c>
      <c r="V5" s="2">
        <f>CF!V5</f>
        <v>19</v>
      </c>
      <c r="W5" s="2">
        <f>CF!W5</f>
        <v>20</v>
      </c>
      <c r="X5" s="2">
        <f>CF!X5</f>
        <v>21</v>
      </c>
      <c r="Y5" s="2">
        <f>CF!Y5</f>
        <v>22</v>
      </c>
      <c r="Z5" s="2">
        <f>CF!Z5</f>
        <v>23</v>
      </c>
      <c r="AA5" s="2">
        <f>CF!AA5</f>
        <v>24</v>
      </c>
      <c r="AB5" s="2">
        <f>CF!AB5</f>
        <v>25</v>
      </c>
      <c r="AC5" s="3">
        <f>CF!AC5</f>
        <v>26</v>
      </c>
      <c r="AD5" s="22"/>
    </row>
    <row r="6" spans="1:31" x14ac:dyDescent="0.25">
      <c r="A6" s="16" t="s">
        <v>174</v>
      </c>
      <c r="B6" s="5"/>
      <c r="C6" s="5"/>
      <c r="D6" s="291">
        <f>CF!D6</f>
        <v>2001</v>
      </c>
      <c r="E6" s="291">
        <f>CF!E6</f>
        <v>2002</v>
      </c>
      <c r="F6" s="291">
        <f>CF!F6</f>
        <v>2003</v>
      </c>
      <c r="G6" s="291">
        <f>CF!G6</f>
        <v>2004</v>
      </c>
      <c r="H6" s="291">
        <f>CF!H6</f>
        <v>2005</v>
      </c>
      <c r="I6" s="291">
        <f>CF!I6</f>
        <v>2006</v>
      </c>
      <c r="J6" s="291">
        <f>CF!J6</f>
        <v>2007</v>
      </c>
      <c r="K6" s="291">
        <f>CF!K6</f>
        <v>2008</v>
      </c>
      <c r="L6" s="291">
        <f>CF!L6</f>
        <v>2009</v>
      </c>
      <c r="M6" s="291">
        <f>CF!M6</f>
        <v>2010</v>
      </c>
      <c r="N6" s="291">
        <f>CF!N6</f>
        <v>2011</v>
      </c>
      <c r="O6" s="291">
        <f>CF!O6</f>
        <v>2012</v>
      </c>
      <c r="P6" s="291">
        <f>CF!P6</f>
        <v>2013</v>
      </c>
      <c r="Q6" s="291">
        <f>CF!Q6</f>
        <v>2014</v>
      </c>
      <c r="R6" s="291">
        <f>CF!R6</f>
        <v>2015</v>
      </c>
      <c r="S6" s="291">
        <f>CF!S6</f>
        <v>2016</v>
      </c>
      <c r="T6" s="291">
        <f>CF!T6</f>
        <v>2017</v>
      </c>
      <c r="U6" s="291">
        <f>CF!U6</f>
        <v>2018</v>
      </c>
      <c r="V6" s="291">
        <f>CF!V6</f>
        <v>2019</v>
      </c>
      <c r="W6" s="291">
        <f>CF!W6</f>
        <v>2020</v>
      </c>
      <c r="X6" s="291">
        <f>CF!X6</f>
        <v>2021</v>
      </c>
      <c r="Y6" s="291">
        <f>CF!Y6</f>
        <v>2022</v>
      </c>
      <c r="Z6" s="291">
        <f>CF!Z6</f>
        <v>2023</v>
      </c>
      <c r="AA6" s="291">
        <f>CF!AA6</f>
        <v>2024</v>
      </c>
      <c r="AB6" s="291">
        <f>CF!AB6</f>
        <v>2025</v>
      </c>
      <c r="AC6" s="292">
        <f>CF!AC6</f>
        <v>2026</v>
      </c>
      <c r="AD6" s="23" t="s">
        <v>276</v>
      </c>
    </row>
    <row r="7" spans="1:31" x14ac:dyDescent="0.25">
      <c r="A7" s="6" t="s">
        <v>176</v>
      </c>
      <c r="B7" s="7"/>
      <c r="C7" s="7"/>
      <c r="D7" s="7">
        <f>CF!D7</f>
        <v>7</v>
      </c>
      <c r="E7" s="7">
        <f>CF!E7</f>
        <v>12</v>
      </c>
      <c r="F7" s="7">
        <f>CF!F7</f>
        <v>12</v>
      </c>
      <c r="G7" s="7">
        <f>CF!G7</f>
        <v>12</v>
      </c>
      <c r="H7" s="7">
        <f>CF!H7</f>
        <v>12</v>
      </c>
      <c r="I7" s="7">
        <f>CF!I7</f>
        <v>12</v>
      </c>
      <c r="J7" s="7">
        <f>CF!J7</f>
        <v>12</v>
      </c>
      <c r="K7" s="7">
        <f>CF!K7</f>
        <v>12</v>
      </c>
      <c r="L7" s="7">
        <f>CF!L7</f>
        <v>12</v>
      </c>
      <c r="M7" s="7">
        <f>CF!M7</f>
        <v>12</v>
      </c>
      <c r="N7" s="7">
        <f>CF!N7</f>
        <v>12</v>
      </c>
      <c r="O7" s="7">
        <f>CF!O7</f>
        <v>12</v>
      </c>
      <c r="P7" s="7">
        <f>CF!P7</f>
        <v>12</v>
      </c>
      <c r="Q7" s="7">
        <f>CF!Q7</f>
        <v>12</v>
      </c>
      <c r="R7" s="7">
        <f>CF!R7</f>
        <v>12</v>
      </c>
      <c r="S7" s="7">
        <f>CF!S7</f>
        <v>12</v>
      </c>
      <c r="T7" s="7">
        <f>CF!T7</f>
        <v>12</v>
      </c>
      <c r="U7" s="7">
        <f>CF!U7</f>
        <v>12</v>
      </c>
      <c r="V7" s="7">
        <f>CF!V7</f>
        <v>12</v>
      </c>
      <c r="W7" s="7">
        <f>CF!W7</f>
        <v>12</v>
      </c>
      <c r="X7" s="7">
        <f>CF!X7</f>
        <v>12</v>
      </c>
      <c r="Y7" s="7">
        <f>CF!Y7</f>
        <v>12</v>
      </c>
      <c r="Z7" s="7">
        <f>CF!Z7</f>
        <v>12</v>
      </c>
      <c r="AA7" s="7">
        <f>CF!AA7</f>
        <v>12</v>
      </c>
      <c r="AB7" s="7">
        <f>CF!AB7</f>
        <v>12</v>
      </c>
      <c r="AC7" s="8">
        <f>CF!AC7</f>
        <v>0</v>
      </c>
      <c r="AD7" s="293"/>
    </row>
    <row r="8" spans="1:3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1" x14ac:dyDescent="0.25">
      <c r="A9" s="9" t="s">
        <v>294</v>
      </c>
      <c r="B9" s="1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2"/>
    </row>
    <row r="10" spans="1:31" x14ac:dyDescent="0.25">
      <c r="A10" s="4" t="s">
        <v>295</v>
      </c>
      <c r="B10" s="5"/>
      <c r="C10" s="5"/>
      <c r="D10" s="36">
        <f>CF!D76</f>
        <v>0</v>
      </c>
      <c r="E10" s="36">
        <f>CF!E76</f>
        <v>0</v>
      </c>
      <c r="F10" s="36">
        <f>CF!F76</f>
        <v>0</v>
      </c>
      <c r="G10" s="36">
        <f>CF!G76</f>
        <v>0</v>
      </c>
      <c r="H10" s="36">
        <f>CF!H76</f>
        <v>0</v>
      </c>
      <c r="I10" s="36">
        <f>CF!I76</f>
        <v>0</v>
      </c>
      <c r="J10" s="36">
        <f>CF!J76</f>
        <v>0</v>
      </c>
      <c r="K10" s="36">
        <f>CF!K76</f>
        <v>0</v>
      </c>
      <c r="L10" s="36">
        <f>CF!L76</f>
        <v>0</v>
      </c>
      <c r="M10" s="36">
        <f>CF!M76</f>
        <v>0</v>
      </c>
      <c r="N10" s="36">
        <f>CF!N76</f>
        <v>0</v>
      </c>
      <c r="O10" s="36">
        <f>CF!O76</f>
        <v>0</v>
      </c>
      <c r="P10" s="36">
        <f>CF!P76</f>
        <v>0</v>
      </c>
      <c r="Q10" s="36">
        <f>CF!Q76</f>
        <v>0</v>
      </c>
      <c r="R10" s="36">
        <f>CF!R76</f>
        <v>0</v>
      </c>
      <c r="S10" s="36" t="e">
        <f>CF!S76</f>
        <v>#VALUE!</v>
      </c>
      <c r="T10" s="36">
        <f>CF!T76</f>
        <v>0</v>
      </c>
      <c r="U10" s="36">
        <f>CF!U76</f>
        <v>0</v>
      </c>
      <c r="V10" s="36">
        <f>CF!V76</f>
        <v>0</v>
      </c>
      <c r="W10" s="36">
        <f>CF!W76</f>
        <v>0</v>
      </c>
      <c r="X10" s="36">
        <f>CF!X76</f>
        <v>0</v>
      </c>
      <c r="Y10" s="36">
        <f>CF!Y76</f>
        <v>0</v>
      </c>
      <c r="Z10" s="36">
        <f>CF!Z76</f>
        <v>0</v>
      </c>
      <c r="AA10" s="36">
        <f>CF!AA76</f>
        <v>0</v>
      </c>
      <c r="AB10" s="36">
        <f>CF!AB76</f>
        <v>0</v>
      </c>
      <c r="AC10" s="36">
        <f>CF!AC76</f>
        <v>0</v>
      </c>
      <c r="AD10" s="38" t="e">
        <f>SUM(D10:AC10)</f>
        <v>#VALUE!</v>
      </c>
      <c r="AE10" s="199" t="e">
        <f>IF(ABS($AD$10-CF!$AD$76)&lt;0.01," ","CHECK:  DOES NOT EQUAL EBDIT ON CF PAGE")</f>
        <v>#VALUE!</v>
      </c>
    </row>
    <row r="11" spans="1:31" x14ac:dyDescent="0.25">
      <c r="A11" s="4" t="s">
        <v>296</v>
      </c>
      <c r="B11" s="5"/>
      <c r="C11" s="5"/>
      <c r="D11" s="36">
        <f>-DEPR!F21</f>
        <v>-284.375</v>
      </c>
      <c r="E11" s="36">
        <f>-DEPR!G21</f>
        <v>-750.56583333333344</v>
      </c>
      <c r="F11" s="36">
        <f>-DEPR!H21</f>
        <v>-896.61</v>
      </c>
      <c r="G11" s="36">
        <f>-DEPR!I21</f>
        <v>-829.55166666666673</v>
      </c>
      <c r="H11" s="36">
        <f>-DEPR!J21</f>
        <v>-767.82333333333327</v>
      </c>
      <c r="I11" s="36">
        <f>-DEPR!K21</f>
        <v>-710.23333333333346</v>
      </c>
      <c r="J11" s="36">
        <f>-DEPR!L21</f>
        <v>-656.94416666666677</v>
      </c>
      <c r="K11" s="36">
        <f>-DEPR!M21</f>
        <v>-607.68500000000006</v>
      </c>
      <c r="L11" s="36">
        <f>-DEPR!N21</f>
        <v>-583.31000000000006</v>
      </c>
      <c r="M11" s="36">
        <f>-DEPR!O21</f>
        <v>-579.98416666666662</v>
      </c>
      <c r="N11" s="36">
        <f>-DEPR!P21</f>
        <v>-580.00583333333338</v>
      </c>
      <c r="O11" s="36">
        <f>-DEPR!Q21</f>
        <v>-579.98416666666662</v>
      </c>
      <c r="P11" s="36">
        <f>-DEPR!R21</f>
        <v>-580.00583333333338</v>
      </c>
      <c r="Q11" s="36">
        <f>-DEPR!S21</f>
        <v>-579.98416666666662</v>
      </c>
      <c r="R11" s="36">
        <f>-DEPR!T21</f>
        <v>-580.00583333333338</v>
      </c>
      <c r="S11" s="36">
        <f>-DEPR!U21</f>
        <v>-579.98416666666662</v>
      </c>
      <c r="T11" s="36">
        <f>-DEPR!V21</f>
        <v>-580.00583333333338</v>
      </c>
      <c r="U11" s="36">
        <f>-DEPR!W21</f>
        <v>-579.98416666666662</v>
      </c>
      <c r="V11" s="36">
        <f>-DEPR!X21</f>
        <v>-580.00583333333338</v>
      </c>
      <c r="W11" s="36">
        <f>-DEPR!Y21</f>
        <v>-579.98416666666662</v>
      </c>
      <c r="X11" s="36">
        <f>-DEPR!Z21</f>
        <v>-410.82166666666666</v>
      </c>
      <c r="Y11" s="36">
        <f>-DEPR!AA21</f>
        <v>-122.14583333333829</v>
      </c>
      <c r="Z11" s="36">
        <f>-DEPR!AB21</f>
        <v>0</v>
      </c>
      <c r="AA11" s="36">
        <f>-DEPR!AC21</f>
        <v>0</v>
      </c>
      <c r="AB11" s="36">
        <f>-DEPR!AD21</f>
        <v>0</v>
      </c>
      <c r="AC11" s="36">
        <f>-DEPR!AE21</f>
        <v>0</v>
      </c>
      <c r="AD11" s="38">
        <f>SUM(D11:AC11)</f>
        <v>-13000.000000000005</v>
      </c>
      <c r="AE11" s="199" t="str">
        <f>IF(ABS(-$AD$11-ASS!$I$19)&lt;0.01," ","CHECK:  DOES NOT MATCH TOTAL TAX DEPRECIABLE BASIS")</f>
        <v xml:space="preserve"> </v>
      </c>
    </row>
    <row r="12" spans="1:31" x14ac:dyDescent="0.25">
      <c r="A12" s="4" t="s">
        <v>297</v>
      </c>
      <c r="B12" s="5"/>
      <c r="C12" s="5"/>
      <c r="D12" s="36" t="e">
        <f>-FIN!D10</f>
        <v>#REF!</v>
      </c>
      <c r="E12" s="36" t="e">
        <f>-FIN!E10</f>
        <v>#REF!</v>
      </c>
      <c r="F12" s="36" t="e">
        <f>-FIN!F10</f>
        <v>#REF!</v>
      </c>
      <c r="G12" s="36" t="e">
        <f>-FIN!G10</f>
        <v>#REF!</v>
      </c>
      <c r="H12" s="36" t="e">
        <f>-FIN!H10</f>
        <v>#REF!</v>
      </c>
      <c r="I12" s="36" t="e">
        <f>-FIN!I10</f>
        <v>#REF!</v>
      </c>
      <c r="J12" s="36" t="e">
        <f>-FIN!J10</f>
        <v>#REF!</v>
      </c>
      <c r="K12" s="36" t="e">
        <f>-FIN!K10</f>
        <v>#REF!</v>
      </c>
      <c r="L12" s="36" t="e">
        <f>-FIN!L10</f>
        <v>#REF!</v>
      </c>
      <c r="M12" s="36" t="e">
        <f>-FIN!M10</f>
        <v>#REF!</v>
      </c>
      <c r="N12" s="36" t="e">
        <f>-FIN!N10</f>
        <v>#REF!</v>
      </c>
      <c r="O12" s="36" t="e">
        <f>-FIN!O10</f>
        <v>#REF!</v>
      </c>
      <c r="P12" s="36" t="e">
        <f>-FIN!P10</f>
        <v>#REF!</v>
      </c>
      <c r="Q12" s="36" t="e">
        <f>-FIN!Q10</f>
        <v>#REF!</v>
      </c>
      <c r="R12" s="36" t="e">
        <f>-FIN!R10</f>
        <v>#REF!</v>
      </c>
      <c r="S12" s="36" t="e">
        <f>-FIN!S10</f>
        <v>#REF!</v>
      </c>
      <c r="T12" s="36" t="e">
        <f>-FIN!T10</f>
        <v>#REF!</v>
      </c>
      <c r="U12" s="36" t="e">
        <f>-FIN!U10</f>
        <v>#REF!</v>
      </c>
      <c r="V12" s="36" t="e">
        <f>-FIN!V10</f>
        <v>#REF!</v>
      </c>
      <c r="W12" s="36" t="e">
        <f>-FIN!W10</f>
        <v>#REF!</v>
      </c>
      <c r="X12" s="36" t="e">
        <f>-FIN!X10</f>
        <v>#REF!</v>
      </c>
      <c r="Y12" s="36" t="e">
        <f>-FIN!Y10</f>
        <v>#REF!</v>
      </c>
      <c r="Z12" s="36" t="e">
        <f>-FIN!Z10</f>
        <v>#REF!</v>
      </c>
      <c r="AA12" s="36" t="e">
        <f>-FIN!AA10</f>
        <v>#REF!</v>
      </c>
      <c r="AB12" s="36" t="e">
        <f>-FIN!AB10</f>
        <v>#REF!</v>
      </c>
      <c r="AC12" s="36" t="e">
        <f>-FIN!AC10</f>
        <v>#REF!</v>
      </c>
      <c r="AD12" s="38" t="e">
        <f>SUM(D12:AC12)</f>
        <v>#REF!</v>
      </c>
      <c r="AE12" s="199" t="e">
        <f>IF(ABS(-$AD$12-FIN!$AD$10)&lt;0.01," ","CHECK:  DOES NOT EQUAL TOTAL INTEREST PAYMENTS CALCULATED")</f>
        <v>#REF!</v>
      </c>
    </row>
    <row r="13" spans="1:31" x14ac:dyDescent="0.25">
      <c r="A13" s="4" t="s">
        <v>298</v>
      </c>
      <c r="B13" s="5"/>
      <c r="C13" s="5"/>
      <c r="D13" s="39" t="e">
        <f>CF!D81</f>
        <v>#REF!</v>
      </c>
      <c r="E13" s="39" t="e">
        <f>CF!E81</f>
        <v>#REF!</v>
      </c>
      <c r="F13" s="39" t="e">
        <f>CF!F81</f>
        <v>#REF!</v>
      </c>
      <c r="G13" s="39" t="e">
        <f>CF!G81</f>
        <v>#REF!</v>
      </c>
      <c r="H13" s="39" t="e">
        <f>CF!H81</f>
        <v>#REF!</v>
      </c>
      <c r="I13" s="39" t="e">
        <f>CF!I81</f>
        <v>#REF!</v>
      </c>
      <c r="J13" s="39" t="e">
        <f>CF!J81</f>
        <v>#REF!</v>
      </c>
      <c r="K13" s="39" t="e">
        <f>CF!K81</f>
        <v>#REF!</v>
      </c>
      <c r="L13" s="39" t="e">
        <f>CF!L81</f>
        <v>#REF!</v>
      </c>
      <c r="M13" s="39" t="e">
        <f>CF!M81</f>
        <v>#REF!</v>
      </c>
      <c r="N13" s="39" t="e">
        <f>CF!N81</f>
        <v>#REF!</v>
      </c>
      <c r="O13" s="39" t="e">
        <f>CF!O81</f>
        <v>#REF!</v>
      </c>
      <c r="P13" s="39" t="e">
        <f>CF!P81</f>
        <v>#REF!</v>
      </c>
      <c r="Q13" s="39" t="e">
        <f>CF!Q81</f>
        <v>#REF!</v>
      </c>
      <c r="R13" s="39" t="e">
        <f>CF!R81</f>
        <v>#REF!</v>
      </c>
      <c r="S13" s="39" t="e">
        <f>CF!S81</f>
        <v>#REF!</v>
      </c>
      <c r="T13" s="39" t="e">
        <f>CF!T81</f>
        <v>#REF!</v>
      </c>
      <c r="U13" s="39" t="e">
        <f>CF!U81</f>
        <v>#REF!</v>
      </c>
      <c r="V13" s="39" t="e">
        <f>CF!V81</f>
        <v>#REF!</v>
      </c>
      <c r="W13" s="39" t="e">
        <f>CF!W81</f>
        <v>#REF!</v>
      </c>
      <c r="X13" s="39" t="e">
        <f>CF!X81</f>
        <v>#REF!</v>
      </c>
      <c r="Y13" s="39" t="e">
        <f>CF!Y81</f>
        <v>#REF!</v>
      </c>
      <c r="Z13" s="39" t="e">
        <f>CF!Z81</f>
        <v>#REF!</v>
      </c>
      <c r="AA13" s="39" t="e">
        <f>CF!AA81</f>
        <v>#REF!</v>
      </c>
      <c r="AB13" s="39" t="e">
        <f>CF!AB81</f>
        <v>#REF!</v>
      </c>
      <c r="AC13" s="39" t="e">
        <f>CF!AC81</f>
        <v>#REF!</v>
      </c>
      <c r="AD13" s="44" t="e">
        <f>SUM(D13:AC13)</f>
        <v>#REF!</v>
      </c>
      <c r="AE13" s="199" t="e">
        <f>IF(ABS($AD$13-CF!$AD$81)&lt;0.01," ","CHECK:  DOES NOT EQUAL WITHHOLDING PMTS CALCD ON CF PAGE")</f>
        <v>#REF!</v>
      </c>
    </row>
    <row r="14" spans="1:31" x14ac:dyDescent="0.25">
      <c r="A14" s="4" t="s">
        <v>299</v>
      </c>
      <c r="B14" s="5"/>
      <c r="C14" s="5"/>
      <c r="D14" s="40" t="e">
        <f>SUM(D10:D13)</f>
        <v>#REF!</v>
      </c>
      <c r="E14" s="40" t="e">
        <f t="shared" ref="E14:T14" si="0">SUM(E10:E13)</f>
        <v>#REF!</v>
      </c>
      <c r="F14" s="40" t="e">
        <f t="shared" si="0"/>
        <v>#REF!</v>
      </c>
      <c r="G14" s="40" t="e">
        <f t="shared" si="0"/>
        <v>#REF!</v>
      </c>
      <c r="H14" s="40" t="e">
        <f t="shared" si="0"/>
        <v>#REF!</v>
      </c>
      <c r="I14" s="40" t="e">
        <f t="shared" si="0"/>
        <v>#REF!</v>
      </c>
      <c r="J14" s="40" t="e">
        <f t="shared" si="0"/>
        <v>#REF!</v>
      </c>
      <c r="K14" s="40" t="e">
        <f t="shared" si="0"/>
        <v>#REF!</v>
      </c>
      <c r="L14" s="40" t="e">
        <f t="shared" si="0"/>
        <v>#REF!</v>
      </c>
      <c r="M14" s="40" t="e">
        <f t="shared" si="0"/>
        <v>#REF!</v>
      </c>
      <c r="N14" s="40" t="e">
        <f t="shared" si="0"/>
        <v>#REF!</v>
      </c>
      <c r="O14" s="40" t="e">
        <f t="shared" si="0"/>
        <v>#REF!</v>
      </c>
      <c r="P14" s="40" t="e">
        <f t="shared" si="0"/>
        <v>#REF!</v>
      </c>
      <c r="Q14" s="40" t="e">
        <f t="shared" si="0"/>
        <v>#REF!</v>
      </c>
      <c r="R14" s="40" t="e">
        <f t="shared" si="0"/>
        <v>#REF!</v>
      </c>
      <c r="S14" s="40" t="e">
        <f t="shared" si="0"/>
        <v>#VALUE!</v>
      </c>
      <c r="T14" s="40" t="e">
        <f t="shared" si="0"/>
        <v>#REF!</v>
      </c>
      <c r="U14" s="40" t="e">
        <f t="shared" ref="U14:AC14" si="1">SUM(U10:U13)</f>
        <v>#REF!</v>
      </c>
      <c r="V14" s="40" t="e">
        <f t="shared" si="1"/>
        <v>#REF!</v>
      </c>
      <c r="W14" s="40" t="e">
        <f t="shared" si="1"/>
        <v>#REF!</v>
      </c>
      <c r="X14" s="40" t="e">
        <f t="shared" si="1"/>
        <v>#REF!</v>
      </c>
      <c r="Y14" s="40" t="e">
        <f t="shared" si="1"/>
        <v>#REF!</v>
      </c>
      <c r="Z14" s="40" t="e">
        <f t="shared" si="1"/>
        <v>#REF!</v>
      </c>
      <c r="AA14" s="40" t="e">
        <f t="shared" si="1"/>
        <v>#REF!</v>
      </c>
      <c r="AB14" s="40" t="e">
        <f t="shared" si="1"/>
        <v>#REF!</v>
      </c>
      <c r="AC14" s="40" t="e">
        <f t="shared" si="1"/>
        <v>#REF!</v>
      </c>
      <c r="AD14" s="74" t="e">
        <f>SUM(D14:AC14)</f>
        <v>#REF!</v>
      </c>
    </row>
    <row r="15" spans="1:31" x14ac:dyDescent="0.25">
      <c r="A15" s="4" t="s">
        <v>300</v>
      </c>
      <c r="B15" s="5"/>
      <c r="C15" s="5"/>
      <c r="D15" s="11" t="str">
        <f>TAX</f>
        <v>5% or 3%-5%</v>
      </c>
      <c r="E15" s="11" t="str">
        <f t="shared" ref="E15:T15" si="2">TAX</f>
        <v>5% or 3%-5%</v>
      </c>
      <c r="F15" s="11" t="str">
        <f t="shared" si="2"/>
        <v>5% or 3%-5%</v>
      </c>
      <c r="G15" s="11" t="str">
        <f t="shared" si="2"/>
        <v>5% or 3%-5%</v>
      </c>
      <c r="H15" s="11" t="str">
        <f t="shared" si="2"/>
        <v>5% or 3%-5%</v>
      </c>
      <c r="I15" s="11" t="str">
        <f t="shared" si="2"/>
        <v>5% or 3%-5%</v>
      </c>
      <c r="J15" s="11" t="str">
        <f t="shared" si="2"/>
        <v>5% or 3%-5%</v>
      </c>
      <c r="K15" s="11" t="str">
        <f t="shared" si="2"/>
        <v>5% or 3%-5%</v>
      </c>
      <c r="L15" s="11" t="str">
        <f t="shared" si="2"/>
        <v>5% or 3%-5%</v>
      </c>
      <c r="M15" s="11" t="str">
        <f t="shared" si="2"/>
        <v>5% or 3%-5%</v>
      </c>
      <c r="N15" s="11" t="str">
        <f t="shared" si="2"/>
        <v>5% or 3%-5%</v>
      </c>
      <c r="O15" s="11" t="str">
        <f t="shared" si="2"/>
        <v>5% or 3%-5%</v>
      </c>
      <c r="P15" s="11" t="str">
        <f t="shared" si="2"/>
        <v>5% or 3%-5%</v>
      </c>
      <c r="Q15" s="11" t="str">
        <f t="shared" si="2"/>
        <v>5% or 3%-5%</v>
      </c>
      <c r="R15" s="11" t="str">
        <f t="shared" si="2"/>
        <v>5% or 3%-5%</v>
      </c>
      <c r="S15" s="11" t="str">
        <f t="shared" si="2"/>
        <v>5% or 3%-5%</v>
      </c>
      <c r="T15" s="11" t="str">
        <f t="shared" si="2"/>
        <v>5% or 3%-5%</v>
      </c>
      <c r="U15" s="11" t="str">
        <f t="shared" ref="U15:AC15" si="3">TAX</f>
        <v>5% or 3%-5%</v>
      </c>
      <c r="V15" s="11" t="str">
        <f t="shared" si="3"/>
        <v>5% or 3%-5%</v>
      </c>
      <c r="W15" s="11" t="str">
        <f t="shared" si="3"/>
        <v>5% or 3%-5%</v>
      </c>
      <c r="X15" s="11" t="str">
        <f t="shared" si="3"/>
        <v>5% or 3%-5%</v>
      </c>
      <c r="Y15" s="11" t="str">
        <f t="shared" si="3"/>
        <v>5% or 3%-5%</v>
      </c>
      <c r="Z15" s="11" t="str">
        <f t="shared" si="3"/>
        <v>5% or 3%-5%</v>
      </c>
      <c r="AA15" s="11" t="str">
        <f t="shared" si="3"/>
        <v>5% or 3%-5%</v>
      </c>
      <c r="AB15" s="11" t="str">
        <f t="shared" si="3"/>
        <v>5% or 3%-5%</v>
      </c>
      <c r="AC15" s="11" t="str">
        <f t="shared" si="3"/>
        <v>5% or 3%-5%</v>
      </c>
      <c r="AD15" s="21"/>
    </row>
    <row r="16" spans="1:31" x14ac:dyDescent="0.2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21"/>
    </row>
    <row r="17" spans="1:30" x14ac:dyDescent="0.25">
      <c r="A17" s="18" t="s">
        <v>301</v>
      </c>
      <c r="B17" s="19"/>
      <c r="C17" s="7"/>
      <c r="D17" s="294" t="e">
        <f>IF(D14&lt;0, 0, D14*D15)</f>
        <v>#REF!</v>
      </c>
      <c r="E17" s="294" t="e">
        <f t="shared" ref="E17:T17" si="4">IF(E14&lt;0, 0, E14*E15)</f>
        <v>#REF!</v>
      </c>
      <c r="F17" s="294" t="e">
        <f t="shared" si="4"/>
        <v>#REF!</v>
      </c>
      <c r="G17" s="294" t="e">
        <f t="shared" si="4"/>
        <v>#REF!</v>
      </c>
      <c r="H17" s="294" t="e">
        <f t="shared" si="4"/>
        <v>#REF!</v>
      </c>
      <c r="I17" s="294" t="e">
        <f t="shared" si="4"/>
        <v>#REF!</v>
      </c>
      <c r="J17" s="294" t="e">
        <f t="shared" si="4"/>
        <v>#REF!</v>
      </c>
      <c r="K17" s="294" t="e">
        <f t="shared" si="4"/>
        <v>#REF!</v>
      </c>
      <c r="L17" s="294" t="e">
        <f t="shared" si="4"/>
        <v>#REF!</v>
      </c>
      <c r="M17" s="294" t="e">
        <f t="shared" si="4"/>
        <v>#REF!</v>
      </c>
      <c r="N17" s="294" t="e">
        <f t="shared" si="4"/>
        <v>#REF!</v>
      </c>
      <c r="O17" s="294" t="e">
        <f t="shared" si="4"/>
        <v>#REF!</v>
      </c>
      <c r="P17" s="294" t="e">
        <f t="shared" si="4"/>
        <v>#REF!</v>
      </c>
      <c r="Q17" s="294" t="e">
        <f t="shared" si="4"/>
        <v>#REF!</v>
      </c>
      <c r="R17" s="294" t="e">
        <f t="shared" si="4"/>
        <v>#REF!</v>
      </c>
      <c r="S17" s="294" t="e">
        <f t="shared" si="4"/>
        <v>#VALUE!</v>
      </c>
      <c r="T17" s="294" t="e">
        <f t="shared" si="4"/>
        <v>#REF!</v>
      </c>
      <c r="U17" s="294" t="e">
        <f t="shared" ref="U17:AC17" si="5">IF(U14&lt;0, 0, U14*U15)</f>
        <v>#REF!</v>
      </c>
      <c r="V17" s="294" t="e">
        <f t="shared" si="5"/>
        <v>#REF!</v>
      </c>
      <c r="W17" s="294" t="e">
        <f t="shared" si="5"/>
        <v>#REF!</v>
      </c>
      <c r="X17" s="294" t="e">
        <f t="shared" si="5"/>
        <v>#REF!</v>
      </c>
      <c r="Y17" s="294" t="e">
        <f t="shared" si="5"/>
        <v>#REF!</v>
      </c>
      <c r="Z17" s="294" t="e">
        <f t="shared" si="5"/>
        <v>#REF!</v>
      </c>
      <c r="AA17" s="294" t="e">
        <f t="shared" si="5"/>
        <v>#REF!</v>
      </c>
      <c r="AB17" s="294" t="e">
        <f t="shared" si="5"/>
        <v>#REF!</v>
      </c>
      <c r="AC17" s="294" t="e">
        <f t="shared" si="5"/>
        <v>#REF!</v>
      </c>
      <c r="AD17" s="295" t="e">
        <f>SUM(D17:AC17)</f>
        <v>#REF!</v>
      </c>
    </row>
    <row r="20" spans="1:30" x14ac:dyDescent="0.25">
      <c r="A20" s="9" t="s">
        <v>302</v>
      </c>
      <c r="B20" s="2"/>
      <c r="C20" s="2"/>
      <c r="D20" s="2"/>
      <c r="E20" s="2"/>
      <c r="F20" s="2"/>
      <c r="G20" s="2"/>
      <c r="H20" s="3"/>
      <c r="I20" s="5"/>
    </row>
    <row r="21" spans="1:30" x14ac:dyDescent="0.25">
      <c r="A21" s="4"/>
      <c r="B21" s="5"/>
      <c r="C21" s="5"/>
      <c r="D21" s="20"/>
      <c r="E21" s="20" t="s">
        <v>303</v>
      </c>
      <c r="F21" s="20" t="s">
        <v>304</v>
      </c>
      <c r="G21" s="20"/>
      <c r="H21" s="296"/>
      <c r="I21" s="5"/>
    </row>
    <row r="22" spans="1:30" x14ac:dyDescent="0.25">
      <c r="A22" s="4"/>
      <c r="B22" s="5"/>
      <c r="C22" s="5"/>
      <c r="D22" s="20" t="s">
        <v>305</v>
      </c>
      <c r="E22" s="20" t="s">
        <v>10</v>
      </c>
      <c r="F22" s="20" t="s">
        <v>10</v>
      </c>
      <c r="G22" s="20" t="s">
        <v>306</v>
      </c>
      <c r="H22" s="296" t="s">
        <v>307</v>
      </c>
      <c r="I22" s="5"/>
    </row>
    <row r="23" spans="1:30" x14ac:dyDescent="0.25">
      <c r="A23" s="15"/>
      <c r="B23" s="298" t="s">
        <v>308</v>
      </c>
      <c r="C23" s="33" t="s">
        <v>242</v>
      </c>
      <c r="D23" s="24" t="s">
        <v>309</v>
      </c>
      <c r="E23" s="24" t="s">
        <v>310</v>
      </c>
      <c r="F23" s="24" t="s">
        <v>311</v>
      </c>
      <c r="G23" s="24" t="s">
        <v>309</v>
      </c>
      <c r="H23" s="297" t="s">
        <v>312</v>
      </c>
      <c r="I23" s="5"/>
    </row>
    <row r="24" spans="1:30" x14ac:dyDescent="0.25">
      <c r="A24" s="6" t="s">
        <v>313</v>
      </c>
      <c r="B24" s="299" t="e">
        <f>(ASS!X40*ASS!X34+ASS!X48*ASS!X42+ASS!X56*ASS!X50+ASS!X64*ASS!X58+ASS!X72*ASS!X66+ASS!X80*ASS!X74)/(ASS!X74+ASS!X66+ASS!X58+ASS!X42+ASS!X34+ASS!$X$50)</f>
        <v>#REF!</v>
      </c>
      <c r="C24" s="5">
        <v>1</v>
      </c>
      <c r="D24" s="75">
        <v>0</v>
      </c>
      <c r="E24" s="36" t="e">
        <f>DEBT</f>
        <v>#REF!</v>
      </c>
      <c r="F24" s="36" t="e">
        <f>-HLOOKUP(C24,idc_table1,IDC!$AP$28+1)</f>
        <v>#REF!</v>
      </c>
      <c r="G24" s="36" t="e">
        <f>SUM(D24:F24)</f>
        <v>#REF!</v>
      </c>
      <c r="H24" s="37" t="e">
        <f>$B$24*(D24+E24)/12</f>
        <v>#REF!</v>
      </c>
      <c r="I24" s="5"/>
      <c r="K24" s="1" t="s">
        <v>7</v>
      </c>
    </row>
    <row r="25" spans="1:30" x14ac:dyDescent="0.25">
      <c r="A25" s="4"/>
      <c r="B25" s="5"/>
      <c r="C25" s="5">
        <f>C24+1</f>
        <v>2</v>
      </c>
      <c r="D25" s="36" t="e">
        <f t="shared" ref="D25:D56" si="6">G24</f>
        <v>#REF!</v>
      </c>
      <c r="E25" s="75">
        <v>0</v>
      </c>
      <c r="F25" s="36" t="e">
        <f>-HLOOKUP(C25,idc_table1,IDC!$AP$28+1)+HLOOKUP(C24,idc_table1,IDC!$AP$28+1)</f>
        <v>#REF!</v>
      </c>
      <c r="G25" s="36" t="e">
        <f t="shared" ref="G25:G40" si="7">SUM(D25:F25)</f>
        <v>#REF!</v>
      </c>
      <c r="H25" s="37" t="e">
        <f t="shared" ref="H25:H40" si="8">$B$24*(D25+E25)/12</f>
        <v>#REF!</v>
      </c>
      <c r="I25" s="5"/>
    </row>
    <row r="26" spans="1:30" x14ac:dyDescent="0.25">
      <c r="A26" s="4"/>
      <c r="B26" s="5"/>
      <c r="C26" s="5">
        <f t="shared" ref="C26:C41" si="9">C25+1</f>
        <v>3</v>
      </c>
      <c r="D26" s="36" t="e">
        <f t="shared" si="6"/>
        <v>#REF!</v>
      </c>
      <c r="E26" s="75">
        <v>0</v>
      </c>
      <c r="F26" s="36" t="e">
        <f>-HLOOKUP(C26,idc_table1,IDC!$AP$28+1)+HLOOKUP(C25,idc_table1,IDC!$AP$28+1)</f>
        <v>#REF!</v>
      </c>
      <c r="G26" s="36" t="e">
        <f t="shared" si="7"/>
        <v>#REF!</v>
      </c>
      <c r="H26" s="37" t="e">
        <f t="shared" si="8"/>
        <v>#REF!</v>
      </c>
      <c r="I26" s="5"/>
    </row>
    <row r="27" spans="1:30" x14ac:dyDescent="0.25">
      <c r="A27" s="4"/>
      <c r="B27" s="5"/>
      <c r="C27" s="5">
        <f t="shared" si="9"/>
        <v>4</v>
      </c>
      <c r="D27" s="36" t="e">
        <f t="shared" si="6"/>
        <v>#REF!</v>
      </c>
      <c r="E27" s="75">
        <v>0</v>
      </c>
      <c r="F27" s="36" t="e">
        <f>-HLOOKUP(C27,idc_table1,IDC!$AP$28+1)+HLOOKUP(C26,idc_table1,IDC!$AP$28+1)</f>
        <v>#REF!</v>
      </c>
      <c r="G27" s="36" t="e">
        <f t="shared" si="7"/>
        <v>#REF!</v>
      </c>
      <c r="H27" s="37" t="e">
        <f t="shared" si="8"/>
        <v>#REF!</v>
      </c>
      <c r="I27" s="5"/>
    </row>
    <row r="28" spans="1:30" x14ac:dyDescent="0.25">
      <c r="A28" s="4"/>
      <c r="B28" s="5"/>
      <c r="C28" s="5">
        <f t="shared" si="9"/>
        <v>5</v>
      </c>
      <c r="D28" s="36" t="e">
        <f t="shared" si="6"/>
        <v>#REF!</v>
      </c>
      <c r="E28" s="75">
        <v>0</v>
      </c>
      <c r="F28" s="36" t="e">
        <f>-HLOOKUP(C28,idc_table1,IDC!$AP$28+1)+HLOOKUP(C27,idc_table1,IDC!$AP$28+1)</f>
        <v>#REF!</v>
      </c>
      <c r="G28" s="36" t="e">
        <f t="shared" si="7"/>
        <v>#REF!</v>
      </c>
      <c r="H28" s="37" t="e">
        <f t="shared" si="8"/>
        <v>#REF!</v>
      </c>
      <c r="I28" s="5"/>
    </row>
    <row r="29" spans="1:30" x14ac:dyDescent="0.25">
      <c r="A29" s="4"/>
      <c r="B29" s="5"/>
      <c r="C29" s="5">
        <f t="shared" si="9"/>
        <v>6</v>
      </c>
      <c r="D29" s="36" t="e">
        <f t="shared" si="6"/>
        <v>#REF!</v>
      </c>
      <c r="E29" s="75">
        <v>0</v>
      </c>
      <c r="F29" s="36" t="e">
        <f>-HLOOKUP(C29,idc_table1,IDC!$AP$28+1)+HLOOKUP(C28,idc_table1,IDC!$AP$28+1)</f>
        <v>#REF!</v>
      </c>
      <c r="G29" s="36" t="e">
        <f t="shared" si="7"/>
        <v>#REF!</v>
      </c>
      <c r="H29" s="37" t="e">
        <f t="shared" si="8"/>
        <v>#REF!</v>
      </c>
      <c r="I29" s="5"/>
    </row>
    <row r="30" spans="1:30" ht="13.8" thickBot="1" x14ac:dyDescent="0.3">
      <c r="A30" s="4"/>
      <c r="B30" s="5"/>
      <c r="C30" s="5">
        <f t="shared" si="9"/>
        <v>7</v>
      </c>
      <c r="D30" s="36" t="e">
        <f t="shared" si="6"/>
        <v>#REF!</v>
      </c>
      <c r="E30" s="75">
        <v>0</v>
      </c>
      <c r="F30" s="36" t="e">
        <f>-HLOOKUP(C30,idc_table1,IDC!$AP$28+1)+HLOOKUP(C29,idc_table1,IDC!$AP$28+1)</f>
        <v>#REF!</v>
      </c>
      <c r="G30" s="36" t="e">
        <f t="shared" si="7"/>
        <v>#REF!</v>
      </c>
      <c r="H30" s="37" t="e">
        <f t="shared" si="8"/>
        <v>#REF!</v>
      </c>
      <c r="I30" s="5"/>
    </row>
    <row r="31" spans="1:30" ht="13.8" thickTop="1" x14ac:dyDescent="0.25">
      <c r="A31" s="300" t="s">
        <v>314</v>
      </c>
      <c r="B31" s="31"/>
      <c r="C31" s="5">
        <f t="shared" si="9"/>
        <v>8</v>
      </c>
      <c r="D31" s="36" t="e">
        <f t="shared" si="6"/>
        <v>#REF!</v>
      </c>
      <c r="E31" s="75">
        <v>0</v>
      </c>
      <c r="F31" s="36" t="e">
        <f>-HLOOKUP(C31,idc_table1,IDC!$AP$28+1)+HLOOKUP(C30,idc_table1,IDC!$AP$28+1)</f>
        <v>#REF!</v>
      </c>
      <c r="G31" s="36" t="e">
        <f t="shared" si="7"/>
        <v>#REF!</v>
      </c>
      <c r="H31" s="37" t="e">
        <f t="shared" si="8"/>
        <v>#REF!</v>
      </c>
      <c r="I31" s="5"/>
    </row>
    <row r="32" spans="1:30" ht="13.8" thickBot="1" x14ac:dyDescent="0.3">
      <c r="A32" s="301"/>
      <c r="B32" s="32" t="e">
        <f>SUM(H24:H83)</f>
        <v>#REF!</v>
      </c>
      <c r="C32" s="5">
        <f t="shared" si="9"/>
        <v>9</v>
      </c>
      <c r="D32" s="36" t="e">
        <f t="shared" si="6"/>
        <v>#REF!</v>
      </c>
      <c r="E32" s="75">
        <v>0</v>
      </c>
      <c r="F32" s="36" t="e">
        <f>-HLOOKUP(C32,idc_table1,IDC!$AP$28+1)+HLOOKUP(C31,idc_table1,IDC!$AP$28+1)</f>
        <v>#REF!</v>
      </c>
      <c r="G32" s="36" t="e">
        <f t="shared" si="7"/>
        <v>#REF!</v>
      </c>
      <c r="H32" s="37" t="e">
        <f t="shared" si="8"/>
        <v>#REF!</v>
      </c>
      <c r="I32" s="5"/>
    </row>
    <row r="33" spans="1:9" ht="13.8" thickTop="1" x14ac:dyDescent="0.25">
      <c r="A33" s="4"/>
      <c r="B33" s="5"/>
      <c r="C33" s="5">
        <f t="shared" si="9"/>
        <v>10</v>
      </c>
      <c r="D33" s="36" t="e">
        <f t="shared" si="6"/>
        <v>#REF!</v>
      </c>
      <c r="E33" s="75">
        <v>0</v>
      </c>
      <c r="F33" s="36" t="e">
        <f>-HLOOKUP(C33,idc_table1,IDC!$AP$28+1)+HLOOKUP(C32,idc_table1,IDC!$AP$28+1)</f>
        <v>#REF!</v>
      </c>
      <c r="G33" s="36" t="e">
        <f t="shared" si="7"/>
        <v>#REF!</v>
      </c>
      <c r="H33" s="37" t="e">
        <f t="shared" si="8"/>
        <v>#REF!</v>
      </c>
      <c r="I33" s="5"/>
    </row>
    <row r="34" spans="1:9" x14ac:dyDescent="0.25">
      <c r="A34" s="4"/>
      <c r="B34" s="5"/>
      <c r="C34" s="5">
        <f t="shared" si="9"/>
        <v>11</v>
      </c>
      <c r="D34" s="36" t="e">
        <f t="shared" si="6"/>
        <v>#REF!</v>
      </c>
      <c r="E34" s="75">
        <v>0</v>
      </c>
      <c r="F34" s="36" t="e">
        <f>-HLOOKUP(C34,idc_table1,IDC!$AP$28+1)+HLOOKUP(C33,idc_table1,IDC!$AP$28+1)</f>
        <v>#REF!</v>
      </c>
      <c r="G34" s="36" t="e">
        <f t="shared" si="7"/>
        <v>#REF!</v>
      </c>
      <c r="H34" s="37" t="e">
        <f t="shared" si="8"/>
        <v>#REF!</v>
      </c>
      <c r="I34" s="5"/>
    </row>
    <row r="35" spans="1:9" x14ac:dyDescent="0.25">
      <c r="A35" s="4"/>
      <c r="B35" s="5"/>
      <c r="C35" s="5">
        <f t="shared" si="9"/>
        <v>12</v>
      </c>
      <c r="D35" s="36" t="e">
        <f t="shared" si="6"/>
        <v>#REF!</v>
      </c>
      <c r="E35" s="75">
        <v>0</v>
      </c>
      <c r="F35" s="36" t="e">
        <f>-HLOOKUP(C35,idc_table1,IDC!$AP$28+1)+HLOOKUP(C34,idc_table1,IDC!$AP$28+1)</f>
        <v>#REF!</v>
      </c>
      <c r="G35" s="36" t="e">
        <f t="shared" si="7"/>
        <v>#REF!</v>
      </c>
      <c r="H35" s="37" t="e">
        <f t="shared" si="8"/>
        <v>#REF!</v>
      </c>
      <c r="I35" s="5"/>
    </row>
    <row r="36" spans="1:9" x14ac:dyDescent="0.25">
      <c r="A36" s="4"/>
      <c r="B36" s="5"/>
      <c r="C36" s="5">
        <f t="shared" si="9"/>
        <v>13</v>
      </c>
      <c r="D36" s="36" t="e">
        <f t="shared" si="6"/>
        <v>#REF!</v>
      </c>
      <c r="E36" s="75">
        <v>0</v>
      </c>
      <c r="F36" s="36" t="e">
        <f>-HLOOKUP(C36,idc_table1,IDC!$AP$28+1)+HLOOKUP(C35,idc_table1,IDC!$AP$28+1)</f>
        <v>#REF!</v>
      </c>
      <c r="G36" s="36" t="e">
        <f t="shared" si="7"/>
        <v>#REF!</v>
      </c>
      <c r="H36" s="37" t="e">
        <f t="shared" si="8"/>
        <v>#REF!</v>
      </c>
      <c r="I36" s="5"/>
    </row>
    <row r="37" spans="1:9" x14ac:dyDescent="0.25">
      <c r="A37" s="4"/>
      <c r="B37" s="5"/>
      <c r="C37" s="5">
        <f t="shared" si="9"/>
        <v>14</v>
      </c>
      <c r="D37" s="36" t="e">
        <f t="shared" si="6"/>
        <v>#REF!</v>
      </c>
      <c r="E37" s="75">
        <v>0</v>
      </c>
      <c r="F37" s="36" t="e">
        <f>-HLOOKUP(C37,idc_table1,IDC!$AP$28+1)+HLOOKUP(C36,idc_table1,IDC!$AP$28+1)</f>
        <v>#REF!</v>
      </c>
      <c r="G37" s="36" t="e">
        <f t="shared" si="7"/>
        <v>#REF!</v>
      </c>
      <c r="H37" s="37" t="e">
        <f t="shared" si="8"/>
        <v>#REF!</v>
      </c>
      <c r="I37" s="5"/>
    </row>
    <row r="38" spans="1:9" x14ac:dyDescent="0.25">
      <c r="A38" s="4"/>
      <c r="B38" s="5"/>
      <c r="C38" s="5">
        <f t="shared" si="9"/>
        <v>15</v>
      </c>
      <c r="D38" s="36" t="e">
        <f t="shared" si="6"/>
        <v>#REF!</v>
      </c>
      <c r="E38" s="75">
        <v>0</v>
      </c>
      <c r="F38" s="36" t="e">
        <f>-HLOOKUP(C38,idc_table1,IDC!$AP$28+1)+HLOOKUP(C37,idc_table1,IDC!$AP$28+1)</f>
        <v>#REF!</v>
      </c>
      <c r="G38" s="36" t="e">
        <f t="shared" si="7"/>
        <v>#REF!</v>
      </c>
      <c r="H38" s="37" t="e">
        <f t="shared" si="8"/>
        <v>#REF!</v>
      </c>
      <c r="I38" s="5"/>
    </row>
    <row r="39" spans="1:9" x14ac:dyDescent="0.25">
      <c r="A39" s="4"/>
      <c r="B39" s="5"/>
      <c r="C39" s="5">
        <f t="shared" si="9"/>
        <v>16</v>
      </c>
      <c r="D39" s="36" t="e">
        <f t="shared" si="6"/>
        <v>#REF!</v>
      </c>
      <c r="E39" s="75">
        <v>0</v>
      </c>
      <c r="F39" s="36" t="e">
        <f>-HLOOKUP(C39,idc_table1,IDC!$AP$28+1)+HLOOKUP(C38,idc_table1,IDC!$AP$28+1)</f>
        <v>#REF!</v>
      </c>
      <c r="G39" s="36" t="e">
        <f t="shared" si="7"/>
        <v>#REF!</v>
      </c>
      <c r="H39" s="37" t="e">
        <f t="shared" si="8"/>
        <v>#REF!</v>
      </c>
      <c r="I39" s="5"/>
    </row>
    <row r="40" spans="1:9" x14ac:dyDescent="0.25">
      <c r="A40" s="4"/>
      <c r="B40" s="5"/>
      <c r="C40" s="5">
        <f t="shared" si="9"/>
        <v>17</v>
      </c>
      <c r="D40" s="36" t="e">
        <f t="shared" si="6"/>
        <v>#REF!</v>
      </c>
      <c r="E40" s="75">
        <v>0</v>
      </c>
      <c r="F40" s="36" t="e">
        <f>-HLOOKUP(C40,idc_table1,IDC!$AP$28+1)+HLOOKUP(C39,idc_table1,IDC!$AP$28+1)</f>
        <v>#REF!</v>
      </c>
      <c r="G40" s="36" t="e">
        <f t="shared" si="7"/>
        <v>#REF!</v>
      </c>
      <c r="H40" s="37" t="e">
        <f t="shared" si="8"/>
        <v>#REF!</v>
      </c>
      <c r="I40" s="5"/>
    </row>
    <row r="41" spans="1:9" x14ac:dyDescent="0.25">
      <c r="A41" s="4"/>
      <c r="B41" s="5"/>
      <c r="C41" s="5">
        <f t="shared" si="9"/>
        <v>18</v>
      </c>
      <c r="D41" s="36" t="e">
        <f t="shared" si="6"/>
        <v>#REF!</v>
      </c>
      <c r="E41" s="75">
        <v>0</v>
      </c>
      <c r="F41" s="36" t="e">
        <f>-HLOOKUP(C41,idc_table1,IDC!$AP$28+1)+HLOOKUP(C40,idc_table1,IDC!$AP$28+1)</f>
        <v>#REF!</v>
      </c>
      <c r="G41" s="36" t="e">
        <f t="shared" ref="G41:G56" si="10">SUM(D41:F41)</f>
        <v>#REF!</v>
      </c>
      <c r="H41" s="37" t="e">
        <f t="shared" ref="H41:H56" si="11">$B$24*(D41+E41)/12</f>
        <v>#REF!</v>
      </c>
      <c r="I41" s="5"/>
    </row>
    <row r="42" spans="1:9" x14ac:dyDescent="0.25">
      <c r="A42" s="4"/>
      <c r="B42" s="5"/>
      <c r="C42" s="5">
        <f t="shared" ref="C42:C57" si="12">C41+1</f>
        <v>19</v>
      </c>
      <c r="D42" s="36" t="e">
        <f t="shared" si="6"/>
        <v>#REF!</v>
      </c>
      <c r="E42" s="75">
        <v>0</v>
      </c>
      <c r="F42" s="36" t="e">
        <f>-HLOOKUP(C42,idc_table1,IDC!$AP$28+1)+HLOOKUP(C41,idc_table1,IDC!$AP$28+1)</f>
        <v>#REF!</v>
      </c>
      <c r="G42" s="36" t="e">
        <f t="shared" si="10"/>
        <v>#REF!</v>
      </c>
      <c r="H42" s="37" t="e">
        <f t="shared" si="11"/>
        <v>#REF!</v>
      </c>
      <c r="I42" s="5"/>
    </row>
    <row r="43" spans="1:9" x14ac:dyDescent="0.25">
      <c r="A43" s="4"/>
      <c r="B43" s="5"/>
      <c r="C43" s="5">
        <f t="shared" si="12"/>
        <v>20</v>
      </c>
      <c r="D43" s="36" t="e">
        <f t="shared" si="6"/>
        <v>#REF!</v>
      </c>
      <c r="E43" s="75">
        <v>0</v>
      </c>
      <c r="F43" s="36" t="e">
        <f>-HLOOKUP(C43,idc_table1,IDC!$AP$28+1)+HLOOKUP(C42,idc_table1,IDC!$AP$28+1)</f>
        <v>#REF!</v>
      </c>
      <c r="G43" s="36" t="e">
        <f t="shared" si="10"/>
        <v>#REF!</v>
      </c>
      <c r="H43" s="37" t="e">
        <f t="shared" si="11"/>
        <v>#REF!</v>
      </c>
      <c r="I43" s="5"/>
    </row>
    <row r="44" spans="1:9" x14ac:dyDescent="0.25">
      <c r="A44" s="4"/>
      <c r="B44" s="5"/>
      <c r="C44" s="5">
        <f t="shared" si="12"/>
        <v>21</v>
      </c>
      <c r="D44" s="36" t="e">
        <f t="shared" si="6"/>
        <v>#REF!</v>
      </c>
      <c r="E44" s="75">
        <v>0</v>
      </c>
      <c r="F44" s="36" t="e">
        <f>-HLOOKUP(C44,idc_table1,IDC!$AP$28+1)+HLOOKUP(C43,idc_table1,IDC!$AP$28+1)</f>
        <v>#REF!</v>
      </c>
      <c r="G44" s="36" t="e">
        <f t="shared" si="10"/>
        <v>#REF!</v>
      </c>
      <c r="H44" s="37" t="e">
        <f t="shared" si="11"/>
        <v>#REF!</v>
      </c>
      <c r="I44" s="5"/>
    </row>
    <row r="45" spans="1:9" x14ac:dyDescent="0.25">
      <c r="A45" s="4"/>
      <c r="B45" s="5"/>
      <c r="C45" s="5">
        <f t="shared" si="12"/>
        <v>22</v>
      </c>
      <c r="D45" s="36" t="e">
        <f t="shared" si="6"/>
        <v>#REF!</v>
      </c>
      <c r="E45" s="75">
        <v>0</v>
      </c>
      <c r="F45" s="36" t="e">
        <f>-HLOOKUP(C45,idc_table1,IDC!$AP$28+1)+HLOOKUP(C44,idc_table1,IDC!$AP$28+1)</f>
        <v>#REF!</v>
      </c>
      <c r="G45" s="36" t="e">
        <f t="shared" si="10"/>
        <v>#REF!</v>
      </c>
      <c r="H45" s="37" t="e">
        <f t="shared" si="11"/>
        <v>#REF!</v>
      </c>
      <c r="I45" s="5"/>
    </row>
    <row r="46" spans="1:9" x14ac:dyDescent="0.25">
      <c r="A46" s="4"/>
      <c r="B46" s="5"/>
      <c r="C46" s="5">
        <f t="shared" si="12"/>
        <v>23</v>
      </c>
      <c r="D46" s="36" t="e">
        <f t="shared" si="6"/>
        <v>#REF!</v>
      </c>
      <c r="E46" s="75">
        <v>0</v>
      </c>
      <c r="F46" s="36" t="e">
        <f>-HLOOKUP(C46,idc_table1,IDC!$AP$28+1)+HLOOKUP(C45,idc_table1,IDC!$AP$28+1)</f>
        <v>#REF!</v>
      </c>
      <c r="G46" s="36" t="e">
        <f t="shared" si="10"/>
        <v>#REF!</v>
      </c>
      <c r="H46" s="37" t="e">
        <f t="shared" si="11"/>
        <v>#REF!</v>
      </c>
      <c r="I46" s="5"/>
    </row>
    <row r="47" spans="1:9" x14ac:dyDescent="0.25">
      <c r="A47" s="4"/>
      <c r="B47" s="5"/>
      <c r="C47" s="5">
        <f t="shared" si="12"/>
        <v>24</v>
      </c>
      <c r="D47" s="36" t="e">
        <f t="shared" si="6"/>
        <v>#REF!</v>
      </c>
      <c r="E47" s="75">
        <v>0</v>
      </c>
      <c r="F47" s="36" t="e">
        <f>-HLOOKUP(C47,idc_table1,IDC!$AP$28+1)+HLOOKUP(C46,idc_table1,IDC!$AP$28+1)</f>
        <v>#REF!</v>
      </c>
      <c r="G47" s="36" t="e">
        <f t="shared" si="10"/>
        <v>#REF!</v>
      </c>
      <c r="H47" s="37" t="e">
        <f t="shared" si="11"/>
        <v>#REF!</v>
      </c>
      <c r="I47" s="5"/>
    </row>
    <row r="48" spans="1:9" x14ac:dyDescent="0.25">
      <c r="A48" s="4"/>
      <c r="B48" s="5"/>
      <c r="C48" s="5">
        <f t="shared" si="12"/>
        <v>25</v>
      </c>
      <c r="D48" s="36" t="e">
        <f t="shared" si="6"/>
        <v>#REF!</v>
      </c>
      <c r="E48" s="75">
        <v>0</v>
      </c>
      <c r="F48" s="36" t="e">
        <f>-HLOOKUP(C48,idc_table1,IDC!$AP$28+1)+HLOOKUP(C47,idc_table1,IDC!$AP$28+1)</f>
        <v>#REF!</v>
      </c>
      <c r="G48" s="36" t="e">
        <f t="shared" si="10"/>
        <v>#REF!</v>
      </c>
      <c r="H48" s="37" t="e">
        <f t="shared" si="11"/>
        <v>#REF!</v>
      </c>
      <c r="I48" s="5"/>
    </row>
    <row r="49" spans="1:9" x14ac:dyDescent="0.25">
      <c r="A49" s="4"/>
      <c r="B49" s="5"/>
      <c r="C49" s="5">
        <f t="shared" si="12"/>
        <v>26</v>
      </c>
      <c r="D49" s="36" t="e">
        <f t="shared" si="6"/>
        <v>#REF!</v>
      </c>
      <c r="E49" s="75">
        <v>0</v>
      </c>
      <c r="F49" s="36" t="e">
        <f>-HLOOKUP(C49,idc_table1,IDC!$AP$28+1)+HLOOKUP(C48,idc_table1,IDC!$AP$28+1)</f>
        <v>#REF!</v>
      </c>
      <c r="G49" s="36" t="e">
        <f t="shared" si="10"/>
        <v>#REF!</v>
      </c>
      <c r="H49" s="37" t="e">
        <f t="shared" si="11"/>
        <v>#REF!</v>
      </c>
      <c r="I49" s="5"/>
    </row>
    <row r="50" spans="1:9" x14ac:dyDescent="0.25">
      <c r="A50" s="4"/>
      <c r="B50" s="5"/>
      <c r="C50" s="5">
        <f t="shared" si="12"/>
        <v>27</v>
      </c>
      <c r="D50" s="36" t="e">
        <f t="shared" si="6"/>
        <v>#REF!</v>
      </c>
      <c r="E50" s="75">
        <v>0</v>
      </c>
      <c r="F50" s="36" t="e">
        <f>-HLOOKUP(C50,idc_table1,IDC!$AP$28+1)+HLOOKUP(C49,idc_table1,IDC!$AP$28+1)</f>
        <v>#REF!</v>
      </c>
      <c r="G50" s="36" t="e">
        <f t="shared" si="10"/>
        <v>#REF!</v>
      </c>
      <c r="H50" s="37" t="e">
        <f t="shared" si="11"/>
        <v>#REF!</v>
      </c>
      <c r="I50" s="5"/>
    </row>
    <row r="51" spans="1:9" x14ac:dyDescent="0.25">
      <c r="A51" s="4"/>
      <c r="B51" s="5"/>
      <c r="C51" s="5">
        <f t="shared" si="12"/>
        <v>28</v>
      </c>
      <c r="D51" s="36" t="e">
        <f t="shared" si="6"/>
        <v>#REF!</v>
      </c>
      <c r="E51" s="75">
        <v>0</v>
      </c>
      <c r="F51" s="36" t="e">
        <f>-HLOOKUP(C51,idc_table1,IDC!$AP$28+1)+HLOOKUP(C50,idc_table1,IDC!$AP$28+1)</f>
        <v>#REF!</v>
      </c>
      <c r="G51" s="36" t="e">
        <f t="shared" si="10"/>
        <v>#REF!</v>
      </c>
      <c r="H51" s="37" t="e">
        <f t="shared" si="11"/>
        <v>#REF!</v>
      </c>
      <c r="I51" s="5"/>
    </row>
    <row r="52" spans="1:9" x14ac:dyDescent="0.25">
      <c r="A52" s="4"/>
      <c r="B52" s="5"/>
      <c r="C52" s="5">
        <f t="shared" si="12"/>
        <v>29</v>
      </c>
      <c r="D52" s="36" t="e">
        <f t="shared" si="6"/>
        <v>#REF!</v>
      </c>
      <c r="E52" s="75">
        <v>0</v>
      </c>
      <c r="F52" s="36" t="e">
        <f>-HLOOKUP(C52,idc_table1,IDC!$AP$28+1)+HLOOKUP(C51,idc_table1,IDC!$AP$28+1)</f>
        <v>#REF!</v>
      </c>
      <c r="G52" s="36" t="e">
        <f t="shared" si="10"/>
        <v>#REF!</v>
      </c>
      <c r="H52" s="37" t="e">
        <f t="shared" si="11"/>
        <v>#REF!</v>
      </c>
      <c r="I52" s="5"/>
    </row>
    <row r="53" spans="1:9" x14ac:dyDescent="0.25">
      <c r="A53" s="4"/>
      <c r="B53" s="5"/>
      <c r="C53" s="5">
        <f t="shared" si="12"/>
        <v>30</v>
      </c>
      <c r="D53" s="36" t="e">
        <f t="shared" si="6"/>
        <v>#REF!</v>
      </c>
      <c r="E53" s="75">
        <v>0</v>
      </c>
      <c r="F53" s="36" t="e">
        <f>-HLOOKUP(C53,idc_table1,IDC!$AP$28+1)+HLOOKUP(C52,idc_table1,IDC!$AP$28+1)</f>
        <v>#REF!</v>
      </c>
      <c r="G53" s="36" t="e">
        <f t="shared" si="10"/>
        <v>#REF!</v>
      </c>
      <c r="H53" s="37" t="e">
        <f t="shared" si="11"/>
        <v>#REF!</v>
      </c>
      <c r="I53" s="5"/>
    </row>
    <row r="54" spans="1:9" x14ac:dyDescent="0.25">
      <c r="A54" s="4"/>
      <c r="B54" s="5"/>
      <c r="C54" s="5">
        <f t="shared" si="12"/>
        <v>31</v>
      </c>
      <c r="D54" s="36" t="e">
        <f t="shared" si="6"/>
        <v>#REF!</v>
      </c>
      <c r="E54" s="75">
        <v>0</v>
      </c>
      <c r="F54" s="36" t="e">
        <f>-HLOOKUP(C54,idc_table1,IDC!$AP$28+1)+HLOOKUP(C53,idc_table1,IDC!$AP$28+1)</f>
        <v>#REF!</v>
      </c>
      <c r="G54" s="36" t="e">
        <f t="shared" si="10"/>
        <v>#REF!</v>
      </c>
      <c r="H54" s="37" t="e">
        <f t="shared" si="11"/>
        <v>#REF!</v>
      </c>
      <c r="I54" s="5"/>
    </row>
    <row r="55" spans="1:9" x14ac:dyDescent="0.25">
      <c r="A55" s="4"/>
      <c r="B55" s="5"/>
      <c r="C55" s="5">
        <f t="shared" si="12"/>
        <v>32</v>
      </c>
      <c r="D55" s="36" t="e">
        <f t="shared" si="6"/>
        <v>#REF!</v>
      </c>
      <c r="E55" s="75">
        <v>0</v>
      </c>
      <c r="F55" s="36" t="e">
        <f>-HLOOKUP(C55,idc_table1,IDC!$AP$28+1)+HLOOKUP(C54,idc_table1,IDC!$AP$28+1)</f>
        <v>#REF!</v>
      </c>
      <c r="G55" s="36" t="e">
        <f t="shared" si="10"/>
        <v>#REF!</v>
      </c>
      <c r="H55" s="37" t="e">
        <f t="shared" si="11"/>
        <v>#REF!</v>
      </c>
      <c r="I55" s="5"/>
    </row>
    <row r="56" spans="1:9" x14ac:dyDescent="0.25">
      <c r="A56" s="4"/>
      <c r="B56" s="5"/>
      <c r="C56" s="5">
        <f t="shared" si="12"/>
        <v>33</v>
      </c>
      <c r="D56" s="36" t="e">
        <f t="shared" si="6"/>
        <v>#REF!</v>
      </c>
      <c r="E56" s="75">
        <v>0</v>
      </c>
      <c r="F56" s="36" t="e">
        <f>-HLOOKUP(C56,idc_table1,IDC!$AP$28+1)+HLOOKUP(C55,idc_table1,IDC!$AP$28+1)</f>
        <v>#REF!</v>
      </c>
      <c r="G56" s="36" t="e">
        <f t="shared" si="10"/>
        <v>#REF!</v>
      </c>
      <c r="H56" s="37" t="e">
        <f t="shared" si="11"/>
        <v>#REF!</v>
      </c>
      <c r="I56" s="5"/>
    </row>
    <row r="57" spans="1:9" x14ac:dyDescent="0.25">
      <c r="A57" s="4"/>
      <c r="B57" s="5"/>
      <c r="C57" s="5">
        <f t="shared" si="12"/>
        <v>34</v>
      </c>
      <c r="D57" s="36" t="e">
        <f t="shared" ref="D57:D83" si="13">G56</f>
        <v>#REF!</v>
      </c>
      <c r="E57" s="75">
        <v>0</v>
      </c>
      <c r="F57" s="36" t="e">
        <f>-HLOOKUP(C57,idc_table1,IDC!$AP$28+1)+HLOOKUP(C56,idc_table1,IDC!$AP$28+1)</f>
        <v>#REF!</v>
      </c>
      <c r="G57" s="36" t="e">
        <f t="shared" ref="G57:G72" si="14">SUM(D57:F57)</f>
        <v>#REF!</v>
      </c>
      <c r="H57" s="37" t="e">
        <f t="shared" ref="H57:H72" si="15">$B$24*(D57+E57)/12</f>
        <v>#REF!</v>
      </c>
      <c r="I57" s="5"/>
    </row>
    <row r="58" spans="1:9" x14ac:dyDescent="0.25">
      <c r="A58" s="4"/>
      <c r="B58" s="5"/>
      <c r="C58" s="5">
        <f t="shared" ref="C58:C73" si="16">C57+1</f>
        <v>35</v>
      </c>
      <c r="D58" s="36" t="e">
        <f t="shared" si="13"/>
        <v>#REF!</v>
      </c>
      <c r="E58" s="75">
        <v>0</v>
      </c>
      <c r="F58" s="36" t="e">
        <f>-HLOOKUP(C58,idc_table1,IDC!$AP$28+1)+HLOOKUP(C57,idc_table1,IDC!$AP$28+1)</f>
        <v>#REF!</v>
      </c>
      <c r="G58" s="36" t="e">
        <f t="shared" si="14"/>
        <v>#REF!</v>
      </c>
      <c r="H58" s="37" t="e">
        <f t="shared" si="15"/>
        <v>#REF!</v>
      </c>
      <c r="I58" s="5"/>
    </row>
    <row r="59" spans="1:9" x14ac:dyDescent="0.25">
      <c r="A59" s="4"/>
      <c r="B59" s="5"/>
      <c r="C59" s="5">
        <f t="shared" si="16"/>
        <v>36</v>
      </c>
      <c r="D59" s="36" t="e">
        <f t="shared" si="13"/>
        <v>#REF!</v>
      </c>
      <c r="E59" s="75">
        <v>0</v>
      </c>
      <c r="F59" s="36" t="e">
        <f>-HLOOKUP(C59,idc_table1,IDC!$AP$28+1)+HLOOKUP(C58,idc_table1,IDC!$AP$28+1)</f>
        <v>#REF!</v>
      </c>
      <c r="G59" s="36" t="e">
        <f t="shared" si="14"/>
        <v>#REF!</v>
      </c>
      <c r="H59" s="37" t="e">
        <f t="shared" si="15"/>
        <v>#REF!</v>
      </c>
      <c r="I59" s="5"/>
    </row>
    <row r="60" spans="1:9" x14ac:dyDescent="0.25">
      <c r="A60" s="4"/>
      <c r="B60" s="5"/>
      <c r="C60" s="5">
        <f t="shared" si="16"/>
        <v>37</v>
      </c>
      <c r="D60" s="36" t="e">
        <f t="shared" si="13"/>
        <v>#REF!</v>
      </c>
      <c r="E60" s="75">
        <v>0</v>
      </c>
      <c r="F60" s="36" t="e">
        <f>-HLOOKUP(C60,idc_table1,IDC!$AP$28+1)+HLOOKUP(C59,idc_table1,IDC!$AP$28+1)</f>
        <v>#REF!</v>
      </c>
      <c r="G60" s="36" t="e">
        <f t="shared" si="14"/>
        <v>#REF!</v>
      </c>
      <c r="H60" s="37" t="e">
        <f t="shared" si="15"/>
        <v>#REF!</v>
      </c>
      <c r="I60" s="5"/>
    </row>
    <row r="61" spans="1:9" x14ac:dyDescent="0.25">
      <c r="A61" s="4"/>
      <c r="B61" s="5"/>
      <c r="C61" s="5">
        <f t="shared" si="16"/>
        <v>38</v>
      </c>
      <c r="D61" s="36" t="e">
        <f t="shared" si="13"/>
        <v>#REF!</v>
      </c>
      <c r="E61" s="75">
        <v>0</v>
      </c>
      <c r="F61" s="36" t="e">
        <f>-HLOOKUP(C61,idc_table1,IDC!$AP$28+1)+HLOOKUP(C60,idc_table1,IDC!$AP$28+1)</f>
        <v>#REF!</v>
      </c>
      <c r="G61" s="36" t="e">
        <f t="shared" si="14"/>
        <v>#REF!</v>
      </c>
      <c r="H61" s="37" t="e">
        <f t="shared" si="15"/>
        <v>#REF!</v>
      </c>
      <c r="I61" s="5"/>
    </row>
    <row r="62" spans="1:9" x14ac:dyDescent="0.25">
      <c r="A62" s="4"/>
      <c r="B62" s="5"/>
      <c r="C62" s="5">
        <f t="shared" si="16"/>
        <v>39</v>
      </c>
      <c r="D62" s="36" t="e">
        <f t="shared" si="13"/>
        <v>#REF!</v>
      </c>
      <c r="E62" s="75">
        <v>0</v>
      </c>
      <c r="F62" s="36" t="e">
        <f>-HLOOKUP(C62,idc_table1,IDC!$AP$28+1)+HLOOKUP(C61,idc_table1,IDC!$AP$28+1)</f>
        <v>#REF!</v>
      </c>
      <c r="G62" s="36" t="e">
        <f t="shared" si="14"/>
        <v>#REF!</v>
      </c>
      <c r="H62" s="37" t="e">
        <f t="shared" si="15"/>
        <v>#REF!</v>
      </c>
      <c r="I62" s="5"/>
    </row>
    <row r="63" spans="1:9" x14ac:dyDescent="0.25">
      <c r="A63" s="4"/>
      <c r="B63" s="5"/>
      <c r="C63" s="5">
        <f t="shared" si="16"/>
        <v>40</v>
      </c>
      <c r="D63" s="36" t="e">
        <f t="shared" si="13"/>
        <v>#REF!</v>
      </c>
      <c r="E63" s="75">
        <v>0</v>
      </c>
      <c r="F63" s="36" t="e">
        <f>-HLOOKUP(C63,idc_table1,IDC!$AP$28+1)+HLOOKUP(C62,idc_table1,IDC!$AP$28+1)</f>
        <v>#REF!</v>
      </c>
      <c r="G63" s="36" t="e">
        <f t="shared" si="14"/>
        <v>#REF!</v>
      </c>
      <c r="H63" s="37" t="e">
        <f t="shared" si="15"/>
        <v>#REF!</v>
      </c>
      <c r="I63" s="5"/>
    </row>
    <row r="64" spans="1:9" x14ac:dyDescent="0.25">
      <c r="A64" s="4"/>
      <c r="B64" s="5"/>
      <c r="C64" s="5">
        <f t="shared" si="16"/>
        <v>41</v>
      </c>
      <c r="D64" s="36" t="e">
        <f t="shared" si="13"/>
        <v>#REF!</v>
      </c>
      <c r="E64" s="75">
        <v>0</v>
      </c>
      <c r="F64" s="36" t="e">
        <f>-HLOOKUP(C64,idc_table1,IDC!$AP$28+1)+HLOOKUP(C63,idc_table1,IDC!$AP$28+1)</f>
        <v>#REF!</v>
      </c>
      <c r="G64" s="36" t="e">
        <f t="shared" si="14"/>
        <v>#REF!</v>
      </c>
      <c r="H64" s="37" t="e">
        <f t="shared" si="15"/>
        <v>#REF!</v>
      </c>
      <c r="I64" s="5"/>
    </row>
    <row r="65" spans="1:9" x14ac:dyDescent="0.25">
      <c r="A65" s="4"/>
      <c r="B65" s="5"/>
      <c r="C65" s="5">
        <f t="shared" si="16"/>
        <v>42</v>
      </c>
      <c r="D65" s="36" t="e">
        <f t="shared" si="13"/>
        <v>#REF!</v>
      </c>
      <c r="E65" s="75">
        <v>0</v>
      </c>
      <c r="F65" s="36" t="e">
        <f>-HLOOKUP(C65,idc_table1,IDC!$AP$28+1)+HLOOKUP(C64,idc_table1,IDC!$AP$28+1)</f>
        <v>#REF!</v>
      </c>
      <c r="G65" s="36" t="e">
        <f t="shared" si="14"/>
        <v>#REF!</v>
      </c>
      <c r="H65" s="37" t="e">
        <f t="shared" si="15"/>
        <v>#REF!</v>
      </c>
      <c r="I65" s="5"/>
    </row>
    <row r="66" spans="1:9" x14ac:dyDescent="0.25">
      <c r="A66" s="4"/>
      <c r="B66" s="5"/>
      <c r="C66" s="5">
        <f t="shared" si="16"/>
        <v>43</v>
      </c>
      <c r="D66" s="36" t="e">
        <f t="shared" si="13"/>
        <v>#REF!</v>
      </c>
      <c r="E66" s="75">
        <v>0</v>
      </c>
      <c r="F66" s="36" t="e">
        <f>-HLOOKUP(C66,idc_table1,IDC!$AP$28+1)+HLOOKUP(C65,idc_table1,IDC!$AP$28+1)</f>
        <v>#REF!</v>
      </c>
      <c r="G66" s="36" t="e">
        <f t="shared" si="14"/>
        <v>#REF!</v>
      </c>
      <c r="H66" s="37" t="e">
        <f t="shared" si="15"/>
        <v>#REF!</v>
      </c>
      <c r="I66" s="5"/>
    </row>
    <row r="67" spans="1:9" x14ac:dyDescent="0.25">
      <c r="A67" s="4"/>
      <c r="B67" s="5"/>
      <c r="C67" s="5">
        <f t="shared" si="16"/>
        <v>44</v>
      </c>
      <c r="D67" s="36" t="e">
        <f t="shared" si="13"/>
        <v>#REF!</v>
      </c>
      <c r="E67" s="75">
        <v>0</v>
      </c>
      <c r="F67" s="36" t="e">
        <f>-HLOOKUP(C67,idc_table1,IDC!$AP$28+1)+HLOOKUP(C66,idc_table1,IDC!$AP$28+1)</f>
        <v>#REF!</v>
      </c>
      <c r="G67" s="36" t="e">
        <f t="shared" si="14"/>
        <v>#REF!</v>
      </c>
      <c r="H67" s="37" t="e">
        <f t="shared" si="15"/>
        <v>#REF!</v>
      </c>
      <c r="I67" s="5"/>
    </row>
    <row r="68" spans="1:9" x14ac:dyDescent="0.25">
      <c r="A68" s="4"/>
      <c r="B68" s="5"/>
      <c r="C68" s="5">
        <f t="shared" si="16"/>
        <v>45</v>
      </c>
      <c r="D68" s="36" t="e">
        <f t="shared" si="13"/>
        <v>#REF!</v>
      </c>
      <c r="E68" s="75">
        <v>0</v>
      </c>
      <c r="F68" s="36" t="e">
        <f>-HLOOKUP(C68,idc_table1,IDC!$AP$28+1)+HLOOKUP(C67,idc_table1,IDC!$AP$28+1)</f>
        <v>#REF!</v>
      </c>
      <c r="G68" s="36" t="e">
        <f t="shared" si="14"/>
        <v>#REF!</v>
      </c>
      <c r="H68" s="37" t="e">
        <f t="shared" si="15"/>
        <v>#REF!</v>
      </c>
      <c r="I68" s="5"/>
    </row>
    <row r="69" spans="1:9" x14ac:dyDescent="0.25">
      <c r="A69" s="4"/>
      <c r="B69" s="5"/>
      <c r="C69" s="5">
        <f t="shared" si="16"/>
        <v>46</v>
      </c>
      <c r="D69" s="36" t="e">
        <f t="shared" si="13"/>
        <v>#REF!</v>
      </c>
      <c r="E69" s="75">
        <v>0</v>
      </c>
      <c r="F69" s="36" t="e">
        <f>-HLOOKUP(C69,idc_table1,IDC!$AP$28+1)+HLOOKUP(C68,idc_table1,IDC!$AP$28+1)</f>
        <v>#REF!</v>
      </c>
      <c r="G69" s="36" t="e">
        <f t="shared" si="14"/>
        <v>#REF!</v>
      </c>
      <c r="H69" s="37" t="e">
        <f t="shared" si="15"/>
        <v>#REF!</v>
      </c>
      <c r="I69" s="5"/>
    </row>
    <row r="70" spans="1:9" x14ac:dyDescent="0.25">
      <c r="A70" s="4"/>
      <c r="B70" s="5"/>
      <c r="C70" s="5">
        <f t="shared" si="16"/>
        <v>47</v>
      </c>
      <c r="D70" s="36" t="e">
        <f t="shared" si="13"/>
        <v>#REF!</v>
      </c>
      <c r="E70" s="75">
        <v>0</v>
      </c>
      <c r="F70" s="36" t="e">
        <f>-HLOOKUP(C70,idc_table1,IDC!$AP$28+1)+HLOOKUP(C69,idc_table1,IDC!$AP$28+1)</f>
        <v>#REF!</v>
      </c>
      <c r="G70" s="36" t="e">
        <f t="shared" si="14"/>
        <v>#REF!</v>
      </c>
      <c r="H70" s="37" t="e">
        <f t="shared" si="15"/>
        <v>#REF!</v>
      </c>
      <c r="I70" s="5"/>
    </row>
    <row r="71" spans="1:9" x14ac:dyDescent="0.25">
      <c r="A71" s="4"/>
      <c r="B71" s="5"/>
      <c r="C71" s="5">
        <f t="shared" si="16"/>
        <v>48</v>
      </c>
      <c r="D71" s="36" t="e">
        <f t="shared" si="13"/>
        <v>#REF!</v>
      </c>
      <c r="E71" s="75">
        <v>0</v>
      </c>
      <c r="F71" s="36" t="e">
        <f>-HLOOKUP(C71,idc_table1,IDC!$AP$28+1)+HLOOKUP(C70,idc_table1,IDC!$AP$28+1)</f>
        <v>#REF!</v>
      </c>
      <c r="G71" s="36" t="e">
        <f t="shared" si="14"/>
        <v>#REF!</v>
      </c>
      <c r="H71" s="37" t="e">
        <f t="shared" si="15"/>
        <v>#REF!</v>
      </c>
      <c r="I71" s="5"/>
    </row>
    <row r="72" spans="1:9" x14ac:dyDescent="0.25">
      <c r="A72" s="4"/>
      <c r="B72" s="5"/>
      <c r="C72" s="5">
        <f t="shared" si="16"/>
        <v>49</v>
      </c>
      <c r="D72" s="36" t="e">
        <f t="shared" si="13"/>
        <v>#REF!</v>
      </c>
      <c r="E72" s="75">
        <v>0</v>
      </c>
      <c r="F72" s="36" t="e">
        <f>-HLOOKUP(C72,idc_table1,IDC!$AP$28+1)+HLOOKUP(C71,idc_table1,IDC!$AP$28+1)</f>
        <v>#REF!</v>
      </c>
      <c r="G72" s="36" t="e">
        <f t="shared" si="14"/>
        <v>#REF!</v>
      </c>
      <c r="H72" s="37" t="e">
        <f t="shared" si="15"/>
        <v>#REF!</v>
      </c>
      <c r="I72" s="5"/>
    </row>
    <row r="73" spans="1:9" x14ac:dyDescent="0.25">
      <c r="A73" s="4"/>
      <c r="B73" s="5"/>
      <c r="C73" s="5">
        <f t="shared" si="16"/>
        <v>50</v>
      </c>
      <c r="D73" s="36" t="e">
        <f t="shared" si="13"/>
        <v>#REF!</v>
      </c>
      <c r="E73" s="75">
        <v>0</v>
      </c>
      <c r="F73" s="36" t="e">
        <f>-HLOOKUP(C73,idc_table1,IDC!$AP$28+1)+HLOOKUP(C72,idc_table1,IDC!$AP$28+1)</f>
        <v>#REF!</v>
      </c>
      <c r="G73" s="36" t="e">
        <f t="shared" ref="G73:G83" si="17">SUM(D73:F73)</f>
        <v>#REF!</v>
      </c>
      <c r="H73" s="37" t="e">
        <f t="shared" ref="H73:H83" si="18">$B$24*(D73+E73)/12</f>
        <v>#REF!</v>
      </c>
      <c r="I73" s="5"/>
    </row>
    <row r="74" spans="1:9" x14ac:dyDescent="0.25">
      <c r="A74" s="4"/>
      <c r="B74" s="5"/>
      <c r="C74" s="5">
        <f t="shared" ref="C74:C83" si="19">C73+1</f>
        <v>51</v>
      </c>
      <c r="D74" s="36" t="e">
        <f t="shared" si="13"/>
        <v>#REF!</v>
      </c>
      <c r="E74" s="75">
        <v>0</v>
      </c>
      <c r="F74" s="36" t="e">
        <f>-HLOOKUP(C74,idc_table1,IDC!$AP$28+1)+HLOOKUP(C73,idc_table1,IDC!$AP$28+1)</f>
        <v>#REF!</v>
      </c>
      <c r="G74" s="36" t="e">
        <f t="shared" si="17"/>
        <v>#REF!</v>
      </c>
      <c r="H74" s="37" t="e">
        <f t="shared" si="18"/>
        <v>#REF!</v>
      </c>
      <c r="I74" s="5"/>
    </row>
    <row r="75" spans="1:9" x14ac:dyDescent="0.25">
      <c r="A75" s="4"/>
      <c r="B75" s="5"/>
      <c r="C75" s="5">
        <f t="shared" si="19"/>
        <v>52</v>
      </c>
      <c r="D75" s="36" t="e">
        <f t="shared" si="13"/>
        <v>#REF!</v>
      </c>
      <c r="E75" s="75">
        <v>0</v>
      </c>
      <c r="F75" s="36" t="e">
        <f>-HLOOKUP(C75,idc_table1,IDC!$AP$28+1)+HLOOKUP(C74,idc_table1,IDC!$AP$28+1)</f>
        <v>#REF!</v>
      </c>
      <c r="G75" s="36" t="e">
        <f t="shared" si="17"/>
        <v>#REF!</v>
      </c>
      <c r="H75" s="37" t="e">
        <f t="shared" si="18"/>
        <v>#REF!</v>
      </c>
      <c r="I75" s="5"/>
    </row>
    <row r="76" spans="1:9" x14ac:dyDescent="0.25">
      <c r="A76" s="4"/>
      <c r="B76" s="5"/>
      <c r="C76" s="5">
        <f t="shared" si="19"/>
        <v>53</v>
      </c>
      <c r="D76" s="36" t="e">
        <f t="shared" si="13"/>
        <v>#REF!</v>
      </c>
      <c r="E76" s="75">
        <v>0</v>
      </c>
      <c r="F76" s="36" t="e">
        <f>-HLOOKUP(C76,idc_table1,IDC!$AP$28+1)+HLOOKUP(C75,idc_table1,IDC!$AP$28+1)</f>
        <v>#REF!</v>
      </c>
      <c r="G76" s="36" t="e">
        <f t="shared" si="17"/>
        <v>#REF!</v>
      </c>
      <c r="H76" s="37" t="e">
        <f t="shared" si="18"/>
        <v>#REF!</v>
      </c>
      <c r="I76" s="5"/>
    </row>
    <row r="77" spans="1:9" x14ac:dyDescent="0.25">
      <c r="A77" s="4"/>
      <c r="B77" s="5"/>
      <c r="C77" s="5">
        <f t="shared" si="19"/>
        <v>54</v>
      </c>
      <c r="D77" s="36" t="e">
        <f t="shared" si="13"/>
        <v>#REF!</v>
      </c>
      <c r="E77" s="75">
        <v>0</v>
      </c>
      <c r="F77" s="36" t="e">
        <f>-HLOOKUP(C77,idc_table1,IDC!$AP$28+1)+HLOOKUP(C76,idc_table1,IDC!$AP$28+1)</f>
        <v>#REF!</v>
      </c>
      <c r="G77" s="36" t="e">
        <f t="shared" si="17"/>
        <v>#REF!</v>
      </c>
      <c r="H77" s="37" t="e">
        <f t="shared" si="18"/>
        <v>#REF!</v>
      </c>
      <c r="I77" s="5"/>
    </row>
    <row r="78" spans="1:9" x14ac:dyDescent="0.25">
      <c r="A78" s="4"/>
      <c r="B78" s="5"/>
      <c r="C78" s="5">
        <f t="shared" si="19"/>
        <v>55</v>
      </c>
      <c r="D78" s="36" t="e">
        <f t="shared" si="13"/>
        <v>#REF!</v>
      </c>
      <c r="E78" s="75">
        <v>0</v>
      </c>
      <c r="F78" s="36" t="e">
        <f>-HLOOKUP(C78,idc_table1,IDC!$AP$28+1)+HLOOKUP(C77,idc_table1,IDC!$AP$28+1)</f>
        <v>#REF!</v>
      </c>
      <c r="G78" s="36" t="e">
        <f t="shared" si="17"/>
        <v>#REF!</v>
      </c>
      <c r="H78" s="37" t="e">
        <f t="shared" si="18"/>
        <v>#REF!</v>
      </c>
      <c r="I78" s="5"/>
    </row>
    <row r="79" spans="1:9" x14ac:dyDescent="0.25">
      <c r="A79" s="4"/>
      <c r="B79" s="5"/>
      <c r="C79" s="5">
        <f t="shared" si="19"/>
        <v>56</v>
      </c>
      <c r="D79" s="36" t="e">
        <f t="shared" si="13"/>
        <v>#REF!</v>
      </c>
      <c r="E79" s="75">
        <v>0</v>
      </c>
      <c r="F79" s="36" t="e">
        <f>-HLOOKUP(C79,idc_table1,IDC!$AP$28+1)+HLOOKUP(C78,idc_table1,IDC!$AP$28+1)</f>
        <v>#REF!</v>
      </c>
      <c r="G79" s="36" t="e">
        <f t="shared" si="17"/>
        <v>#REF!</v>
      </c>
      <c r="H79" s="37" t="e">
        <f t="shared" si="18"/>
        <v>#REF!</v>
      </c>
      <c r="I79" s="5"/>
    </row>
    <row r="80" spans="1:9" x14ac:dyDescent="0.25">
      <c r="A80" s="4"/>
      <c r="B80" s="5"/>
      <c r="C80" s="5">
        <f t="shared" si="19"/>
        <v>57</v>
      </c>
      <c r="D80" s="36" t="e">
        <f t="shared" si="13"/>
        <v>#REF!</v>
      </c>
      <c r="E80" s="75">
        <v>0</v>
      </c>
      <c r="F80" s="36" t="e">
        <f>-HLOOKUP(C80,idc_table1,IDC!$AP$28+1)+HLOOKUP(C79,idc_table1,IDC!$AP$28+1)</f>
        <v>#REF!</v>
      </c>
      <c r="G80" s="36" t="e">
        <f t="shared" si="17"/>
        <v>#REF!</v>
      </c>
      <c r="H80" s="37" t="e">
        <f t="shared" si="18"/>
        <v>#REF!</v>
      </c>
      <c r="I80" s="5"/>
    </row>
    <row r="81" spans="1:9" x14ac:dyDescent="0.25">
      <c r="A81" s="4"/>
      <c r="B81" s="5"/>
      <c r="C81" s="5">
        <f t="shared" si="19"/>
        <v>58</v>
      </c>
      <c r="D81" s="36" t="e">
        <f t="shared" si="13"/>
        <v>#REF!</v>
      </c>
      <c r="E81" s="75">
        <v>0</v>
      </c>
      <c r="F81" s="36" t="e">
        <f>-HLOOKUP(C81,idc_table1,IDC!$AP$28+1)+HLOOKUP(C80,idc_table1,IDC!$AP$28+1)</f>
        <v>#REF!</v>
      </c>
      <c r="G81" s="36" t="e">
        <f t="shared" si="17"/>
        <v>#REF!</v>
      </c>
      <c r="H81" s="37" t="e">
        <f t="shared" si="18"/>
        <v>#REF!</v>
      </c>
      <c r="I81" s="5"/>
    </row>
    <row r="82" spans="1:9" x14ac:dyDescent="0.25">
      <c r="A82" s="4"/>
      <c r="B82" s="5"/>
      <c r="C82" s="5">
        <f t="shared" si="19"/>
        <v>59</v>
      </c>
      <c r="D82" s="36" t="e">
        <f t="shared" si="13"/>
        <v>#REF!</v>
      </c>
      <c r="E82" s="75">
        <v>0</v>
      </c>
      <c r="F82" s="36" t="e">
        <f>-HLOOKUP(C82,idc_table1,IDC!$AP$28+1)+HLOOKUP(C81,idc_table1,IDC!$AP$28+1)</f>
        <v>#REF!</v>
      </c>
      <c r="G82" s="36" t="e">
        <f t="shared" si="17"/>
        <v>#REF!</v>
      </c>
      <c r="H82" s="37" t="e">
        <f t="shared" si="18"/>
        <v>#REF!</v>
      </c>
      <c r="I82" s="5"/>
    </row>
    <row r="83" spans="1:9" ht="13.8" thickBot="1" x14ac:dyDescent="0.3">
      <c r="A83" s="4"/>
      <c r="B83" s="5"/>
      <c r="C83" s="5">
        <f t="shared" si="19"/>
        <v>60</v>
      </c>
      <c r="D83" s="36" t="e">
        <f t="shared" si="13"/>
        <v>#REF!</v>
      </c>
      <c r="E83" s="75">
        <v>0</v>
      </c>
      <c r="F83" s="36" t="e">
        <f>-HLOOKUP(C83,idc_table1,IDC!$AP$28+1)+HLOOKUP(C82,idc_table1,IDC!$AP$28+1)</f>
        <v>#REF!</v>
      </c>
      <c r="G83" s="36" t="e">
        <f t="shared" si="17"/>
        <v>#REF!</v>
      </c>
      <c r="H83" s="37" t="e">
        <f t="shared" si="18"/>
        <v>#REF!</v>
      </c>
      <c r="I83" s="5"/>
    </row>
    <row r="84" spans="1:9" ht="14.4" thickTop="1" thickBot="1" x14ac:dyDescent="0.3">
      <c r="A84" s="302"/>
      <c r="B84" s="303"/>
      <c r="C84" s="303"/>
      <c r="D84" s="303"/>
      <c r="E84" s="304" t="e">
        <f>SUM(E24:E83)</f>
        <v>#REF!</v>
      </c>
      <c r="F84" s="304" t="e">
        <f>SUM(F24:F83)</f>
        <v>#REF!</v>
      </c>
      <c r="G84" s="303"/>
      <c r="H84" s="305" t="e">
        <f>SUM(H24:H83)</f>
        <v>#REF!</v>
      </c>
    </row>
    <row r="85" spans="1:9" ht="13.8" thickTop="1" x14ac:dyDescent="0.25"/>
  </sheetData>
  <printOptions horizontalCentered="1"/>
  <pageMargins left="0.5" right="1" top="0.75" bottom="0.75" header="0.5" footer="0.5"/>
  <pageSetup scale="36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G53"/>
  <sheetViews>
    <sheetView topLeftCell="A31" workbookViewId="0">
      <selection activeCell="N31" sqref="N31"/>
    </sheetView>
  </sheetViews>
  <sheetFormatPr defaultColWidth="9.109375" defaultRowHeight="13.2" x14ac:dyDescent="0.25"/>
  <cols>
    <col min="1" max="1" width="3.6640625" style="1" customWidth="1"/>
    <col min="2" max="2" width="25.109375" style="1" customWidth="1"/>
    <col min="3" max="25" width="9.109375" style="1"/>
    <col min="26" max="31" width="9" style="1" customWidth="1"/>
    <col min="32" max="16384" width="9.109375" style="1"/>
  </cols>
  <sheetData>
    <row r="1" spans="1:33" ht="15.6" x14ac:dyDescent="0.3">
      <c r="A1" s="281" t="s">
        <v>315</v>
      </c>
      <c r="B1" s="306"/>
      <c r="C1" s="307"/>
      <c r="D1"/>
    </row>
    <row r="2" spans="1:33" ht="15.6" x14ac:dyDescent="0.3">
      <c r="A2" s="284">
        <f>ASS!A4</f>
        <v>0</v>
      </c>
      <c r="B2" s="308"/>
      <c r="C2" s="309"/>
      <c r="D2"/>
    </row>
    <row r="3" spans="1:33" ht="15.6" x14ac:dyDescent="0.3">
      <c r="A3" s="287" t="str">
        <f>ASS!A5</f>
        <v>BASE MODEL</v>
      </c>
      <c r="B3" s="310"/>
      <c r="C3" s="311"/>
      <c r="D3"/>
      <c r="F3" s="388" t="s">
        <v>422</v>
      </c>
      <c r="G3" s="458" t="s">
        <v>423</v>
      </c>
    </row>
    <row r="4" spans="1:33" ht="13.8" thickBot="1" x14ac:dyDescent="0.3"/>
    <row r="5" spans="1:33" ht="13.8" thickTop="1" x14ac:dyDescent="0.25">
      <c r="A5" s="25"/>
      <c r="B5" s="26"/>
      <c r="C5" s="385" t="s">
        <v>316</v>
      </c>
      <c r="D5" s="385" t="s">
        <v>317</v>
      </c>
      <c r="E5" s="386" t="s">
        <v>318</v>
      </c>
    </row>
    <row r="6" spans="1:33" x14ac:dyDescent="0.25">
      <c r="A6" s="27" t="s">
        <v>319</v>
      </c>
      <c r="B6" s="5"/>
      <c r="C6" s="36" t="e">
        <f>COST</f>
        <v>#REF!</v>
      </c>
      <c r="D6" s="36" t="e">
        <f t="shared" ref="D6:E9" si="0">C6</f>
        <v>#REF!</v>
      </c>
      <c r="E6" s="362" t="e">
        <f t="shared" si="0"/>
        <v>#REF!</v>
      </c>
    </row>
    <row r="7" spans="1:33" ht="13.8" thickBot="1" x14ac:dyDescent="0.3">
      <c r="A7" s="27" t="s">
        <v>320</v>
      </c>
      <c r="B7" s="5"/>
      <c r="C7" s="36" t="e">
        <f>-ASS!#REF!-ASS!#REF!-ASS!R48</f>
        <v>#REF!</v>
      </c>
      <c r="D7" s="36" t="e">
        <f t="shared" si="0"/>
        <v>#REF!</v>
      </c>
      <c r="E7" s="362" t="e">
        <f t="shared" si="0"/>
        <v>#REF!</v>
      </c>
    </row>
    <row r="8" spans="1:33" x14ac:dyDescent="0.25">
      <c r="A8" s="27" t="s">
        <v>321</v>
      </c>
      <c r="B8" s="5"/>
      <c r="C8" s="36">
        <f>-SPARES</f>
        <v>0</v>
      </c>
      <c r="D8" s="36">
        <f t="shared" si="0"/>
        <v>0</v>
      </c>
      <c r="E8" s="36">
        <f t="shared" si="0"/>
        <v>0</v>
      </c>
      <c r="F8" s="484" t="s">
        <v>436</v>
      </c>
      <c r="G8" s="485"/>
      <c r="H8" s="485"/>
      <c r="I8" s="485"/>
      <c r="J8" s="485"/>
      <c r="K8" s="485"/>
      <c r="L8" s="485"/>
      <c r="M8" s="485"/>
      <c r="N8" s="485"/>
      <c r="O8" s="485"/>
      <c r="P8" s="485"/>
      <c r="Q8" s="485"/>
      <c r="R8" s="485"/>
      <c r="S8" s="485"/>
      <c r="T8" s="485"/>
      <c r="U8" s="485"/>
      <c r="V8" s="485"/>
      <c r="W8" s="485"/>
      <c r="X8" s="485"/>
      <c r="Y8" s="485"/>
      <c r="Z8" s="485"/>
      <c r="AA8" s="485"/>
      <c r="AB8" s="485"/>
      <c r="AC8" s="485"/>
      <c r="AD8" s="485"/>
      <c r="AE8" s="486"/>
    </row>
    <row r="9" spans="1:33" ht="13.8" thickBot="1" x14ac:dyDescent="0.3">
      <c r="A9" s="27" t="s">
        <v>322</v>
      </c>
      <c r="B9" s="5"/>
      <c r="C9" s="39">
        <f>-WCAP</f>
        <v>0</v>
      </c>
      <c r="D9" s="39">
        <f t="shared" si="0"/>
        <v>0</v>
      </c>
      <c r="E9" s="197">
        <f t="shared" si="0"/>
        <v>0</v>
      </c>
      <c r="F9" s="487">
        <v>3.7499999999999999E-2</v>
      </c>
      <c r="G9" s="488">
        <v>7.2190000000000004E-2</v>
      </c>
      <c r="H9" s="488">
        <v>6.6669999999999993E-2</v>
      </c>
      <c r="I9" s="488">
        <v>6.1769999999999999E-2</v>
      </c>
      <c r="J9" s="488">
        <v>5.713E-2</v>
      </c>
      <c r="K9" s="488">
        <v>5.2850000000000001E-2</v>
      </c>
      <c r="L9" s="488">
        <v>4.888E-2</v>
      </c>
      <c r="M9" s="488">
        <v>4.5220000000000003E-2</v>
      </c>
      <c r="N9" s="488">
        <v>4.462E-2</v>
      </c>
      <c r="O9" s="488">
        <v>4.4609999999999997E-2</v>
      </c>
      <c r="P9" s="488">
        <v>4.462E-2</v>
      </c>
      <c r="Q9" s="488">
        <v>4.4609999999999997E-2</v>
      </c>
      <c r="R9" s="488">
        <v>4.462E-2</v>
      </c>
      <c r="S9" s="488">
        <v>4.4609999999999997E-2</v>
      </c>
      <c r="T9" s="488">
        <v>4.462E-2</v>
      </c>
      <c r="U9" s="488">
        <v>4.4609999999999997E-2</v>
      </c>
      <c r="V9" s="488">
        <v>4.462E-2</v>
      </c>
      <c r="W9" s="488">
        <v>4.4609999999999997E-2</v>
      </c>
      <c r="X9" s="488">
        <v>4.462E-2</v>
      </c>
      <c r="Y9" s="488">
        <v>4.4609999999999997E-2</v>
      </c>
      <c r="Z9" s="488">
        <v>2.231E-2</v>
      </c>
      <c r="AA9" s="489"/>
      <c r="AB9" s="489"/>
      <c r="AC9" s="489"/>
      <c r="AD9" s="489"/>
      <c r="AE9" s="490"/>
    </row>
    <row r="10" spans="1:33" ht="13.8" thickBot="1" x14ac:dyDescent="0.3">
      <c r="A10" s="28" t="s">
        <v>323</v>
      </c>
      <c r="B10" s="29"/>
      <c r="C10" s="363" t="e">
        <f>SUM(C6:C9)</f>
        <v>#REF!</v>
      </c>
      <c r="D10" s="363" t="e">
        <f>SUM(D6:D9)</f>
        <v>#REF!</v>
      </c>
      <c r="E10" s="364" t="e">
        <f>SUM(E6:E9)</f>
        <v>#REF!</v>
      </c>
      <c r="F10" s="457">
        <f>F14/12*F9</f>
        <v>2.1875000000000002E-2</v>
      </c>
      <c r="G10" s="457">
        <f t="shared" ref="G10:Z10" si="1">IF($F$14=12,G9,(12-$F$14)/12*F9+($F$14)/12*G9)</f>
        <v>5.773583333333334E-2</v>
      </c>
      <c r="H10" s="457">
        <f t="shared" si="1"/>
        <v>6.8970000000000004E-2</v>
      </c>
      <c r="I10" s="457">
        <f t="shared" si="1"/>
        <v>6.3811666666666669E-2</v>
      </c>
      <c r="J10" s="457">
        <f t="shared" si="1"/>
        <v>5.9063333333333329E-2</v>
      </c>
      <c r="K10" s="457">
        <f t="shared" si="1"/>
        <v>5.4633333333333339E-2</v>
      </c>
      <c r="L10" s="457">
        <f t="shared" si="1"/>
        <v>5.0534166666666672E-2</v>
      </c>
      <c r="M10" s="457">
        <f t="shared" si="1"/>
        <v>4.6745000000000009E-2</v>
      </c>
      <c r="N10" s="457">
        <f t="shared" si="1"/>
        <v>4.4870000000000007E-2</v>
      </c>
      <c r="O10" s="457">
        <f t="shared" si="1"/>
        <v>4.4614166666666663E-2</v>
      </c>
      <c r="P10" s="457">
        <f t="shared" si="1"/>
        <v>4.4615833333333334E-2</v>
      </c>
      <c r="Q10" s="457">
        <f t="shared" si="1"/>
        <v>4.4614166666666663E-2</v>
      </c>
      <c r="R10" s="457">
        <f t="shared" si="1"/>
        <v>4.4615833333333334E-2</v>
      </c>
      <c r="S10" s="457">
        <f t="shared" si="1"/>
        <v>4.4614166666666663E-2</v>
      </c>
      <c r="T10" s="457">
        <f t="shared" si="1"/>
        <v>4.4615833333333334E-2</v>
      </c>
      <c r="U10" s="457">
        <f t="shared" si="1"/>
        <v>4.4614166666666663E-2</v>
      </c>
      <c r="V10" s="457">
        <f t="shared" si="1"/>
        <v>4.4615833333333334E-2</v>
      </c>
      <c r="W10" s="457">
        <f t="shared" si="1"/>
        <v>4.4614166666666663E-2</v>
      </c>
      <c r="X10" s="457">
        <f t="shared" si="1"/>
        <v>4.4615833333333334E-2</v>
      </c>
      <c r="Y10" s="457">
        <f t="shared" si="1"/>
        <v>4.4614166666666663E-2</v>
      </c>
      <c r="Z10" s="457">
        <f t="shared" si="1"/>
        <v>3.1601666666666667E-2</v>
      </c>
      <c r="AA10" s="457">
        <f>1-(SUM(F10:Z10))</f>
        <v>9.3958333333337141E-3</v>
      </c>
      <c r="AB10" s="456">
        <v>0</v>
      </c>
      <c r="AC10" s="456">
        <v>0</v>
      </c>
      <c r="AD10" s="456">
        <v>0</v>
      </c>
      <c r="AE10" s="456">
        <v>0</v>
      </c>
    </row>
    <row r="11" spans="1:33" ht="13.8" thickTop="1" x14ac:dyDescent="0.25">
      <c r="F11" s="457"/>
      <c r="G11" s="457"/>
      <c r="H11" s="457"/>
      <c r="I11" s="457"/>
      <c r="J11" s="457"/>
      <c r="K11" s="457"/>
      <c r="L11" s="457"/>
      <c r="M11" s="457"/>
      <c r="N11" s="457"/>
      <c r="O11" s="457"/>
      <c r="P11" s="457"/>
      <c r="Q11" s="457"/>
      <c r="R11" s="457"/>
      <c r="S11" s="457"/>
      <c r="T11" s="457"/>
      <c r="U11" s="457"/>
      <c r="V11" s="457"/>
      <c r="W11" s="457"/>
      <c r="X11" s="457"/>
      <c r="Y11" s="457"/>
      <c r="Z11" s="457"/>
      <c r="AA11" s="456"/>
      <c r="AB11" s="456"/>
      <c r="AC11" s="456"/>
      <c r="AD11" s="456"/>
      <c r="AE11" s="456"/>
    </row>
    <row r="12" spans="1:33" x14ac:dyDescent="0.25">
      <c r="A12" s="15" t="s">
        <v>173</v>
      </c>
      <c r="B12" s="2"/>
      <c r="C12" s="2"/>
      <c r="D12" s="2"/>
      <c r="E12" s="2"/>
      <c r="F12" s="2">
        <v>1</v>
      </c>
      <c r="G12" s="2">
        <f>F12+1</f>
        <v>2</v>
      </c>
      <c r="H12" s="2">
        <f t="shared" ref="H12:W12" si="2">G12+1</f>
        <v>3</v>
      </c>
      <c r="I12" s="2">
        <f t="shared" si="2"/>
        <v>4</v>
      </c>
      <c r="J12" s="2">
        <f t="shared" si="2"/>
        <v>5</v>
      </c>
      <c r="K12" s="2">
        <f t="shared" si="2"/>
        <v>6</v>
      </c>
      <c r="L12" s="2">
        <f t="shared" si="2"/>
        <v>7</v>
      </c>
      <c r="M12" s="2">
        <f t="shared" si="2"/>
        <v>8</v>
      </c>
      <c r="N12" s="2">
        <f t="shared" si="2"/>
        <v>9</v>
      </c>
      <c r="O12" s="2">
        <f t="shared" si="2"/>
        <v>10</v>
      </c>
      <c r="P12" s="2">
        <f t="shared" si="2"/>
        <v>11</v>
      </c>
      <c r="Q12" s="2">
        <f t="shared" si="2"/>
        <v>12</v>
      </c>
      <c r="R12" s="2">
        <f t="shared" si="2"/>
        <v>13</v>
      </c>
      <c r="S12" s="2">
        <f t="shared" si="2"/>
        <v>14</v>
      </c>
      <c r="T12" s="2">
        <f t="shared" si="2"/>
        <v>15</v>
      </c>
      <c r="U12" s="2">
        <f t="shared" si="2"/>
        <v>16</v>
      </c>
      <c r="V12" s="2">
        <f t="shared" si="2"/>
        <v>17</v>
      </c>
      <c r="W12" s="2">
        <f t="shared" si="2"/>
        <v>18</v>
      </c>
      <c r="X12" s="2">
        <f t="shared" ref="X12:AE12" si="3">W12+1</f>
        <v>19</v>
      </c>
      <c r="Y12" s="2">
        <f t="shared" si="3"/>
        <v>20</v>
      </c>
      <c r="Z12" s="2">
        <f t="shared" si="3"/>
        <v>21</v>
      </c>
      <c r="AA12" s="2">
        <f t="shared" si="3"/>
        <v>22</v>
      </c>
      <c r="AB12" s="2">
        <f t="shared" si="3"/>
        <v>23</v>
      </c>
      <c r="AC12" s="2">
        <f t="shared" si="3"/>
        <v>24</v>
      </c>
      <c r="AD12" s="2">
        <f t="shared" si="3"/>
        <v>25</v>
      </c>
      <c r="AE12" s="3">
        <f t="shared" si="3"/>
        <v>26</v>
      </c>
      <c r="AF12" s="22"/>
    </row>
    <row r="13" spans="1:33" x14ac:dyDescent="0.25">
      <c r="A13" s="312" t="s">
        <v>174</v>
      </c>
      <c r="B13" s="5"/>
      <c r="C13" s="5"/>
      <c r="D13" s="5"/>
      <c r="E13" s="5"/>
      <c r="F13" s="17">
        <f>CF!D6</f>
        <v>2001</v>
      </c>
      <c r="G13" s="17">
        <f>CF!E6</f>
        <v>2002</v>
      </c>
      <c r="H13" s="17">
        <f>CF!F6</f>
        <v>2003</v>
      </c>
      <c r="I13" s="17">
        <f>CF!G6</f>
        <v>2004</v>
      </c>
      <c r="J13" s="17">
        <f>CF!H6</f>
        <v>2005</v>
      </c>
      <c r="K13" s="17">
        <f>CF!I6</f>
        <v>2006</v>
      </c>
      <c r="L13" s="17">
        <f>CF!J6</f>
        <v>2007</v>
      </c>
      <c r="M13" s="17">
        <f>CF!K6</f>
        <v>2008</v>
      </c>
      <c r="N13" s="17">
        <f>CF!L6</f>
        <v>2009</v>
      </c>
      <c r="O13" s="17">
        <f>CF!M6</f>
        <v>2010</v>
      </c>
      <c r="P13" s="17">
        <f>CF!N6</f>
        <v>2011</v>
      </c>
      <c r="Q13" s="17">
        <f>CF!O6</f>
        <v>2012</v>
      </c>
      <c r="R13" s="17">
        <f>CF!P6</f>
        <v>2013</v>
      </c>
      <c r="S13" s="17">
        <f>CF!Q6</f>
        <v>2014</v>
      </c>
      <c r="T13" s="17">
        <f>CF!R6</f>
        <v>2015</v>
      </c>
      <c r="U13" s="17">
        <f>CF!S6</f>
        <v>2016</v>
      </c>
      <c r="V13" s="17">
        <f>CF!T6</f>
        <v>2017</v>
      </c>
      <c r="W13" s="17">
        <f>CF!U6</f>
        <v>2018</v>
      </c>
      <c r="X13" s="17">
        <f>CF!V6</f>
        <v>2019</v>
      </c>
      <c r="Y13" s="17">
        <f>CF!W6</f>
        <v>2020</v>
      </c>
      <c r="Z13" s="17">
        <f>CF!X6</f>
        <v>2021</v>
      </c>
      <c r="AA13" s="17">
        <f>CF!Y6</f>
        <v>2022</v>
      </c>
      <c r="AB13" s="17">
        <f>CF!Z6</f>
        <v>2023</v>
      </c>
      <c r="AC13" s="17">
        <f>CF!AA6</f>
        <v>2024</v>
      </c>
      <c r="AD13" s="17">
        <f>CF!AB6</f>
        <v>2025</v>
      </c>
      <c r="AE13" s="313">
        <f>CF!AC6</f>
        <v>2026</v>
      </c>
      <c r="AF13" s="23" t="s">
        <v>276</v>
      </c>
    </row>
    <row r="14" spans="1:33" x14ac:dyDescent="0.25">
      <c r="A14" s="6" t="s">
        <v>176</v>
      </c>
      <c r="B14" s="7"/>
      <c r="C14" s="7"/>
      <c r="D14" s="7"/>
      <c r="E14" s="7"/>
      <c r="F14" s="7">
        <f>CF!D7</f>
        <v>7</v>
      </c>
      <c r="G14" s="7">
        <f>CF!E7</f>
        <v>12</v>
      </c>
      <c r="H14" s="7">
        <f>CF!F7</f>
        <v>12</v>
      </c>
      <c r="I14" s="7">
        <f>CF!G7</f>
        <v>12</v>
      </c>
      <c r="J14" s="7">
        <f>CF!H7</f>
        <v>12</v>
      </c>
      <c r="K14" s="7">
        <f>CF!I7</f>
        <v>12</v>
      </c>
      <c r="L14" s="7">
        <f>CF!J7</f>
        <v>12</v>
      </c>
      <c r="M14" s="7">
        <f>CF!K7</f>
        <v>12</v>
      </c>
      <c r="N14" s="7">
        <f>CF!L7</f>
        <v>12</v>
      </c>
      <c r="O14" s="7">
        <f>CF!M7</f>
        <v>12</v>
      </c>
      <c r="P14" s="7">
        <f>CF!N7</f>
        <v>12</v>
      </c>
      <c r="Q14" s="7">
        <f>CF!O7</f>
        <v>12</v>
      </c>
      <c r="R14" s="7">
        <f>CF!P7</f>
        <v>12</v>
      </c>
      <c r="S14" s="7">
        <f>CF!Q7</f>
        <v>12</v>
      </c>
      <c r="T14" s="7">
        <f>CF!R7</f>
        <v>12</v>
      </c>
      <c r="U14" s="7">
        <f>CF!S7</f>
        <v>12</v>
      </c>
      <c r="V14" s="7">
        <f>CF!T7</f>
        <v>12</v>
      </c>
      <c r="W14" s="7">
        <f>CF!U7</f>
        <v>12</v>
      </c>
      <c r="X14" s="7">
        <f>CF!V7</f>
        <v>12</v>
      </c>
      <c r="Y14" s="7">
        <f>CF!W7</f>
        <v>12</v>
      </c>
      <c r="Z14" s="7">
        <f>CF!X7</f>
        <v>12</v>
      </c>
      <c r="AA14" s="7">
        <f>CF!Y7</f>
        <v>12</v>
      </c>
      <c r="AB14" s="7">
        <f>CF!Z7</f>
        <v>12</v>
      </c>
      <c r="AC14" s="7">
        <f>CF!AA7</f>
        <v>12</v>
      </c>
      <c r="AD14" s="7">
        <f>CF!AB7</f>
        <v>12</v>
      </c>
      <c r="AE14" s="8">
        <f>CF!AC7</f>
        <v>0</v>
      </c>
      <c r="AF14" s="293"/>
    </row>
    <row r="15" spans="1:33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 x14ac:dyDescent="0.25">
      <c r="A16" s="9" t="s">
        <v>324</v>
      </c>
      <c r="B16" s="12"/>
      <c r="C16" s="12"/>
      <c r="D16" s="12"/>
      <c r="E16" s="30" t="s">
        <v>325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2"/>
      <c r="AG16" s="5"/>
    </row>
    <row r="17" spans="1:33" x14ac:dyDescent="0.25">
      <c r="A17" s="4" t="s">
        <v>326</v>
      </c>
      <c r="B17" s="5"/>
      <c r="C17" s="5"/>
      <c r="D17" s="5"/>
      <c r="E17" s="23" t="s">
        <v>327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21"/>
      <c r="AG17" s="5"/>
    </row>
    <row r="18" spans="1:33" x14ac:dyDescent="0.25">
      <c r="A18" s="4"/>
      <c r="B18" s="5" t="s">
        <v>73</v>
      </c>
      <c r="C18" s="5"/>
      <c r="D18" s="5"/>
      <c r="E18" s="38">
        <f>ASS!I19</f>
        <v>13000</v>
      </c>
      <c r="F18" s="388">
        <f>$E$18*F10</f>
        <v>284.375</v>
      </c>
      <c r="G18" s="458">
        <f t="shared" ref="G18:AE18" si="4">$E$18*G10</f>
        <v>750.56583333333344</v>
      </c>
      <c r="H18" s="36">
        <f t="shared" si="4"/>
        <v>896.61</v>
      </c>
      <c r="I18" s="36">
        <f t="shared" si="4"/>
        <v>829.55166666666673</v>
      </c>
      <c r="J18" s="36">
        <f t="shared" si="4"/>
        <v>767.82333333333327</v>
      </c>
      <c r="K18" s="36">
        <f t="shared" si="4"/>
        <v>710.23333333333346</v>
      </c>
      <c r="L18" s="36">
        <f t="shared" si="4"/>
        <v>656.94416666666677</v>
      </c>
      <c r="M18" s="36">
        <f t="shared" si="4"/>
        <v>607.68500000000006</v>
      </c>
      <c r="N18" s="36">
        <f t="shared" si="4"/>
        <v>583.31000000000006</v>
      </c>
      <c r="O18" s="36">
        <f t="shared" si="4"/>
        <v>579.98416666666662</v>
      </c>
      <c r="P18" s="36">
        <f t="shared" si="4"/>
        <v>580.00583333333338</v>
      </c>
      <c r="Q18" s="36">
        <f t="shared" si="4"/>
        <v>579.98416666666662</v>
      </c>
      <c r="R18" s="36">
        <f t="shared" si="4"/>
        <v>580.00583333333338</v>
      </c>
      <c r="S18" s="36">
        <f t="shared" si="4"/>
        <v>579.98416666666662</v>
      </c>
      <c r="T18" s="36">
        <f t="shared" si="4"/>
        <v>580.00583333333338</v>
      </c>
      <c r="U18" s="36">
        <f t="shared" si="4"/>
        <v>579.98416666666662</v>
      </c>
      <c r="V18" s="36">
        <f t="shared" si="4"/>
        <v>580.00583333333338</v>
      </c>
      <c r="W18" s="36">
        <f t="shared" si="4"/>
        <v>579.98416666666662</v>
      </c>
      <c r="X18" s="36">
        <f t="shared" si="4"/>
        <v>580.00583333333338</v>
      </c>
      <c r="Y18" s="36">
        <f t="shared" si="4"/>
        <v>579.98416666666662</v>
      </c>
      <c r="Z18" s="36">
        <f t="shared" si="4"/>
        <v>410.82166666666666</v>
      </c>
      <c r="AA18" s="36">
        <f t="shared" si="4"/>
        <v>122.14583333333829</v>
      </c>
      <c r="AB18" s="36">
        <f t="shared" si="4"/>
        <v>0</v>
      </c>
      <c r="AC18" s="36">
        <f t="shared" si="4"/>
        <v>0</v>
      </c>
      <c r="AD18" s="36">
        <f t="shared" si="4"/>
        <v>0</v>
      </c>
      <c r="AE18" s="36">
        <f t="shared" si="4"/>
        <v>0</v>
      </c>
      <c r="AF18" s="38">
        <f>SUM(F18:AE18)</f>
        <v>13000.000000000005</v>
      </c>
      <c r="AG18" s="5"/>
    </row>
    <row r="19" spans="1:33" x14ac:dyDescent="0.25">
      <c r="A19" s="4"/>
      <c r="B19" s="5" t="s">
        <v>78</v>
      </c>
      <c r="C19" s="5"/>
      <c r="D19" s="5"/>
      <c r="E19" s="38">
        <f>ASS!$I20</f>
        <v>0</v>
      </c>
      <c r="F19" s="36">
        <f>IF(ASS!$J$20=0, 0, IF(F12&lt;ASS!$J$20+1, SLN(ASS!$I$20,0,ASS!$J$20)*F14/12, IF(F12=ASS!$J$20+1, SLN(ASS!$I$20,0,ASS!$J$20)*(12-F14)/12, 0)))</f>
        <v>0</v>
      </c>
      <c r="G19" s="36">
        <f>IF(ASS!$J$20=0, 0, IF(G12=TERM,$E$19-SUM($F$19:F19),IF(G12&gt;TERM,0,IF(G12&lt;ASS!$J$20+1, SLN(ASS!$I$20,0,ASS!$J$20)*G14/12, IF(G12=ASS!$J$20+1, SLN(ASS!$I$20,0,ASS!$J$20)*(12-G14)/12, 0)))))</f>
        <v>0</v>
      </c>
      <c r="H19" s="36">
        <f>IF(ASS!$J$20=0, 0, IF(H12=TERM,$E$19-SUM($F$19:G19),IF(H12&gt;TERM,0,IF(H12&lt;ASS!$J$20+1, SLN(ASS!$I$20,0,ASS!$J$20)*H14/12, IF(H12=ASS!$J$20+1, SLN(ASS!$I$20,0,ASS!$J$20)*(12-H14)/12, 0)))))</f>
        <v>0</v>
      </c>
      <c r="I19" s="36">
        <f>IF(ASS!$J$20=0, 0, IF(I12=TERM,$E$19-SUM($F$19:H19),IF(I12&gt;TERM,0,IF(I12&lt;ASS!$J$20+1, SLN(ASS!$I$20,0,ASS!$J$20)*I14/12, IF(I12=ASS!$J$20+1, SLN(ASS!$I$20,0,ASS!$J$20)*(12-I14)/12, 0)))))</f>
        <v>0</v>
      </c>
      <c r="J19" s="36">
        <f>IF(ASS!$J$20=0, 0, IF(J12=TERM,$E$19-SUM($F$19:I19),IF(J12&gt;TERM,0,IF(J12&lt;ASS!$J$20+1, SLN(ASS!$I$20,0,ASS!$J$20)*J14/12, IF(J12=ASS!$J$20+1, SLN(ASS!$I$20,0,ASS!$J$20)*(12-J14)/12, 0)))))</f>
        <v>0</v>
      </c>
      <c r="K19" s="36">
        <f>IF(ASS!$J$20=0, 0, IF(K12=TERM,$E$19-SUM($F$19:J19),IF(K12&gt;TERM,0,IF(K12&lt;ASS!$J$20+1, SLN(ASS!$I$20,0,ASS!$J$20)*K14/12, IF(K12=ASS!$J$20+1, SLN(ASS!$I$20,0,ASS!$J$20)*(12-K14)/12, 0)))))</f>
        <v>0</v>
      </c>
      <c r="L19" s="36">
        <f>IF(ASS!$J$20=0, 0, IF(L12=TERM,$E$19-SUM($F$19:K19),IF(L12&gt;TERM,0,IF(L12&lt;ASS!$J$20+1, SLN(ASS!$I$20,0,ASS!$J$20)*L14/12, IF(L12=ASS!$J$20+1, SLN(ASS!$I$20,0,ASS!$J$20)*(12-L14)/12, 0)))))</f>
        <v>0</v>
      </c>
      <c r="M19" s="36">
        <f>IF(ASS!$J$20=0, 0, IF(M12=TERM,$E$19-SUM($F$19:L19),IF(M12&gt;TERM,0,IF(M12&lt;ASS!$J$20+1, SLN(ASS!$I$20,0,ASS!$J$20)*M14/12, IF(M12=ASS!$J$20+1, SLN(ASS!$I$20,0,ASS!$J$20)*(12-M14)/12, 0)))))</f>
        <v>0</v>
      </c>
      <c r="N19" s="36">
        <f>IF(ASS!$J$20=0, 0, IF(N12=TERM,$E$19-SUM($F$19:M19),IF(N12&gt;TERM,0,IF(N12&lt;ASS!$J$20+1, SLN(ASS!$I$20,0,ASS!$J$20)*N14/12, IF(N12=ASS!$J$20+1, SLN(ASS!$I$20,0,ASS!$J$20)*(12-N14)/12, 0)))))</f>
        <v>0</v>
      </c>
      <c r="O19" s="36">
        <f>IF(ASS!$J$20=0, 0, IF(O12=TERM,$E$19-SUM($F$19:N19),IF(O12&gt;TERM,0,IF(O12&lt;ASS!$J$20+1, SLN(ASS!$I$20,0,ASS!$J$20)*O14/12, IF(O12=ASS!$J$20+1, SLN(ASS!$I$20,0,ASS!$J$20)*(12-O14)/12, 0)))))</f>
        <v>0</v>
      </c>
      <c r="P19" s="36">
        <f>IF(ASS!$J$20=0, 0, IF(P12=TERM,$E$19-SUM($F$19:O19),IF(P12&gt;TERM,0,IF(P12&lt;ASS!$J$20+1, SLN(ASS!$I$20,0,ASS!$J$20)*P14/12, IF(P12=ASS!$J$20+1, SLN(ASS!$I$20,0,ASS!$J$20)*(12-P14)/12, 0)))))</f>
        <v>0</v>
      </c>
      <c r="Q19" s="36">
        <f>IF(ASS!$J$20=0, 0, IF(Q12=TERM,$E$19-SUM($F$19:P19),IF(Q12&gt;TERM,0,IF(Q12&lt;ASS!$J$20+1, SLN(ASS!$I$20,0,ASS!$J$20)*Q14/12, IF(Q12=ASS!$J$20+1, SLN(ASS!$I$20,0,ASS!$J$20)*(12-Q14)/12, 0)))))</f>
        <v>0</v>
      </c>
      <c r="R19" s="36">
        <f>IF(ASS!$J$20=0, 0, IF(R12=TERM,$E$19-SUM($F$19:Q19),IF(R12&gt;TERM,0,IF(R12&lt;ASS!$J$20+1, SLN(ASS!$I$20,0,ASS!$J$20)*R14/12, IF(R12=ASS!$J$20+1, SLN(ASS!$I$20,0,ASS!$J$20)*(12-R14)/12, 0)))))</f>
        <v>0</v>
      </c>
      <c r="S19" s="36">
        <f>IF(ASS!$J$20=0, 0, IF(S12=TERM,$E$19-SUM($F$19:R19),IF(S12&gt;TERM,0,IF(S12&lt;ASS!$J$20+1, SLN(ASS!$I$20,0,ASS!$J$20)*S14/12, IF(S12=ASS!$J$20+1, SLN(ASS!$I$20,0,ASS!$J$20)*(12-S14)/12, 0)))))</f>
        <v>0</v>
      </c>
      <c r="T19" s="36">
        <f>IF(ASS!$J$20=0, 0, IF(T12=TERM,$E$19-SUM($F$19:S19),IF(T12&gt;TERM,0,IF(T12&lt;ASS!$J$20+1, SLN(ASS!$I$20,0,ASS!$J$20)*T14/12, IF(T12=ASS!$J$20+1, SLN(ASS!$I$20,0,ASS!$J$20)*(12-T14)/12, 0)))))</f>
        <v>0</v>
      </c>
      <c r="U19" s="36">
        <f>IF(ASS!$J$20=0, 0, IF(U12=TERM,$E$19-SUM($F$19:T19),IF(U12&gt;TERM,0,IF(U12&lt;ASS!$J$20+1, SLN(ASS!$I$20,0,ASS!$J$20)*U14/12, IF(U12=ASS!$J$20+1, SLN(ASS!$I$20,0,ASS!$J$20)*(12-U14)/12, 0)))))</f>
        <v>0</v>
      </c>
      <c r="V19" s="36">
        <f>IF(ASS!$J$20=0, 0, IF(V12=TERM,$E$19-SUM($F$19:U19),IF(V12&gt;TERM,0,IF(V12&lt;ASS!$J$20+1, SLN(ASS!$I$20,0,ASS!$J$20)*V14/12, IF(V12=ASS!$J$20+1, SLN(ASS!$I$20,0,ASS!$J$20)*(12-V14)/12, 0)))))</f>
        <v>0</v>
      </c>
      <c r="W19" s="36">
        <f>IF(ASS!$J$20=0, 0, IF(W12=TERM,$E$19-SUM($F$19:V19),IF(W12&gt;TERM,0,IF(W12&lt;ASS!$J$20+1, SLN(ASS!$I$20,0,ASS!$J$20)*W14/12, IF(W12=ASS!$J$20+1, SLN(ASS!$I$20,0,ASS!$J$20)*(12-W14)/12, 0)))))</f>
        <v>0</v>
      </c>
      <c r="X19" s="36">
        <f>IF(ASS!$J$20=0, 0, IF(X12=TERM,$E$19-SUM($F$19:W19),IF(X12&gt;TERM,0,IF(X12&lt;ASS!$J$20+1, SLN(ASS!$I$20,0,ASS!$J$20)*X14/12, IF(X12=ASS!$J$20+1, SLN(ASS!$I$20,0,ASS!$J$20)*(12-X14)/12, 0)))))</f>
        <v>0</v>
      </c>
      <c r="Y19" s="36">
        <f>IF(ASS!$J$20=0, 0, IF(Y12=TERM,$E$19-SUM($F$19:X19),IF(Y12&gt;TERM,0,IF(Y12&lt;ASS!$J$20+1, SLN(ASS!$I$20,0,ASS!$J$20)*Y14/12, IF(Y12=ASS!$J$20+1, SLN(ASS!$I$20,0,ASS!$J$20)*(12-Y14)/12, 0)))))</f>
        <v>0</v>
      </c>
      <c r="Z19" s="36">
        <f>IF(ASS!$J$20=0, 0, IF(Z12=TERM,$E$19-SUM($F$19:Y19),IF(Z12&gt;TERM,0,IF(Z12&lt;ASS!$J$20+1, SLN(ASS!$I$20,0,ASS!$J$20)*Z14/12, IF(Z12=ASS!$J$20+1, SLN(ASS!$I$20,0,ASS!$J$20)*(12-Z14)/12, 0)))))</f>
        <v>0</v>
      </c>
      <c r="AA19" s="36">
        <f>IF(ASS!$J$20=0, 0, IF(AA12=TERM,$E$19-SUM($F$19:Z19),IF(AA12&gt;TERM,0,IF(AA12&lt;ASS!$J$20+1, SLN(ASS!$I$20,0,ASS!$J$20)*AA14/12, IF(AA12=ASS!$J$20+1, SLN(ASS!$I$20,0,ASS!$J$20)*(12-AA14)/12, 0)))))</f>
        <v>0</v>
      </c>
      <c r="AB19" s="36">
        <f>IF(ASS!$J$20=0, 0, IF(AB12=TERM,$E$19-SUM($F$19:AA19),IF(AB12&gt;TERM,0,IF(AB12&lt;ASS!$J$20+1, SLN(ASS!$I$20,0,ASS!$J$20)*AB14/12, IF(AB12=ASS!$J$20+1, SLN(ASS!$I$20,0,ASS!$J$20)*(12-AB14)/12, 0)))))</f>
        <v>0</v>
      </c>
      <c r="AC19" s="36">
        <f>IF(ASS!$J$20=0, 0, IF(AC12=TERM,$E$19-SUM($F$19:AB19),IF(AC12&gt;TERM,0,IF(AC12&lt;ASS!$J$20+1, SLN(ASS!$I$20,0,ASS!$J$20)*AC14/12, IF(AC12=ASS!$J$20+1, SLN(ASS!$I$20,0,ASS!$J$20)*(12-AC14)/12, 0)))))</f>
        <v>0</v>
      </c>
      <c r="AD19" s="36">
        <f>IF(ASS!$J$20=0, 0, IF(AD12=TERM,$E$19-SUM($F$19:AC19),IF(AD12&gt;TERM,0,IF(AD12&lt;ASS!$J$20+1, SLN(ASS!$I$20,0,ASS!$J$20)*AD14/12, IF(AD12=ASS!$J$20+1, SLN(ASS!$I$20,0,ASS!$J$20)*(12-AD14)/12, 0)))))</f>
        <v>0</v>
      </c>
      <c r="AE19" s="36">
        <f>IF(ASS!$J$20=0, 0, IF(AE12=TERM,$E$19-SUM($F$19:AD19),IF(AE12&gt;TERM,0,IF(AE12&lt;ASS!$J$20+1, SLN(ASS!$I$20,0,ASS!$J$20)*AE14/12, IF(AE12=ASS!$J$20+1, SLN(ASS!$I$20,0,ASS!$J$20)*(12-AE14)/12, 0)))))</f>
        <v>0</v>
      </c>
      <c r="AF19" s="38">
        <f>SUM(F19:AE19)</f>
        <v>0</v>
      </c>
      <c r="AG19" s="5"/>
    </row>
    <row r="20" spans="1:33" x14ac:dyDescent="0.25">
      <c r="A20" s="4"/>
      <c r="B20" s="5" t="s">
        <v>81</v>
      </c>
      <c r="C20" s="5"/>
      <c r="D20" s="5"/>
      <c r="E20" s="196">
        <f>ASS!$I21</f>
        <v>0</v>
      </c>
      <c r="F20" s="197">
        <f>IF(ASS!$J$21=0, 0, IF(F12&lt;ASS!$J$21+1, SLN(ASS!$I$21,0,ASS!$J$21)*F14/12, IF(F12=ASS!$J$21+1, SLN(ASS!$I$21,0,ASS!$J$21)*(12-F14)/12, 0)))</f>
        <v>0</v>
      </c>
      <c r="G20" s="197">
        <f>IF(ASS!$J$21=0, 0,IF(G12=TERM,$E$20-SUM($F$20:F20),IF(G12&gt;TERM,0, IF(G12&lt;ASS!$J$21+1, SLN(ASS!$I$21,0,ASS!$J$21)*G14/12, IF(G12=ASS!$J$21+1, SLN(ASS!$I$21,0,ASS!$J$21)*(12-G14)/12, 0)))))</f>
        <v>0</v>
      </c>
      <c r="H20" s="197">
        <f>IF(ASS!$J$21=0, 0,IF(H12=TERM,$E$20-SUM($F$20:G20),IF(H12&gt;TERM,0, IF(H12&lt;ASS!$J$21+1, SLN(ASS!$I$21,0,ASS!$J$21)*H14/12, IF(H12=ASS!$J$21+1, SLN(ASS!$I$21,0,ASS!$J$21)*(12-H14)/12, 0)))))</f>
        <v>0</v>
      </c>
      <c r="I20" s="197">
        <f>IF(ASS!$J$21=0, 0,IF(I12=TERM,$E$20-SUM($F$20:H20),IF(I12&gt;TERM,0, IF(I12&lt;ASS!$J$21+1, SLN(ASS!$I$21,0,ASS!$J$21)*I14/12, IF(I12=ASS!$J$21+1, SLN(ASS!$I$21,0,ASS!$J$21)*(12-I14)/12, 0)))))</f>
        <v>0</v>
      </c>
      <c r="J20" s="197">
        <f>IF(ASS!$J$21=0, 0,IF(J12=TERM,$E$20-SUM($F$20:I20),IF(J12&gt;TERM,0, IF(J12&lt;ASS!$J$21+1, SLN(ASS!$I$21,0,ASS!$J$21)*J14/12, IF(J12=ASS!$J$21+1, SLN(ASS!$I$21,0,ASS!$J$21)*(12-J14)/12, 0)))))</f>
        <v>0</v>
      </c>
      <c r="K20" s="197">
        <f>IF(ASS!$J$21=0, 0,IF(K12=TERM,$E$20-SUM($F$20:J20),IF(K12&gt;TERM,0, IF(K12&lt;ASS!$J$21+1, SLN(ASS!$I$21,0,ASS!$J$21)*K14/12, IF(K12=ASS!$J$21+1, SLN(ASS!$I$21,0,ASS!$J$21)*(12-K14)/12, 0)))))</f>
        <v>0</v>
      </c>
      <c r="L20" s="197">
        <f>IF(ASS!$J$21=0, 0,IF(L12=TERM,$E$20-SUM($F$20:K20),IF(L12&gt;TERM,0, IF(L12&lt;ASS!$J$21+1, SLN(ASS!$I$21,0,ASS!$J$21)*L14/12, IF(L12=ASS!$J$21+1, SLN(ASS!$I$21,0,ASS!$J$21)*(12-L14)/12, 0)))))</f>
        <v>0</v>
      </c>
      <c r="M20" s="197">
        <f>IF(ASS!$J$21=0, 0,IF(M12=TERM,$E$20-SUM($F$20:L20),IF(M12&gt;TERM,0, IF(M12&lt;ASS!$J$21+1, SLN(ASS!$I$21,0,ASS!$J$21)*M14/12, IF(M12=ASS!$J$21+1, SLN(ASS!$I$21,0,ASS!$J$21)*(12-M14)/12, 0)))))</f>
        <v>0</v>
      </c>
      <c r="N20" s="197">
        <f>IF(ASS!$J$21=0, 0,IF(N12=TERM,$E$20-SUM($F$20:M20),IF(N12&gt;TERM,0, IF(N12&lt;ASS!$J$21+1, SLN(ASS!$I$21,0,ASS!$J$21)*N14/12, IF(N12=ASS!$J$21+1, SLN(ASS!$I$21,0,ASS!$J$21)*(12-N14)/12, 0)))))</f>
        <v>0</v>
      </c>
      <c r="O20" s="197">
        <f>IF(ASS!$J$21=0, 0,IF(O12=TERM,$E$20-SUM($F$20:N20),IF(O12&gt;TERM,0, IF(O12&lt;ASS!$J$21+1, SLN(ASS!$I$21,0,ASS!$J$21)*O14/12, IF(O12=ASS!$J$21+1, SLN(ASS!$I$21,0,ASS!$J$21)*(12-O14)/12, 0)))))</f>
        <v>0</v>
      </c>
      <c r="P20" s="197">
        <f>IF(ASS!$J$21=0, 0,IF(P12=TERM,$E$20-SUM($F$20:O20),IF(P12&gt;TERM,0, IF(P12&lt;ASS!$J$21+1, SLN(ASS!$I$21,0,ASS!$J$21)*P14/12, IF(P12=ASS!$J$21+1, SLN(ASS!$I$21,0,ASS!$J$21)*(12-P14)/12, 0)))))</f>
        <v>0</v>
      </c>
      <c r="Q20" s="197">
        <f>IF(ASS!$J$21=0, 0,IF(Q12=TERM,$E$20-SUM($F$20:P20),IF(Q12&gt;TERM,0, IF(Q12&lt;ASS!$J$21+1, SLN(ASS!$I$21,0,ASS!$J$21)*Q14/12, IF(Q12=ASS!$J$21+1, SLN(ASS!$I$21,0,ASS!$J$21)*(12-Q14)/12, 0)))))</f>
        <v>0</v>
      </c>
      <c r="R20" s="197">
        <f>IF(ASS!$J$21=0, 0,IF(R12=TERM,$E$20-SUM($F$20:Q20),IF(R12&gt;TERM,0, IF(R12&lt;ASS!$J$21+1, SLN(ASS!$I$21,0,ASS!$J$21)*R14/12, IF(R12=ASS!$J$21+1, SLN(ASS!$I$21,0,ASS!$J$21)*(12-R14)/12, 0)))))</f>
        <v>0</v>
      </c>
      <c r="S20" s="197">
        <f>IF(ASS!$J$21=0, 0,IF(S12=TERM,$E$20-SUM($F$20:R20),IF(S12&gt;TERM,0, IF(S12&lt;ASS!$J$21+1, SLN(ASS!$I$21,0,ASS!$J$21)*S14/12, IF(S12=ASS!$J$21+1, SLN(ASS!$I$21,0,ASS!$J$21)*(12-S14)/12, 0)))))</f>
        <v>0</v>
      </c>
      <c r="T20" s="197">
        <f>IF(ASS!$J$21=0, 0,IF(T12=TERM,$E$20-SUM($F$20:S20),IF(T12&gt;TERM,0, IF(T12&lt;ASS!$J$21+1, SLN(ASS!$I$21,0,ASS!$J$21)*T14/12, IF(T12=ASS!$J$21+1, SLN(ASS!$I$21,0,ASS!$J$21)*(12-T14)/12, 0)))))</f>
        <v>0</v>
      </c>
      <c r="U20" s="197">
        <f>IF(ASS!$J$21=0, 0,IF(U12=TERM,$E$20-SUM($F$20:T20),IF(U12&gt;TERM,0, IF(U12&lt;ASS!$J$21+1, SLN(ASS!$I$21,0,ASS!$J$21)*U14/12, IF(U12=ASS!$J$21+1, SLN(ASS!$I$21,0,ASS!$J$21)*(12-U14)/12, 0)))))</f>
        <v>0</v>
      </c>
      <c r="V20" s="197">
        <f>IF(ASS!$J$21=0, 0,IF(V12=TERM,$E$20-SUM($F$20:U20),IF(V12&gt;TERM,0, IF(V12&lt;ASS!$J$21+1, SLN(ASS!$I$21,0,ASS!$J$21)*V14/12, IF(V12=ASS!$J$21+1, SLN(ASS!$I$21,0,ASS!$J$21)*(12-V14)/12, 0)))))</f>
        <v>0</v>
      </c>
      <c r="W20" s="197">
        <f>IF(ASS!$J$21=0, 0,IF(W12=TERM,$E$20-SUM($F$20:V20),IF(W12&gt;TERM,0, IF(W12&lt;ASS!$J$21+1, SLN(ASS!$I$21,0,ASS!$J$21)*W14/12, IF(W12=ASS!$J$21+1, SLN(ASS!$I$21,0,ASS!$J$21)*(12-W14)/12, 0)))))</f>
        <v>0</v>
      </c>
      <c r="X20" s="197">
        <f>IF(ASS!$J$21=0, 0,IF(X12=TERM,$E$20-SUM($F$20:W20),IF(X12&gt;TERM,0, IF(X12&lt;ASS!$J$21+1, SLN(ASS!$I$21,0,ASS!$J$21)*X14/12, IF(X12=ASS!$J$21+1, SLN(ASS!$I$21,0,ASS!$J$21)*(12-X14)/12, 0)))))</f>
        <v>0</v>
      </c>
      <c r="Y20" s="197">
        <f>IF(ASS!$J$21=0, 0,IF(Y12=TERM,$E$20-SUM($F$20:X20),IF(Y12&gt;TERM,0, IF(Y12&lt;ASS!$J$21+1, SLN(ASS!$I$21,0,ASS!$J$21)*Y14/12, IF(Y12=ASS!$J$21+1, SLN(ASS!$I$21,0,ASS!$J$21)*(12-Y14)/12, 0)))))</f>
        <v>0</v>
      </c>
      <c r="Z20" s="197">
        <f>IF(ASS!$J$21=0, 0,IF(Z12=TERM,$E$20-SUM($F$20:Y20),IF(Z12&gt;TERM,0, IF(Z12&lt;ASS!$J$21+1, SLN(ASS!$I$21,0,ASS!$J$21)*Z14/12, IF(Z12=ASS!$J$21+1, SLN(ASS!$I$21,0,ASS!$J$21)*(12-Z14)/12, 0)))))</f>
        <v>0</v>
      </c>
      <c r="AA20" s="197">
        <f>IF(ASS!$J$21=0, 0,IF(AA12=TERM,$E$20-SUM($F$20:Z20),IF(AA12&gt;TERM,0, IF(AA12&lt;ASS!$J$21+1, SLN(ASS!$I$21,0,ASS!$J$21)*AA14/12, IF(AA12=ASS!$J$21+1, SLN(ASS!$I$21,0,ASS!$J$21)*(12-AA14)/12, 0)))))</f>
        <v>0</v>
      </c>
      <c r="AB20" s="197">
        <f>IF(ASS!$J$21=0, 0,IF(AB12=TERM,$E$20-SUM($F$20:AA20),IF(AB12&gt;TERM,0, IF(AB12&lt;ASS!$J$21+1, SLN(ASS!$I$21,0,ASS!$J$21)*AB14/12, IF(AB12=ASS!$J$21+1, SLN(ASS!$I$21,0,ASS!$J$21)*(12-AB14)/12, 0)))))</f>
        <v>0</v>
      </c>
      <c r="AC20" s="197">
        <f>IF(ASS!$J$21=0, 0,IF(AC12=TERM,$E$20-SUM($F$20:AB20),IF(AC12&gt;TERM,0, IF(AC12&lt;ASS!$J$21+1, SLN(ASS!$I$21,0,ASS!$J$21)*AC14/12, IF(AC12=ASS!$J$21+1, SLN(ASS!$I$21,0,ASS!$J$21)*(12-AC14)/12, 0)))))</f>
        <v>0</v>
      </c>
      <c r="AD20" s="197">
        <f>IF(ASS!$J$21=0, 0,IF(AD12=TERM,$E$20-SUM($F$20:AC20),IF(AD12&gt;TERM,0, IF(AD12&lt;ASS!$J$21+1, SLN(ASS!$I$21,0,ASS!$J$21)*AD14/12, IF(AD12=ASS!$J$21+1, SLN(ASS!$I$21,0,ASS!$J$21)*(12-AD14)/12, 0)))))</f>
        <v>0</v>
      </c>
      <c r="AE20" s="197">
        <f>IF(ASS!$J$21=0, 0,IF(AE12=TERM,$E$20-SUM($F$20:AD20),IF(AE12&gt;TERM,0, IF(AE12&lt;ASS!$J$21+1, SLN(ASS!$I$21,0,ASS!$J$21)*AE14/12, IF(AE12=ASS!$J$21+1, SLN(ASS!$I$21,0,ASS!$J$21)*(12-AE14)/12, 0)))))</f>
        <v>0</v>
      </c>
      <c r="AF20" s="196">
        <f>SUM(F20:AE20)</f>
        <v>0</v>
      </c>
      <c r="AG20" s="5"/>
    </row>
    <row r="21" spans="1:33" x14ac:dyDescent="0.25">
      <c r="A21" s="4"/>
      <c r="B21" s="5" t="s">
        <v>328</v>
      </c>
      <c r="C21" s="5" t="s">
        <v>7</v>
      </c>
      <c r="D21" s="5"/>
      <c r="E21" s="38">
        <f>SUM(E18:E20)</f>
        <v>13000</v>
      </c>
      <c r="F21" s="36">
        <f>SUM(F18:F20)</f>
        <v>284.375</v>
      </c>
      <c r="G21" s="36">
        <f t="shared" ref="G21:V21" si="5">SUM(G18:G20)</f>
        <v>750.56583333333344</v>
      </c>
      <c r="H21" s="36">
        <f t="shared" si="5"/>
        <v>896.61</v>
      </c>
      <c r="I21" s="36">
        <f t="shared" si="5"/>
        <v>829.55166666666673</v>
      </c>
      <c r="J21" s="36">
        <f t="shared" si="5"/>
        <v>767.82333333333327</v>
      </c>
      <c r="K21" s="36">
        <f t="shared" si="5"/>
        <v>710.23333333333346</v>
      </c>
      <c r="L21" s="36">
        <f t="shared" si="5"/>
        <v>656.94416666666677</v>
      </c>
      <c r="M21" s="36">
        <f t="shared" si="5"/>
        <v>607.68500000000006</v>
      </c>
      <c r="N21" s="36">
        <f t="shared" si="5"/>
        <v>583.31000000000006</v>
      </c>
      <c r="O21" s="36">
        <f t="shared" si="5"/>
        <v>579.98416666666662</v>
      </c>
      <c r="P21" s="36">
        <f t="shared" si="5"/>
        <v>580.00583333333338</v>
      </c>
      <c r="Q21" s="36">
        <f t="shared" si="5"/>
        <v>579.98416666666662</v>
      </c>
      <c r="R21" s="36">
        <f t="shared" si="5"/>
        <v>580.00583333333338</v>
      </c>
      <c r="S21" s="36">
        <f t="shared" si="5"/>
        <v>579.98416666666662</v>
      </c>
      <c r="T21" s="36">
        <f t="shared" si="5"/>
        <v>580.00583333333338</v>
      </c>
      <c r="U21" s="36">
        <f t="shared" si="5"/>
        <v>579.98416666666662</v>
      </c>
      <c r="V21" s="36">
        <f t="shared" si="5"/>
        <v>580.00583333333338</v>
      </c>
      <c r="W21" s="36">
        <f>SUM(W18:W20)</f>
        <v>579.98416666666662</v>
      </c>
      <c r="X21" s="36">
        <f>SUM(X18:X20)</f>
        <v>580.00583333333338</v>
      </c>
      <c r="Y21" s="36">
        <f t="shared" ref="Y21:AE21" si="6">SUM(Y18:Y20)</f>
        <v>579.98416666666662</v>
      </c>
      <c r="Z21" s="36">
        <f t="shared" si="6"/>
        <v>410.82166666666666</v>
      </c>
      <c r="AA21" s="36">
        <f t="shared" si="6"/>
        <v>122.14583333333829</v>
      </c>
      <c r="AB21" s="36">
        <f t="shared" si="6"/>
        <v>0</v>
      </c>
      <c r="AC21" s="36">
        <f t="shared" si="6"/>
        <v>0</v>
      </c>
      <c r="AD21" s="36">
        <f t="shared" si="6"/>
        <v>0</v>
      </c>
      <c r="AE21" s="36">
        <f t="shared" si="6"/>
        <v>0</v>
      </c>
      <c r="AF21" s="38">
        <f>SUM(F21:AE21)</f>
        <v>13000.000000000005</v>
      </c>
      <c r="AG21" s="5"/>
    </row>
    <row r="22" spans="1:33" x14ac:dyDescent="0.25">
      <c r="A22" s="4"/>
      <c r="B22" s="390" t="s">
        <v>329</v>
      </c>
      <c r="C22" s="5" t="s">
        <v>7</v>
      </c>
      <c r="D22" s="5"/>
      <c r="E22" s="38"/>
      <c r="F22" s="391">
        <f>F21</f>
        <v>284.375</v>
      </c>
      <c r="G22" s="391">
        <f>F22+G21</f>
        <v>1034.9408333333336</v>
      </c>
      <c r="H22" s="391">
        <f t="shared" ref="H22:W22" si="7">G22+H21</f>
        <v>1931.5508333333337</v>
      </c>
      <c r="I22" s="391">
        <f t="shared" si="7"/>
        <v>2761.1025000000004</v>
      </c>
      <c r="J22" s="391">
        <f t="shared" si="7"/>
        <v>3528.9258333333337</v>
      </c>
      <c r="K22" s="391">
        <f t="shared" si="7"/>
        <v>4239.1591666666673</v>
      </c>
      <c r="L22" s="391">
        <f t="shared" si="7"/>
        <v>4896.1033333333344</v>
      </c>
      <c r="M22" s="391">
        <f t="shared" si="7"/>
        <v>5503.7883333333348</v>
      </c>
      <c r="N22" s="391">
        <f t="shared" si="7"/>
        <v>6087.0983333333352</v>
      </c>
      <c r="O22" s="391">
        <f t="shared" si="7"/>
        <v>6667.0825000000023</v>
      </c>
      <c r="P22" s="391">
        <f t="shared" si="7"/>
        <v>7247.0883333333359</v>
      </c>
      <c r="Q22" s="391">
        <f t="shared" si="7"/>
        <v>7827.072500000002</v>
      </c>
      <c r="R22" s="391">
        <f t="shared" si="7"/>
        <v>8407.0783333333347</v>
      </c>
      <c r="S22" s="391">
        <f t="shared" si="7"/>
        <v>8987.0625000000018</v>
      </c>
      <c r="T22" s="391">
        <f t="shared" si="7"/>
        <v>9567.0683333333345</v>
      </c>
      <c r="U22" s="391">
        <f t="shared" si="7"/>
        <v>10147.052500000002</v>
      </c>
      <c r="V22" s="391">
        <f t="shared" si="7"/>
        <v>10727.058333333334</v>
      </c>
      <c r="W22" s="391">
        <f t="shared" si="7"/>
        <v>11307.042500000001</v>
      </c>
      <c r="X22" s="391">
        <f t="shared" ref="X22:AE22" si="8">W22+X21</f>
        <v>11887.048333333334</v>
      </c>
      <c r="Y22" s="391">
        <f t="shared" si="8"/>
        <v>12467.032500000001</v>
      </c>
      <c r="Z22" s="391">
        <f t="shared" si="8"/>
        <v>12877.854166666668</v>
      </c>
      <c r="AA22" s="391">
        <f t="shared" si="8"/>
        <v>13000.000000000005</v>
      </c>
      <c r="AB22" s="391">
        <f t="shared" si="8"/>
        <v>13000.000000000005</v>
      </c>
      <c r="AC22" s="391">
        <f t="shared" si="8"/>
        <v>13000.000000000005</v>
      </c>
      <c r="AD22" s="391">
        <f t="shared" si="8"/>
        <v>13000.000000000005</v>
      </c>
      <c r="AE22" s="391">
        <f t="shared" si="8"/>
        <v>13000.000000000005</v>
      </c>
      <c r="AF22" s="38"/>
      <c r="AG22" s="5"/>
    </row>
    <row r="23" spans="1:33" x14ac:dyDescent="0.25">
      <c r="A23" s="4"/>
      <c r="B23" s="5"/>
      <c r="C23" s="5" t="s">
        <v>7</v>
      </c>
      <c r="D23" s="5"/>
      <c r="E23" s="38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8"/>
      <c r="AG23" s="5"/>
    </row>
    <row r="24" spans="1:33" x14ac:dyDescent="0.25">
      <c r="A24" s="4"/>
      <c r="B24" s="5" t="s">
        <v>330</v>
      </c>
      <c r="C24" s="314"/>
      <c r="D24" s="5"/>
      <c r="E24" s="38"/>
      <c r="F24" s="36">
        <v>0</v>
      </c>
      <c r="G24" s="36">
        <f t="shared" ref="G24:AE24" si="9">F27</f>
        <v>12715.625</v>
      </c>
      <c r="H24" s="36">
        <f t="shared" si="9"/>
        <v>11965.059166666666</v>
      </c>
      <c r="I24" s="36">
        <f t="shared" si="9"/>
        <v>11068.449166666665</v>
      </c>
      <c r="J24" s="36">
        <f t="shared" si="9"/>
        <v>10238.897499999999</v>
      </c>
      <c r="K24" s="36">
        <f t="shared" si="9"/>
        <v>9471.0741666666654</v>
      </c>
      <c r="L24" s="36">
        <f t="shared" si="9"/>
        <v>8760.8408333333318</v>
      </c>
      <c r="M24" s="36">
        <f t="shared" si="9"/>
        <v>8103.8966666666647</v>
      </c>
      <c r="N24" s="36">
        <f t="shared" si="9"/>
        <v>7496.2116666666643</v>
      </c>
      <c r="O24" s="36">
        <f t="shared" si="9"/>
        <v>6912.9016666666639</v>
      </c>
      <c r="P24" s="36">
        <f t="shared" si="9"/>
        <v>6332.9174999999977</v>
      </c>
      <c r="Q24" s="36">
        <f t="shared" si="9"/>
        <v>5752.9116666666641</v>
      </c>
      <c r="R24" s="36">
        <f t="shared" si="9"/>
        <v>5172.927499999998</v>
      </c>
      <c r="S24" s="36">
        <f t="shared" si="9"/>
        <v>4592.9216666666644</v>
      </c>
      <c r="T24" s="36">
        <f t="shared" si="9"/>
        <v>4012.9374999999977</v>
      </c>
      <c r="U24" s="36">
        <f t="shared" si="9"/>
        <v>3432.9316666666646</v>
      </c>
      <c r="V24" s="36">
        <f t="shared" si="9"/>
        <v>2852.9474999999979</v>
      </c>
      <c r="W24" s="36">
        <f t="shared" si="9"/>
        <v>2272.9416666666648</v>
      </c>
      <c r="X24" s="36">
        <f t="shared" si="9"/>
        <v>1692.9574999999982</v>
      </c>
      <c r="Y24" s="36">
        <f t="shared" si="9"/>
        <v>1112.9516666666648</v>
      </c>
      <c r="Z24" s="36">
        <f t="shared" si="9"/>
        <v>532.96749999999815</v>
      </c>
      <c r="AA24" s="36">
        <f t="shared" si="9"/>
        <v>122.1458333333315</v>
      </c>
      <c r="AB24" s="36">
        <f t="shared" si="9"/>
        <v>-6.7927885538665578E-12</v>
      </c>
      <c r="AC24" s="36">
        <f t="shared" si="9"/>
        <v>-6.7927885538665578E-12</v>
      </c>
      <c r="AD24" s="36">
        <f t="shared" si="9"/>
        <v>-6.7927885538665578E-12</v>
      </c>
      <c r="AE24" s="36">
        <f t="shared" si="9"/>
        <v>-6.7927885538665578E-12</v>
      </c>
      <c r="AF24" s="38"/>
      <c r="AG24" s="5"/>
    </row>
    <row r="25" spans="1:33" x14ac:dyDescent="0.25">
      <c r="A25" s="4"/>
      <c r="B25" s="5" t="s">
        <v>331</v>
      </c>
      <c r="C25" s="5"/>
      <c r="D25" s="5"/>
      <c r="E25" s="38"/>
      <c r="F25" s="36">
        <f>E21</f>
        <v>13000</v>
      </c>
      <c r="G25" s="36">
        <v>0</v>
      </c>
      <c r="H25" s="36">
        <v>0</v>
      </c>
      <c r="I25" s="36">
        <v>0</v>
      </c>
      <c r="J25" s="36">
        <v>0</v>
      </c>
      <c r="K25" s="36">
        <v>0</v>
      </c>
      <c r="L25" s="36">
        <v>0</v>
      </c>
      <c r="M25" s="36">
        <v>0</v>
      </c>
      <c r="N25" s="36">
        <v>0</v>
      </c>
      <c r="O25" s="36">
        <v>0</v>
      </c>
      <c r="P25" s="36">
        <v>0</v>
      </c>
      <c r="Q25" s="36">
        <v>0</v>
      </c>
      <c r="R25" s="36">
        <v>0</v>
      </c>
      <c r="S25" s="36">
        <v>0</v>
      </c>
      <c r="T25" s="36">
        <v>0</v>
      </c>
      <c r="U25" s="36">
        <v>0</v>
      </c>
      <c r="V25" s="36">
        <v>0</v>
      </c>
      <c r="W25" s="36">
        <v>0</v>
      </c>
      <c r="X25" s="36">
        <v>0</v>
      </c>
      <c r="Y25" s="36">
        <v>0</v>
      </c>
      <c r="Z25" s="36">
        <v>0</v>
      </c>
      <c r="AA25" s="36">
        <v>0</v>
      </c>
      <c r="AB25" s="36">
        <v>0</v>
      </c>
      <c r="AC25" s="36">
        <v>0</v>
      </c>
      <c r="AD25" s="36">
        <v>0</v>
      </c>
      <c r="AE25" s="36">
        <v>0</v>
      </c>
      <c r="AF25" s="38">
        <f>SUM(F25:AE25)</f>
        <v>13000</v>
      </c>
      <c r="AG25" s="5"/>
    </row>
    <row r="26" spans="1:33" x14ac:dyDescent="0.25">
      <c r="A26" s="4"/>
      <c r="B26" s="5" t="s">
        <v>332</v>
      </c>
      <c r="C26" s="5"/>
      <c r="D26" s="5"/>
      <c r="E26" s="38"/>
      <c r="F26" s="39">
        <f>-F21</f>
        <v>-284.375</v>
      </c>
      <c r="G26" s="39">
        <f>-G18</f>
        <v>-750.56583333333344</v>
      </c>
      <c r="H26" s="39">
        <f t="shared" ref="H26:W26" si="10">-H18</f>
        <v>-896.61</v>
      </c>
      <c r="I26" s="39">
        <f t="shared" si="10"/>
        <v>-829.55166666666673</v>
      </c>
      <c r="J26" s="39">
        <f t="shared" si="10"/>
        <v>-767.82333333333327</v>
      </c>
      <c r="K26" s="39">
        <f t="shared" si="10"/>
        <v>-710.23333333333346</v>
      </c>
      <c r="L26" s="39">
        <f t="shared" si="10"/>
        <v>-656.94416666666677</v>
      </c>
      <c r="M26" s="39">
        <f t="shared" si="10"/>
        <v>-607.68500000000006</v>
      </c>
      <c r="N26" s="39">
        <f t="shared" si="10"/>
        <v>-583.31000000000006</v>
      </c>
      <c r="O26" s="39">
        <f t="shared" si="10"/>
        <v>-579.98416666666662</v>
      </c>
      <c r="P26" s="39">
        <f t="shared" si="10"/>
        <v>-580.00583333333338</v>
      </c>
      <c r="Q26" s="39">
        <f t="shared" si="10"/>
        <v>-579.98416666666662</v>
      </c>
      <c r="R26" s="39">
        <f t="shared" si="10"/>
        <v>-580.00583333333338</v>
      </c>
      <c r="S26" s="39">
        <f t="shared" si="10"/>
        <v>-579.98416666666662</v>
      </c>
      <c r="T26" s="39">
        <f t="shared" si="10"/>
        <v>-580.00583333333338</v>
      </c>
      <c r="U26" s="39">
        <f t="shared" si="10"/>
        <v>-579.98416666666662</v>
      </c>
      <c r="V26" s="39">
        <f t="shared" si="10"/>
        <v>-580.00583333333338</v>
      </c>
      <c r="W26" s="39">
        <f t="shared" si="10"/>
        <v>-579.98416666666662</v>
      </c>
      <c r="X26" s="39">
        <f t="shared" ref="X26:AE26" si="11">-X18</f>
        <v>-580.00583333333338</v>
      </c>
      <c r="Y26" s="39">
        <f t="shared" si="11"/>
        <v>-579.98416666666662</v>
      </c>
      <c r="Z26" s="39">
        <f t="shared" si="11"/>
        <v>-410.82166666666666</v>
      </c>
      <c r="AA26" s="39">
        <f t="shared" si="11"/>
        <v>-122.14583333333829</v>
      </c>
      <c r="AB26" s="39">
        <f t="shared" si="11"/>
        <v>0</v>
      </c>
      <c r="AC26" s="39">
        <f t="shared" si="11"/>
        <v>0</v>
      </c>
      <c r="AD26" s="39">
        <f t="shared" si="11"/>
        <v>0</v>
      </c>
      <c r="AE26" s="39">
        <f t="shared" si="11"/>
        <v>0</v>
      </c>
      <c r="AF26" s="38">
        <f>SUM(F26:AE26)</f>
        <v>-13000.000000000005</v>
      </c>
      <c r="AG26" s="5"/>
    </row>
    <row r="27" spans="1:33" x14ac:dyDescent="0.25">
      <c r="A27" s="6"/>
      <c r="B27" s="7" t="s">
        <v>333</v>
      </c>
      <c r="C27" s="7" t="s">
        <v>7</v>
      </c>
      <c r="D27" s="7"/>
      <c r="E27" s="46"/>
      <c r="F27" s="45">
        <f>SUM(F24:F26)</f>
        <v>12715.625</v>
      </c>
      <c r="G27" s="45">
        <f>SUM(G24:G26)</f>
        <v>11965.059166666666</v>
      </c>
      <c r="H27" s="45">
        <f t="shared" ref="H27:W27" si="12">SUM(H24:H26)</f>
        <v>11068.449166666665</v>
      </c>
      <c r="I27" s="45">
        <f t="shared" si="12"/>
        <v>10238.897499999999</v>
      </c>
      <c r="J27" s="45">
        <f t="shared" si="12"/>
        <v>9471.0741666666654</v>
      </c>
      <c r="K27" s="45">
        <f t="shared" si="12"/>
        <v>8760.8408333333318</v>
      </c>
      <c r="L27" s="45">
        <f t="shared" si="12"/>
        <v>8103.8966666666647</v>
      </c>
      <c r="M27" s="45">
        <f t="shared" si="12"/>
        <v>7496.2116666666643</v>
      </c>
      <c r="N27" s="45">
        <f t="shared" si="12"/>
        <v>6912.9016666666639</v>
      </c>
      <c r="O27" s="45">
        <f t="shared" si="12"/>
        <v>6332.9174999999977</v>
      </c>
      <c r="P27" s="45">
        <f t="shared" si="12"/>
        <v>5752.9116666666641</v>
      </c>
      <c r="Q27" s="45">
        <f t="shared" si="12"/>
        <v>5172.927499999998</v>
      </c>
      <c r="R27" s="45">
        <f t="shared" si="12"/>
        <v>4592.9216666666644</v>
      </c>
      <c r="S27" s="45">
        <f t="shared" si="12"/>
        <v>4012.9374999999977</v>
      </c>
      <c r="T27" s="45">
        <f t="shared" si="12"/>
        <v>3432.9316666666646</v>
      </c>
      <c r="U27" s="45">
        <f t="shared" si="12"/>
        <v>2852.9474999999979</v>
      </c>
      <c r="V27" s="45">
        <f t="shared" si="12"/>
        <v>2272.9416666666648</v>
      </c>
      <c r="W27" s="45">
        <f t="shared" si="12"/>
        <v>1692.9574999999982</v>
      </c>
      <c r="X27" s="45">
        <f t="shared" ref="X27:AE27" si="13">SUM(X24:X26)</f>
        <v>1112.9516666666648</v>
      </c>
      <c r="Y27" s="45">
        <f t="shared" si="13"/>
        <v>532.96749999999815</v>
      </c>
      <c r="Z27" s="45">
        <f t="shared" si="13"/>
        <v>122.1458333333315</v>
      </c>
      <c r="AA27" s="45">
        <f t="shared" si="13"/>
        <v>-6.7927885538665578E-12</v>
      </c>
      <c r="AB27" s="45">
        <f t="shared" si="13"/>
        <v>-6.7927885538665578E-12</v>
      </c>
      <c r="AC27" s="45">
        <f t="shared" si="13"/>
        <v>-6.7927885538665578E-12</v>
      </c>
      <c r="AD27" s="45">
        <f t="shared" si="13"/>
        <v>-6.7927885538665578E-12</v>
      </c>
      <c r="AE27" s="45">
        <f t="shared" si="13"/>
        <v>-6.7927885538665578E-12</v>
      </c>
      <c r="AF27" s="46"/>
      <c r="AG27" s="5"/>
    </row>
    <row r="28" spans="1:33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x14ac:dyDescent="0.25">
      <c r="A29" s="9" t="s">
        <v>334</v>
      </c>
      <c r="B29" s="12"/>
      <c r="C29" s="12"/>
      <c r="D29" s="2"/>
      <c r="E29" s="2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2"/>
      <c r="AG29" s="5"/>
    </row>
    <row r="30" spans="1:33" x14ac:dyDescent="0.25">
      <c r="A30" s="4" t="s">
        <v>335</v>
      </c>
      <c r="B30" s="5"/>
      <c r="C30" s="5"/>
      <c r="D30" s="5"/>
      <c r="E30" s="21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21"/>
      <c r="AG30" s="5"/>
    </row>
    <row r="31" spans="1:33" x14ac:dyDescent="0.25">
      <c r="A31" s="4"/>
      <c r="B31" s="5" t="s">
        <v>73</v>
      </c>
      <c r="C31" s="5"/>
      <c r="D31" s="5"/>
      <c r="E31" s="38">
        <f>ASS!$I23</f>
        <v>13000</v>
      </c>
      <c r="F31" s="388">
        <f>IF(ASS!$J$23=0, 0,  IF(F12&lt;ASS!$J$23+1, SLN(ASS!$I$23,0,ASS!$J$23)*F14/12, IF(F12=ASS!$J$23+1, SLN(ASS!$I$23,0,ASS!$J$23)*(12-F14)/12, 0)))</f>
        <v>0</v>
      </c>
      <c r="G31" s="387">
        <f>IF(ASS!$J$23=0, 0, IF(G12=ASS!$J$23,$E$31-SUM($F$31:F31),IF(G12&gt;TERM,0,IF(G12&lt;ASS!$J$23+1, SLN(ASS!$I$23,0,ASS!$J$23)*G14/12, IF(G12=ASS!$J$23+1, SLN(ASS!$I$23,0,ASS!$J$23)*(12-G14)/12, 0)))))</f>
        <v>0</v>
      </c>
      <c r="H31" s="36">
        <f>IF(ASS!$J$23=0, 0, IF(H12=ASS!$J$23,$E$31-SUM($F$31:G31),IF(H12&gt;TERM,0,IF(H12&lt;ASS!$J$23+1, SLN(ASS!$I$23,0,ASS!$J$23)*H14/12, IF(H12=ASS!$J$23+1, SLN(ASS!$I$23,0,ASS!$J$23)*(12-H14)/12, 0)))))</f>
        <v>0</v>
      </c>
      <c r="I31" s="36">
        <f>IF(ASS!$J$23=0, 0, IF(I12=ASS!$J$23,$E$31-SUM($F$31:H31),IF(I12&gt;TERM,0,IF(I12&lt;ASS!$J$23+1, SLN(ASS!$I$23,0,ASS!$J$23)*I14/12, IF(I12=ASS!$J$23+1, SLN(ASS!$I$23,0,ASS!$J$23)*(12-I14)/12, 0)))))</f>
        <v>0</v>
      </c>
      <c r="J31" s="36">
        <f>IF(ASS!$J$23=0, 0, IF(J12=ASS!$J$23,$E$31-SUM($F$31:I31),IF(J12&gt;TERM,0,IF(J12&lt;ASS!$J$23+1, SLN(ASS!$I$23,0,ASS!$J$23)*J14/12, IF(J12=ASS!$J$23+1, SLN(ASS!$I$23,0,ASS!$J$23)*(12-J14)/12, 0)))))</f>
        <v>0</v>
      </c>
      <c r="K31" s="36">
        <f>IF(ASS!$J$23=0, 0, IF(K12=ASS!$J$23,$E$31-SUM($F$31:J31),IF(K12&gt;TERM,0,IF(K12&lt;ASS!$J$23+1, SLN(ASS!$I$23,0,ASS!$J$23)*K14/12, IF(K12=ASS!$J$23+1, SLN(ASS!$I$23,0,ASS!$J$23)*(12-K14)/12, 0)))))</f>
        <v>0</v>
      </c>
      <c r="L31" s="36">
        <f>IF(ASS!$J$23=0, 0, IF(L12=ASS!$J$23,$E$31-SUM($F$31:K31),IF(L12&gt;TERM,0,IF(L12&lt;ASS!$J$23+1, SLN(ASS!$I$23,0,ASS!$J$23)*L14/12, IF(L12=ASS!$J$23+1, SLN(ASS!$I$23,0,ASS!$J$23)*(12-L14)/12, 0)))))</f>
        <v>0</v>
      </c>
      <c r="M31" s="36">
        <f>IF(ASS!$J$23=0, 0, IF(M12=ASS!$J$23,$E$31-SUM($F$31:L31),IF(M12&gt;TERM,0,IF(M12&lt;ASS!$J$23+1, SLN(ASS!$I$23,0,ASS!$J$23)*M14/12, IF(M12=ASS!$J$23+1, SLN(ASS!$I$23,0,ASS!$J$23)*(12-M14)/12, 0)))))</f>
        <v>0</v>
      </c>
      <c r="N31" s="36">
        <f>IF(ASS!$J$23=0, 0, IF(N12=ASS!$J$23,$E$31-SUM($F$31:M31),IF(N12&gt;TERM,0,IF(N12&lt;ASS!$J$23+1, SLN(ASS!$I$23,0,ASS!$J$23)*N14/12, IF(N12=ASS!$J$23+1, SLN(ASS!$I$23,0,ASS!$J$23)*(12-N14)/12, 0)))))</f>
        <v>0</v>
      </c>
      <c r="O31" s="36">
        <f>IF(ASS!$J$23=0, 0, IF(O12=ASS!$J$23,$E$31-SUM($F$31:N31),IF(O12&gt;TERM,0,IF(O12&lt;ASS!$J$23+1, SLN(ASS!$I$23,0,ASS!$J$23)*O14/12, IF(O12=ASS!$J$23+1, SLN(ASS!$I$23,0,ASS!$J$23)*(12-O14)/12, 0)))))</f>
        <v>0</v>
      </c>
      <c r="P31" s="36">
        <f>IF(ASS!$J$23=0, 0, IF(P12=ASS!$J$23,$E$31-SUM($F$31:O31),IF(P12&gt;TERM,0,IF(P12&lt;ASS!$J$23+1, SLN(ASS!$I$23,0,ASS!$J$23)*P14/12, IF(P12=ASS!$J$23+1, SLN(ASS!$I$23,0,ASS!$J$23)*(12-P14)/12, 0)))))</f>
        <v>0</v>
      </c>
      <c r="Q31" s="36">
        <f>IF(ASS!$J$23=0, 0, IF(Q12=ASS!$J$23,$E$31-SUM($F$31:P31),IF(Q12&gt;TERM,0,IF(Q12&lt;ASS!$J$23+1, SLN(ASS!$I$23,0,ASS!$J$23)*Q14/12, IF(Q12=ASS!$J$23+1, SLN(ASS!$I$23,0,ASS!$J$23)*(12-Q14)/12, 0)))))</f>
        <v>0</v>
      </c>
      <c r="R31" s="36">
        <f>IF(ASS!$J$23=0, 0, IF(R12=ASS!$J$23,$E$31-SUM($F$31:Q31),IF(R12&gt;TERM,0,IF(R12&lt;ASS!$J$23+1, SLN(ASS!$I$23,0,ASS!$J$23)*R14/12, IF(R12=ASS!$J$23+1, SLN(ASS!$I$23,0,ASS!$J$23)*(12-R14)/12, 0)))))</f>
        <v>0</v>
      </c>
      <c r="S31" s="36">
        <f>IF(ASS!$J$23=0, 0, IF(S12=ASS!$J$23,$E$31-SUM($F$31:R31),IF(S12&gt;TERM,0,IF(S12&lt;ASS!$J$23+1, SLN(ASS!$I$23,0,ASS!$J$23)*S14/12, IF(S12=ASS!$J$23+1, SLN(ASS!$I$23,0,ASS!$J$23)*(12-S14)/12, 0)))))</f>
        <v>0</v>
      </c>
      <c r="T31" s="36">
        <f>IF(ASS!$J$23=0, 0, IF(T12=ASS!$J$23,$E$31-SUM($F$31:S31),IF(T12&gt;TERM,0,IF(T12&lt;ASS!$J$23+1, SLN(ASS!$I$23,0,ASS!$J$23)*T14/12, IF(T12=ASS!$J$23+1, SLN(ASS!$I$23,0,ASS!$J$23)*(12-T14)/12, 0)))))</f>
        <v>0</v>
      </c>
      <c r="U31" s="36">
        <f>IF(ASS!$J$23=0, 0, IF(U12=ASS!$J$23,$E$31-SUM($F$31:T31),IF(U12&gt;TERM,0,IF(U12&lt;ASS!$J$23+1, SLN(ASS!$I$23,0,ASS!$J$23)*U14/12, IF(U12=ASS!$J$23+1, SLN(ASS!$I$23,0,ASS!$J$23)*(12-U14)/12, 0)))))</f>
        <v>0</v>
      </c>
      <c r="V31" s="36">
        <f>IF(ASS!$J$23=0, 0, IF(V12=ASS!$J$23,$E$31-SUM($F$31:U31),IF(V12&gt;TERM,0,IF(V12&lt;ASS!$J$23+1, SLN(ASS!$I$23,0,ASS!$J$23)*V14/12, IF(V12=ASS!$J$23+1, SLN(ASS!$I$23,0,ASS!$J$23)*(12-V14)/12, 0)))))</f>
        <v>0</v>
      </c>
      <c r="W31" s="36">
        <f>IF(ASS!$J$23=0, 0, IF(W12=ASS!$J$23,$E$31-SUM($F$31:V31),IF(W12&gt;TERM,0,IF(W12&lt;ASS!$J$23+1, SLN(ASS!$I$23,0,ASS!$J$23)*W14/12, IF(W12=ASS!$J$23+1, SLN(ASS!$I$23,0,ASS!$J$23)*(12-W14)/12, 0)))))</f>
        <v>0</v>
      </c>
      <c r="X31" s="36">
        <f>IF(ASS!$J$23=0, 0, IF(X12=ASS!$J$23,$E$31-SUM($F$31:W31),IF(X12&gt;TERM,0,IF(X12&lt;ASS!$J$23+1, SLN(ASS!$I$23,0,ASS!$J$23)*X14/12, IF(X12=ASS!$J$23+1, SLN(ASS!$I$23,0,ASS!$J$23)*(12-X14)/12, 0)))))</f>
        <v>0</v>
      </c>
      <c r="Y31" s="36">
        <f>IF(ASS!$J$23=0, 0, IF(Y12=ASS!$J$23,$E$31-SUM($F$31:X31),IF(Y12&gt;TERM,0,IF(Y12&lt;ASS!$J$23+1, SLN(ASS!$I$23,0,ASS!$J$23)*Y14/12, IF(Y12=ASS!$J$23+1, SLN(ASS!$I$23,0,ASS!$J$23)*(12-Y14)/12, 0)))))</f>
        <v>0</v>
      </c>
      <c r="Z31" s="36">
        <f>IF(ASS!$J$23=0, 0, IF(Z12=ASS!$J$23,$E$31-SUM($F$31:Y31),IF(Z12&gt;TERM,0,IF(Z12&lt;ASS!$J$23+1, SLN(ASS!$I$23,0,ASS!$J$23)*Z14/12, IF(Z12=ASS!$J$23+1, SLN(ASS!$I$23,0,ASS!$J$23)*(12-Z14)/12, 0)))))</f>
        <v>0</v>
      </c>
      <c r="AA31" s="36">
        <f>IF(ASS!$J$23=0, 0, IF(AA12=ASS!$J$23,$E$31-SUM($F$31:Z31),IF(AA12&gt;TERM,0,IF(AA12&lt;ASS!$J$23+1, SLN(ASS!$I$23,0,ASS!$J$23)*AA14/12, IF(AA12=ASS!$J$23+1, SLN(ASS!$I$23,0,ASS!$J$23)*(12-AA14)/12, 0)))))</f>
        <v>0</v>
      </c>
      <c r="AB31" s="36">
        <f>IF(ASS!$J$23=0, 0, IF(AB12=ASS!$J$23,$E$31-SUM($F$31:AA31),IF(AB12&gt;TERM,0,IF(AB12&lt;ASS!$J$23+1, SLN(ASS!$I$23,0,ASS!$J$23)*AB14/12, IF(AB12=ASS!$J$23+1, SLN(ASS!$I$23,0,ASS!$J$23)*(12-AB14)/12, 0)))))</f>
        <v>0</v>
      </c>
      <c r="AC31" s="36">
        <f>IF(ASS!$J$23=0, 0, IF(AC12=ASS!$J$23,$E$31-SUM($F$31:AB31),IF(AC12&gt;TERM,0,IF(AC12&lt;ASS!$J$23+1, SLN(ASS!$I$23,0,ASS!$J$23)*AC14/12, IF(AC12=ASS!$J$23+1, SLN(ASS!$I$23,0,ASS!$J$23)*(12-AC14)/12, 0)))))</f>
        <v>0</v>
      </c>
      <c r="AD31" s="36">
        <f>IF(ASS!$J$23=0, 0, IF(AD12=ASS!$J$23,$E$31-SUM($F$31:AC31),IF(AD12&gt;TERM,0,IF(AD12&lt;ASS!$J$23+1, SLN(ASS!$I$23,0,ASS!$J$23)*AD14/12, IF(AD12=ASS!$J$23+1, SLN(ASS!$I$23,0,ASS!$J$23)*(12-AD14)/12, 0)))))</f>
        <v>0</v>
      </c>
      <c r="AE31" s="36">
        <f>IF(ASS!$J$23=0, 0, IF(AE12=ASS!$J$23,$E$31-SUM($F$31:AD31),IF(AE12&gt;TERM,0,IF(AE12&lt;ASS!$J$23+1, SLN(ASS!$I$23,0,ASS!$J$23)*AE14/12, IF(AE12=ASS!$J$23+1, SLN(ASS!$I$23,0,ASS!$J$23)*(12-AE14)/12, 0)))))</f>
        <v>0</v>
      </c>
      <c r="AF31" s="38">
        <f>SUM(F31:AE31)</f>
        <v>0</v>
      </c>
      <c r="AG31" s="5"/>
    </row>
    <row r="32" spans="1:33" x14ac:dyDescent="0.25">
      <c r="A32" s="4"/>
      <c r="B32" s="5" t="s">
        <v>78</v>
      </c>
      <c r="C32" s="5"/>
      <c r="D32" s="5"/>
      <c r="E32" s="38">
        <f>ASS!$I24</f>
        <v>0</v>
      </c>
      <c r="F32" s="36">
        <f>IF(ASS!$J$23=0, 0,  IF($F13&lt;ASS!$J$23+1, SLN(ASS!$I$23,0,ASS!$J$23)*$F16/12, IF($F13=ASS!$J$23+1, SLN(ASS!$I$23,0,ASS!$J$23)*(12-$F16)/12, 0)))</f>
        <v>0</v>
      </c>
      <c r="G32" s="36">
        <f>IF(ASS!$J$24=0, 0, IF(G12=TERM,$E$32-SUM($F$32:F32),IF(G12&gt;TERM,0,IF(G12&lt;ASS!$J$24+1, SLN(ASS!$I$24,0,ASS!$J$24)*G14/12, IF(G12=ASS!$J$24+1, SLN(ASS!$I$24,0,ASS!$J$24)*(12-G14)/12, 0)))))</f>
        <v>0</v>
      </c>
      <c r="H32" s="36">
        <f>IF(ASS!$J$24=0, 0, IF(H12=TERM,$E$32-SUM($F$32:G32),IF(H12&gt;TERM,0,IF(H12&lt;ASS!$J$24+1, SLN(ASS!$I$24,0,ASS!$J$24)*H14/12, IF(H12=ASS!$J$24+1, SLN(ASS!$I$24,0,ASS!$J$24)*(12-H14)/12, 0)))))</f>
        <v>0</v>
      </c>
      <c r="I32" s="36">
        <f>IF(ASS!$J$24=0, 0, IF(I12=TERM,$E$32-SUM($F$32:H32),IF(I12&gt;TERM,0,IF(I12&lt;ASS!$J$24+1, SLN(ASS!$I$24,0,ASS!$J$24)*I14/12, IF(I12=ASS!$J$24+1, SLN(ASS!$I$24,0,ASS!$J$24)*(12-I14)/12, 0)))))</f>
        <v>0</v>
      </c>
      <c r="J32" s="36">
        <f>IF(ASS!$J$24=0, 0, IF(J12=TERM,$E$32-SUM($F$32:I32),IF(J12&gt;TERM,0,IF(J12&lt;ASS!$J$24+1, SLN(ASS!$I$24,0,ASS!$J$24)*J14/12, IF(J12=ASS!$J$24+1, SLN(ASS!$I$24,0,ASS!$J$24)*(12-J14)/12, 0)))))</f>
        <v>0</v>
      </c>
      <c r="K32" s="36">
        <f>IF(ASS!$J$24=0, 0, IF(K12=TERM,$E$32-SUM($F$32:J32),IF(K12&gt;TERM,0,IF(K12&lt;ASS!$J$24+1, SLN(ASS!$I$24,0,ASS!$J$24)*K14/12, IF(K12=ASS!$J$24+1, SLN(ASS!$I$24,0,ASS!$J$24)*(12-K14)/12, 0)))))</f>
        <v>0</v>
      </c>
      <c r="L32" s="36">
        <f>IF(ASS!$J$24=0, 0, IF(L12=TERM,$E$32-SUM($F$32:K32),IF(L12&gt;TERM,0,IF(L12&lt;ASS!$J$24+1, SLN(ASS!$I$24,0,ASS!$J$24)*L14/12, IF(L12=ASS!$J$24+1, SLN(ASS!$I$24,0,ASS!$J$24)*(12-L14)/12, 0)))))</f>
        <v>0</v>
      </c>
      <c r="M32" s="36">
        <f>IF(ASS!$J$24=0, 0, IF(M12=TERM,$E$32-SUM($F$32:L32),IF(M12&gt;TERM,0,IF(M12&lt;ASS!$J$24+1, SLN(ASS!$I$24,0,ASS!$J$24)*M14/12, IF(M12=ASS!$J$24+1, SLN(ASS!$I$24,0,ASS!$J$24)*(12-M14)/12, 0)))))</f>
        <v>0</v>
      </c>
      <c r="N32" s="36">
        <f>IF(ASS!$J$24=0, 0, IF(N12=TERM,$E$32-SUM($F$32:M32),IF(N12&gt;TERM,0,IF(N12&lt;ASS!$J$24+1, SLN(ASS!$I$24,0,ASS!$J$24)*N14/12, IF(N12=ASS!$J$24+1, SLN(ASS!$I$24,0,ASS!$J$24)*(12-N14)/12, 0)))))</f>
        <v>0</v>
      </c>
      <c r="O32" s="36">
        <f>IF(ASS!$J$24=0, 0, IF(O12=TERM,$E$32-SUM($F$32:N32),IF(O12&gt;TERM,0,IF(O12&lt;ASS!$J$24+1, SLN(ASS!$I$24,0,ASS!$J$24)*O14/12, IF(O12=ASS!$J$24+1, SLN(ASS!$I$24,0,ASS!$J$24)*(12-O14)/12, 0)))))</f>
        <v>0</v>
      </c>
      <c r="P32" s="36">
        <f>IF(ASS!$J$24=0, 0, IF(P12=TERM,$E$32-SUM($F$32:O32),IF(P12&gt;TERM,0,IF(P12&lt;ASS!$J$24+1, SLN(ASS!$I$24,0,ASS!$J$24)*P14/12, IF(P12=ASS!$J$24+1, SLN(ASS!$I$24,0,ASS!$J$24)*(12-P14)/12, 0)))))</f>
        <v>0</v>
      </c>
      <c r="Q32" s="36">
        <f>IF(ASS!$J$24=0, 0, IF(Q12=TERM,$E$32-SUM($F$32:P32),IF(Q12&gt;TERM,0,IF(Q12&lt;ASS!$J$24+1, SLN(ASS!$I$24,0,ASS!$J$24)*Q14/12, IF(Q12=ASS!$J$24+1, SLN(ASS!$I$24,0,ASS!$J$24)*(12-Q14)/12, 0)))))</f>
        <v>0</v>
      </c>
      <c r="R32" s="36">
        <f>IF(ASS!$J$24=0, 0, IF(R12=TERM,$E$32-SUM($F$32:Q32),IF(R12&gt;TERM,0,IF(R12&lt;ASS!$J$24+1, SLN(ASS!$I$24,0,ASS!$J$24)*R14/12, IF(R12=ASS!$J$24+1, SLN(ASS!$I$24,0,ASS!$J$24)*(12-R14)/12, 0)))))</f>
        <v>0</v>
      </c>
      <c r="S32" s="36">
        <f>IF(ASS!$J$24=0, 0, IF(S12=TERM,$E$32-SUM($F$32:R32),IF(S12&gt;TERM,0,IF(S12&lt;ASS!$J$24+1, SLN(ASS!$I$24,0,ASS!$J$24)*S14/12, IF(S12=ASS!$J$24+1, SLN(ASS!$I$24,0,ASS!$J$24)*(12-S14)/12, 0)))))</f>
        <v>0</v>
      </c>
      <c r="T32" s="36">
        <f>IF(ASS!$J$24=0, 0, IF(T12=TERM,$E$32-SUM($F$32:S32),IF(T12&gt;TERM,0,IF(T12&lt;ASS!$J$24+1, SLN(ASS!$I$24,0,ASS!$J$24)*T14/12, IF(T12=ASS!$J$24+1, SLN(ASS!$I$24,0,ASS!$J$24)*(12-T14)/12, 0)))))</f>
        <v>0</v>
      </c>
      <c r="U32" s="36">
        <f>IF(ASS!$J$24=0, 0, IF(U12=TERM,$E$32-SUM($F$32:T32),IF(U12&gt;TERM,0,IF(U12&lt;ASS!$J$24+1, SLN(ASS!$I$24,0,ASS!$J$24)*U14/12, IF(U12=ASS!$J$24+1, SLN(ASS!$I$24,0,ASS!$J$24)*(12-U14)/12, 0)))))</f>
        <v>0</v>
      </c>
      <c r="V32" s="36">
        <f>IF(ASS!$J$24=0, 0, IF(V12=TERM,$E$32-SUM($F$32:U32),IF(V12&gt;TERM,0,IF(V12&lt;ASS!$J$24+1, SLN(ASS!$I$24,0,ASS!$J$24)*V14/12, IF(V12=ASS!$J$24+1, SLN(ASS!$I$24,0,ASS!$J$24)*(12-V14)/12, 0)))))</f>
        <v>0</v>
      </c>
      <c r="W32" s="36">
        <f>IF(ASS!$J$24=0, 0, IF(W12=TERM,$E$32-SUM($F$32:V32),IF(W12&gt;TERM,0,IF(W12&lt;ASS!$J$24+1, SLN(ASS!$I$24,0,ASS!$J$24)*W14/12, IF(W12=ASS!$J$24+1, SLN(ASS!$I$24,0,ASS!$J$24)*(12-W14)/12, 0)))))</f>
        <v>0</v>
      </c>
      <c r="X32" s="36">
        <f>IF(ASS!$J$24=0, 0, IF(X12=TERM,$E$32-SUM($F$32:W32),IF(X12&gt;TERM,0,IF(X12&lt;ASS!$J$24+1, SLN(ASS!$I$24,0,ASS!$J$24)*X14/12, IF(X12=ASS!$J$24+1, SLN(ASS!$I$24,0,ASS!$J$24)*(12-X14)/12, 0)))))</f>
        <v>0</v>
      </c>
      <c r="Y32" s="36">
        <f>IF(ASS!$J$24=0, 0, IF(Y12=TERM,$E$32-SUM($F$32:X32),IF(Y12&gt;TERM,0,IF(Y12&lt;ASS!$J$24+1, SLN(ASS!$I$24,0,ASS!$J$24)*Y14/12, IF(Y12=ASS!$J$24+1, SLN(ASS!$I$24,0,ASS!$J$24)*(12-Y14)/12, 0)))))</f>
        <v>0</v>
      </c>
      <c r="Z32" s="36">
        <f>IF(ASS!$J$24=0, 0, IF(Z12=TERM,$E$32-SUM($F$32:Y32),IF(Z12&gt;TERM,0,IF(Z12&lt;ASS!$J$24+1, SLN(ASS!$I$24,0,ASS!$J$24)*Z14/12, IF(Z12=ASS!$J$24+1, SLN(ASS!$I$24,0,ASS!$J$24)*(12-Z14)/12, 0)))))</f>
        <v>0</v>
      </c>
      <c r="AA32" s="36">
        <f>IF(ASS!$J$24=0, 0, IF(AA12=TERM,$E$32-SUM($F$32:Z32),IF(AA12&gt;TERM,0,IF(AA12&lt;ASS!$J$24+1, SLN(ASS!$I$24,0,ASS!$J$24)*AA14/12, IF(AA12=ASS!$J$24+1, SLN(ASS!$I$24,0,ASS!$J$24)*(12-AA14)/12, 0)))))</f>
        <v>0</v>
      </c>
      <c r="AB32" s="36">
        <f>IF(ASS!$J$24=0, 0, IF(AB12=TERM,$E$32-SUM($F$32:AA32),IF(AB12&gt;TERM,0,IF(AB12&lt;ASS!$J$24+1, SLN(ASS!$I$24,0,ASS!$J$24)*AB14/12, IF(AB12=ASS!$J$24+1, SLN(ASS!$I$24,0,ASS!$J$24)*(12-AB14)/12, 0)))))</f>
        <v>0</v>
      </c>
      <c r="AC32" s="36">
        <f>IF(ASS!$J$24=0, 0, IF(AC12=TERM,$E$32-SUM($F$32:AB32),IF(AC12&gt;TERM,0,IF(AC12&lt;ASS!$J$24+1, SLN(ASS!$I$24,0,ASS!$J$24)*AC14/12, IF(AC12=ASS!$J$24+1, SLN(ASS!$I$24,0,ASS!$J$24)*(12-AC14)/12, 0)))))</f>
        <v>0</v>
      </c>
      <c r="AD32" s="36">
        <f>IF(ASS!$J$24=0, 0, IF(AD12=TERM,$E$32-SUM($F$32:AC32),IF(AD12&gt;TERM,0,IF(AD12&lt;ASS!$J$24+1, SLN(ASS!$I$24,0,ASS!$J$24)*AD14/12, IF(AD12=ASS!$J$24+1, SLN(ASS!$I$24,0,ASS!$J$24)*(12-AD14)/12, 0)))))</f>
        <v>0</v>
      </c>
      <c r="AE32" s="36">
        <f>IF(ASS!$J$24=0, 0, IF(AE12=TERM,$E$32-SUM($F$32:AD32),IF(AE12&gt;TERM,0,IF(AE12&lt;ASS!$J$24+1, SLN(ASS!$I$24,0,ASS!$J$24)*AE14/12, IF(AE12=ASS!$J$24+1, SLN(ASS!$I$24,0,ASS!$J$24)*(12-AE14)/12, 0)))))</f>
        <v>0</v>
      </c>
      <c r="AF32" s="38">
        <f>SUM(F32:AE32)</f>
        <v>0</v>
      </c>
      <c r="AG32" s="5"/>
    </row>
    <row r="33" spans="1:33" x14ac:dyDescent="0.25">
      <c r="A33" s="4"/>
      <c r="B33" s="5" t="s">
        <v>81</v>
      </c>
      <c r="C33" s="5"/>
      <c r="D33" s="5"/>
      <c r="E33" s="196">
        <f>ASS!$I25</f>
        <v>0</v>
      </c>
      <c r="F33" s="197">
        <f>IF(ASS!$J$25=0, 0, IF(F12&lt;ASS!$J$25+1, SLN(ASS!$I$25,0,ASS!$J$25)*F14/12, IF(F12=ASS!$J$25+1, SLN(ASS!$I$25,0,ASS!$J$25)*(12-F14)/12, 0)))</f>
        <v>0</v>
      </c>
      <c r="G33" s="197">
        <f>IF(ASS!$J$25=0, 0, IF(G12=TERM,$E$33-SUM($F$33:F33),IF(G12&gt;TERM,0,IF(G12&lt;ASS!$J$25+1, SLN(ASS!$I$25,0,ASS!$J$25)*G14/12, IF(G12=ASS!$J$25+1, SLN(ASS!$I$25,0,ASS!$J$25)*(12-G14)/12, 0)))))</f>
        <v>0</v>
      </c>
      <c r="H33" s="197">
        <f>IF(ASS!$J$25=0, 0, IF(H12=TERM,$E$33-SUM($F$33:G33),IF(H12&gt;TERM,0,IF(H12&lt;ASS!$J$25+1, SLN(ASS!$I$25,0,ASS!$J$25)*H14/12, IF(H12=ASS!$J$25+1, SLN(ASS!$I$25,0,ASS!$J$25)*(12-H14)/12, 0)))))</f>
        <v>0</v>
      </c>
      <c r="I33" s="197">
        <f>IF(ASS!$J$25=0, 0, IF(I12=TERM,$E$33-SUM($F$33:H33),IF(I12&gt;TERM,0,IF(I12&lt;ASS!$J$25+1, SLN(ASS!$I$25,0,ASS!$J$25)*I14/12, IF(I12=ASS!$J$25+1, SLN(ASS!$I$25,0,ASS!$J$25)*(12-I14)/12, 0)))))</f>
        <v>0</v>
      </c>
      <c r="J33" s="197">
        <f>IF(ASS!$J$25=0, 0, IF(J12=TERM,$E$33-SUM($F$33:I33),IF(J12&gt;TERM,0,IF(J12&lt;ASS!$J$25+1, SLN(ASS!$I$25,0,ASS!$J$25)*J14/12, IF(J12=ASS!$J$25+1, SLN(ASS!$I$25,0,ASS!$J$25)*(12-J14)/12, 0)))))</f>
        <v>0</v>
      </c>
      <c r="K33" s="197">
        <f>IF(ASS!$J$25=0, 0, IF(K12=TERM,$E$33-SUM($F$33:J33),IF(K12&gt;TERM,0,IF(K12&lt;ASS!$J$25+1, SLN(ASS!$I$25,0,ASS!$J$25)*K14/12, IF(K12=ASS!$J$25+1, SLN(ASS!$I$25,0,ASS!$J$25)*(12-K14)/12, 0)))))</f>
        <v>0</v>
      </c>
      <c r="L33" s="197">
        <f>IF(ASS!$J$25=0, 0, IF(L12=TERM,$E$33-SUM($F$33:K33),IF(L12&gt;TERM,0,IF(L12&lt;ASS!$J$25+1, SLN(ASS!$I$25,0,ASS!$J$25)*L14/12, IF(L12=ASS!$J$25+1, SLN(ASS!$I$25,0,ASS!$J$25)*(12-L14)/12, 0)))))</f>
        <v>0</v>
      </c>
      <c r="M33" s="197">
        <f>IF(ASS!$J$25=0, 0, IF(M12=TERM,$E$33-SUM($F$33:L33),IF(M12&gt;TERM,0,IF(M12&lt;ASS!$J$25+1, SLN(ASS!$I$25,0,ASS!$J$25)*M14/12, IF(M12=ASS!$J$25+1, SLN(ASS!$I$25,0,ASS!$J$25)*(12-M14)/12, 0)))))</f>
        <v>0</v>
      </c>
      <c r="N33" s="197">
        <f>IF(ASS!$J$25=0, 0, IF(N12=TERM,$E$33-SUM($F$33:M33),IF(N12&gt;TERM,0,IF(N12&lt;ASS!$J$25+1, SLN(ASS!$I$25,0,ASS!$J$25)*N14/12, IF(N12=ASS!$J$25+1, SLN(ASS!$I$25,0,ASS!$J$25)*(12-N14)/12, 0)))))</f>
        <v>0</v>
      </c>
      <c r="O33" s="197">
        <f>IF(ASS!$J$25=0, 0, IF(O12=TERM,$E$33-SUM($F$33:N33),IF(O12&gt;TERM,0,IF(O12&lt;ASS!$J$25+1, SLN(ASS!$I$25,0,ASS!$J$25)*O14/12, IF(O12=ASS!$J$25+1, SLN(ASS!$I$25,0,ASS!$J$25)*(12-O14)/12, 0)))))</f>
        <v>0</v>
      </c>
      <c r="P33" s="197">
        <f>IF(ASS!$J$25=0, 0, IF(P12=TERM,$E$33-SUM($F$33:O33),IF(P12&gt;TERM,0,IF(P12&lt;ASS!$J$25+1, SLN(ASS!$I$25,0,ASS!$J$25)*P14/12, IF(P12=ASS!$J$25+1, SLN(ASS!$I$25,0,ASS!$J$25)*(12-P14)/12, 0)))))</f>
        <v>0</v>
      </c>
      <c r="Q33" s="197">
        <f>IF(ASS!$J$25=0, 0, IF(Q12=TERM,$E$33-SUM($F$33:P33),IF(Q12&gt;TERM,0,IF(Q12&lt;ASS!$J$25+1, SLN(ASS!$I$25,0,ASS!$J$25)*Q14/12, IF(Q12=ASS!$J$25+1, SLN(ASS!$I$25,0,ASS!$J$25)*(12-Q14)/12, 0)))))</f>
        <v>0</v>
      </c>
      <c r="R33" s="197">
        <f>IF(ASS!$J$25=0, 0, IF(R12=TERM,$E$33-SUM($F$33:Q33),IF(R12&gt;TERM,0,IF(R12&lt;ASS!$J$25+1, SLN(ASS!$I$25,0,ASS!$J$25)*R14/12, IF(R12=ASS!$J$25+1, SLN(ASS!$I$25,0,ASS!$J$25)*(12-R14)/12, 0)))))</f>
        <v>0</v>
      </c>
      <c r="S33" s="197">
        <f>IF(ASS!$J$25=0, 0, IF(S12=TERM,$E$33-SUM($F$33:R33),IF(S12&gt;TERM,0,IF(S12&lt;ASS!$J$25+1, SLN(ASS!$I$25,0,ASS!$J$25)*S14/12, IF(S12=ASS!$J$25+1, SLN(ASS!$I$25,0,ASS!$J$25)*(12-S14)/12, 0)))))</f>
        <v>0</v>
      </c>
      <c r="T33" s="197">
        <f>IF(ASS!$J$25=0, 0, IF(T12=TERM,$E$33-SUM($F$33:S33),IF(T12&gt;TERM,0,IF(T12&lt;ASS!$J$25+1, SLN(ASS!$I$25,0,ASS!$J$25)*T14/12, IF(T12=ASS!$J$25+1, SLN(ASS!$I$25,0,ASS!$J$25)*(12-T14)/12, 0)))))</f>
        <v>0</v>
      </c>
      <c r="U33" s="197">
        <f>IF(ASS!$J$25=0, 0, IF(U12=TERM,$E$33-SUM($F$33:T33),IF(U12&gt;TERM,0,IF(U12&lt;ASS!$J$25+1, SLN(ASS!$I$25,0,ASS!$J$25)*U14/12, IF(U12=ASS!$J$25+1, SLN(ASS!$I$25,0,ASS!$J$25)*(12-U14)/12, 0)))))</f>
        <v>0</v>
      </c>
      <c r="V33" s="197">
        <f>IF(ASS!$J$25=0, 0, IF(V12=TERM,$E$33-SUM($F$33:U33),IF(V12&gt;TERM,0,IF(V12&lt;ASS!$J$25+1, SLN(ASS!$I$25,0,ASS!$J$25)*V14/12, IF(V12=ASS!$J$25+1, SLN(ASS!$I$25,0,ASS!$J$25)*(12-V14)/12, 0)))))</f>
        <v>0</v>
      </c>
      <c r="W33" s="197">
        <f>IF(ASS!$J$25=0, 0, IF(W12=TERM,$E$33-SUM($F$33:V33),IF(W12&gt;TERM,0,IF(W12&lt;ASS!$J$25+1, SLN(ASS!$I$25,0,ASS!$J$25)*W14/12, IF(W12=ASS!$J$25+1, SLN(ASS!$I$25,0,ASS!$J$25)*(12-W14)/12, 0)))))</f>
        <v>0</v>
      </c>
      <c r="X33" s="197">
        <f>IF(ASS!$J$25=0, 0, IF(X12=TERM,$E$33-SUM($F$33:W33),IF(X12&gt;TERM,0,IF(X12&lt;ASS!$J$25+1, SLN(ASS!$I$25,0,ASS!$J$25)*X14/12, IF(X12=ASS!$J$25+1, SLN(ASS!$I$25,0,ASS!$J$25)*(12-X14)/12, 0)))))</f>
        <v>0</v>
      </c>
      <c r="Y33" s="197">
        <f>IF(ASS!$J$25=0, 0, IF(Y12=TERM,$E$33-SUM($F$33:X33),IF(Y12&gt;TERM,0,IF(Y12&lt;ASS!$J$25+1, SLN(ASS!$I$25,0,ASS!$J$25)*Y14/12, IF(Y12=ASS!$J$25+1, SLN(ASS!$I$25,0,ASS!$J$25)*(12-Y14)/12, 0)))))</f>
        <v>0</v>
      </c>
      <c r="Z33" s="197">
        <f>IF(ASS!$J$25=0, 0, IF(Z12=TERM,$E$33-SUM($F$33:Y33),IF(Z12&gt;TERM,0,IF(Z12&lt;ASS!$J$25+1, SLN(ASS!$I$25,0,ASS!$J$25)*Z14/12, IF(Z12=ASS!$J$25+1, SLN(ASS!$I$25,0,ASS!$J$25)*(12-Z14)/12, 0)))))</f>
        <v>0</v>
      </c>
      <c r="AA33" s="197">
        <f>IF(ASS!$J$25=0, 0, IF(AA12=TERM,$E$33-SUM($F$33:Z33),IF(AA12&gt;TERM,0,IF(AA12&lt;ASS!$J$25+1, SLN(ASS!$I$25,0,ASS!$J$25)*AA14/12, IF(AA12=ASS!$J$25+1, SLN(ASS!$I$25,0,ASS!$J$25)*(12-AA14)/12, 0)))))</f>
        <v>0</v>
      </c>
      <c r="AB33" s="197">
        <f>IF(ASS!$J$25=0, 0, IF(AB12=TERM,$E$33-SUM($F$33:AA33),IF(AB12&gt;TERM,0,IF(AB12&lt;ASS!$J$25+1, SLN(ASS!$I$25,0,ASS!$J$25)*AB14/12, IF(AB12=ASS!$J$25+1, SLN(ASS!$I$25,0,ASS!$J$25)*(12-AB14)/12, 0)))))</f>
        <v>0</v>
      </c>
      <c r="AC33" s="197">
        <f>IF(ASS!$J$25=0, 0, IF(AC12=TERM,$E$33-SUM($F$33:AB33),IF(AC12&gt;TERM,0,IF(AC12&lt;ASS!$J$25+1, SLN(ASS!$I$25,0,ASS!$J$25)*AC14/12, IF(AC12=ASS!$J$25+1, SLN(ASS!$I$25,0,ASS!$J$25)*(12-AC14)/12, 0)))))</f>
        <v>0</v>
      </c>
      <c r="AD33" s="197">
        <f>IF(ASS!$J$25=0, 0, IF(AD12=TERM,$E$33-SUM($F$33:AC33),IF(AD12&gt;TERM,0,IF(AD12&lt;ASS!$J$25+1, SLN(ASS!$I$25,0,ASS!$J$25)*AD14/12, IF(AD12=ASS!$J$25+1, SLN(ASS!$I$25,0,ASS!$J$25)*(12-AD14)/12, 0)))))</f>
        <v>0</v>
      </c>
      <c r="AE33" s="197">
        <f>IF(ASS!$J$25=0, 0, IF(AE12=TERM,$E$33-SUM($F$33:AD33),IF(AE12&gt;TERM,0,IF(AE12&lt;ASS!$J$25+1, SLN(ASS!$I$25,0,ASS!$J$25)*AE14/12, IF(AE12=ASS!$J$25+1, SLN(ASS!$I$25,0,ASS!$J$25)*(12-AE14)/12, 0)))))</f>
        <v>0</v>
      </c>
      <c r="AF33" s="196">
        <f>SUM(F33:AE33)</f>
        <v>0</v>
      </c>
      <c r="AG33" s="5"/>
    </row>
    <row r="34" spans="1:33" x14ac:dyDescent="0.25">
      <c r="A34" s="4"/>
      <c r="B34" s="5" t="s">
        <v>336</v>
      </c>
      <c r="C34" s="314"/>
      <c r="D34" s="5"/>
      <c r="E34" s="38">
        <f>SUM(E31:E33)</f>
        <v>13000</v>
      </c>
      <c r="F34" s="36">
        <f>SUM(F31:F33)</f>
        <v>0</v>
      </c>
      <c r="G34" s="36">
        <f t="shared" ref="G34:AE34" si="14">G31</f>
        <v>0</v>
      </c>
      <c r="H34" s="36">
        <f t="shared" si="14"/>
        <v>0</v>
      </c>
      <c r="I34" s="36">
        <f t="shared" si="14"/>
        <v>0</v>
      </c>
      <c r="J34" s="36">
        <f t="shared" si="14"/>
        <v>0</v>
      </c>
      <c r="K34" s="36">
        <f t="shared" si="14"/>
        <v>0</v>
      </c>
      <c r="L34" s="36">
        <f t="shared" si="14"/>
        <v>0</v>
      </c>
      <c r="M34" s="36">
        <f t="shared" si="14"/>
        <v>0</v>
      </c>
      <c r="N34" s="36">
        <f t="shared" si="14"/>
        <v>0</v>
      </c>
      <c r="O34" s="36">
        <f t="shared" si="14"/>
        <v>0</v>
      </c>
      <c r="P34" s="36">
        <f t="shared" si="14"/>
        <v>0</v>
      </c>
      <c r="Q34" s="36">
        <f t="shared" si="14"/>
        <v>0</v>
      </c>
      <c r="R34" s="36">
        <f t="shared" si="14"/>
        <v>0</v>
      </c>
      <c r="S34" s="36">
        <f t="shared" si="14"/>
        <v>0</v>
      </c>
      <c r="T34" s="36">
        <f t="shared" si="14"/>
        <v>0</v>
      </c>
      <c r="U34" s="36">
        <f t="shared" si="14"/>
        <v>0</v>
      </c>
      <c r="V34" s="36">
        <f t="shared" si="14"/>
        <v>0</v>
      </c>
      <c r="W34" s="36">
        <f t="shared" si="14"/>
        <v>0</v>
      </c>
      <c r="X34" s="36">
        <f t="shared" si="14"/>
        <v>0</v>
      </c>
      <c r="Y34" s="36">
        <f t="shared" si="14"/>
        <v>0</v>
      </c>
      <c r="Z34" s="36">
        <f t="shared" si="14"/>
        <v>0</v>
      </c>
      <c r="AA34" s="36">
        <f t="shared" si="14"/>
        <v>0</v>
      </c>
      <c r="AB34" s="36">
        <f t="shared" si="14"/>
        <v>0</v>
      </c>
      <c r="AC34" s="36">
        <f t="shared" si="14"/>
        <v>0</v>
      </c>
      <c r="AD34" s="36">
        <f t="shared" si="14"/>
        <v>0</v>
      </c>
      <c r="AE34" s="36">
        <f t="shared" si="14"/>
        <v>0</v>
      </c>
      <c r="AF34" s="38">
        <f>SUM(F34:AE34)</f>
        <v>0</v>
      </c>
      <c r="AG34" s="5"/>
    </row>
    <row r="35" spans="1:33" x14ac:dyDescent="0.25">
      <c r="A35" s="4"/>
      <c r="B35" s="392" t="s">
        <v>337</v>
      </c>
      <c r="C35" s="393"/>
      <c r="D35" s="392"/>
      <c r="E35" s="394"/>
      <c r="F35" s="395">
        <f>F34</f>
        <v>0</v>
      </c>
      <c r="G35" s="395">
        <f>F35+G34</f>
        <v>0</v>
      </c>
      <c r="H35" s="395">
        <f t="shared" ref="H35:W35" si="15">G35+H34</f>
        <v>0</v>
      </c>
      <c r="I35" s="395">
        <f t="shared" si="15"/>
        <v>0</v>
      </c>
      <c r="J35" s="395">
        <f t="shared" si="15"/>
        <v>0</v>
      </c>
      <c r="K35" s="395">
        <f t="shared" si="15"/>
        <v>0</v>
      </c>
      <c r="L35" s="395">
        <f t="shared" si="15"/>
        <v>0</v>
      </c>
      <c r="M35" s="395">
        <f t="shared" si="15"/>
        <v>0</v>
      </c>
      <c r="N35" s="395">
        <f t="shared" si="15"/>
        <v>0</v>
      </c>
      <c r="O35" s="395">
        <f t="shared" si="15"/>
        <v>0</v>
      </c>
      <c r="P35" s="395">
        <f t="shared" si="15"/>
        <v>0</v>
      </c>
      <c r="Q35" s="395">
        <f t="shared" si="15"/>
        <v>0</v>
      </c>
      <c r="R35" s="395">
        <f t="shared" si="15"/>
        <v>0</v>
      </c>
      <c r="S35" s="395">
        <f t="shared" si="15"/>
        <v>0</v>
      </c>
      <c r="T35" s="395">
        <f t="shared" si="15"/>
        <v>0</v>
      </c>
      <c r="U35" s="395">
        <f t="shared" si="15"/>
        <v>0</v>
      </c>
      <c r="V35" s="395">
        <f t="shared" si="15"/>
        <v>0</v>
      </c>
      <c r="W35" s="395">
        <f t="shared" si="15"/>
        <v>0</v>
      </c>
      <c r="X35" s="395">
        <f t="shared" ref="X35:AE35" si="16">W35+X34</f>
        <v>0</v>
      </c>
      <c r="Y35" s="395">
        <f t="shared" si="16"/>
        <v>0</v>
      </c>
      <c r="Z35" s="395">
        <f t="shared" si="16"/>
        <v>0</v>
      </c>
      <c r="AA35" s="395">
        <f t="shared" si="16"/>
        <v>0</v>
      </c>
      <c r="AB35" s="395">
        <f t="shared" si="16"/>
        <v>0</v>
      </c>
      <c r="AC35" s="395">
        <f t="shared" si="16"/>
        <v>0</v>
      </c>
      <c r="AD35" s="395">
        <f t="shared" si="16"/>
        <v>0</v>
      </c>
      <c r="AE35" s="395">
        <f t="shared" si="16"/>
        <v>0</v>
      </c>
      <c r="AF35" s="38"/>
      <c r="AG35" s="5"/>
    </row>
    <row r="36" spans="1:33" x14ac:dyDescent="0.25">
      <c r="A36" s="4"/>
      <c r="B36" s="5"/>
      <c r="C36" s="314"/>
      <c r="D36" s="5"/>
      <c r="E36" s="38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8"/>
      <c r="AG36" s="5"/>
    </row>
    <row r="37" spans="1:33" x14ac:dyDescent="0.25">
      <c r="A37" s="4"/>
      <c r="B37" s="5" t="s">
        <v>338</v>
      </c>
      <c r="C37" s="314"/>
      <c r="D37" s="5"/>
      <c r="E37" s="38"/>
      <c r="F37" s="36">
        <v>0</v>
      </c>
      <c r="G37" s="36">
        <f t="shared" ref="G37:AE37" si="17">F40</f>
        <v>13000</v>
      </c>
      <c r="H37" s="36">
        <f t="shared" si="17"/>
        <v>13000</v>
      </c>
      <c r="I37" s="36">
        <f t="shared" si="17"/>
        <v>13000</v>
      </c>
      <c r="J37" s="36">
        <f t="shared" si="17"/>
        <v>13000</v>
      </c>
      <c r="K37" s="36">
        <f t="shared" si="17"/>
        <v>13000</v>
      </c>
      <c r="L37" s="36">
        <f t="shared" si="17"/>
        <v>13000</v>
      </c>
      <c r="M37" s="36">
        <f t="shared" si="17"/>
        <v>13000</v>
      </c>
      <c r="N37" s="36">
        <f t="shared" si="17"/>
        <v>13000</v>
      </c>
      <c r="O37" s="36">
        <f t="shared" si="17"/>
        <v>13000</v>
      </c>
      <c r="P37" s="36">
        <f t="shared" si="17"/>
        <v>13000</v>
      </c>
      <c r="Q37" s="36">
        <f t="shared" si="17"/>
        <v>13000</v>
      </c>
      <c r="R37" s="36">
        <f t="shared" si="17"/>
        <v>13000</v>
      </c>
      <c r="S37" s="36">
        <f t="shared" si="17"/>
        <v>13000</v>
      </c>
      <c r="T37" s="36">
        <f t="shared" si="17"/>
        <v>13000</v>
      </c>
      <c r="U37" s="36">
        <f t="shared" si="17"/>
        <v>13000</v>
      </c>
      <c r="V37" s="36">
        <f t="shared" si="17"/>
        <v>13000</v>
      </c>
      <c r="W37" s="36">
        <f t="shared" si="17"/>
        <v>13000</v>
      </c>
      <c r="X37" s="36">
        <f t="shared" si="17"/>
        <v>13000</v>
      </c>
      <c r="Y37" s="36">
        <f t="shared" si="17"/>
        <v>13000</v>
      </c>
      <c r="Z37" s="36">
        <f t="shared" si="17"/>
        <v>13000</v>
      </c>
      <c r="AA37" s="36">
        <f t="shared" si="17"/>
        <v>13000</v>
      </c>
      <c r="AB37" s="36">
        <f t="shared" si="17"/>
        <v>13000</v>
      </c>
      <c r="AC37" s="36">
        <f t="shared" si="17"/>
        <v>13000</v>
      </c>
      <c r="AD37" s="36">
        <f t="shared" si="17"/>
        <v>13000</v>
      </c>
      <c r="AE37" s="36">
        <f t="shared" si="17"/>
        <v>13000</v>
      </c>
      <c r="AF37" s="38"/>
      <c r="AG37" s="5"/>
    </row>
    <row r="38" spans="1:33" x14ac:dyDescent="0.25">
      <c r="A38" s="4"/>
      <c r="B38" s="5" t="s">
        <v>331</v>
      </c>
      <c r="C38" s="5"/>
      <c r="D38" s="5"/>
      <c r="E38" s="38"/>
      <c r="F38" s="36">
        <f>E34</f>
        <v>13000</v>
      </c>
      <c r="G38" s="36">
        <v>0</v>
      </c>
      <c r="H38" s="36">
        <v>0</v>
      </c>
      <c r="I38" s="36">
        <v>0</v>
      </c>
      <c r="J38" s="36">
        <v>0</v>
      </c>
      <c r="K38" s="36">
        <v>0</v>
      </c>
      <c r="L38" s="36">
        <v>0</v>
      </c>
      <c r="M38" s="36">
        <v>0</v>
      </c>
      <c r="N38" s="36">
        <v>0</v>
      </c>
      <c r="O38" s="36">
        <v>0</v>
      </c>
      <c r="P38" s="36">
        <v>0</v>
      </c>
      <c r="Q38" s="36">
        <v>0</v>
      </c>
      <c r="R38" s="36">
        <v>0</v>
      </c>
      <c r="S38" s="36">
        <v>0</v>
      </c>
      <c r="T38" s="36">
        <v>0</v>
      </c>
      <c r="U38" s="36">
        <v>0</v>
      </c>
      <c r="V38" s="36">
        <v>0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36">
        <v>0</v>
      </c>
      <c r="AD38" s="36">
        <v>0</v>
      </c>
      <c r="AE38" s="36">
        <v>0</v>
      </c>
      <c r="AF38" s="38">
        <f>SUM(F38:AE38)</f>
        <v>13000</v>
      </c>
      <c r="AG38" s="5"/>
    </row>
    <row r="39" spans="1:33" x14ac:dyDescent="0.25">
      <c r="A39" s="4"/>
      <c r="B39" s="5" t="s">
        <v>332</v>
      </c>
      <c r="C39" s="5"/>
      <c r="D39" s="5"/>
      <c r="E39" s="38"/>
      <c r="F39" s="39">
        <f>-F34</f>
        <v>0</v>
      </c>
      <c r="G39" s="39">
        <f>-G34</f>
        <v>0</v>
      </c>
      <c r="H39" s="39">
        <f t="shared" ref="H39:W39" si="18">-H34</f>
        <v>0</v>
      </c>
      <c r="I39" s="39">
        <f t="shared" si="18"/>
        <v>0</v>
      </c>
      <c r="J39" s="39">
        <f t="shared" si="18"/>
        <v>0</v>
      </c>
      <c r="K39" s="39">
        <f t="shared" si="18"/>
        <v>0</v>
      </c>
      <c r="L39" s="39">
        <f t="shared" si="18"/>
        <v>0</v>
      </c>
      <c r="M39" s="39">
        <f t="shared" si="18"/>
        <v>0</v>
      </c>
      <c r="N39" s="39">
        <f t="shared" si="18"/>
        <v>0</v>
      </c>
      <c r="O39" s="39">
        <f t="shared" si="18"/>
        <v>0</v>
      </c>
      <c r="P39" s="39">
        <f t="shared" si="18"/>
        <v>0</v>
      </c>
      <c r="Q39" s="39">
        <f t="shared" si="18"/>
        <v>0</v>
      </c>
      <c r="R39" s="39">
        <f t="shared" si="18"/>
        <v>0</v>
      </c>
      <c r="S39" s="39">
        <f t="shared" si="18"/>
        <v>0</v>
      </c>
      <c r="T39" s="39">
        <f t="shared" si="18"/>
        <v>0</v>
      </c>
      <c r="U39" s="39">
        <f t="shared" si="18"/>
        <v>0</v>
      </c>
      <c r="V39" s="39">
        <f t="shared" si="18"/>
        <v>0</v>
      </c>
      <c r="W39" s="39">
        <f t="shared" si="18"/>
        <v>0</v>
      </c>
      <c r="X39" s="39">
        <f t="shared" ref="X39:AE39" si="19">-X34</f>
        <v>0</v>
      </c>
      <c r="Y39" s="39">
        <f t="shared" si="19"/>
        <v>0</v>
      </c>
      <c r="Z39" s="39">
        <f t="shared" si="19"/>
        <v>0</v>
      </c>
      <c r="AA39" s="39">
        <f t="shared" si="19"/>
        <v>0</v>
      </c>
      <c r="AB39" s="39">
        <f t="shared" si="19"/>
        <v>0</v>
      </c>
      <c r="AC39" s="39">
        <f t="shared" si="19"/>
        <v>0</v>
      </c>
      <c r="AD39" s="39">
        <f t="shared" si="19"/>
        <v>0</v>
      </c>
      <c r="AE39" s="39">
        <f t="shared" si="19"/>
        <v>0</v>
      </c>
      <c r="AF39" s="38">
        <f>SUM(F39:AE39)</f>
        <v>0</v>
      </c>
      <c r="AG39" s="5"/>
    </row>
    <row r="40" spans="1:33" x14ac:dyDescent="0.25">
      <c r="A40" s="6"/>
      <c r="B40" s="7" t="s">
        <v>339</v>
      </c>
      <c r="C40" s="7" t="s">
        <v>7</v>
      </c>
      <c r="D40" s="7"/>
      <c r="E40" s="46"/>
      <c r="F40" s="45">
        <f>SUM(F37:F39)</f>
        <v>13000</v>
      </c>
      <c r="G40" s="45">
        <f>SUM(G37:G39)</f>
        <v>13000</v>
      </c>
      <c r="H40" s="45">
        <f t="shared" ref="H40:W40" si="20">SUM(H37:H39)</f>
        <v>13000</v>
      </c>
      <c r="I40" s="45">
        <f t="shared" si="20"/>
        <v>13000</v>
      </c>
      <c r="J40" s="45">
        <f t="shared" si="20"/>
        <v>13000</v>
      </c>
      <c r="K40" s="45">
        <f t="shared" si="20"/>
        <v>13000</v>
      </c>
      <c r="L40" s="45">
        <f t="shared" si="20"/>
        <v>13000</v>
      </c>
      <c r="M40" s="45">
        <f t="shared" si="20"/>
        <v>13000</v>
      </c>
      <c r="N40" s="45">
        <f t="shared" si="20"/>
        <v>13000</v>
      </c>
      <c r="O40" s="45">
        <f t="shared" si="20"/>
        <v>13000</v>
      </c>
      <c r="P40" s="45">
        <f t="shared" si="20"/>
        <v>13000</v>
      </c>
      <c r="Q40" s="45">
        <f t="shared" si="20"/>
        <v>13000</v>
      </c>
      <c r="R40" s="45">
        <f t="shared" si="20"/>
        <v>13000</v>
      </c>
      <c r="S40" s="45">
        <f t="shared" si="20"/>
        <v>13000</v>
      </c>
      <c r="T40" s="45">
        <f t="shared" si="20"/>
        <v>13000</v>
      </c>
      <c r="U40" s="45">
        <f t="shared" si="20"/>
        <v>13000</v>
      </c>
      <c r="V40" s="45">
        <f t="shared" si="20"/>
        <v>13000</v>
      </c>
      <c r="W40" s="45">
        <f t="shared" si="20"/>
        <v>13000</v>
      </c>
      <c r="X40" s="45">
        <f t="shared" ref="X40:AE40" si="21">SUM(X37:X39)</f>
        <v>13000</v>
      </c>
      <c r="Y40" s="45">
        <f t="shared" si="21"/>
        <v>13000</v>
      </c>
      <c r="Z40" s="45">
        <f t="shared" si="21"/>
        <v>13000</v>
      </c>
      <c r="AA40" s="45">
        <f t="shared" si="21"/>
        <v>13000</v>
      </c>
      <c r="AB40" s="45">
        <f t="shared" si="21"/>
        <v>13000</v>
      </c>
      <c r="AC40" s="45">
        <f t="shared" si="21"/>
        <v>13000</v>
      </c>
      <c r="AD40" s="45">
        <f t="shared" si="21"/>
        <v>13000</v>
      </c>
      <c r="AE40" s="45">
        <f t="shared" si="21"/>
        <v>13000</v>
      </c>
      <c r="AF40" s="46"/>
      <c r="AG40" s="5"/>
    </row>
    <row r="41" spans="1:33" x14ac:dyDescent="0.25">
      <c r="A41" s="314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14"/>
      <c r="M41" s="314"/>
      <c r="N41" s="314"/>
      <c r="O41" s="314"/>
      <c r="P41" s="314"/>
      <c r="Q41" s="314"/>
      <c r="R41" s="314"/>
      <c r="S41" s="314"/>
      <c r="T41" s="314"/>
      <c r="U41" s="314"/>
      <c r="V41" s="314"/>
      <c r="W41" s="314"/>
      <c r="X41" s="314"/>
      <c r="Y41" s="314"/>
      <c r="Z41" s="314"/>
      <c r="AA41" s="314"/>
      <c r="AB41" s="314"/>
      <c r="AC41" s="314"/>
      <c r="AD41" s="314"/>
      <c r="AE41" s="314"/>
      <c r="AF41" s="314"/>
      <c r="AG41" s="314"/>
    </row>
    <row r="42" spans="1:33" x14ac:dyDescent="0.25">
      <c r="A42" s="9" t="s">
        <v>340</v>
      </c>
      <c r="B42" s="12"/>
      <c r="C42" s="12"/>
      <c r="D42" s="2"/>
      <c r="E42" s="2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2"/>
      <c r="AG42" s="314"/>
    </row>
    <row r="43" spans="1:33" x14ac:dyDescent="0.25">
      <c r="A43" s="4" t="s">
        <v>335</v>
      </c>
      <c r="B43" s="5"/>
      <c r="C43" s="5"/>
      <c r="D43" s="5"/>
      <c r="E43" s="21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21"/>
      <c r="AG43" s="314"/>
    </row>
    <row r="44" spans="1:33" x14ac:dyDescent="0.25">
      <c r="A44" s="4"/>
      <c r="B44" s="5" t="s">
        <v>73</v>
      </c>
      <c r="C44" s="5"/>
      <c r="D44" s="5"/>
      <c r="E44" s="38">
        <f>ASS!I27</f>
        <v>13000</v>
      </c>
      <c r="F44" s="388">
        <f>IF(ASS!$J$27=0, 0,  IF(F12&lt;ASS!$J$27, SLN(ASS!$I$27,0,ASS!$J$27)*F14/12, IF(F12=ASS!$J$27, SLN(ASS!$I$27,0,ASS!$J$27)*(12-F14)/12, 0)))</f>
        <v>0</v>
      </c>
      <c r="G44" s="387">
        <f>IF(ASS!$J$27=0, 0, IF(G12=ASS!$J$27,$E$44-SUM($F$44:F44),IF(G12&gt;TERM,0,IF(G12&lt;ASS!$J$27, SLN(ASS!$I$27,0,ASS!$J$27)*G14/12, IF(G12=ASS!$J$27, SLN(ASS!$I$27,0,ASS!$J$27)*(12-G14)/12, 0)))))</f>
        <v>0</v>
      </c>
      <c r="H44" s="388">
        <f>IF(ASS!$J$27=0, 0, IF(H12=ASS!$J$27,$E$44-SUM($F$44:G44),IF(H12&gt;TERM,0,IF(H12&lt;ASS!$J$27, SLN(ASS!$I$27,0,ASS!$J$27)*H14/12, IF(H12=ASS!$J$27, SLN(ASS!$I$27,0,ASS!$J$27)*(12-H14)/12, 0)))))</f>
        <v>0</v>
      </c>
      <c r="I44" s="388">
        <f>IF(ASS!$J$27=0, 0, IF(I12=ASS!$J$27,$E$44-SUM($F$44:H44),IF(I12&gt;TERM,0,IF(I12&lt;ASS!$J$27, SLN(ASS!$I$27,0,ASS!$J$27)*I14/12, IF(I12=ASS!$J$27, SLN(ASS!$I$27,0,ASS!$J$27)*(12-I14)/12, 0)))))</f>
        <v>0</v>
      </c>
      <c r="J44" s="388">
        <f>IF(ASS!$J$27=0, 0, IF(J12=ASS!$J$27,$E$44-SUM($F$44:I44),IF(J12&gt;TERM,0,IF(J12&lt;ASS!$J$27, SLN(ASS!$I$27,0,ASS!$J$27)*J14/12, IF(J12=ASS!$J$27, SLN(ASS!$I$27,0,ASS!$J$27)*(12-J14)/12, 0)))))</f>
        <v>0</v>
      </c>
      <c r="K44" s="388">
        <f>IF(ASS!$J$27=0, 0, IF(K12=ASS!$J$27,$E$44-SUM($F$44:J44),IF(K12&gt;TERM,0,IF(K12&lt;ASS!$J$27, SLN(ASS!$I$27,0,ASS!$J$27)*K14/12, IF(K12=ASS!$J$27, SLN(ASS!$I$27,0,ASS!$J$27)*(12-K14)/12, 0)))))</f>
        <v>0</v>
      </c>
      <c r="L44" s="388">
        <f>IF(ASS!$J$27=0, 0, IF(L12=ASS!$J$27,$E$44-SUM($F$44:K44),IF(L12&gt;TERM,0,IF(L12&lt;ASS!$J$27, SLN(ASS!$I$27,0,ASS!$J$27)*L14/12, IF(L12=ASS!$J$27, SLN(ASS!$I$27,0,ASS!$J$27)*(12-L14)/12, 0)))))</f>
        <v>0</v>
      </c>
      <c r="M44" s="388">
        <f>IF(ASS!$J$27=0, 0, IF(M12=ASS!$J$27,$E$44-SUM($F$44:L44),IF(M12&gt;TERM,0,IF(M12&lt;ASS!$J$27, SLN(ASS!$I$27,0,ASS!$J$27)*M14/12, IF(M12=ASS!$J$27, SLN(ASS!$I$27,0,ASS!$J$27)*(12-M14)/12, 0)))))</f>
        <v>0</v>
      </c>
      <c r="N44" s="388">
        <f>IF(ASS!$J$27=0, 0, IF(N12=ASS!$J$27,$E$44-SUM($F$44:M44),IF(N12&gt;TERM,0,IF(N12&lt;ASS!$J$27, SLN(ASS!$I$27,0,ASS!$J$27)*N14/12, IF(N12=ASS!$J$27, SLN(ASS!$I$27,0,ASS!$J$27)*(12-N14)/12, 0)))))</f>
        <v>0</v>
      </c>
      <c r="O44" s="388">
        <f>IF(ASS!$J$27=0, 0, IF(O12=ASS!$J$27,$E$44-SUM($F$44:N44),IF(O12&gt;TERM,0,IF(O12&lt;ASS!$J$27, SLN(ASS!$I$27,0,ASS!$J$27)*O14/12, IF(O12=ASS!$J$27, SLN(ASS!$I$27,0,ASS!$J$27)*(12-O14)/12, 0)))))</f>
        <v>0</v>
      </c>
      <c r="P44" s="388">
        <f>IF(ASS!$J$27=0, 0, IF(P12=ASS!$J$27,$E$44-SUM($F$44:O44),IF(P12&gt;TERM,0,IF(P12&lt;ASS!$J$27, SLN(ASS!$I$27,0,ASS!$J$27)*P14/12, IF(P12=ASS!$J$27, SLN(ASS!$I$27,0,ASS!$J$27)*(12-P14)/12, 0)))))</f>
        <v>0</v>
      </c>
      <c r="Q44" s="388">
        <f>IF(ASS!$J$27=0, 0, IF(Q12=ASS!$J$27,$E$44-SUM($F$44:P44),IF(Q12&gt;TERM,0,IF(Q12&lt;ASS!$J$27, SLN(ASS!$I$27,0,ASS!$J$27)*Q14/12, IF(Q12=ASS!$J$27, SLN(ASS!$I$27,0,ASS!$J$27)*(12-Q14)/12, 0)))))</f>
        <v>0</v>
      </c>
      <c r="R44" s="388">
        <f>IF(ASS!$J$27=0, 0, IF(R12=ASS!$J$27,$E$44-SUM($F$44:Q44),IF(R12&gt;TERM,0,IF(R12&lt;ASS!$J$27, SLN(ASS!$I$27,0,ASS!$J$27)*R14/12, IF(R12=ASS!$J$27, SLN(ASS!$I$27,0,ASS!$J$27)*(12-R14)/12, 0)))))</f>
        <v>0</v>
      </c>
      <c r="S44" s="388">
        <f>IF(ASS!$J$27=0, 0, IF(S12=ASS!$J$27,$E$44-SUM($F$44:R44),IF(S12&gt;TERM,0,IF(S12&lt;ASS!$J$27, SLN(ASS!$I$27,0,ASS!$J$27)*S14/12, IF(S12=ASS!$J$27, SLN(ASS!$I$27,0,ASS!$J$27)*(12-S14)/12, 0)))))</f>
        <v>0</v>
      </c>
      <c r="T44" s="388">
        <f>IF(ASS!$J$27=0, 0, IF(T12=ASS!$J$27,$E$44-SUM($F$44:S44),IF(T12&gt;TERM,0,IF(T12&lt;ASS!$J$27, SLN(ASS!$I$27,0,ASS!$J$27)*T14/12, IF(T12=ASS!$J$27, SLN(ASS!$I$27,0,ASS!$J$27)*(12-T14)/12, 0)))))</f>
        <v>0</v>
      </c>
      <c r="U44" s="388">
        <f>IF(ASS!$J$27=0, 0, IF(U12=ASS!$J$27,$E$44-SUM($F$44:T44),IF(U12&gt;TERM,0,IF(U12&lt;ASS!$J$27, SLN(ASS!$I$27,0,ASS!$J$27)*U14/12, IF(U12=ASS!$J$27, SLN(ASS!$I$27,0,ASS!$J$27)*(12-U14)/12, 0)))))</f>
        <v>0</v>
      </c>
      <c r="V44" s="388">
        <f>IF(ASS!$J$27=0, 0, IF(V12=ASS!$J$27,$E$44-SUM($F$44:U44),IF(V12&gt;TERM,0,IF(V12&lt;ASS!$J$27, SLN(ASS!$I$27,0,ASS!$J$27)*V14/12, IF(V12=ASS!$J$27, SLN(ASS!$I$27,0,ASS!$J$27)*(12-V14)/12, 0)))))</f>
        <v>0</v>
      </c>
      <c r="W44" s="388">
        <f>IF(ASS!$J$27=0, 0, IF(W12=ASS!$J$27,$E$44-SUM($F$44:V44),IF(W12&gt;TERM,0,IF(W12&lt;ASS!$J$27, SLN(ASS!$I$27,0,ASS!$J$27)*W14/12, IF(W12=ASS!$J$27, SLN(ASS!$I$27,0,ASS!$J$27)*(12-W14)/12, 0)))))</f>
        <v>0</v>
      </c>
      <c r="X44" s="388">
        <f>IF(ASS!$J$27=0, 0, IF(X12=ASS!$J$27,$E$44-SUM($F$44:W44),IF(X12&gt;TERM,0,IF(X12&lt;ASS!$J$27, SLN(ASS!$I$27,0,ASS!$J$27)*X14/12, IF(X12=ASS!$J$27, SLN(ASS!$I$27,0,ASS!$J$27)*(12-X14)/12, 0)))))</f>
        <v>0</v>
      </c>
      <c r="Y44" s="388">
        <f>IF(ASS!$J$27=0, 0, IF(Y12=ASS!$J$27,$E$44-SUM($F$44:X44),IF(Y12&gt;TERM,0,IF(Y12&lt;ASS!$J$27, SLN(ASS!$I$27,0,ASS!$J$27)*Y14/12, IF(Y12=ASS!$J$27, SLN(ASS!$I$27,0,ASS!$J$27)*(12-Y14)/12, 0)))))</f>
        <v>0</v>
      </c>
      <c r="Z44" s="388">
        <f>IF(ASS!$J$27=0, 0, IF(Z12=ASS!$J$27,$E$44-SUM($F$44:Y44),IF(Z12&gt;TERM,0,IF(Z12&lt;ASS!$J$27, SLN(ASS!$I$27,0,ASS!$J$27)*Z14/12, IF(Z12=ASS!$J$27, SLN(ASS!$I$27,0,ASS!$J$27)*(12-Z14)/12, 0)))))</f>
        <v>0</v>
      </c>
      <c r="AA44" s="388">
        <f>IF(ASS!$J$27=0, 0, IF(AA12=ASS!$J$27,$E$44-SUM($F$44:Z44),IF(AA12&gt;TERM,0,IF(AA12&lt;ASS!$J$27, SLN(ASS!$I$27,0,ASS!$J$27)*AA14/12, IF(AA12=ASS!$J$27, SLN(ASS!$I$27,0,ASS!$J$27)*(12-AA14)/12, 0)))))</f>
        <v>0</v>
      </c>
      <c r="AB44" s="388">
        <f>IF(ASS!$J$27=0, 0, IF(AB12=ASS!$J$27,$E$44-SUM($F$44:AA44),IF(AB12&gt;TERM,0,IF(AB12&lt;ASS!$J$27, SLN(ASS!$I$27,0,ASS!$J$27)*AB14/12, IF(AB12=ASS!$J$27, SLN(ASS!$I$27,0,ASS!$J$27)*(12-AB14)/12, 0)))))</f>
        <v>0</v>
      </c>
      <c r="AC44" s="388">
        <f>IF(ASS!$J$27=0, 0, IF(AC12=ASS!$J$27,$E$44-SUM($F$44:AB44),IF(AC12&gt;TERM,0,IF(AC12&lt;ASS!$J$27, SLN(ASS!$I$27,0,ASS!$J$27)*AC14/12, IF(AC12=ASS!$J$27, SLN(ASS!$I$27,0,ASS!$J$27)*(12-AC14)/12, 0)))))</f>
        <v>0</v>
      </c>
      <c r="AD44" s="388">
        <f>IF(ASS!$J$27=0, 0, IF(AD12=ASS!$J$27,$E$44-SUM($F$44:AC44),IF(AD12&gt;TERM,0,IF(AD12&lt;ASS!$J$27, SLN(ASS!$I$27,0,ASS!$J$27)*AD14/12, IF(AD12=ASS!$J$27, SLN(ASS!$I$27,0,ASS!$J$27)*(12-AD14)/12, 0)))))</f>
        <v>0</v>
      </c>
      <c r="AE44" s="388">
        <f>IF(ASS!$J$27=0, 0, IF(AE12=ASS!$J$27,$E$44-SUM($F$44:AD44),IF(AE12&gt;TERM,0,IF(AE12&lt;ASS!$J$27, SLN(ASS!$I$27,0,ASS!$J$27)*AE14/12, IF(AE12=ASS!$J$27, SLN(ASS!$I$27,0,ASS!$J$27)*(12-AE14)/12, 0)))))</f>
        <v>0</v>
      </c>
      <c r="AF44" s="38">
        <f>SUM(F44:AE44)</f>
        <v>0</v>
      </c>
      <c r="AG44" s="314"/>
    </row>
    <row r="45" spans="1:33" x14ac:dyDescent="0.25">
      <c r="A45" s="4"/>
      <c r="B45" s="5" t="s">
        <v>78</v>
      </c>
      <c r="C45" s="5"/>
      <c r="D45" s="5"/>
      <c r="E45" s="38">
        <f>ASS!I28</f>
        <v>0</v>
      </c>
      <c r="F45" s="36">
        <f>IF(ASS!$J$28=0, 0,  IF(F12&lt;ASS!$J$28, SLN(ASS!$I$28,0,ASS!$J$28)*F14/12, IF(F12=ASS!$J$28, SLN(ASS!$I$28,0,ASS!$J$28)*(12-F14)/12, 0)))</f>
        <v>0</v>
      </c>
      <c r="G45" s="387">
        <f>IF(ASS!$J$28=0, 0, IF(G12=ASS!$J$28,$E$45-SUM($F$45:F45),IF(G12&gt;TERM,0,IF(G12&lt;ASS!$J$28, SLN(ASS!$I$28,0,ASS!$J$28)*G14/12, IF(G12=ASS!$J$28, SLN(ASS!$I$28,0,ASS!$J$28)*(12-G14)/12, 0)))))</f>
        <v>0</v>
      </c>
      <c r="H45" s="36">
        <f>IF(ASS!$J$28=0, 0, IF(H12=ASS!$J$28,$E$45-SUM($F$45:G45),IF(H12&gt;TERM,0,IF(H12&lt;ASS!$J$28, SLN(ASS!$I$28,0,ASS!$J$28)*H14/12, IF(H12=ASS!$J$28, SLN(ASS!$I$28,0,ASS!$J$28)*(12-H14)/12, 0)))))</f>
        <v>0</v>
      </c>
      <c r="I45" s="36">
        <f>IF(ASS!$J$28=0, 0, IF(I12=ASS!$J$28,$E$45-SUM($F$45:H45),IF(I12&gt;TERM,0,IF(I12&lt;ASS!$J$28, SLN(ASS!$I$28,0,ASS!$J$28)*I14/12, IF(I12=ASS!$J$28, SLN(ASS!$I$28,0,ASS!$J$28)*(12-I14)/12, 0)))))</f>
        <v>0</v>
      </c>
      <c r="J45" s="36">
        <f>IF(ASS!$J$28=0, 0, IF(J12=ASS!$J$28,$E$45-SUM($F$45:I45),IF(J12&gt;TERM,0,IF(J12&lt;ASS!$J$28, SLN(ASS!$I$28,0,ASS!$J$28)*J14/12, IF(J12=ASS!$J$28, SLN(ASS!$I$28,0,ASS!$J$28)*(12-J14)/12, 0)))))</f>
        <v>0</v>
      </c>
      <c r="K45" s="36">
        <f>IF(ASS!$J$28=0, 0, IF(K12=ASS!$J$28,$E$45-SUM($F$45:J45),IF(K12&gt;TERM,0,IF(K12&lt;ASS!$J$28, SLN(ASS!$I$28,0,ASS!$J$28)*K14/12, IF(K12=ASS!$J$28, SLN(ASS!$I$28,0,ASS!$J$28)*(12-K14)/12, 0)))))</f>
        <v>0</v>
      </c>
      <c r="L45" s="36">
        <f>IF(ASS!$J$28=0, 0, IF(L12=ASS!$J$28,$E$45-SUM($F$45:K45),IF(L12&gt;TERM,0,IF(L12&lt;ASS!$J$28, SLN(ASS!$I$28,0,ASS!$J$28)*L14/12, IF(L12=ASS!$J$28, SLN(ASS!$I$28,0,ASS!$J$28)*(12-L14)/12, 0)))))</f>
        <v>0</v>
      </c>
      <c r="M45" s="36">
        <f>IF(ASS!$J$28=0, 0, IF(M12=ASS!$J$28,$E$45-SUM($F$45:L45),IF(M12&gt;TERM,0,IF(M12&lt;ASS!$J$28, SLN(ASS!$I$28,0,ASS!$J$28)*M14/12, IF(M12=ASS!$J$28, SLN(ASS!$I$28,0,ASS!$J$28)*(12-M14)/12, 0)))))</f>
        <v>0</v>
      </c>
      <c r="N45" s="36">
        <f>IF(ASS!$J$28=0, 0, IF(N12=ASS!$J$28,$E$45-SUM($F$45:M45),IF(N12&gt;TERM,0,IF(N12&lt;ASS!$J$28, SLN(ASS!$I$28,0,ASS!$J$28)*N14/12, IF(N12=ASS!$J$28, SLN(ASS!$I$28,0,ASS!$J$28)*(12-N14)/12, 0)))))</f>
        <v>0</v>
      </c>
      <c r="O45" s="36">
        <f>IF(ASS!$J$28=0, 0, IF(O12=ASS!$J$28,$E$45-SUM($F$45:N45),IF(O12&gt;TERM,0,IF(O12&lt;ASS!$J$28, SLN(ASS!$I$28,0,ASS!$J$28)*O14/12, IF(O12=ASS!$J$28, SLN(ASS!$I$28,0,ASS!$J$28)*(12-O14)/12, 0)))))</f>
        <v>0</v>
      </c>
      <c r="P45" s="36">
        <f>IF(ASS!$J$28=0, 0, IF(P12=ASS!$J$28,$E$45-SUM($F$45:O45),IF(P12&gt;TERM,0,IF(P12&lt;ASS!$J$28, SLN(ASS!$I$28,0,ASS!$J$28)*P14/12, IF(P12=ASS!$J$28, SLN(ASS!$I$28,0,ASS!$J$28)*(12-P14)/12, 0)))))</f>
        <v>0</v>
      </c>
      <c r="Q45" s="36">
        <f>IF(ASS!$J$28=0, 0, IF(Q12=ASS!$J$28,$E$45-SUM($F$45:P45),IF(Q12&gt;TERM,0,IF(Q12&lt;ASS!$J$28, SLN(ASS!$I$28,0,ASS!$J$28)*Q14/12, IF(Q12=ASS!$J$28, SLN(ASS!$I$28,0,ASS!$J$28)*(12-Q14)/12, 0)))))</f>
        <v>0</v>
      </c>
      <c r="R45" s="36">
        <f>IF(ASS!$J$28=0, 0, IF(R12=ASS!$J$28,$E$45-SUM($F$45:Q45),IF(R12&gt;TERM,0,IF(R12&lt;ASS!$J$28, SLN(ASS!$I$28,0,ASS!$J$28)*R14/12, IF(R12=ASS!$J$28, SLN(ASS!$I$28,0,ASS!$J$28)*(12-R14)/12, 0)))))</f>
        <v>0</v>
      </c>
      <c r="S45" s="36">
        <f>IF(ASS!$J$28=0, 0, IF(S12=ASS!$J$28,$E$45-SUM($F$45:R45),IF(S12&gt;TERM,0,IF(S12&lt;ASS!$J$28, SLN(ASS!$I$28,0,ASS!$J$28)*S14/12, IF(S12=ASS!$J$28, SLN(ASS!$I$28,0,ASS!$J$28)*(12-S14)/12, 0)))))</f>
        <v>0</v>
      </c>
      <c r="T45" s="36">
        <f>IF(ASS!$J$28=0, 0, IF(T12=ASS!$J$28,$E$45-SUM($F$45:S45),IF(T12&gt;TERM,0,IF(T12&lt;ASS!$J$28, SLN(ASS!$I$28,0,ASS!$J$28)*T14/12, IF(T12=ASS!$J$28, SLN(ASS!$I$28,0,ASS!$J$28)*(12-T14)/12, 0)))))</f>
        <v>0</v>
      </c>
      <c r="U45" s="36">
        <f>IF(ASS!$J$28=0, 0, IF(U12=ASS!$J$28,$E$45-SUM($F$45:T45),IF(U12&gt;TERM,0,IF(U12&lt;ASS!$J$28, SLN(ASS!$I$28,0,ASS!$J$28)*U14/12, IF(U12=ASS!$J$28, SLN(ASS!$I$28,0,ASS!$J$28)*(12-U14)/12, 0)))))</f>
        <v>0</v>
      </c>
      <c r="V45" s="36">
        <f>IF(ASS!$J$28=0, 0, IF(V12=ASS!$J$28,$E$45-SUM($F$45:U45),IF(V12&gt;TERM,0,IF(V12&lt;ASS!$J$28, SLN(ASS!$I$28,0,ASS!$J$28)*V14/12, IF(V12=ASS!$J$28, SLN(ASS!$I$28,0,ASS!$J$28)*(12-V14)/12, 0)))))</f>
        <v>0</v>
      </c>
      <c r="W45" s="36">
        <f>IF(ASS!$J$28=0, 0, IF(W12=ASS!$J$28,$E$45-SUM($F$45:V45),IF(W12&gt;TERM,0,IF(W12&lt;ASS!$J$28, SLN(ASS!$I$28,0,ASS!$J$28)*W14/12, IF(W12=ASS!$J$28, SLN(ASS!$I$28,0,ASS!$J$28)*(12-W14)/12, 0)))))</f>
        <v>0</v>
      </c>
      <c r="X45" s="36">
        <f>IF(ASS!$J$28=0, 0, IF(X12=ASS!$J$28,$E$45-SUM($F$45:W45),IF(X12&gt;TERM,0,IF(X12&lt;ASS!$J$28, SLN(ASS!$I$28,0,ASS!$J$28)*X14/12, IF(X12=ASS!$J$28, SLN(ASS!$I$28,0,ASS!$J$28)*(12-X14)/12, 0)))))</f>
        <v>0</v>
      </c>
      <c r="Y45" s="36">
        <f>IF(ASS!$J$28=0, 0, IF(Y12=ASS!$J$28,$E$45-SUM($F$45:X45),IF(Y12&gt;TERM,0,IF(Y12&lt;ASS!$J$28, SLN(ASS!$I$28,0,ASS!$J$28)*Y14/12, IF(Y12=ASS!$J$28, SLN(ASS!$I$28,0,ASS!$J$28)*(12-Y14)/12, 0)))))</f>
        <v>0</v>
      </c>
      <c r="Z45" s="36">
        <f>IF(ASS!$J$28=0, 0, IF(Z12=ASS!$J$28,$E$45-SUM($F$45:Y45),IF(Z12&gt;TERM,0,IF(Z12&lt;ASS!$J$28, SLN(ASS!$I$28,0,ASS!$J$28)*Z14/12, IF(Z12=ASS!$J$28, SLN(ASS!$I$28,0,ASS!$J$28)*(12-Z14)/12, 0)))))</f>
        <v>0</v>
      </c>
      <c r="AA45" s="36">
        <f>IF(ASS!$J$28=0, 0, IF(AA12=ASS!$J$28,$E$45-SUM($F$45:Z45),IF(AA12&gt;TERM,0,IF(AA12&lt;ASS!$J$28, SLN(ASS!$I$28,0,ASS!$J$28)*AA14/12, IF(AA12=ASS!$J$28, SLN(ASS!$I$28,0,ASS!$J$28)*(12-AA14)/12, 0)))))</f>
        <v>0</v>
      </c>
      <c r="AB45" s="36">
        <f>IF(ASS!$J$28=0, 0, IF(AB12=ASS!$J$28,$E$45-SUM($F$45:AA45),IF(AB12&gt;TERM,0,IF(AB12&lt;ASS!$J$28, SLN(ASS!$I$28,0,ASS!$J$28)*AB14/12, IF(AB12=ASS!$J$28, SLN(ASS!$I$28,0,ASS!$J$28)*(12-AB14)/12, 0)))))</f>
        <v>0</v>
      </c>
      <c r="AC45" s="36">
        <f>IF(ASS!$J$28=0, 0, IF(AC12=ASS!$J$28,$E$45-SUM($F$45:AB45),IF(AC12&gt;TERM,0,IF(AC12&lt;ASS!$J$28, SLN(ASS!$I$28,0,ASS!$J$28)*AC14/12, IF(AC12=ASS!$J$28, SLN(ASS!$I$28,0,ASS!$J$28)*(12-AC14)/12, 0)))))</f>
        <v>0</v>
      </c>
      <c r="AD45" s="36">
        <f>IF(ASS!$J$28=0, 0, IF(AD12=ASS!$J$28,$E$45-SUM($F$45:AC45),IF(AD12&gt;TERM,0,IF(AD12&lt;ASS!$J$28, SLN(ASS!$I$28,0,ASS!$J$28)*AD14/12, IF(AD12=ASS!$J$28, SLN(ASS!$I$28,0,ASS!$J$28)*(12-AD14)/12, 0)))))</f>
        <v>0</v>
      </c>
      <c r="AE45" s="36">
        <f>IF(ASS!$J$28=0, 0, IF(AE12=ASS!$J$28,$E$45-SUM($F$45:AD45),IF(AE12&gt;TERM,0,IF(AE12&lt;ASS!$J$28, SLN(ASS!$I$28,0,ASS!$J$28)*AE14/12, IF(AE12=ASS!$J$28, SLN(ASS!$I$28,0,ASS!$J$28)*(12-AE14)/12, 0)))))</f>
        <v>0</v>
      </c>
      <c r="AF45" s="38">
        <f>SUM(E45:AE45)</f>
        <v>0</v>
      </c>
      <c r="AG45"/>
    </row>
    <row r="46" spans="1:33" x14ac:dyDescent="0.25">
      <c r="A46" s="4"/>
      <c r="B46" s="5" t="s">
        <v>81</v>
      </c>
      <c r="C46" s="5"/>
      <c r="D46" s="5"/>
      <c r="E46" s="196">
        <f>ASS!I29</f>
        <v>0</v>
      </c>
      <c r="F46" s="197">
        <f>IF(ASS!$J$29=0, 0,  IF(F12&lt;ASS!$J$29, SLN(ASS!$I$29,0,ASS!$J$29)*F14/12, IF(F12=ASS!$J$29, SLN(ASS!$I$29,0,ASS!$J$29)*(12-F14)/12, 0)))</f>
        <v>0</v>
      </c>
      <c r="G46" s="389">
        <f>IF(ASS!$J$29=0, 0, IF(G12=ASS!$J$29,$E$46-SUM($F$46:F46),IF(G12&gt;TERM,0,IF(G12&lt;ASS!$J$29, SLN(ASS!$I$29,0,ASS!$J$29)*G14/12, IF(G12=ASS!$J$29, SLN(ASS!$I$29,0,ASS!$J$29)*(12-G14)/12, 0)))))</f>
        <v>0</v>
      </c>
      <c r="H46" s="197">
        <f>IF(ASS!$J$29=0, 0, IF(H12=ASS!$J$29,$E$46-SUM($F$46:G46),IF(H12&gt;TERM,0,IF(H12&lt;ASS!$J$29, SLN(ASS!$I$29,0,ASS!$J$29)*H14/12, IF(H12=ASS!$J$29, SLN(ASS!$I$29,0,ASS!$J$29)*(12-H14)/12, 0)))))</f>
        <v>0</v>
      </c>
      <c r="I46" s="197">
        <f>IF(ASS!$J$29=0, 0, IF(I12=ASS!$J$29,$E$46-SUM($F$46:H46),IF(I12&gt;TERM,0,IF(I12&lt;ASS!$J$29, SLN(ASS!$I$29,0,ASS!$J$29)*I14/12, IF(I12=ASS!$J$29, SLN(ASS!$I$29,0,ASS!$J$29)*(12-I14)/12, 0)))))</f>
        <v>0</v>
      </c>
      <c r="J46" s="197">
        <f>IF(ASS!$J$29=0, 0, IF(J12=ASS!$J$29,$E$46-SUM($F$46:I46),IF(J12&gt;TERM,0,IF(J12&lt;ASS!$J$29, SLN(ASS!$I$29,0,ASS!$J$29)*J14/12, IF(J12=ASS!$J$29, SLN(ASS!$I$29,0,ASS!$J$29)*(12-J14)/12, 0)))))</f>
        <v>0</v>
      </c>
      <c r="K46" s="197">
        <f>IF(ASS!$J$29=0, 0, IF(K12=ASS!$J$29,$E$46-SUM($F$46:J46),IF(K12&gt;TERM,0,IF(K12&lt;ASS!$J$29, SLN(ASS!$I$29,0,ASS!$J$29)*K14/12, IF(K12=ASS!$J$29, SLN(ASS!$I$29,0,ASS!$J$29)*(12-K14)/12, 0)))))</f>
        <v>0</v>
      </c>
      <c r="L46" s="197">
        <f>IF(ASS!$J$29=0, 0, IF(L12=ASS!$J$29,$E$46-SUM($F$46:K46),IF(L12&gt;TERM,0,IF(L12&lt;ASS!$J$29, SLN(ASS!$I$29,0,ASS!$J$29)*L14/12, IF(L12=ASS!$J$29, SLN(ASS!$I$29,0,ASS!$J$29)*(12-L14)/12, 0)))))</f>
        <v>0</v>
      </c>
      <c r="M46" s="197">
        <f>IF(ASS!$J$29=0, 0, IF(M12=ASS!$J$29,$E$46-SUM($F$46:L46),IF(M12&gt;TERM,0,IF(M12&lt;ASS!$J$29, SLN(ASS!$I$29,0,ASS!$J$29)*M14/12, IF(M12=ASS!$J$29, SLN(ASS!$I$29,0,ASS!$J$29)*(12-M14)/12, 0)))))</f>
        <v>0</v>
      </c>
      <c r="N46" s="197">
        <f>IF(ASS!$J$29=0, 0, IF(N12=ASS!$J$29,$E$46-SUM($F$46:M46),IF(N12&gt;TERM,0,IF(N12&lt;ASS!$J$29, SLN(ASS!$I$29,0,ASS!$J$29)*N14/12, IF(N12=ASS!$J$29, SLN(ASS!$I$29,0,ASS!$J$29)*(12-N14)/12, 0)))))</f>
        <v>0</v>
      </c>
      <c r="O46" s="197">
        <f>IF(ASS!$J$29=0, 0, IF(O12=ASS!$J$29,$E$46-SUM($F$46:N46),IF(O12&gt;TERM,0,IF(O12&lt;ASS!$J$29, SLN(ASS!$I$29,0,ASS!$J$29)*O14/12, IF(O12=ASS!$J$29, SLN(ASS!$I$29,0,ASS!$J$29)*(12-O14)/12, 0)))))</f>
        <v>0</v>
      </c>
      <c r="P46" s="197">
        <f>IF(ASS!$J$29=0, 0, IF(P12=ASS!$J$29,$E$46-SUM($F$46:O46),IF(P12&gt;TERM,0,IF(P12&lt;ASS!$J$29, SLN(ASS!$I$29,0,ASS!$J$29)*P14/12, IF(P12=ASS!$J$29, SLN(ASS!$I$29,0,ASS!$J$29)*(12-P14)/12, 0)))))</f>
        <v>0</v>
      </c>
      <c r="Q46" s="197">
        <f>IF(ASS!$J$29=0, 0, IF(Q12=ASS!$J$29,$E$46-SUM($F$46:P46),IF(Q12&gt;TERM,0,IF(Q12&lt;ASS!$J$29, SLN(ASS!$I$29,0,ASS!$J$29)*Q14/12, IF(Q12=ASS!$J$29, SLN(ASS!$I$29,0,ASS!$J$29)*(12-Q14)/12, 0)))))</f>
        <v>0</v>
      </c>
      <c r="R46" s="197">
        <f>IF(ASS!$J$29=0, 0, IF(R12=ASS!$J$29,$E$46-SUM($F$46:Q46),IF(R12&gt;TERM,0,IF(R12&lt;ASS!$J$29, SLN(ASS!$I$29,0,ASS!$J$29)*R14/12, IF(R12=ASS!$J$29, SLN(ASS!$I$29,0,ASS!$J$29)*(12-R14)/12, 0)))))</f>
        <v>0</v>
      </c>
      <c r="S46" s="197">
        <f>IF(ASS!$J$29=0, 0, IF(S12=ASS!$J$29,$E$46-SUM($F$46:R46),IF(S12&gt;TERM,0,IF(S12&lt;ASS!$J$29, SLN(ASS!$I$29,0,ASS!$J$29)*S14/12, IF(S12=ASS!$J$29, SLN(ASS!$I$29,0,ASS!$J$29)*(12-S14)/12, 0)))))</f>
        <v>0</v>
      </c>
      <c r="T46" s="197">
        <f>IF(ASS!$J$29=0, 0, IF(T12=ASS!$J$29,$E$46-SUM($F$46:S46),IF(T12&gt;TERM,0,IF(T12&lt;ASS!$J$29, SLN(ASS!$I$29,0,ASS!$J$29)*T14/12, IF(T12=ASS!$J$29, SLN(ASS!$I$29,0,ASS!$J$29)*(12-T14)/12, 0)))))</f>
        <v>0</v>
      </c>
      <c r="U46" s="197">
        <f>IF(ASS!$J$29=0, 0, IF(U12=ASS!$J$29,$E$46-SUM($F$46:T46),IF(U12&gt;TERM,0,IF(U12&lt;ASS!$J$29, SLN(ASS!$I$29,0,ASS!$J$29)*U14/12, IF(U12=ASS!$J$29, SLN(ASS!$I$29,0,ASS!$J$29)*(12-U14)/12, 0)))))</f>
        <v>0</v>
      </c>
      <c r="V46" s="197">
        <f>IF(ASS!$J$29=0, 0, IF(V12=ASS!$J$29,$E$46-SUM($F$46:U46),IF(V12&gt;TERM,0,IF(V12&lt;ASS!$J$29, SLN(ASS!$I$29,0,ASS!$J$29)*V14/12, IF(V12=ASS!$J$29, SLN(ASS!$I$29,0,ASS!$J$29)*(12-V14)/12, 0)))))</f>
        <v>0</v>
      </c>
      <c r="W46" s="197">
        <f>IF(ASS!$J$29=0, 0, IF(W12=ASS!$J$29,$E$46-SUM($F$46:V46),IF(W12&gt;TERM,0,IF(W12&lt;ASS!$J$29, SLN(ASS!$I$29,0,ASS!$J$29)*W14/12, IF(W12=ASS!$J$29, SLN(ASS!$I$29,0,ASS!$J$29)*(12-W14)/12, 0)))))</f>
        <v>0</v>
      </c>
      <c r="X46" s="197">
        <f>IF(ASS!$J$29=0, 0, IF(X12=ASS!$J$29,$E$46-SUM($F$46:W46),IF(X12&gt;TERM,0,IF(X12&lt;ASS!$J$29, SLN(ASS!$I$29,0,ASS!$J$29)*X14/12, IF(X12=ASS!$J$29, SLN(ASS!$I$29,0,ASS!$J$29)*(12-X14)/12, 0)))))</f>
        <v>0</v>
      </c>
      <c r="Y46" s="197">
        <f>IF(ASS!$J$29=0, 0, IF(Y12=ASS!$J$29,$E$46-SUM($F$46:X46),IF(Y12&gt;TERM,0,IF(Y12&lt;ASS!$J$29, SLN(ASS!$I$29,0,ASS!$J$29)*Y14/12, IF(Y12=ASS!$J$29, SLN(ASS!$I$29,0,ASS!$J$29)*(12-Y14)/12, 0)))))</f>
        <v>0</v>
      </c>
      <c r="Z46" s="197">
        <f>IF(ASS!$J$29=0, 0, IF(Z12=ASS!$J$29,$E$46-SUM($F$46:Y46),IF(Z12&gt;TERM,0,IF(Z12&lt;ASS!$J$29, SLN(ASS!$I$29,0,ASS!$J$29)*Z14/12, IF(Z12=ASS!$J$29, SLN(ASS!$I$29,0,ASS!$J$29)*(12-Z14)/12, 0)))))</f>
        <v>0</v>
      </c>
      <c r="AA46" s="197">
        <f>IF(ASS!$J$29=0, 0, IF(AA12=ASS!$J$29,$E$46-SUM($F$46:Z46),IF(AA12&gt;TERM,0,IF(AA12&lt;ASS!$J$29, SLN(ASS!$I$29,0,ASS!$J$29)*AA14/12, IF(AA12=ASS!$J$29, SLN(ASS!$I$29,0,ASS!$J$29)*(12-AA14)/12, 0)))))</f>
        <v>0</v>
      </c>
      <c r="AB46" s="197">
        <f>IF(ASS!$J$29=0, 0, IF(AB12=ASS!$J$29,$E$46-SUM($F$46:AA46),IF(AB12&gt;TERM,0,IF(AB12&lt;ASS!$J$29, SLN(ASS!$I$29,0,ASS!$J$29)*AB14/12, IF(AB12=ASS!$J$29, SLN(ASS!$I$29,0,ASS!$J$29)*(12-AB14)/12, 0)))))</f>
        <v>0</v>
      </c>
      <c r="AC46" s="197">
        <f>IF(ASS!$J$29=0, 0, IF(AC12=ASS!$J$29,$E$46-SUM($F$46:AB46),IF(AC12&gt;TERM,0,IF(AC12&lt;ASS!$J$29, SLN(ASS!$I$29,0,ASS!$J$29)*AC14/12, IF(AC12=ASS!$J$29, SLN(ASS!$I$29,0,ASS!$J$29)*(12-AC14)/12, 0)))))</f>
        <v>0</v>
      </c>
      <c r="AD46" s="197">
        <f>IF(ASS!$J$29=0, 0, IF(AD12=ASS!$J$29,$E$46-SUM($F$46:AC46),IF(AD12&gt;TERM,0,IF(AD12&lt;ASS!$J$29, SLN(ASS!$I$29,0,ASS!$J$29)*AD14/12, IF(AD12=ASS!$J$29, SLN(ASS!$I$29,0,ASS!$J$29)*(12-AD14)/12, 0)))))</f>
        <v>0</v>
      </c>
      <c r="AE46" s="197">
        <f>IF(ASS!$J$29=0, 0, IF(AE12=ASS!$J$29,$E$46-SUM($F$46:AD46),IF(AE12&gt;TERM,0,IF(AE12&lt;ASS!$J$29, SLN(ASS!$I$29,0,ASS!$J$29)*AE14/12, IF(AE12=ASS!$J$29, SLN(ASS!$I$29,0,ASS!$J$29)*(12-AE14)/12, 0)))))</f>
        <v>0</v>
      </c>
      <c r="AF46" s="196">
        <f>SUM(E46:AE46)</f>
        <v>0</v>
      </c>
      <c r="AG46"/>
    </row>
    <row r="47" spans="1:33" x14ac:dyDescent="0.25">
      <c r="A47" s="4"/>
      <c r="B47" s="5" t="s">
        <v>336</v>
      </c>
      <c r="C47" s="314"/>
      <c r="D47" s="5"/>
      <c r="E47" s="38">
        <f>SUM(E44:E46)</f>
        <v>13000</v>
      </c>
      <c r="F47" s="36">
        <f>SUM(F44:F46)</f>
        <v>0</v>
      </c>
      <c r="G47" s="36">
        <f t="shared" ref="G47:V47" si="22">SUM(G44:G46)</f>
        <v>0</v>
      </c>
      <c r="H47" s="36">
        <f t="shared" si="22"/>
        <v>0</v>
      </c>
      <c r="I47" s="36">
        <f t="shared" si="22"/>
        <v>0</v>
      </c>
      <c r="J47" s="36">
        <f t="shared" si="22"/>
        <v>0</v>
      </c>
      <c r="K47" s="36">
        <f t="shared" si="22"/>
        <v>0</v>
      </c>
      <c r="L47" s="36">
        <f t="shared" si="22"/>
        <v>0</v>
      </c>
      <c r="M47" s="36">
        <f t="shared" si="22"/>
        <v>0</v>
      </c>
      <c r="N47" s="36">
        <f t="shared" si="22"/>
        <v>0</v>
      </c>
      <c r="O47" s="36">
        <f t="shared" si="22"/>
        <v>0</v>
      </c>
      <c r="P47" s="36">
        <f t="shared" si="22"/>
        <v>0</v>
      </c>
      <c r="Q47" s="36">
        <f t="shared" si="22"/>
        <v>0</v>
      </c>
      <c r="R47" s="36">
        <f t="shared" si="22"/>
        <v>0</v>
      </c>
      <c r="S47" s="36">
        <f t="shared" si="22"/>
        <v>0</v>
      </c>
      <c r="T47" s="36">
        <f t="shared" si="22"/>
        <v>0</v>
      </c>
      <c r="U47" s="36">
        <f t="shared" si="22"/>
        <v>0</v>
      </c>
      <c r="V47" s="36">
        <f t="shared" si="22"/>
        <v>0</v>
      </c>
      <c r="W47" s="36">
        <f t="shared" ref="W47:AE47" si="23">SUM(W44:W46)</f>
        <v>0</v>
      </c>
      <c r="X47" s="36">
        <f t="shared" si="23"/>
        <v>0</v>
      </c>
      <c r="Y47" s="36">
        <f t="shared" si="23"/>
        <v>0</v>
      </c>
      <c r="Z47" s="36">
        <f t="shared" si="23"/>
        <v>0</v>
      </c>
      <c r="AA47" s="36">
        <f t="shared" si="23"/>
        <v>0</v>
      </c>
      <c r="AB47" s="36">
        <f t="shared" si="23"/>
        <v>0</v>
      </c>
      <c r="AC47" s="36">
        <f t="shared" si="23"/>
        <v>0</v>
      </c>
      <c r="AD47" s="36">
        <f t="shared" si="23"/>
        <v>0</v>
      </c>
      <c r="AE47" s="36">
        <f t="shared" si="23"/>
        <v>0</v>
      </c>
      <c r="AF47" s="38">
        <f>SUM(F47:AE47)</f>
        <v>0</v>
      </c>
      <c r="AG47"/>
    </row>
    <row r="48" spans="1:33" x14ac:dyDescent="0.25">
      <c r="A48" s="4"/>
      <c r="B48" s="390" t="s">
        <v>337</v>
      </c>
      <c r="C48" s="314"/>
      <c r="D48" s="5"/>
      <c r="E48" s="38"/>
      <c r="F48" s="391">
        <f>SUM($F$47:F47)</f>
        <v>0</v>
      </c>
      <c r="G48" s="391">
        <f>SUM($F$47:G47)</f>
        <v>0</v>
      </c>
      <c r="H48" s="391">
        <f>SUM($F$47:H47)</f>
        <v>0</v>
      </c>
      <c r="I48" s="391">
        <f>SUM($F$47:I47)</f>
        <v>0</v>
      </c>
      <c r="J48" s="391">
        <f>SUM($F$47:J47)</f>
        <v>0</v>
      </c>
      <c r="K48" s="391">
        <f>SUM($F$47:K47)</f>
        <v>0</v>
      </c>
      <c r="L48" s="391">
        <f>SUM($F$47:L47)</f>
        <v>0</v>
      </c>
      <c r="M48" s="391">
        <f>SUM($F$47:M47)</f>
        <v>0</v>
      </c>
      <c r="N48" s="391">
        <f>SUM($F$47:N47)</f>
        <v>0</v>
      </c>
      <c r="O48" s="391">
        <f>SUM($F$47:O47)</f>
        <v>0</v>
      </c>
      <c r="P48" s="391">
        <f>SUM($F$47:P47)</f>
        <v>0</v>
      </c>
      <c r="Q48" s="391">
        <f>SUM($F$47:Q47)</f>
        <v>0</v>
      </c>
      <c r="R48" s="391">
        <f>SUM($F$47:R47)</f>
        <v>0</v>
      </c>
      <c r="S48" s="391">
        <f>SUM($F$47:S47)</f>
        <v>0</v>
      </c>
      <c r="T48" s="391">
        <f>SUM($F$47:T47)</f>
        <v>0</v>
      </c>
      <c r="U48" s="391">
        <f>SUM($F$47:U47)</f>
        <v>0</v>
      </c>
      <c r="V48" s="391">
        <f>SUM($F$47:V47)</f>
        <v>0</v>
      </c>
      <c r="W48" s="391">
        <f>SUM($F$47:W47)</f>
        <v>0</v>
      </c>
      <c r="X48" s="391">
        <f>SUM($F$47:X47)</f>
        <v>0</v>
      </c>
      <c r="Y48" s="391">
        <f>SUM($F$47:Y47)</f>
        <v>0</v>
      </c>
      <c r="Z48" s="391">
        <f>SUM($F$47:Z47)</f>
        <v>0</v>
      </c>
      <c r="AA48" s="391">
        <f>SUM($F$47:AA47)</f>
        <v>0</v>
      </c>
      <c r="AB48" s="391">
        <f>SUM($F$47:AB47)</f>
        <v>0</v>
      </c>
      <c r="AC48" s="391">
        <f>SUM($F$47:AC47)</f>
        <v>0</v>
      </c>
      <c r="AD48" s="391">
        <f>SUM($F$47:AD47)</f>
        <v>0</v>
      </c>
      <c r="AE48" s="391">
        <f>SUM($F$47:AE47)</f>
        <v>0</v>
      </c>
      <c r="AF48" s="38"/>
      <c r="AG48"/>
    </row>
    <row r="49" spans="1:33" x14ac:dyDescent="0.25">
      <c r="A49" s="4"/>
      <c r="B49" s="5"/>
      <c r="C49" s="314"/>
      <c r="D49" s="5"/>
      <c r="E49" s="38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8"/>
      <c r="AG49"/>
    </row>
    <row r="50" spans="1:33" x14ac:dyDescent="0.25">
      <c r="A50" s="4"/>
      <c r="B50" s="5" t="s">
        <v>338</v>
      </c>
      <c r="C50" s="314"/>
      <c r="D50" s="5"/>
      <c r="E50" s="38"/>
      <c r="F50" s="36">
        <v>0</v>
      </c>
      <c r="G50" s="36">
        <f t="shared" ref="G50:AE50" si="24">F53</f>
        <v>13000</v>
      </c>
      <c r="H50" s="36">
        <f t="shared" si="24"/>
        <v>13000</v>
      </c>
      <c r="I50" s="36">
        <f t="shared" si="24"/>
        <v>13000</v>
      </c>
      <c r="J50" s="36">
        <f t="shared" si="24"/>
        <v>13000</v>
      </c>
      <c r="K50" s="36">
        <f t="shared" si="24"/>
        <v>13000</v>
      </c>
      <c r="L50" s="36">
        <f t="shared" si="24"/>
        <v>13000</v>
      </c>
      <c r="M50" s="36">
        <f t="shared" si="24"/>
        <v>13000</v>
      </c>
      <c r="N50" s="36">
        <f t="shared" si="24"/>
        <v>13000</v>
      </c>
      <c r="O50" s="36">
        <f t="shared" si="24"/>
        <v>13000</v>
      </c>
      <c r="P50" s="36">
        <f t="shared" si="24"/>
        <v>13000</v>
      </c>
      <c r="Q50" s="36">
        <f t="shared" si="24"/>
        <v>13000</v>
      </c>
      <c r="R50" s="36">
        <f t="shared" si="24"/>
        <v>13000</v>
      </c>
      <c r="S50" s="36">
        <f t="shared" si="24"/>
        <v>13000</v>
      </c>
      <c r="T50" s="36">
        <f t="shared" si="24"/>
        <v>13000</v>
      </c>
      <c r="U50" s="36">
        <f t="shared" si="24"/>
        <v>13000</v>
      </c>
      <c r="V50" s="36">
        <f t="shared" si="24"/>
        <v>13000</v>
      </c>
      <c r="W50" s="36">
        <f t="shared" si="24"/>
        <v>13000</v>
      </c>
      <c r="X50" s="36">
        <f t="shared" si="24"/>
        <v>13000</v>
      </c>
      <c r="Y50" s="36">
        <f t="shared" si="24"/>
        <v>13000</v>
      </c>
      <c r="Z50" s="36">
        <f t="shared" si="24"/>
        <v>13000</v>
      </c>
      <c r="AA50" s="36">
        <f t="shared" si="24"/>
        <v>13000</v>
      </c>
      <c r="AB50" s="36">
        <f t="shared" si="24"/>
        <v>13000</v>
      </c>
      <c r="AC50" s="36">
        <f t="shared" si="24"/>
        <v>13000</v>
      </c>
      <c r="AD50" s="36">
        <f t="shared" si="24"/>
        <v>13000</v>
      </c>
      <c r="AE50" s="36">
        <f t="shared" si="24"/>
        <v>13000</v>
      </c>
      <c r="AF50" s="38"/>
      <c r="AG50"/>
    </row>
    <row r="51" spans="1:33" x14ac:dyDescent="0.25">
      <c r="A51" s="4"/>
      <c r="B51" s="5" t="s">
        <v>331</v>
      </c>
      <c r="C51" s="5"/>
      <c r="D51" s="5"/>
      <c r="E51" s="38"/>
      <c r="F51" s="36">
        <f>E47</f>
        <v>13000</v>
      </c>
      <c r="G51" s="36">
        <v>0</v>
      </c>
      <c r="H51" s="36">
        <v>0</v>
      </c>
      <c r="I51" s="36">
        <v>0</v>
      </c>
      <c r="J51" s="36">
        <v>0</v>
      </c>
      <c r="K51" s="36">
        <v>0</v>
      </c>
      <c r="L51" s="36">
        <v>0</v>
      </c>
      <c r="M51" s="36">
        <v>0</v>
      </c>
      <c r="N51" s="36">
        <v>0</v>
      </c>
      <c r="O51" s="36">
        <v>0</v>
      </c>
      <c r="P51" s="36">
        <v>0</v>
      </c>
      <c r="Q51" s="36">
        <v>0</v>
      </c>
      <c r="R51" s="36">
        <v>0</v>
      </c>
      <c r="S51" s="36">
        <v>0</v>
      </c>
      <c r="T51" s="36">
        <v>0</v>
      </c>
      <c r="U51" s="36">
        <v>0</v>
      </c>
      <c r="V51" s="36">
        <v>0</v>
      </c>
      <c r="W51" s="36">
        <v>0</v>
      </c>
      <c r="X51" s="36">
        <v>0</v>
      </c>
      <c r="Y51" s="36">
        <v>0</v>
      </c>
      <c r="Z51" s="36">
        <v>0</v>
      </c>
      <c r="AA51" s="36">
        <v>0</v>
      </c>
      <c r="AB51" s="36">
        <v>0</v>
      </c>
      <c r="AC51" s="36">
        <v>0</v>
      </c>
      <c r="AD51" s="36">
        <v>0</v>
      </c>
      <c r="AE51" s="36">
        <v>0</v>
      </c>
      <c r="AF51" s="38">
        <f>SUM(F51:AE51)</f>
        <v>13000</v>
      </c>
      <c r="AG51"/>
    </row>
    <row r="52" spans="1:33" x14ac:dyDescent="0.25">
      <c r="A52" s="4"/>
      <c r="B52" s="5" t="s">
        <v>332</v>
      </c>
      <c r="C52" s="5"/>
      <c r="D52" s="5"/>
      <c r="E52" s="38"/>
      <c r="F52" s="39">
        <f t="shared" ref="F52:U52" si="25">-F47</f>
        <v>0</v>
      </c>
      <c r="G52" s="39">
        <f t="shared" si="25"/>
        <v>0</v>
      </c>
      <c r="H52" s="39">
        <f t="shared" si="25"/>
        <v>0</v>
      </c>
      <c r="I52" s="39">
        <f t="shared" si="25"/>
        <v>0</v>
      </c>
      <c r="J52" s="39">
        <f t="shared" si="25"/>
        <v>0</v>
      </c>
      <c r="K52" s="39">
        <f t="shared" si="25"/>
        <v>0</v>
      </c>
      <c r="L52" s="39">
        <f t="shared" si="25"/>
        <v>0</v>
      </c>
      <c r="M52" s="39">
        <f t="shared" si="25"/>
        <v>0</v>
      </c>
      <c r="N52" s="39">
        <f t="shared" si="25"/>
        <v>0</v>
      </c>
      <c r="O52" s="39">
        <f t="shared" si="25"/>
        <v>0</v>
      </c>
      <c r="P52" s="39">
        <f t="shared" si="25"/>
        <v>0</v>
      </c>
      <c r="Q52" s="39">
        <f t="shared" si="25"/>
        <v>0</v>
      </c>
      <c r="R52" s="39">
        <f t="shared" si="25"/>
        <v>0</v>
      </c>
      <c r="S52" s="39">
        <f t="shared" si="25"/>
        <v>0</v>
      </c>
      <c r="T52" s="39">
        <f t="shared" si="25"/>
        <v>0</v>
      </c>
      <c r="U52" s="39">
        <f t="shared" si="25"/>
        <v>0</v>
      </c>
      <c r="V52" s="39">
        <f t="shared" ref="V52:AE52" si="26">-V47</f>
        <v>0</v>
      </c>
      <c r="W52" s="39">
        <f t="shared" si="26"/>
        <v>0</v>
      </c>
      <c r="X52" s="39">
        <f t="shared" si="26"/>
        <v>0</v>
      </c>
      <c r="Y52" s="39">
        <f t="shared" si="26"/>
        <v>0</v>
      </c>
      <c r="Z52" s="39">
        <f t="shared" si="26"/>
        <v>0</v>
      </c>
      <c r="AA52" s="39">
        <f t="shared" si="26"/>
        <v>0</v>
      </c>
      <c r="AB52" s="39">
        <f t="shared" si="26"/>
        <v>0</v>
      </c>
      <c r="AC52" s="39">
        <f t="shared" si="26"/>
        <v>0</v>
      </c>
      <c r="AD52" s="39">
        <f t="shared" si="26"/>
        <v>0</v>
      </c>
      <c r="AE52" s="39">
        <f t="shared" si="26"/>
        <v>0</v>
      </c>
      <c r="AF52" s="38">
        <f>SUM(F52:AE52)</f>
        <v>0</v>
      </c>
      <c r="AG52"/>
    </row>
    <row r="53" spans="1:33" x14ac:dyDescent="0.25">
      <c r="A53" s="6"/>
      <c r="B53" s="7" t="s">
        <v>339</v>
      </c>
      <c r="C53" s="7" t="s">
        <v>7</v>
      </c>
      <c r="D53" s="7"/>
      <c r="E53" s="46"/>
      <c r="F53" s="45">
        <f t="shared" ref="F53:U53" si="27">SUM(F50:F52)</f>
        <v>13000</v>
      </c>
      <c r="G53" s="45">
        <f t="shared" si="27"/>
        <v>13000</v>
      </c>
      <c r="H53" s="45">
        <f t="shared" si="27"/>
        <v>13000</v>
      </c>
      <c r="I53" s="45">
        <f t="shared" si="27"/>
        <v>13000</v>
      </c>
      <c r="J53" s="45">
        <f t="shared" si="27"/>
        <v>13000</v>
      </c>
      <c r="K53" s="45">
        <f t="shared" si="27"/>
        <v>13000</v>
      </c>
      <c r="L53" s="45">
        <f t="shared" si="27"/>
        <v>13000</v>
      </c>
      <c r="M53" s="45">
        <f t="shared" si="27"/>
        <v>13000</v>
      </c>
      <c r="N53" s="45">
        <f t="shared" si="27"/>
        <v>13000</v>
      </c>
      <c r="O53" s="45">
        <f t="shared" si="27"/>
        <v>13000</v>
      </c>
      <c r="P53" s="45">
        <f t="shared" si="27"/>
        <v>13000</v>
      </c>
      <c r="Q53" s="45">
        <f t="shared" si="27"/>
        <v>13000</v>
      </c>
      <c r="R53" s="45">
        <f t="shared" si="27"/>
        <v>13000</v>
      </c>
      <c r="S53" s="45">
        <f t="shared" si="27"/>
        <v>13000</v>
      </c>
      <c r="T53" s="45">
        <f t="shared" si="27"/>
        <v>13000</v>
      </c>
      <c r="U53" s="45">
        <f t="shared" si="27"/>
        <v>13000</v>
      </c>
      <c r="V53" s="45">
        <f t="shared" ref="V53:AE53" si="28">SUM(V50:V52)</f>
        <v>13000</v>
      </c>
      <c r="W53" s="45">
        <f t="shared" si="28"/>
        <v>13000</v>
      </c>
      <c r="X53" s="45">
        <f t="shared" si="28"/>
        <v>13000</v>
      </c>
      <c r="Y53" s="45">
        <f t="shared" si="28"/>
        <v>13000</v>
      </c>
      <c r="Z53" s="45">
        <f t="shared" si="28"/>
        <v>13000</v>
      </c>
      <c r="AA53" s="45">
        <f t="shared" si="28"/>
        <v>13000</v>
      </c>
      <c r="AB53" s="45">
        <f t="shared" si="28"/>
        <v>13000</v>
      </c>
      <c r="AC53" s="45">
        <f t="shared" si="28"/>
        <v>13000</v>
      </c>
      <c r="AD53" s="45">
        <f t="shared" si="28"/>
        <v>13000</v>
      </c>
      <c r="AE53" s="45">
        <f t="shared" si="28"/>
        <v>13000</v>
      </c>
      <c r="AF53" s="46"/>
      <c r="AG53"/>
    </row>
  </sheetData>
  <printOptions horizontalCentered="1"/>
  <pageMargins left="0.5" right="1" top="0.75" bottom="0.75" header="0.5" footer="0.5"/>
  <pageSetup scale="40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G90"/>
  <sheetViews>
    <sheetView topLeftCell="A34" workbookViewId="0">
      <selection activeCell="F65" sqref="F65"/>
    </sheetView>
  </sheetViews>
  <sheetFormatPr defaultColWidth="9.109375" defaultRowHeight="13.2" x14ac:dyDescent="0.25"/>
  <cols>
    <col min="1" max="3" width="9.109375" style="1"/>
    <col min="4" max="4" width="14.109375" style="1" customWidth="1"/>
    <col min="5" max="5" width="8.44140625" style="1" customWidth="1"/>
    <col min="6" max="23" width="9.109375" style="1"/>
    <col min="24" max="32" width="9.6640625" style="1" customWidth="1"/>
    <col min="33" max="33" width="10.109375" style="1" customWidth="1"/>
    <col min="34" max="16384" width="9.109375" style="1"/>
  </cols>
  <sheetData>
    <row r="1" spans="1:33" ht="15.6" x14ac:dyDescent="0.3">
      <c r="A1" s="281" t="s">
        <v>341</v>
      </c>
      <c r="B1" s="315"/>
      <c r="C1" s="306"/>
      <c r="D1" s="307"/>
      <c r="E1"/>
    </row>
    <row r="2" spans="1:33" ht="15.6" x14ac:dyDescent="0.3">
      <c r="A2" s="284">
        <f>ASS!A4</f>
        <v>0</v>
      </c>
      <c r="B2" s="316"/>
      <c r="C2" s="308"/>
      <c r="D2" s="309"/>
      <c r="E2"/>
    </row>
    <row r="3" spans="1:33" ht="15.6" x14ac:dyDescent="0.3">
      <c r="A3" s="287" t="str">
        <f>ASS!A5</f>
        <v>BASE MODEL</v>
      </c>
      <c r="B3" s="317"/>
      <c r="C3" s="310"/>
      <c r="D3" s="311"/>
      <c r="E3"/>
    </row>
    <row r="4" spans="1:33" ht="15.6" x14ac:dyDescent="0.3">
      <c r="A4" s="290"/>
      <c r="B4" s="316"/>
      <c r="C4" s="308"/>
      <c r="D4" s="308"/>
      <c r="E4"/>
    </row>
    <row r="5" spans="1:33" x14ac:dyDescent="0.25">
      <c r="F5" s="10" t="s">
        <v>342</v>
      </c>
      <c r="G5" s="34">
        <f>CF!D5</f>
        <v>1</v>
      </c>
      <c r="H5" s="34">
        <f>CF!E5</f>
        <v>2</v>
      </c>
      <c r="I5" s="34">
        <f>CF!F5</f>
        <v>3</v>
      </c>
      <c r="J5" s="34">
        <f>CF!G5</f>
        <v>4</v>
      </c>
      <c r="K5" s="34">
        <f>CF!H5</f>
        <v>5</v>
      </c>
      <c r="L5" s="34">
        <f>CF!I5</f>
        <v>6</v>
      </c>
      <c r="M5" s="34">
        <f>CF!J5</f>
        <v>7</v>
      </c>
      <c r="N5" s="34">
        <f>CF!K5</f>
        <v>8</v>
      </c>
      <c r="O5" s="34">
        <f>CF!L5</f>
        <v>9</v>
      </c>
      <c r="P5" s="34">
        <f>CF!M5</f>
        <v>10</v>
      </c>
      <c r="Q5" s="34">
        <f>CF!N5</f>
        <v>11</v>
      </c>
      <c r="R5" s="34">
        <f>CF!O5</f>
        <v>12</v>
      </c>
      <c r="S5" s="34">
        <f>CF!P5</f>
        <v>13</v>
      </c>
      <c r="T5" s="34">
        <f>CF!Q5</f>
        <v>14</v>
      </c>
      <c r="U5" s="34">
        <f>CF!R5</f>
        <v>15</v>
      </c>
      <c r="V5" s="34">
        <f>CF!S5</f>
        <v>16</v>
      </c>
      <c r="W5" s="34">
        <f>CF!T5</f>
        <v>17</v>
      </c>
      <c r="X5" s="34">
        <f>CF!U5</f>
        <v>18</v>
      </c>
      <c r="Y5" s="34">
        <f>CF!V5</f>
        <v>19</v>
      </c>
      <c r="Z5" s="34">
        <f>CF!W5</f>
        <v>20</v>
      </c>
      <c r="AA5" s="34">
        <f>CF!X5</f>
        <v>21</v>
      </c>
      <c r="AB5" s="34">
        <f>CF!Y5</f>
        <v>22</v>
      </c>
      <c r="AC5" s="34">
        <f>CF!Z5</f>
        <v>23</v>
      </c>
      <c r="AD5" s="34">
        <f>CF!AA5</f>
        <v>24</v>
      </c>
      <c r="AE5" s="34">
        <f>CF!AB5</f>
        <v>25</v>
      </c>
      <c r="AF5" s="34">
        <f>CF!AC5</f>
        <v>26</v>
      </c>
      <c r="AG5" s="22"/>
    </row>
    <row r="6" spans="1:33" x14ac:dyDescent="0.25">
      <c r="F6" s="10" t="s">
        <v>343</v>
      </c>
      <c r="G6" s="34">
        <f>CF!D6</f>
        <v>2001</v>
      </c>
      <c r="H6" s="34">
        <f>CF!E6</f>
        <v>2002</v>
      </c>
      <c r="I6" s="34">
        <f>CF!F6</f>
        <v>2003</v>
      </c>
      <c r="J6" s="34">
        <f>CF!G6</f>
        <v>2004</v>
      </c>
      <c r="K6" s="34">
        <f>CF!H6</f>
        <v>2005</v>
      </c>
      <c r="L6" s="34">
        <f>CF!I6</f>
        <v>2006</v>
      </c>
      <c r="M6" s="34">
        <f>CF!J6</f>
        <v>2007</v>
      </c>
      <c r="N6" s="34">
        <f>CF!K6</f>
        <v>2008</v>
      </c>
      <c r="O6" s="34">
        <f>CF!L6</f>
        <v>2009</v>
      </c>
      <c r="P6" s="34">
        <f>CF!M6</f>
        <v>2010</v>
      </c>
      <c r="Q6" s="34">
        <f>CF!N6</f>
        <v>2011</v>
      </c>
      <c r="R6" s="34">
        <f>CF!O6</f>
        <v>2012</v>
      </c>
      <c r="S6" s="34">
        <f>CF!P6</f>
        <v>2013</v>
      </c>
      <c r="T6" s="34">
        <f>CF!Q6</f>
        <v>2014</v>
      </c>
      <c r="U6" s="34">
        <f>CF!R6</f>
        <v>2015</v>
      </c>
      <c r="V6" s="34">
        <f>CF!S6</f>
        <v>2016</v>
      </c>
      <c r="W6" s="34">
        <f>CF!T6</f>
        <v>2017</v>
      </c>
      <c r="X6" s="34">
        <f>CF!U6</f>
        <v>2018</v>
      </c>
      <c r="Y6" s="34">
        <f>CF!V6</f>
        <v>2019</v>
      </c>
      <c r="Z6" s="34">
        <f>CF!W6</f>
        <v>2020</v>
      </c>
      <c r="AA6" s="34">
        <f>CF!X6</f>
        <v>2021</v>
      </c>
      <c r="AB6" s="34">
        <f>CF!Y6</f>
        <v>2022</v>
      </c>
      <c r="AC6" s="34">
        <f>CF!Z6</f>
        <v>2023</v>
      </c>
      <c r="AD6" s="34">
        <f>CF!AA6</f>
        <v>2024</v>
      </c>
      <c r="AE6" s="34">
        <f>CF!AB6</f>
        <v>2025</v>
      </c>
      <c r="AF6" s="34">
        <f>CF!AC6</f>
        <v>2026</v>
      </c>
      <c r="AG6" s="35" t="s">
        <v>175</v>
      </c>
    </row>
    <row r="7" spans="1:33" x14ac:dyDescent="0.25">
      <c r="A7" s="15" t="s">
        <v>344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1"/>
    </row>
    <row r="8" spans="1:33" x14ac:dyDescent="0.25">
      <c r="A8" s="4"/>
      <c r="B8" s="5" t="s">
        <v>345</v>
      </c>
      <c r="C8" s="5"/>
      <c r="D8" s="5"/>
      <c r="E8" s="5"/>
      <c r="F8" s="75">
        <v>0</v>
      </c>
      <c r="G8" s="36" t="e">
        <f>$F$8+G90</f>
        <v>#REF!</v>
      </c>
      <c r="H8" s="36" t="e">
        <f t="shared" ref="H8:W8" si="0">$F$8+H90</f>
        <v>#REF!</v>
      </c>
      <c r="I8" s="36" t="e">
        <f t="shared" si="0"/>
        <v>#REF!</v>
      </c>
      <c r="J8" s="36" t="e">
        <f t="shared" si="0"/>
        <v>#REF!</v>
      </c>
      <c r="K8" s="36" t="e">
        <f t="shared" si="0"/>
        <v>#REF!</v>
      </c>
      <c r="L8" s="36" t="e">
        <f t="shared" si="0"/>
        <v>#REF!</v>
      </c>
      <c r="M8" s="36" t="e">
        <f t="shared" si="0"/>
        <v>#REF!</v>
      </c>
      <c r="N8" s="36" t="e">
        <f t="shared" si="0"/>
        <v>#REF!</v>
      </c>
      <c r="O8" s="36" t="e">
        <f t="shared" si="0"/>
        <v>#REF!</v>
      </c>
      <c r="P8" s="36" t="e">
        <f t="shared" si="0"/>
        <v>#REF!</v>
      </c>
      <c r="Q8" s="36" t="e">
        <f t="shared" si="0"/>
        <v>#REF!</v>
      </c>
      <c r="R8" s="36" t="e">
        <f t="shared" si="0"/>
        <v>#REF!</v>
      </c>
      <c r="S8" s="36" t="e">
        <f t="shared" si="0"/>
        <v>#REF!</v>
      </c>
      <c r="T8" s="36" t="e">
        <f t="shared" si="0"/>
        <v>#REF!</v>
      </c>
      <c r="U8" s="36" t="e">
        <f t="shared" si="0"/>
        <v>#REF!</v>
      </c>
      <c r="V8" s="36" t="e">
        <f t="shared" si="0"/>
        <v>#VALUE!</v>
      </c>
      <c r="W8" s="36" t="e">
        <f t="shared" si="0"/>
        <v>#REF!</v>
      </c>
      <c r="X8" s="36" t="e">
        <f t="shared" ref="X8:AF8" si="1">$F$8+X90</f>
        <v>#REF!</v>
      </c>
      <c r="Y8" s="36" t="e">
        <f t="shared" si="1"/>
        <v>#REF!</v>
      </c>
      <c r="Z8" s="36" t="e">
        <f t="shared" si="1"/>
        <v>#REF!</v>
      </c>
      <c r="AA8" s="36" t="e">
        <f t="shared" si="1"/>
        <v>#REF!</v>
      </c>
      <c r="AB8" s="36" t="e">
        <f t="shared" si="1"/>
        <v>#REF!</v>
      </c>
      <c r="AC8" s="36" t="e">
        <f t="shared" si="1"/>
        <v>#REF!</v>
      </c>
      <c r="AD8" s="36" t="e">
        <f t="shared" si="1"/>
        <v>#REF!</v>
      </c>
      <c r="AE8" s="36" t="e">
        <f t="shared" si="1"/>
        <v>#REF!</v>
      </c>
      <c r="AF8" s="36" t="e">
        <f t="shared" si="1"/>
        <v>#REF!</v>
      </c>
      <c r="AG8" s="38" t="e">
        <f>SUM(F8:AA8)</f>
        <v>#REF!</v>
      </c>
    </row>
    <row r="9" spans="1:33" x14ac:dyDescent="0.25">
      <c r="A9" s="4"/>
      <c r="B9" s="5" t="s">
        <v>136</v>
      </c>
      <c r="C9" s="5"/>
      <c r="D9" s="5"/>
      <c r="E9" s="5"/>
      <c r="F9" s="75">
        <v>0</v>
      </c>
      <c r="G9" s="36">
        <f>F9+(-CF!D92-CF!D93)</f>
        <v>0</v>
      </c>
      <c r="H9" s="36">
        <f>G9+(-CF!E92-CF!E93)</f>
        <v>0</v>
      </c>
      <c r="I9" s="36">
        <f>H9+(-CF!F92-CF!F93)</f>
        <v>0</v>
      </c>
      <c r="J9" s="36">
        <f>I9+(-CF!G92-CF!G93)</f>
        <v>0</v>
      </c>
      <c r="K9" s="36">
        <f>J9+(-CF!H92-CF!H93)</f>
        <v>0</v>
      </c>
      <c r="L9" s="36">
        <f>K9+(-CF!I92-CF!I93)</f>
        <v>0</v>
      </c>
      <c r="M9" s="36">
        <f>L9+(-CF!J92-CF!J93)</f>
        <v>0</v>
      </c>
      <c r="N9" s="36">
        <f>M9+(-CF!K92-CF!K93)</f>
        <v>0</v>
      </c>
      <c r="O9" s="36">
        <f>N9+(-CF!L92-CF!L93)</f>
        <v>0</v>
      </c>
      <c r="P9" s="36">
        <f>O9+(-CF!M92-CF!M93)</f>
        <v>0</v>
      </c>
      <c r="Q9" s="36">
        <f>P9+(-CF!N92-CF!N93)</f>
        <v>0</v>
      </c>
      <c r="R9" s="36">
        <f>Q9+(-CF!O92-CF!O93)</f>
        <v>0</v>
      </c>
      <c r="S9" s="36">
        <f>R9+(-CF!P92-CF!P93)</f>
        <v>0</v>
      </c>
      <c r="T9" s="36">
        <f>S9+(-CF!Q92-CF!Q93)</f>
        <v>0</v>
      </c>
      <c r="U9" s="36">
        <f>T9+(-CF!R92-CF!R93)</f>
        <v>0</v>
      </c>
      <c r="V9" s="36">
        <f>U9+(-CF!S92-CF!S93)</f>
        <v>0</v>
      </c>
      <c r="W9" s="36">
        <f>V9+(-CF!T92-CF!T93)</f>
        <v>0</v>
      </c>
      <c r="X9" s="36">
        <f>W9+(-CF!U92-CF!U93)</f>
        <v>0</v>
      </c>
      <c r="Y9" s="36">
        <f>X9+(-CF!V92-CF!V93)</f>
        <v>0</v>
      </c>
      <c r="Z9" s="36">
        <f>Y9+(-CF!W92-CF!W93)</f>
        <v>0</v>
      </c>
      <c r="AA9" s="36">
        <f>Z9+(-CF!X92-CF!X93)</f>
        <v>0</v>
      </c>
      <c r="AB9" s="36">
        <f>AA9+(-CF!Y92-CF!Y93)</f>
        <v>0</v>
      </c>
      <c r="AC9" s="36">
        <f>AB9+(-CF!Z92-CF!Z93)</f>
        <v>0</v>
      </c>
      <c r="AD9" s="36">
        <f>AC9+(-CF!AA92-CF!AA93)</f>
        <v>0</v>
      </c>
      <c r="AE9" s="36">
        <f>AD9+(-CF!AB92-CF!AB93)</f>
        <v>0</v>
      </c>
      <c r="AF9" s="36">
        <f>AE9+(-CF!AC92-CF!AC93)</f>
        <v>0</v>
      </c>
      <c r="AG9" s="38"/>
    </row>
    <row r="10" spans="1:33" x14ac:dyDescent="0.25">
      <c r="A10" s="4"/>
      <c r="B10" s="5" t="s">
        <v>346</v>
      </c>
      <c r="C10" s="5"/>
      <c r="D10" s="5"/>
      <c r="E10" s="5"/>
      <c r="F10" s="75">
        <v>0</v>
      </c>
      <c r="G10" s="36">
        <v>0</v>
      </c>
      <c r="H10" s="36">
        <v>0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  <c r="O10" s="36">
        <v>0</v>
      </c>
      <c r="P10" s="36">
        <v>0</v>
      </c>
      <c r="Q10" s="36">
        <v>0</v>
      </c>
      <c r="R10" s="36">
        <v>0</v>
      </c>
      <c r="S10" s="36">
        <v>0</v>
      </c>
      <c r="T10" s="36">
        <v>0</v>
      </c>
      <c r="U10" s="36">
        <v>0</v>
      </c>
      <c r="V10" s="36">
        <v>0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36">
        <v>0</v>
      </c>
      <c r="AD10" s="36">
        <v>0</v>
      </c>
      <c r="AE10" s="36">
        <v>0</v>
      </c>
      <c r="AF10" s="36">
        <v>0</v>
      </c>
      <c r="AG10" s="38">
        <f t="shared" ref="AG10:AG26" si="2">SUM(F10:AA10)</f>
        <v>0</v>
      </c>
    </row>
    <row r="11" spans="1:33" x14ac:dyDescent="0.25">
      <c r="A11" s="4"/>
      <c r="B11" s="5" t="s">
        <v>347</v>
      </c>
      <c r="C11" s="5"/>
      <c r="D11" s="5"/>
      <c r="E11" s="5"/>
      <c r="F11" s="75">
        <v>0</v>
      </c>
      <c r="G11" s="36">
        <f>IF(G5&lt;TERM,SPARES,0)</f>
        <v>0</v>
      </c>
      <c r="H11" s="36">
        <f t="shared" ref="H11:W11" si="3">IF(H5&lt;TERM,SPARES,0)</f>
        <v>0</v>
      </c>
      <c r="I11" s="36">
        <f t="shared" si="3"/>
        <v>0</v>
      </c>
      <c r="J11" s="36">
        <f t="shared" si="3"/>
        <v>0</v>
      </c>
      <c r="K11" s="36">
        <f t="shared" si="3"/>
        <v>0</v>
      </c>
      <c r="L11" s="36">
        <f t="shared" si="3"/>
        <v>0</v>
      </c>
      <c r="M11" s="36">
        <f t="shared" si="3"/>
        <v>0</v>
      </c>
      <c r="N11" s="36">
        <f t="shared" si="3"/>
        <v>0</v>
      </c>
      <c r="O11" s="36">
        <f t="shared" si="3"/>
        <v>0</v>
      </c>
      <c r="P11" s="36">
        <f t="shared" si="3"/>
        <v>0</v>
      </c>
      <c r="Q11" s="36">
        <f t="shared" si="3"/>
        <v>0</v>
      </c>
      <c r="R11" s="36">
        <f t="shared" si="3"/>
        <v>0</v>
      </c>
      <c r="S11" s="36">
        <f t="shared" si="3"/>
        <v>0</v>
      </c>
      <c r="T11" s="36">
        <f t="shared" si="3"/>
        <v>0</v>
      </c>
      <c r="U11" s="36">
        <f t="shared" si="3"/>
        <v>0</v>
      </c>
      <c r="V11" s="36">
        <f t="shared" si="3"/>
        <v>0</v>
      </c>
      <c r="W11" s="36">
        <f t="shared" si="3"/>
        <v>0</v>
      </c>
      <c r="X11" s="36">
        <f t="shared" ref="X11:AF11" si="4">IF(X5&lt;TERM,SPARES,0)</f>
        <v>0</v>
      </c>
      <c r="Y11" s="36">
        <f t="shared" si="4"/>
        <v>0</v>
      </c>
      <c r="Z11" s="36">
        <f t="shared" si="4"/>
        <v>0</v>
      </c>
      <c r="AA11" s="36">
        <f t="shared" si="4"/>
        <v>0</v>
      </c>
      <c r="AB11" s="36">
        <f t="shared" si="4"/>
        <v>0</v>
      </c>
      <c r="AC11" s="36">
        <f t="shared" si="4"/>
        <v>0</v>
      </c>
      <c r="AD11" s="36">
        <f t="shared" si="4"/>
        <v>0</v>
      </c>
      <c r="AE11" s="36">
        <f t="shared" si="4"/>
        <v>0</v>
      </c>
      <c r="AF11" s="36">
        <f t="shared" si="4"/>
        <v>0</v>
      </c>
      <c r="AG11" s="38">
        <f t="shared" si="2"/>
        <v>0</v>
      </c>
    </row>
    <row r="12" spans="1:33" x14ac:dyDescent="0.25">
      <c r="A12" s="4"/>
      <c r="B12" s="5" t="s">
        <v>348</v>
      </c>
      <c r="C12" s="5"/>
      <c r="D12" s="5"/>
      <c r="E12" s="5"/>
      <c r="F12" s="75">
        <v>0</v>
      </c>
      <c r="G12" s="36">
        <v>0</v>
      </c>
      <c r="H12" s="36">
        <v>0</v>
      </c>
      <c r="I12" s="36">
        <v>0</v>
      </c>
      <c r="J12" s="36">
        <v>0</v>
      </c>
      <c r="K12" s="36">
        <v>0</v>
      </c>
      <c r="L12" s="36">
        <v>0</v>
      </c>
      <c r="M12" s="36">
        <v>0</v>
      </c>
      <c r="N12" s="36">
        <v>0</v>
      </c>
      <c r="O12" s="36">
        <v>0</v>
      </c>
      <c r="P12" s="36">
        <v>0</v>
      </c>
      <c r="Q12" s="36">
        <v>0</v>
      </c>
      <c r="R12" s="36">
        <v>0</v>
      </c>
      <c r="S12" s="36">
        <v>0</v>
      </c>
      <c r="T12" s="36">
        <v>0</v>
      </c>
      <c r="U12" s="36">
        <v>0</v>
      </c>
      <c r="V12" s="36">
        <v>0</v>
      </c>
      <c r="W12" s="36">
        <v>0</v>
      </c>
      <c r="X12" s="36">
        <v>0</v>
      </c>
      <c r="Y12" s="36">
        <v>0</v>
      </c>
      <c r="Z12" s="36">
        <v>0</v>
      </c>
      <c r="AA12" s="36">
        <v>0</v>
      </c>
      <c r="AB12" s="36">
        <v>0</v>
      </c>
      <c r="AC12" s="36">
        <v>0</v>
      </c>
      <c r="AD12" s="36">
        <v>0</v>
      </c>
      <c r="AE12" s="36">
        <v>0</v>
      </c>
      <c r="AF12" s="36">
        <v>0</v>
      </c>
      <c r="AG12" s="38">
        <f t="shared" si="2"/>
        <v>0</v>
      </c>
    </row>
    <row r="13" spans="1:33" x14ac:dyDescent="0.25">
      <c r="A13" s="4"/>
      <c r="B13" s="5" t="s">
        <v>349</v>
      </c>
      <c r="C13" s="5"/>
      <c r="D13" s="5"/>
      <c r="E13" s="5"/>
      <c r="F13" s="75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8" t="s">
        <v>7</v>
      </c>
    </row>
    <row r="14" spans="1:33" x14ac:dyDescent="0.25">
      <c r="A14" s="4"/>
      <c r="B14" s="5"/>
      <c r="C14" s="5" t="s">
        <v>241</v>
      </c>
      <c r="D14" s="5"/>
      <c r="E14" s="5"/>
      <c r="F14" s="75">
        <v>0</v>
      </c>
      <c r="G14" s="36">
        <f>$F$14+DEPR!$F$38</f>
        <v>13000</v>
      </c>
      <c r="H14" s="36">
        <f>$F$14+DEPR!$F$38</f>
        <v>13000</v>
      </c>
      <c r="I14" s="36">
        <f>$F$14+DEPR!$F$38</f>
        <v>13000</v>
      </c>
      <c r="J14" s="36">
        <f>$F$14+DEPR!$F$38</f>
        <v>13000</v>
      </c>
      <c r="K14" s="36">
        <f>$F$14+DEPR!$F$38</f>
        <v>13000</v>
      </c>
      <c r="L14" s="36">
        <f>$F$14+DEPR!$F$38</f>
        <v>13000</v>
      </c>
      <c r="M14" s="36">
        <f>$F$14+DEPR!$F$38</f>
        <v>13000</v>
      </c>
      <c r="N14" s="36">
        <f>$F$14+DEPR!$F$38</f>
        <v>13000</v>
      </c>
      <c r="O14" s="36">
        <f>$F$14+DEPR!$F$38</f>
        <v>13000</v>
      </c>
      <c r="P14" s="36">
        <f>$F$14+DEPR!$F$38</f>
        <v>13000</v>
      </c>
      <c r="Q14" s="36">
        <f>$F$14+DEPR!$F$38</f>
        <v>13000</v>
      </c>
      <c r="R14" s="36">
        <f>$F$14+DEPR!$F$38</f>
        <v>13000</v>
      </c>
      <c r="S14" s="36">
        <f>$F$14+DEPR!$F$38</f>
        <v>13000</v>
      </c>
      <c r="T14" s="36">
        <f>$F$14+DEPR!$F$38</f>
        <v>13000</v>
      </c>
      <c r="U14" s="36">
        <f>$F$14+DEPR!$F$38</f>
        <v>13000</v>
      </c>
      <c r="V14" s="36">
        <f>$F$14+DEPR!$F$38</f>
        <v>13000</v>
      </c>
      <c r="W14" s="36">
        <f>$F$14+DEPR!$F$38</f>
        <v>13000</v>
      </c>
      <c r="X14" s="36">
        <f>$F$14+DEPR!$F$38</f>
        <v>13000</v>
      </c>
      <c r="Y14" s="36">
        <f>$F$14+DEPR!$F$38</f>
        <v>13000</v>
      </c>
      <c r="Z14" s="36">
        <f>$F$14+DEPR!$F$38</f>
        <v>13000</v>
      </c>
      <c r="AA14" s="36">
        <f>$F$14+DEPR!$F$38</f>
        <v>13000</v>
      </c>
      <c r="AB14" s="36">
        <f>$F$14+DEPR!$F$38</f>
        <v>13000</v>
      </c>
      <c r="AC14" s="36">
        <f>$F$14+DEPR!$F$38</f>
        <v>13000</v>
      </c>
      <c r="AD14" s="36">
        <f>$F$14+DEPR!$F$38</f>
        <v>13000</v>
      </c>
      <c r="AE14" s="36">
        <f>$F$14+DEPR!$F$38</f>
        <v>13000</v>
      </c>
      <c r="AF14" s="36">
        <f>$F$14+DEPR!$F$38</f>
        <v>13000</v>
      </c>
      <c r="AG14" s="38">
        <f t="shared" si="2"/>
        <v>273000</v>
      </c>
    </row>
    <row r="15" spans="1:33" x14ac:dyDescent="0.25">
      <c r="A15" s="4"/>
      <c r="B15" s="5"/>
      <c r="C15" s="5" t="s">
        <v>350</v>
      </c>
      <c r="D15" s="5"/>
      <c r="E15" s="5"/>
      <c r="F15" s="76">
        <v>0</v>
      </c>
      <c r="G15" s="39">
        <f>$F$15+DEPR!F35</f>
        <v>0</v>
      </c>
      <c r="H15" s="39">
        <f>$F$15+DEPR!G35</f>
        <v>0</v>
      </c>
      <c r="I15" s="39">
        <f>$F$15+DEPR!H35</f>
        <v>0</v>
      </c>
      <c r="J15" s="39">
        <f>$F$15+DEPR!I35</f>
        <v>0</v>
      </c>
      <c r="K15" s="39">
        <f>$F$15+DEPR!J35</f>
        <v>0</v>
      </c>
      <c r="L15" s="39">
        <f>$F$15+DEPR!K35</f>
        <v>0</v>
      </c>
      <c r="M15" s="39">
        <f>$F$15+DEPR!L35</f>
        <v>0</v>
      </c>
      <c r="N15" s="39">
        <f>$F$15+DEPR!M35</f>
        <v>0</v>
      </c>
      <c r="O15" s="39">
        <f>$F$15+DEPR!N35</f>
        <v>0</v>
      </c>
      <c r="P15" s="39">
        <f>$F$15+DEPR!O35</f>
        <v>0</v>
      </c>
      <c r="Q15" s="39">
        <f>$F$15+DEPR!P35</f>
        <v>0</v>
      </c>
      <c r="R15" s="39">
        <f>$F$15+DEPR!Q35</f>
        <v>0</v>
      </c>
      <c r="S15" s="39">
        <f>$F$15+DEPR!R35</f>
        <v>0</v>
      </c>
      <c r="T15" s="39">
        <f>$F$15+DEPR!S35</f>
        <v>0</v>
      </c>
      <c r="U15" s="39">
        <f>$F$15+DEPR!T35</f>
        <v>0</v>
      </c>
      <c r="V15" s="39">
        <f>$F$15+DEPR!U35</f>
        <v>0</v>
      </c>
      <c r="W15" s="39">
        <f>$F$15+DEPR!V35</f>
        <v>0</v>
      </c>
      <c r="X15" s="39">
        <f>$F$15+DEPR!W35</f>
        <v>0</v>
      </c>
      <c r="Y15" s="39">
        <f>$F$15+DEPR!X35</f>
        <v>0</v>
      </c>
      <c r="Z15" s="39">
        <f>$F$15+DEPR!Y35</f>
        <v>0</v>
      </c>
      <c r="AA15" s="39">
        <f>$F$15+DEPR!Z35</f>
        <v>0</v>
      </c>
      <c r="AB15" s="39">
        <f>$F$15+DEPR!AA35</f>
        <v>0</v>
      </c>
      <c r="AC15" s="39">
        <f>$F$15+DEPR!AB35</f>
        <v>0</v>
      </c>
      <c r="AD15" s="39">
        <f>$F$15+DEPR!AC35</f>
        <v>0</v>
      </c>
      <c r="AE15" s="39">
        <f>$F$15+DEPR!AD35</f>
        <v>0</v>
      </c>
      <c r="AF15" s="39">
        <f>$F$15+DEPR!AE35</f>
        <v>0</v>
      </c>
      <c r="AG15" s="38">
        <f t="shared" si="2"/>
        <v>0</v>
      </c>
    </row>
    <row r="16" spans="1:33" x14ac:dyDescent="0.25">
      <c r="A16" s="4"/>
      <c r="B16" s="5"/>
      <c r="C16" s="5" t="s">
        <v>351</v>
      </c>
      <c r="D16" s="5"/>
      <c r="E16" s="5"/>
      <c r="F16" s="75">
        <v>0</v>
      </c>
      <c r="G16" s="36">
        <f>$F$16+G14-G15</f>
        <v>13000</v>
      </c>
      <c r="H16" s="36">
        <f t="shared" ref="H16:W16" si="5">$F$16+H14-H15</f>
        <v>13000</v>
      </c>
      <c r="I16" s="36">
        <f t="shared" si="5"/>
        <v>13000</v>
      </c>
      <c r="J16" s="36">
        <f t="shared" si="5"/>
        <v>13000</v>
      </c>
      <c r="K16" s="36">
        <f t="shared" si="5"/>
        <v>13000</v>
      </c>
      <c r="L16" s="36">
        <f t="shared" si="5"/>
        <v>13000</v>
      </c>
      <c r="M16" s="36">
        <f t="shared" si="5"/>
        <v>13000</v>
      </c>
      <c r="N16" s="36">
        <f t="shared" si="5"/>
        <v>13000</v>
      </c>
      <c r="O16" s="36">
        <f t="shared" si="5"/>
        <v>13000</v>
      </c>
      <c r="P16" s="36">
        <f t="shared" si="5"/>
        <v>13000</v>
      </c>
      <c r="Q16" s="36">
        <f t="shared" si="5"/>
        <v>13000</v>
      </c>
      <c r="R16" s="36">
        <f t="shared" si="5"/>
        <v>13000</v>
      </c>
      <c r="S16" s="36">
        <f t="shared" si="5"/>
        <v>13000</v>
      </c>
      <c r="T16" s="36">
        <f t="shared" si="5"/>
        <v>13000</v>
      </c>
      <c r="U16" s="36">
        <f t="shared" si="5"/>
        <v>13000</v>
      </c>
      <c r="V16" s="36">
        <f t="shared" si="5"/>
        <v>13000</v>
      </c>
      <c r="W16" s="36">
        <f t="shared" si="5"/>
        <v>13000</v>
      </c>
      <c r="X16" s="36">
        <f t="shared" ref="X16:AF16" si="6">$F$16+X14-X15</f>
        <v>13000</v>
      </c>
      <c r="Y16" s="36">
        <f t="shared" si="6"/>
        <v>13000</v>
      </c>
      <c r="Z16" s="36">
        <f t="shared" si="6"/>
        <v>13000</v>
      </c>
      <c r="AA16" s="36">
        <f t="shared" si="6"/>
        <v>13000</v>
      </c>
      <c r="AB16" s="36">
        <f t="shared" si="6"/>
        <v>13000</v>
      </c>
      <c r="AC16" s="36">
        <f t="shared" si="6"/>
        <v>13000</v>
      </c>
      <c r="AD16" s="36">
        <f t="shared" si="6"/>
        <v>13000</v>
      </c>
      <c r="AE16" s="36">
        <f t="shared" si="6"/>
        <v>13000</v>
      </c>
      <c r="AF16" s="36">
        <f t="shared" si="6"/>
        <v>13000</v>
      </c>
      <c r="AG16" s="38">
        <f t="shared" si="2"/>
        <v>273000</v>
      </c>
    </row>
    <row r="17" spans="1:33" x14ac:dyDescent="0.25">
      <c r="A17" s="4"/>
      <c r="B17" s="5" t="s">
        <v>352</v>
      </c>
      <c r="C17" s="5"/>
      <c r="D17" s="5"/>
      <c r="E17" s="5"/>
      <c r="F17" s="75">
        <v>0</v>
      </c>
      <c r="G17" s="36">
        <v>0</v>
      </c>
      <c r="H17" s="36">
        <v>0</v>
      </c>
      <c r="I17" s="36">
        <v>0</v>
      </c>
      <c r="J17" s="36">
        <v>0</v>
      </c>
      <c r="K17" s="36">
        <v>0</v>
      </c>
      <c r="L17" s="36">
        <v>0</v>
      </c>
      <c r="M17" s="36">
        <v>0</v>
      </c>
      <c r="N17" s="36">
        <v>0</v>
      </c>
      <c r="O17" s="36">
        <v>0</v>
      </c>
      <c r="P17" s="36">
        <v>0</v>
      </c>
      <c r="Q17" s="36">
        <v>0</v>
      </c>
      <c r="R17" s="36">
        <v>0</v>
      </c>
      <c r="S17" s="36">
        <v>0</v>
      </c>
      <c r="T17" s="36">
        <v>0</v>
      </c>
      <c r="U17" s="36">
        <v>0</v>
      </c>
      <c r="V17" s="36">
        <v>0</v>
      </c>
      <c r="W17" s="36">
        <v>0</v>
      </c>
      <c r="X17" s="36">
        <v>0</v>
      </c>
      <c r="Y17" s="36">
        <v>0</v>
      </c>
      <c r="Z17" s="36">
        <v>0</v>
      </c>
      <c r="AA17" s="36">
        <v>0</v>
      </c>
      <c r="AB17" s="36">
        <v>0</v>
      </c>
      <c r="AC17" s="36">
        <v>0</v>
      </c>
      <c r="AD17" s="36">
        <v>0</v>
      </c>
      <c r="AE17" s="36">
        <v>0</v>
      </c>
      <c r="AF17" s="36">
        <v>0</v>
      </c>
      <c r="AG17" s="38">
        <f t="shared" si="2"/>
        <v>0</v>
      </c>
    </row>
    <row r="18" spans="1:33" x14ac:dyDescent="0.25">
      <c r="A18" s="4"/>
      <c r="B18" s="5"/>
      <c r="C18" s="5"/>
      <c r="D18" s="5"/>
      <c r="E18" s="5"/>
      <c r="F18" s="75"/>
      <c r="G18" s="36" t="s">
        <v>7</v>
      </c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8">
        <f t="shared" si="2"/>
        <v>0</v>
      </c>
    </row>
    <row r="19" spans="1:33" x14ac:dyDescent="0.25">
      <c r="A19" s="4" t="s">
        <v>353</v>
      </c>
      <c r="B19" s="5"/>
      <c r="C19" s="5"/>
      <c r="D19" s="5"/>
      <c r="E19" s="5"/>
      <c r="F19" s="77">
        <v>0</v>
      </c>
      <c r="G19" s="40" t="e">
        <f>SUM(G8:G12)+G16+SUM(G17:G17)</f>
        <v>#REF!</v>
      </c>
      <c r="H19" s="40" t="e">
        <f t="shared" ref="H19:W19" si="7">SUM(H8:H12)+H16+SUM(H17:H17)</f>
        <v>#REF!</v>
      </c>
      <c r="I19" s="40" t="e">
        <f t="shared" si="7"/>
        <v>#REF!</v>
      </c>
      <c r="J19" s="40" t="e">
        <f t="shared" si="7"/>
        <v>#REF!</v>
      </c>
      <c r="K19" s="40" t="e">
        <f t="shared" si="7"/>
        <v>#REF!</v>
      </c>
      <c r="L19" s="40" t="e">
        <f t="shared" si="7"/>
        <v>#REF!</v>
      </c>
      <c r="M19" s="40" t="e">
        <f t="shared" si="7"/>
        <v>#REF!</v>
      </c>
      <c r="N19" s="40" t="e">
        <f t="shared" si="7"/>
        <v>#REF!</v>
      </c>
      <c r="O19" s="40" t="e">
        <f t="shared" si="7"/>
        <v>#REF!</v>
      </c>
      <c r="P19" s="40" t="e">
        <f t="shared" si="7"/>
        <v>#REF!</v>
      </c>
      <c r="Q19" s="40" t="e">
        <f t="shared" si="7"/>
        <v>#REF!</v>
      </c>
      <c r="R19" s="40" t="e">
        <f t="shared" si="7"/>
        <v>#REF!</v>
      </c>
      <c r="S19" s="40" t="e">
        <f t="shared" si="7"/>
        <v>#REF!</v>
      </c>
      <c r="T19" s="40" t="e">
        <f t="shared" si="7"/>
        <v>#REF!</v>
      </c>
      <c r="U19" s="40" t="e">
        <f t="shared" si="7"/>
        <v>#REF!</v>
      </c>
      <c r="V19" s="40" t="e">
        <f t="shared" si="7"/>
        <v>#VALUE!</v>
      </c>
      <c r="W19" s="40" t="e">
        <f t="shared" si="7"/>
        <v>#REF!</v>
      </c>
      <c r="X19" s="40" t="e">
        <f t="shared" ref="X19:AF19" si="8">SUM(X8:X12)+X16+SUM(X17:X17)</f>
        <v>#REF!</v>
      </c>
      <c r="Y19" s="40" t="e">
        <f t="shared" si="8"/>
        <v>#REF!</v>
      </c>
      <c r="Z19" s="40" t="e">
        <f t="shared" si="8"/>
        <v>#REF!</v>
      </c>
      <c r="AA19" s="40" t="e">
        <f t="shared" si="8"/>
        <v>#REF!</v>
      </c>
      <c r="AB19" s="40" t="e">
        <f t="shared" si="8"/>
        <v>#REF!</v>
      </c>
      <c r="AC19" s="40" t="e">
        <f t="shared" si="8"/>
        <v>#REF!</v>
      </c>
      <c r="AD19" s="40" t="e">
        <f t="shared" si="8"/>
        <v>#REF!</v>
      </c>
      <c r="AE19" s="40" t="e">
        <f t="shared" si="8"/>
        <v>#REF!</v>
      </c>
      <c r="AF19" s="40" t="e">
        <f t="shared" si="8"/>
        <v>#REF!</v>
      </c>
      <c r="AG19" s="38" t="e">
        <f t="shared" si="2"/>
        <v>#REF!</v>
      </c>
    </row>
    <row r="20" spans="1:33" x14ac:dyDescent="0.25">
      <c r="A20" s="4"/>
      <c r="B20" s="5"/>
      <c r="C20" s="5"/>
      <c r="D20" s="5"/>
      <c r="E20" s="5"/>
      <c r="F20" s="75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8" t="s">
        <v>7</v>
      </c>
    </row>
    <row r="21" spans="1:33" x14ac:dyDescent="0.25">
      <c r="A21" s="4" t="s">
        <v>354</v>
      </c>
      <c r="B21" s="5"/>
      <c r="C21" s="5"/>
      <c r="D21" s="5"/>
      <c r="E21" s="5"/>
      <c r="F21" s="75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8" t="s">
        <v>7</v>
      </c>
    </row>
    <row r="22" spans="1:33" x14ac:dyDescent="0.25">
      <c r="A22" s="4"/>
      <c r="B22" s="5" t="s">
        <v>355</v>
      </c>
      <c r="C22" s="5"/>
      <c r="D22" s="5"/>
      <c r="E22" s="5"/>
      <c r="F22" s="75">
        <v>0</v>
      </c>
      <c r="G22" s="36">
        <v>0</v>
      </c>
      <c r="H22" s="36">
        <v>0</v>
      </c>
      <c r="I22" s="36">
        <v>0</v>
      </c>
      <c r="J22" s="36">
        <v>0</v>
      </c>
      <c r="K22" s="36">
        <v>0</v>
      </c>
      <c r="L22" s="36">
        <v>0</v>
      </c>
      <c r="M22" s="36">
        <v>0</v>
      </c>
      <c r="N22" s="36">
        <v>0</v>
      </c>
      <c r="O22" s="36">
        <v>0</v>
      </c>
      <c r="P22" s="36">
        <v>0</v>
      </c>
      <c r="Q22" s="36">
        <v>0</v>
      </c>
      <c r="R22" s="36">
        <v>0</v>
      </c>
      <c r="S22" s="36">
        <v>0</v>
      </c>
      <c r="T22" s="36">
        <v>0</v>
      </c>
      <c r="U22" s="36">
        <v>0</v>
      </c>
      <c r="V22" s="36">
        <v>0</v>
      </c>
      <c r="W22" s="36">
        <v>0</v>
      </c>
      <c r="X22" s="36">
        <v>0</v>
      </c>
      <c r="Y22" s="36">
        <v>0</v>
      </c>
      <c r="Z22" s="36">
        <v>0</v>
      </c>
      <c r="AA22" s="36">
        <v>0</v>
      </c>
      <c r="AB22" s="36">
        <v>0</v>
      </c>
      <c r="AC22" s="36">
        <v>0</v>
      </c>
      <c r="AD22" s="36">
        <v>0</v>
      </c>
      <c r="AE22" s="36">
        <v>0</v>
      </c>
      <c r="AF22" s="36">
        <v>0</v>
      </c>
      <c r="AG22" s="38">
        <f t="shared" si="2"/>
        <v>0</v>
      </c>
    </row>
    <row r="23" spans="1:33" x14ac:dyDescent="0.25">
      <c r="A23" s="4"/>
      <c r="B23" s="5" t="s">
        <v>356</v>
      </c>
      <c r="C23" s="5"/>
      <c r="D23" s="5"/>
      <c r="E23" s="5"/>
      <c r="F23" s="75">
        <v>0</v>
      </c>
      <c r="G23" s="36">
        <v>0</v>
      </c>
      <c r="H23" s="36">
        <v>0</v>
      </c>
      <c r="I23" s="36">
        <v>0</v>
      </c>
      <c r="J23" s="36">
        <v>0</v>
      </c>
      <c r="K23" s="36">
        <v>0</v>
      </c>
      <c r="L23" s="36">
        <v>0</v>
      </c>
      <c r="M23" s="36">
        <v>0</v>
      </c>
      <c r="N23" s="36">
        <v>0</v>
      </c>
      <c r="O23" s="36">
        <v>0</v>
      </c>
      <c r="P23" s="36">
        <v>0</v>
      </c>
      <c r="Q23" s="36">
        <v>0</v>
      </c>
      <c r="R23" s="36">
        <v>0</v>
      </c>
      <c r="S23" s="36">
        <v>0</v>
      </c>
      <c r="T23" s="36">
        <v>0</v>
      </c>
      <c r="U23" s="36">
        <v>0</v>
      </c>
      <c r="V23" s="36">
        <v>0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36">
        <v>0</v>
      </c>
      <c r="AD23" s="36">
        <v>0</v>
      </c>
      <c r="AE23" s="36">
        <v>0</v>
      </c>
      <c r="AF23" s="36">
        <v>0</v>
      </c>
      <c r="AG23" s="38">
        <f t="shared" si="2"/>
        <v>0</v>
      </c>
    </row>
    <row r="24" spans="1:33" x14ac:dyDescent="0.25">
      <c r="A24" s="4"/>
      <c r="B24" s="5" t="s">
        <v>357</v>
      </c>
      <c r="C24" s="5"/>
      <c r="D24" s="5"/>
      <c r="E24" s="5"/>
      <c r="F24" s="75">
        <v>0</v>
      </c>
      <c r="G24" s="36">
        <v>0</v>
      </c>
      <c r="H24" s="36">
        <v>0</v>
      </c>
      <c r="I24" s="36">
        <v>0</v>
      </c>
      <c r="J24" s="36">
        <v>0</v>
      </c>
      <c r="K24" s="36">
        <v>0</v>
      </c>
      <c r="L24" s="36">
        <v>0</v>
      </c>
      <c r="M24" s="36">
        <v>0</v>
      </c>
      <c r="N24" s="36">
        <v>0</v>
      </c>
      <c r="O24" s="36">
        <v>0</v>
      </c>
      <c r="P24" s="36">
        <v>0</v>
      </c>
      <c r="Q24" s="36">
        <v>0</v>
      </c>
      <c r="R24" s="36">
        <v>0</v>
      </c>
      <c r="S24" s="36">
        <v>0</v>
      </c>
      <c r="T24" s="36">
        <v>0</v>
      </c>
      <c r="U24" s="36">
        <v>0</v>
      </c>
      <c r="V24" s="36">
        <v>0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36">
        <v>0</v>
      </c>
      <c r="AD24" s="36">
        <v>0</v>
      </c>
      <c r="AE24" s="36">
        <v>0</v>
      </c>
      <c r="AF24" s="36">
        <v>0</v>
      </c>
      <c r="AG24" s="38">
        <f t="shared" si="2"/>
        <v>0</v>
      </c>
    </row>
    <row r="25" spans="1:33" x14ac:dyDescent="0.25">
      <c r="A25" s="4"/>
      <c r="B25" s="449" t="s">
        <v>417</v>
      </c>
      <c r="C25" s="449"/>
      <c r="D25" s="5"/>
      <c r="E25" s="5"/>
      <c r="F25" s="75">
        <v>0</v>
      </c>
      <c r="G25" s="36" t="e">
        <f>F25+(G54+G70)</f>
        <v>#REF!</v>
      </c>
      <c r="H25" s="36" t="e">
        <f t="shared" ref="H25:AF25" si="9">G25+(H54+H70)</f>
        <v>#REF!</v>
      </c>
      <c r="I25" s="36" t="e">
        <f t="shared" si="9"/>
        <v>#REF!</v>
      </c>
      <c r="J25" s="36" t="e">
        <f t="shared" si="9"/>
        <v>#REF!</v>
      </c>
      <c r="K25" s="36" t="e">
        <f t="shared" si="9"/>
        <v>#REF!</v>
      </c>
      <c r="L25" s="36" t="e">
        <f t="shared" si="9"/>
        <v>#REF!</v>
      </c>
      <c r="M25" s="36" t="e">
        <f t="shared" si="9"/>
        <v>#REF!</v>
      </c>
      <c r="N25" s="36" t="e">
        <f t="shared" si="9"/>
        <v>#REF!</v>
      </c>
      <c r="O25" s="36" t="e">
        <f t="shared" si="9"/>
        <v>#REF!</v>
      </c>
      <c r="P25" s="36" t="e">
        <f t="shared" si="9"/>
        <v>#REF!</v>
      </c>
      <c r="Q25" s="36" t="e">
        <f t="shared" si="9"/>
        <v>#REF!</v>
      </c>
      <c r="R25" s="36" t="e">
        <f t="shared" si="9"/>
        <v>#REF!</v>
      </c>
      <c r="S25" s="36" t="e">
        <f t="shared" si="9"/>
        <v>#REF!</v>
      </c>
      <c r="T25" s="36" t="e">
        <f t="shared" si="9"/>
        <v>#REF!</v>
      </c>
      <c r="U25" s="36" t="e">
        <f t="shared" si="9"/>
        <v>#REF!</v>
      </c>
      <c r="V25" s="36" t="e">
        <f t="shared" si="9"/>
        <v>#REF!</v>
      </c>
      <c r="W25" s="36" t="e">
        <f t="shared" si="9"/>
        <v>#REF!</v>
      </c>
      <c r="X25" s="36" t="e">
        <f t="shared" si="9"/>
        <v>#REF!</v>
      </c>
      <c r="Y25" s="36" t="e">
        <f t="shared" si="9"/>
        <v>#REF!</v>
      </c>
      <c r="Z25" s="36" t="e">
        <f t="shared" si="9"/>
        <v>#REF!</v>
      </c>
      <c r="AA25" s="36" t="e">
        <f t="shared" si="9"/>
        <v>#REF!</v>
      </c>
      <c r="AB25" s="36" t="e">
        <f t="shared" si="9"/>
        <v>#REF!</v>
      </c>
      <c r="AC25" s="36" t="e">
        <f t="shared" si="9"/>
        <v>#REF!</v>
      </c>
      <c r="AD25" s="36" t="e">
        <f t="shared" si="9"/>
        <v>#REF!</v>
      </c>
      <c r="AE25" s="36" t="e">
        <f t="shared" si="9"/>
        <v>#REF!</v>
      </c>
      <c r="AF25" s="36" t="e">
        <f t="shared" si="9"/>
        <v>#REF!</v>
      </c>
      <c r="AG25" s="38" t="e">
        <f t="shared" si="2"/>
        <v>#REF!</v>
      </c>
    </row>
    <row r="26" spans="1:33" x14ac:dyDescent="0.25">
      <c r="A26" s="4"/>
      <c r="B26" s="5" t="s">
        <v>358</v>
      </c>
      <c r="C26" s="5"/>
      <c r="D26" s="5"/>
      <c r="E26" s="5"/>
      <c r="F26" s="75">
        <v>0</v>
      </c>
      <c r="G26" s="36" t="e">
        <f>G74+G75+$F$26</f>
        <v>#REF!</v>
      </c>
      <c r="H26" s="36" t="e">
        <f>H74+H75+$F$26+G26</f>
        <v>#REF!</v>
      </c>
      <c r="I26" s="36" t="e">
        <f t="shared" ref="I26:X26" si="10">I74+I75+$F$26+H26</f>
        <v>#REF!</v>
      </c>
      <c r="J26" s="36" t="e">
        <f t="shared" si="10"/>
        <v>#REF!</v>
      </c>
      <c r="K26" s="36" t="e">
        <f t="shared" si="10"/>
        <v>#REF!</v>
      </c>
      <c r="L26" s="36" t="e">
        <f t="shared" si="10"/>
        <v>#REF!</v>
      </c>
      <c r="M26" s="36" t="e">
        <f t="shared" si="10"/>
        <v>#REF!</v>
      </c>
      <c r="N26" s="36" t="e">
        <f t="shared" si="10"/>
        <v>#REF!</v>
      </c>
      <c r="O26" s="36" t="e">
        <f t="shared" si="10"/>
        <v>#REF!</v>
      </c>
      <c r="P26" s="36" t="e">
        <f t="shared" si="10"/>
        <v>#REF!</v>
      </c>
      <c r="Q26" s="36" t="e">
        <f t="shared" si="10"/>
        <v>#REF!</v>
      </c>
      <c r="R26" s="36" t="e">
        <f t="shared" si="10"/>
        <v>#REF!</v>
      </c>
      <c r="S26" s="36" t="e">
        <f t="shared" si="10"/>
        <v>#REF!</v>
      </c>
      <c r="T26" s="36" t="e">
        <f t="shared" si="10"/>
        <v>#REF!</v>
      </c>
      <c r="U26" s="36" t="e">
        <f t="shared" si="10"/>
        <v>#REF!</v>
      </c>
      <c r="V26" s="36" t="e">
        <f t="shared" si="10"/>
        <v>#REF!</v>
      </c>
      <c r="W26" s="36" t="e">
        <f t="shared" si="10"/>
        <v>#REF!</v>
      </c>
      <c r="X26" s="36" t="e">
        <f t="shared" si="10"/>
        <v>#REF!</v>
      </c>
      <c r="Y26" s="36" t="e">
        <f t="shared" ref="Y26:AF26" si="11">Y74+Y75+$F$26+X26</f>
        <v>#REF!</v>
      </c>
      <c r="Z26" s="36" t="e">
        <f t="shared" si="11"/>
        <v>#REF!</v>
      </c>
      <c r="AA26" s="36" t="e">
        <f t="shared" si="11"/>
        <v>#REF!</v>
      </c>
      <c r="AB26" s="36" t="e">
        <f t="shared" si="11"/>
        <v>#REF!</v>
      </c>
      <c r="AC26" s="36" t="e">
        <f t="shared" si="11"/>
        <v>#REF!</v>
      </c>
      <c r="AD26" s="36" t="e">
        <f t="shared" si="11"/>
        <v>#REF!</v>
      </c>
      <c r="AE26" s="36" t="e">
        <f t="shared" si="11"/>
        <v>#REF!</v>
      </c>
      <c r="AF26" s="36" t="e">
        <f t="shared" si="11"/>
        <v>#REF!</v>
      </c>
      <c r="AG26" s="38" t="e">
        <f t="shared" si="2"/>
        <v>#REF!</v>
      </c>
    </row>
    <row r="27" spans="1:33" x14ac:dyDescent="0.25">
      <c r="A27" s="4"/>
      <c r="B27" s="5" t="s">
        <v>359</v>
      </c>
      <c r="C27" s="5"/>
      <c r="D27" s="5"/>
      <c r="E27" s="5"/>
      <c r="F27" s="76">
        <v>0</v>
      </c>
      <c r="G27" s="39">
        <v>0</v>
      </c>
      <c r="H27" s="39">
        <v>0</v>
      </c>
      <c r="I27" s="39">
        <v>0</v>
      </c>
      <c r="J27" s="39">
        <v>0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39">
        <v>0</v>
      </c>
      <c r="Q27" s="39">
        <v>0</v>
      </c>
      <c r="R27" s="39">
        <v>0</v>
      </c>
      <c r="S27" s="39">
        <v>0</v>
      </c>
      <c r="T27" s="39">
        <v>0</v>
      </c>
      <c r="U27" s="39">
        <v>0</v>
      </c>
      <c r="V27" s="39">
        <v>0</v>
      </c>
      <c r="W27" s="39">
        <v>0</v>
      </c>
      <c r="X27" s="39"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8">
        <f t="shared" ref="AG27:AG38" si="12">SUM(F27:AA27)</f>
        <v>0</v>
      </c>
    </row>
    <row r="28" spans="1:33" x14ac:dyDescent="0.25">
      <c r="A28" s="4"/>
      <c r="B28" s="5"/>
      <c r="C28" s="5" t="s">
        <v>360</v>
      </c>
      <c r="D28" s="5"/>
      <c r="E28" s="5"/>
      <c r="F28" s="75">
        <v>0</v>
      </c>
      <c r="G28" s="36" t="e">
        <f>SUM(G22:G27)</f>
        <v>#REF!</v>
      </c>
      <c r="H28" s="36" t="e">
        <f t="shared" ref="H28:W28" si="13">SUM(H22:H27)</f>
        <v>#REF!</v>
      </c>
      <c r="I28" s="36" t="e">
        <f t="shared" si="13"/>
        <v>#REF!</v>
      </c>
      <c r="J28" s="36" t="e">
        <f t="shared" si="13"/>
        <v>#REF!</v>
      </c>
      <c r="K28" s="36" t="e">
        <f t="shared" si="13"/>
        <v>#REF!</v>
      </c>
      <c r="L28" s="36" t="e">
        <f t="shared" si="13"/>
        <v>#REF!</v>
      </c>
      <c r="M28" s="36" t="e">
        <f t="shared" si="13"/>
        <v>#REF!</v>
      </c>
      <c r="N28" s="36" t="e">
        <f t="shared" si="13"/>
        <v>#REF!</v>
      </c>
      <c r="O28" s="36" t="e">
        <f t="shared" si="13"/>
        <v>#REF!</v>
      </c>
      <c r="P28" s="36" t="e">
        <f t="shared" si="13"/>
        <v>#REF!</v>
      </c>
      <c r="Q28" s="36" t="e">
        <f t="shared" si="13"/>
        <v>#REF!</v>
      </c>
      <c r="R28" s="36" t="e">
        <f t="shared" si="13"/>
        <v>#REF!</v>
      </c>
      <c r="S28" s="36" t="e">
        <f t="shared" si="13"/>
        <v>#REF!</v>
      </c>
      <c r="T28" s="36" t="e">
        <f t="shared" si="13"/>
        <v>#REF!</v>
      </c>
      <c r="U28" s="36" t="e">
        <f t="shared" si="13"/>
        <v>#REF!</v>
      </c>
      <c r="V28" s="36" t="e">
        <f t="shared" si="13"/>
        <v>#REF!</v>
      </c>
      <c r="W28" s="36" t="e">
        <f t="shared" si="13"/>
        <v>#REF!</v>
      </c>
      <c r="X28" s="36" t="e">
        <f t="shared" ref="X28:AF28" si="14">SUM(X22:X27)</f>
        <v>#REF!</v>
      </c>
      <c r="Y28" s="36" t="e">
        <f t="shared" si="14"/>
        <v>#REF!</v>
      </c>
      <c r="Z28" s="36" t="e">
        <f t="shared" si="14"/>
        <v>#REF!</v>
      </c>
      <c r="AA28" s="36" t="e">
        <f t="shared" si="14"/>
        <v>#REF!</v>
      </c>
      <c r="AB28" s="36" t="e">
        <f t="shared" si="14"/>
        <v>#REF!</v>
      </c>
      <c r="AC28" s="36" t="e">
        <f t="shared" si="14"/>
        <v>#REF!</v>
      </c>
      <c r="AD28" s="36" t="e">
        <f t="shared" si="14"/>
        <v>#REF!</v>
      </c>
      <c r="AE28" s="36" t="e">
        <f t="shared" si="14"/>
        <v>#REF!</v>
      </c>
      <c r="AF28" s="36" t="e">
        <f t="shared" si="14"/>
        <v>#REF!</v>
      </c>
      <c r="AG28" s="38" t="e">
        <f t="shared" si="12"/>
        <v>#REF!</v>
      </c>
    </row>
    <row r="29" spans="1:33" x14ac:dyDescent="0.25">
      <c r="A29" s="4"/>
      <c r="B29" s="5"/>
      <c r="C29" s="5"/>
      <c r="D29" s="5"/>
      <c r="E29" s="5"/>
      <c r="F29" s="75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8" t="s">
        <v>7</v>
      </c>
    </row>
    <row r="30" spans="1:33" x14ac:dyDescent="0.25">
      <c r="A30" s="4" t="s">
        <v>361</v>
      </c>
      <c r="B30" s="5"/>
      <c r="C30" s="5"/>
      <c r="D30" s="5"/>
      <c r="E30" s="5"/>
      <c r="F30" s="75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8" t="s">
        <v>7</v>
      </c>
    </row>
    <row r="31" spans="1:33" x14ac:dyDescent="0.25">
      <c r="A31" s="4"/>
      <c r="B31" s="5" t="s">
        <v>362</v>
      </c>
      <c r="C31" s="5"/>
      <c r="D31" s="5"/>
      <c r="E31" s="5"/>
      <c r="F31" s="75">
        <v>0</v>
      </c>
      <c r="G31" s="36" t="e">
        <f>F31+G81</f>
        <v>#REF!</v>
      </c>
      <c r="H31" s="36" t="e">
        <f t="shared" ref="H31:W31" si="15">G31+H81</f>
        <v>#REF!</v>
      </c>
      <c r="I31" s="36" t="e">
        <f t="shared" si="15"/>
        <v>#REF!</v>
      </c>
      <c r="J31" s="36" t="e">
        <f t="shared" si="15"/>
        <v>#REF!</v>
      </c>
      <c r="K31" s="36" t="e">
        <f t="shared" si="15"/>
        <v>#REF!</v>
      </c>
      <c r="L31" s="36" t="e">
        <f t="shared" si="15"/>
        <v>#REF!</v>
      </c>
      <c r="M31" s="36" t="e">
        <f t="shared" si="15"/>
        <v>#REF!</v>
      </c>
      <c r="N31" s="36" t="e">
        <f t="shared" si="15"/>
        <v>#REF!</v>
      </c>
      <c r="O31" s="36" t="e">
        <f t="shared" si="15"/>
        <v>#REF!</v>
      </c>
      <c r="P31" s="36" t="e">
        <f t="shared" si="15"/>
        <v>#REF!</v>
      </c>
      <c r="Q31" s="36" t="e">
        <f t="shared" si="15"/>
        <v>#REF!</v>
      </c>
      <c r="R31" s="36" t="e">
        <f t="shared" si="15"/>
        <v>#REF!</v>
      </c>
      <c r="S31" s="36" t="e">
        <f t="shared" si="15"/>
        <v>#REF!</v>
      </c>
      <c r="T31" s="36" t="e">
        <f t="shared" si="15"/>
        <v>#REF!</v>
      </c>
      <c r="U31" s="36" t="e">
        <f t="shared" si="15"/>
        <v>#REF!</v>
      </c>
      <c r="V31" s="36" t="e">
        <f t="shared" si="15"/>
        <v>#REF!</v>
      </c>
      <c r="W31" s="36" t="e">
        <f t="shared" si="15"/>
        <v>#REF!</v>
      </c>
      <c r="X31" s="36" t="e">
        <f t="shared" ref="X31:AF31" si="16">W31+X81</f>
        <v>#REF!</v>
      </c>
      <c r="Y31" s="36" t="e">
        <f t="shared" si="16"/>
        <v>#REF!</v>
      </c>
      <c r="Z31" s="36" t="e">
        <f t="shared" si="16"/>
        <v>#REF!</v>
      </c>
      <c r="AA31" s="36" t="e">
        <f t="shared" si="16"/>
        <v>#REF!</v>
      </c>
      <c r="AB31" s="36" t="e">
        <f t="shared" si="16"/>
        <v>#REF!</v>
      </c>
      <c r="AC31" s="36" t="e">
        <f t="shared" si="16"/>
        <v>#REF!</v>
      </c>
      <c r="AD31" s="36" t="e">
        <f t="shared" si="16"/>
        <v>#REF!</v>
      </c>
      <c r="AE31" s="36" t="e">
        <f t="shared" si="16"/>
        <v>#REF!</v>
      </c>
      <c r="AF31" s="36" t="e">
        <f t="shared" si="16"/>
        <v>#REF!</v>
      </c>
      <c r="AG31" s="38" t="e">
        <f t="shared" si="12"/>
        <v>#REF!</v>
      </c>
    </row>
    <row r="32" spans="1:33" x14ac:dyDescent="0.25">
      <c r="A32" s="4"/>
      <c r="B32" s="5" t="s">
        <v>363</v>
      </c>
      <c r="C32" s="5"/>
      <c r="D32" s="5"/>
      <c r="E32" s="5"/>
      <c r="F32" s="75">
        <v>0</v>
      </c>
      <c r="G32" s="36" t="e">
        <f>F32+G83</f>
        <v>#REF!</v>
      </c>
      <c r="H32" s="36" t="e">
        <f t="shared" ref="H32:W32" si="17">G32+H83</f>
        <v>#REF!</v>
      </c>
      <c r="I32" s="36" t="e">
        <f t="shared" si="17"/>
        <v>#REF!</v>
      </c>
      <c r="J32" s="36" t="e">
        <f t="shared" si="17"/>
        <v>#REF!</v>
      </c>
      <c r="K32" s="36" t="e">
        <f t="shared" si="17"/>
        <v>#REF!</v>
      </c>
      <c r="L32" s="36" t="e">
        <f t="shared" si="17"/>
        <v>#REF!</v>
      </c>
      <c r="M32" s="36" t="e">
        <f t="shared" si="17"/>
        <v>#REF!</v>
      </c>
      <c r="N32" s="36" t="e">
        <f t="shared" si="17"/>
        <v>#REF!</v>
      </c>
      <c r="O32" s="36" t="e">
        <f t="shared" si="17"/>
        <v>#REF!</v>
      </c>
      <c r="P32" s="36" t="e">
        <f t="shared" si="17"/>
        <v>#REF!</v>
      </c>
      <c r="Q32" s="36" t="e">
        <f t="shared" si="17"/>
        <v>#REF!</v>
      </c>
      <c r="R32" s="36" t="e">
        <f t="shared" si="17"/>
        <v>#REF!</v>
      </c>
      <c r="S32" s="36" t="e">
        <f t="shared" si="17"/>
        <v>#REF!</v>
      </c>
      <c r="T32" s="36" t="e">
        <f t="shared" si="17"/>
        <v>#REF!</v>
      </c>
      <c r="U32" s="36" t="e">
        <f t="shared" si="17"/>
        <v>#REF!</v>
      </c>
      <c r="V32" s="36" t="e">
        <f t="shared" si="17"/>
        <v>#REF!</v>
      </c>
      <c r="W32" s="36" t="e">
        <f t="shared" si="17"/>
        <v>#REF!</v>
      </c>
      <c r="X32" s="36" t="e">
        <f t="shared" ref="X32:AF32" si="18">W32+X83</f>
        <v>#REF!</v>
      </c>
      <c r="Y32" s="36" t="e">
        <f t="shared" si="18"/>
        <v>#REF!</v>
      </c>
      <c r="Z32" s="36" t="e">
        <f t="shared" si="18"/>
        <v>#REF!</v>
      </c>
      <c r="AA32" s="36" t="e">
        <f t="shared" si="18"/>
        <v>#REF!</v>
      </c>
      <c r="AB32" s="36" t="e">
        <f t="shared" si="18"/>
        <v>#REF!</v>
      </c>
      <c r="AC32" s="36" t="e">
        <f t="shared" si="18"/>
        <v>#REF!</v>
      </c>
      <c r="AD32" s="36" t="e">
        <f t="shared" si="18"/>
        <v>#REF!</v>
      </c>
      <c r="AE32" s="36" t="e">
        <f t="shared" si="18"/>
        <v>#REF!</v>
      </c>
      <c r="AF32" s="36" t="e">
        <f t="shared" si="18"/>
        <v>#REF!</v>
      </c>
      <c r="AG32" s="38" t="e">
        <f t="shared" si="12"/>
        <v>#REF!</v>
      </c>
    </row>
    <row r="33" spans="1:33" x14ac:dyDescent="0.25">
      <c r="A33" s="4"/>
      <c r="B33" s="5" t="s">
        <v>364</v>
      </c>
      <c r="C33" s="5"/>
      <c r="D33" s="5"/>
      <c r="E33" s="5"/>
      <c r="F33" s="76">
        <v>0</v>
      </c>
      <c r="G33" s="39" t="e">
        <f>F33+G57</f>
        <v>#REF!</v>
      </c>
      <c r="H33" s="39" t="e">
        <f t="shared" ref="H33:W33" si="19">G33+H57</f>
        <v>#REF!</v>
      </c>
      <c r="I33" s="39" t="e">
        <f t="shared" si="19"/>
        <v>#REF!</v>
      </c>
      <c r="J33" s="39" t="e">
        <f t="shared" si="19"/>
        <v>#REF!</v>
      </c>
      <c r="K33" s="39" t="e">
        <f t="shared" si="19"/>
        <v>#REF!</v>
      </c>
      <c r="L33" s="39" t="e">
        <f t="shared" si="19"/>
        <v>#REF!</v>
      </c>
      <c r="M33" s="39" t="e">
        <f t="shared" si="19"/>
        <v>#REF!</v>
      </c>
      <c r="N33" s="39" t="e">
        <f t="shared" si="19"/>
        <v>#REF!</v>
      </c>
      <c r="O33" s="39" t="e">
        <f t="shared" si="19"/>
        <v>#REF!</v>
      </c>
      <c r="P33" s="39" t="e">
        <f t="shared" si="19"/>
        <v>#REF!</v>
      </c>
      <c r="Q33" s="39" t="e">
        <f t="shared" si="19"/>
        <v>#REF!</v>
      </c>
      <c r="R33" s="39" t="e">
        <f t="shared" si="19"/>
        <v>#REF!</v>
      </c>
      <c r="S33" s="39" t="e">
        <f t="shared" si="19"/>
        <v>#REF!</v>
      </c>
      <c r="T33" s="39" t="e">
        <f t="shared" si="19"/>
        <v>#REF!</v>
      </c>
      <c r="U33" s="39" t="e">
        <f t="shared" si="19"/>
        <v>#REF!</v>
      </c>
      <c r="V33" s="39" t="e">
        <f t="shared" si="19"/>
        <v>#REF!</v>
      </c>
      <c r="W33" s="39" t="e">
        <f t="shared" si="19"/>
        <v>#REF!</v>
      </c>
      <c r="X33" s="39" t="e">
        <f t="shared" ref="X33:AF33" si="20">W33+X57</f>
        <v>#REF!</v>
      </c>
      <c r="Y33" s="39" t="e">
        <f t="shared" si="20"/>
        <v>#REF!</v>
      </c>
      <c r="Z33" s="39" t="e">
        <f t="shared" si="20"/>
        <v>#REF!</v>
      </c>
      <c r="AA33" s="39" t="e">
        <f t="shared" si="20"/>
        <v>#REF!</v>
      </c>
      <c r="AB33" s="39" t="e">
        <f t="shared" si="20"/>
        <v>#REF!</v>
      </c>
      <c r="AC33" s="39" t="e">
        <f t="shared" si="20"/>
        <v>#REF!</v>
      </c>
      <c r="AD33" s="39" t="e">
        <f t="shared" si="20"/>
        <v>#REF!</v>
      </c>
      <c r="AE33" s="39" t="e">
        <f t="shared" si="20"/>
        <v>#REF!</v>
      </c>
      <c r="AF33" s="39" t="e">
        <f t="shared" si="20"/>
        <v>#REF!</v>
      </c>
      <c r="AG33" s="38" t="e">
        <f t="shared" si="12"/>
        <v>#REF!</v>
      </c>
    </row>
    <row r="34" spans="1:33" x14ac:dyDescent="0.25">
      <c r="A34" s="4"/>
      <c r="B34" s="5" t="s">
        <v>365</v>
      </c>
      <c r="C34" s="5"/>
      <c r="D34" s="5"/>
      <c r="E34" s="5"/>
      <c r="F34" s="75">
        <v>0</v>
      </c>
      <c r="G34" s="36" t="e">
        <f>SUM(G31:G33)</f>
        <v>#REF!</v>
      </c>
      <c r="H34" s="36" t="e">
        <f t="shared" ref="H34:W34" si="21">SUM(H31:H33)</f>
        <v>#REF!</v>
      </c>
      <c r="I34" s="36" t="e">
        <f t="shared" si="21"/>
        <v>#REF!</v>
      </c>
      <c r="J34" s="36" t="e">
        <f t="shared" si="21"/>
        <v>#REF!</v>
      </c>
      <c r="K34" s="36" t="e">
        <f t="shared" si="21"/>
        <v>#REF!</v>
      </c>
      <c r="L34" s="36" t="e">
        <f t="shared" si="21"/>
        <v>#REF!</v>
      </c>
      <c r="M34" s="36" t="e">
        <f t="shared" si="21"/>
        <v>#REF!</v>
      </c>
      <c r="N34" s="36" t="e">
        <f t="shared" si="21"/>
        <v>#REF!</v>
      </c>
      <c r="O34" s="36" t="e">
        <f t="shared" si="21"/>
        <v>#REF!</v>
      </c>
      <c r="P34" s="36" t="e">
        <f t="shared" si="21"/>
        <v>#REF!</v>
      </c>
      <c r="Q34" s="36" t="e">
        <f t="shared" si="21"/>
        <v>#REF!</v>
      </c>
      <c r="R34" s="36" t="e">
        <f t="shared" si="21"/>
        <v>#REF!</v>
      </c>
      <c r="S34" s="36" t="e">
        <f t="shared" si="21"/>
        <v>#REF!</v>
      </c>
      <c r="T34" s="36" t="e">
        <f t="shared" si="21"/>
        <v>#REF!</v>
      </c>
      <c r="U34" s="36" t="e">
        <f t="shared" si="21"/>
        <v>#REF!</v>
      </c>
      <c r="V34" s="36" t="e">
        <f t="shared" si="21"/>
        <v>#REF!</v>
      </c>
      <c r="W34" s="36" t="e">
        <f t="shared" si="21"/>
        <v>#REF!</v>
      </c>
      <c r="X34" s="36" t="e">
        <f t="shared" ref="X34:AF34" si="22">SUM(X31:X33)</f>
        <v>#REF!</v>
      </c>
      <c r="Y34" s="36" t="e">
        <f t="shared" si="22"/>
        <v>#REF!</v>
      </c>
      <c r="Z34" s="36" t="e">
        <f t="shared" si="22"/>
        <v>#REF!</v>
      </c>
      <c r="AA34" s="36" t="e">
        <f t="shared" si="22"/>
        <v>#REF!</v>
      </c>
      <c r="AB34" s="36" t="e">
        <f t="shared" si="22"/>
        <v>#REF!</v>
      </c>
      <c r="AC34" s="36" t="e">
        <f t="shared" si="22"/>
        <v>#REF!</v>
      </c>
      <c r="AD34" s="36" t="e">
        <f t="shared" si="22"/>
        <v>#REF!</v>
      </c>
      <c r="AE34" s="36" t="e">
        <f t="shared" si="22"/>
        <v>#REF!</v>
      </c>
      <c r="AF34" s="36" t="e">
        <f t="shared" si="22"/>
        <v>#REF!</v>
      </c>
      <c r="AG34" s="38" t="e">
        <f t="shared" si="12"/>
        <v>#REF!</v>
      </c>
    </row>
    <row r="35" spans="1:33" x14ac:dyDescent="0.25">
      <c r="A35" s="4"/>
      <c r="B35" s="5"/>
      <c r="C35" s="5"/>
      <c r="D35" s="5"/>
      <c r="E35" s="5"/>
      <c r="F35" s="75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8" t="s">
        <v>7</v>
      </c>
    </row>
    <row r="36" spans="1:33" x14ac:dyDescent="0.25">
      <c r="A36" s="4" t="s">
        <v>366</v>
      </c>
      <c r="B36" s="5"/>
      <c r="C36" s="5"/>
      <c r="D36" s="5"/>
      <c r="E36" s="5"/>
      <c r="F36" s="77">
        <v>0</v>
      </c>
      <c r="G36" s="40" t="e">
        <f>G34+G28</f>
        <v>#REF!</v>
      </c>
      <c r="H36" s="40" t="e">
        <f t="shared" ref="H36:W36" si="23">H34+H28</f>
        <v>#REF!</v>
      </c>
      <c r="I36" s="40" t="e">
        <f t="shared" si="23"/>
        <v>#REF!</v>
      </c>
      <c r="J36" s="40" t="e">
        <f t="shared" si="23"/>
        <v>#REF!</v>
      </c>
      <c r="K36" s="40" t="e">
        <f t="shared" si="23"/>
        <v>#REF!</v>
      </c>
      <c r="L36" s="40" t="e">
        <f t="shared" si="23"/>
        <v>#REF!</v>
      </c>
      <c r="M36" s="40" t="e">
        <f t="shared" si="23"/>
        <v>#REF!</v>
      </c>
      <c r="N36" s="40" t="e">
        <f t="shared" si="23"/>
        <v>#REF!</v>
      </c>
      <c r="O36" s="40" t="e">
        <f t="shared" si="23"/>
        <v>#REF!</v>
      </c>
      <c r="P36" s="40" t="e">
        <f t="shared" si="23"/>
        <v>#REF!</v>
      </c>
      <c r="Q36" s="40" t="e">
        <f t="shared" si="23"/>
        <v>#REF!</v>
      </c>
      <c r="R36" s="40" t="e">
        <f t="shared" si="23"/>
        <v>#REF!</v>
      </c>
      <c r="S36" s="40" t="e">
        <f t="shared" si="23"/>
        <v>#REF!</v>
      </c>
      <c r="T36" s="40" t="e">
        <f t="shared" si="23"/>
        <v>#REF!</v>
      </c>
      <c r="U36" s="40" t="e">
        <f t="shared" si="23"/>
        <v>#REF!</v>
      </c>
      <c r="V36" s="40" t="e">
        <f t="shared" si="23"/>
        <v>#REF!</v>
      </c>
      <c r="W36" s="40" t="e">
        <f t="shared" si="23"/>
        <v>#REF!</v>
      </c>
      <c r="X36" s="40" t="e">
        <f t="shared" ref="X36:AF36" si="24">X34+X28</f>
        <v>#REF!</v>
      </c>
      <c r="Y36" s="40" t="e">
        <f t="shared" si="24"/>
        <v>#REF!</v>
      </c>
      <c r="Z36" s="40" t="e">
        <f t="shared" si="24"/>
        <v>#REF!</v>
      </c>
      <c r="AA36" s="40" t="e">
        <f t="shared" si="24"/>
        <v>#REF!</v>
      </c>
      <c r="AB36" s="40" t="e">
        <f t="shared" si="24"/>
        <v>#REF!</v>
      </c>
      <c r="AC36" s="40" t="e">
        <f t="shared" si="24"/>
        <v>#REF!</v>
      </c>
      <c r="AD36" s="40" t="e">
        <f t="shared" si="24"/>
        <v>#REF!</v>
      </c>
      <c r="AE36" s="40" t="e">
        <f t="shared" si="24"/>
        <v>#REF!</v>
      </c>
      <c r="AF36" s="40" t="e">
        <f t="shared" si="24"/>
        <v>#REF!</v>
      </c>
      <c r="AG36" s="38" t="e">
        <f t="shared" si="12"/>
        <v>#REF!</v>
      </c>
    </row>
    <row r="37" spans="1:33" x14ac:dyDescent="0.25">
      <c r="A37" s="4"/>
      <c r="B37" s="5"/>
      <c r="C37" s="5"/>
      <c r="D37" s="5"/>
      <c r="E37" s="5"/>
      <c r="F37" s="75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8" t="s">
        <v>7</v>
      </c>
    </row>
    <row r="38" spans="1:33" x14ac:dyDescent="0.25">
      <c r="A38" s="13" t="s">
        <v>367</v>
      </c>
      <c r="B38" s="14"/>
      <c r="C38" s="14"/>
      <c r="D38" s="14"/>
      <c r="E38" s="14"/>
      <c r="F38" s="78">
        <v>0</v>
      </c>
      <c r="G38" s="41" t="e">
        <f>G19-G36</f>
        <v>#REF!</v>
      </c>
      <c r="H38" s="41" t="e">
        <f t="shared" ref="H38:W38" si="25">H19-H36</f>
        <v>#REF!</v>
      </c>
      <c r="I38" s="41" t="e">
        <f t="shared" si="25"/>
        <v>#REF!</v>
      </c>
      <c r="J38" s="41" t="e">
        <f t="shared" si="25"/>
        <v>#REF!</v>
      </c>
      <c r="K38" s="41" t="e">
        <f t="shared" si="25"/>
        <v>#REF!</v>
      </c>
      <c r="L38" s="41" t="e">
        <f t="shared" si="25"/>
        <v>#REF!</v>
      </c>
      <c r="M38" s="41" t="e">
        <f t="shared" si="25"/>
        <v>#REF!</v>
      </c>
      <c r="N38" s="41" t="e">
        <f t="shared" si="25"/>
        <v>#REF!</v>
      </c>
      <c r="O38" s="41" t="e">
        <f t="shared" si="25"/>
        <v>#REF!</v>
      </c>
      <c r="P38" s="41" t="e">
        <f t="shared" si="25"/>
        <v>#REF!</v>
      </c>
      <c r="Q38" s="41" t="e">
        <f t="shared" si="25"/>
        <v>#REF!</v>
      </c>
      <c r="R38" s="41" t="e">
        <f t="shared" si="25"/>
        <v>#REF!</v>
      </c>
      <c r="S38" s="41" t="e">
        <f t="shared" si="25"/>
        <v>#REF!</v>
      </c>
      <c r="T38" s="41" t="e">
        <f t="shared" si="25"/>
        <v>#REF!</v>
      </c>
      <c r="U38" s="41" t="e">
        <f t="shared" si="25"/>
        <v>#REF!</v>
      </c>
      <c r="V38" s="41" t="e">
        <f t="shared" si="25"/>
        <v>#VALUE!</v>
      </c>
      <c r="W38" s="41" t="e">
        <f t="shared" si="25"/>
        <v>#REF!</v>
      </c>
      <c r="X38" s="41" t="e">
        <f t="shared" ref="X38:AF38" si="26">X19-X36</f>
        <v>#REF!</v>
      </c>
      <c r="Y38" s="41" t="e">
        <f t="shared" si="26"/>
        <v>#REF!</v>
      </c>
      <c r="Z38" s="41" t="e">
        <f t="shared" si="26"/>
        <v>#REF!</v>
      </c>
      <c r="AA38" s="41" t="e">
        <f t="shared" si="26"/>
        <v>#REF!</v>
      </c>
      <c r="AB38" s="41" t="e">
        <f t="shared" si="26"/>
        <v>#REF!</v>
      </c>
      <c r="AC38" s="41" t="e">
        <f t="shared" si="26"/>
        <v>#REF!</v>
      </c>
      <c r="AD38" s="41" t="e">
        <f t="shared" si="26"/>
        <v>#REF!</v>
      </c>
      <c r="AE38" s="41" t="e">
        <f t="shared" si="26"/>
        <v>#REF!</v>
      </c>
      <c r="AF38" s="41" t="e">
        <f t="shared" si="26"/>
        <v>#REF!</v>
      </c>
      <c r="AG38" s="42" t="e">
        <f t="shared" si="12"/>
        <v>#REF!</v>
      </c>
    </row>
    <row r="41" spans="1:33" ht="15.6" x14ac:dyDescent="0.3">
      <c r="A41" s="318" t="s">
        <v>368</v>
      </c>
      <c r="B41" s="319"/>
      <c r="C41" s="320"/>
    </row>
    <row r="42" spans="1:33" x14ac:dyDescent="0.25">
      <c r="G42" s="34">
        <f t="shared" ref="G42:AF42" si="27">G5</f>
        <v>1</v>
      </c>
      <c r="H42" s="34">
        <f t="shared" si="27"/>
        <v>2</v>
      </c>
      <c r="I42" s="34">
        <f t="shared" si="27"/>
        <v>3</v>
      </c>
      <c r="J42" s="34">
        <f t="shared" si="27"/>
        <v>4</v>
      </c>
      <c r="K42" s="34">
        <f t="shared" si="27"/>
        <v>5</v>
      </c>
      <c r="L42" s="34">
        <f t="shared" si="27"/>
        <v>6</v>
      </c>
      <c r="M42" s="34">
        <f t="shared" si="27"/>
        <v>7</v>
      </c>
      <c r="N42" s="34">
        <f t="shared" si="27"/>
        <v>8</v>
      </c>
      <c r="O42" s="34">
        <f t="shared" si="27"/>
        <v>9</v>
      </c>
      <c r="P42" s="34">
        <f t="shared" si="27"/>
        <v>10</v>
      </c>
      <c r="Q42" s="34">
        <f t="shared" si="27"/>
        <v>11</v>
      </c>
      <c r="R42" s="34">
        <f t="shared" si="27"/>
        <v>12</v>
      </c>
      <c r="S42" s="34">
        <f t="shared" si="27"/>
        <v>13</v>
      </c>
      <c r="T42" s="34">
        <f t="shared" si="27"/>
        <v>14</v>
      </c>
      <c r="U42" s="34">
        <f t="shared" si="27"/>
        <v>15</v>
      </c>
      <c r="V42" s="34">
        <f t="shared" si="27"/>
        <v>16</v>
      </c>
      <c r="W42" s="34">
        <f t="shared" si="27"/>
        <v>17</v>
      </c>
      <c r="X42" s="34">
        <f t="shared" si="27"/>
        <v>18</v>
      </c>
      <c r="Y42" s="34">
        <f t="shared" si="27"/>
        <v>19</v>
      </c>
      <c r="Z42" s="34">
        <f t="shared" si="27"/>
        <v>20</v>
      </c>
      <c r="AA42" s="34">
        <f t="shared" si="27"/>
        <v>21</v>
      </c>
      <c r="AB42" s="34">
        <f t="shared" si="27"/>
        <v>22</v>
      </c>
      <c r="AC42" s="34">
        <f t="shared" si="27"/>
        <v>23</v>
      </c>
      <c r="AD42" s="34">
        <f t="shared" si="27"/>
        <v>24</v>
      </c>
      <c r="AE42" s="34">
        <f t="shared" si="27"/>
        <v>25</v>
      </c>
      <c r="AF42" s="34">
        <f t="shared" si="27"/>
        <v>26</v>
      </c>
      <c r="AG42" s="22"/>
    </row>
    <row r="43" spans="1:33" x14ac:dyDescent="0.25">
      <c r="G43" s="34">
        <f t="shared" ref="G43:AF43" si="28">G6</f>
        <v>2001</v>
      </c>
      <c r="H43" s="34">
        <f t="shared" si="28"/>
        <v>2002</v>
      </c>
      <c r="I43" s="34">
        <f t="shared" si="28"/>
        <v>2003</v>
      </c>
      <c r="J43" s="34">
        <f t="shared" si="28"/>
        <v>2004</v>
      </c>
      <c r="K43" s="34">
        <f t="shared" si="28"/>
        <v>2005</v>
      </c>
      <c r="L43" s="34">
        <f t="shared" si="28"/>
        <v>2006</v>
      </c>
      <c r="M43" s="34">
        <f t="shared" si="28"/>
        <v>2007</v>
      </c>
      <c r="N43" s="34">
        <f t="shared" si="28"/>
        <v>2008</v>
      </c>
      <c r="O43" s="34">
        <f t="shared" si="28"/>
        <v>2009</v>
      </c>
      <c r="P43" s="34">
        <f t="shared" si="28"/>
        <v>2010</v>
      </c>
      <c r="Q43" s="34">
        <f t="shared" si="28"/>
        <v>2011</v>
      </c>
      <c r="R43" s="34">
        <f t="shared" si="28"/>
        <v>2012</v>
      </c>
      <c r="S43" s="34">
        <f t="shared" si="28"/>
        <v>2013</v>
      </c>
      <c r="T43" s="34">
        <f t="shared" si="28"/>
        <v>2014</v>
      </c>
      <c r="U43" s="34">
        <f t="shared" si="28"/>
        <v>2015</v>
      </c>
      <c r="V43" s="34">
        <f t="shared" si="28"/>
        <v>2016</v>
      </c>
      <c r="W43" s="34">
        <f t="shared" si="28"/>
        <v>2017</v>
      </c>
      <c r="X43" s="34">
        <f t="shared" si="28"/>
        <v>2018</v>
      </c>
      <c r="Y43" s="34">
        <f t="shared" si="28"/>
        <v>2019</v>
      </c>
      <c r="Z43" s="34">
        <f t="shared" si="28"/>
        <v>2020</v>
      </c>
      <c r="AA43" s="34">
        <f t="shared" si="28"/>
        <v>2021</v>
      </c>
      <c r="AB43" s="34">
        <f t="shared" si="28"/>
        <v>2022</v>
      </c>
      <c r="AC43" s="34">
        <f t="shared" si="28"/>
        <v>2023</v>
      </c>
      <c r="AD43" s="34">
        <f t="shared" si="28"/>
        <v>2024</v>
      </c>
      <c r="AE43" s="34">
        <f t="shared" si="28"/>
        <v>2025</v>
      </c>
      <c r="AF43" s="34">
        <f t="shared" si="28"/>
        <v>2026</v>
      </c>
      <c r="AG43" s="43" t="s">
        <v>175</v>
      </c>
    </row>
    <row r="44" spans="1:33" x14ac:dyDescent="0.25">
      <c r="A44" s="15" t="s">
        <v>431</v>
      </c>
      <c r="B44" s="2"/>
      <c r="C44" s="2"/>
      <c r="D44" s="2"/>
      <c r="E44" s="2"/>
      <c r="F44" s="479" t="s">
        <v>434</v>
      </c>
      <c r="G44" s="479">
        <f>CF!D25</f>
        <v>80819.865000000005</v>
      </c>
      <c r="H44" s="47">
        <f>CF!E25</f>
        <v>137895.636</v>
      </c>
      <c r="I44" s="47">
        <f>CF!F25</f>
        <v>138075.39311999999</v>
      </c>
      <c r="J44" s="47">
        <f>CF!G25</f>
        <v>138588.29658240001</v>
      </c>
      <c r="K44" s="47">
        <f>CF!H25</f>
        <v>139517.57171404798</v>
      </c>
      <c r="L44" s="47">
        <f>CF!I25</f>
        <v>140322.29394832894</v>
      </c>
      <c r="M44" s="47">
        <f>CF!J25</f>
        <v>142209.15882729553</v>
      </c>
      <c r="N44" s="47">
        <f>CF!K25</f>
        <v>143555.38200384143</v>
      </c>
      <c r="O44" s="47">
        <f>CF!L25</f>
        <v>145193.16924391827</v>
      </c>
      <c r="P44" s="47">
        <f>CF!M25</f>
        <v>147039.30642879664</v>
      </c>
      <c r="Q44" s="47">
        <f>CF!N25</f>
        <v>148844.13955737257</v>
      </c>
      <c r="R44" s="47">
        <f>CF!O25</f>
        <v>150441.23474852002</v>
      </c>
      <c r="S44" s="47">
        <f>CF!P25</f>
        <v>152746.01824349043</v>
      </c>
      <c r="T44" s="47">
        <f>CF!Q25</f>
        <v>153844.43640836023</v>
      </c>
      <c r="U44" s="47">
        <f>CF!R25</f>
        <v>155608.94573652744</v>
      </c>
      <c r="V44" s="47" t="e">
        <f>CF!S25</f>
        <v>#VALUE!</v>
      </c>
      <c r="W44" s="47">
        <f>CF!T25</f>
        <v>896.15450828315159</v>
      </c>
      <c r="X44" s="47">
        <f>CF!U25</f>
        <v>914.07759844881457</v>
      </c>
      <c r="Y44" s="47">
        <f>CF!V25</f>
        <v>932.35915041779083</v>
      </c>
      <c r="Z44" s="47">
        <f>CF!W25</f>
        <v>951.00633342614674</v>
      </c>
      <c r="AA44" s="47">
        <f>CF!X25</f>
        <v>970.02646009466969</v>
      </c>
      <c r="AB44" s="47">
        <f>CF!Y25</f>
        <v>989.42698929656308</v>
      </c>
      <c r="AC44" s="47">
        <f>CF!Z25</f>
        <v>1009.2155290824941</v>
      </c>
      <c r="AD44" s="47">
        <f>CF!AA25</f>
        <v>1029.3998396641441</v>
      </c>
      <c r="AE44" s="47">
        <f>CF!AB25</f>
        <v>1049.987836457427</v>
      </c>
      <c r="AF44" s="47">
        <f>CF!AC25</f>
        <v>0</v>
      </c>
      <c r="AG44" s="79" t="e">
        <f>SUM(G44:AF44)</f>
        <v>#VALUE!</v>
      </c>
    </row>
    <row r="45" spans="1:33" x14ac:dyDescent="0.25">
      <c r="A45" s="4"/>
      <c r="B45" s="5"/>
      <c r="C45" s="5"/>
      <c r="D45" s="5"/>
      <c r="E45" s="5"/>
      <c r="F45" s="5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8" t="s">
        <v>7</v>
      </c>
    </row>
    <row r="46" spans="1:33" x14ac:dyDescent="0.25">
      <c r="A46" s="4" t="s">
        <v>369</v>
      </c>
      <c r="B46" s="5"/>
      <c r="C46" s="5"/>
      <c r="D46" s="5"/>
      <c r="E46" s="5"/>
      <c r="F46" s="5"/>
      <c r="G46" s="36">
        <f>CF!D60</f>
        <v>0</v>
      </c>
      <c r="H46" s="36">
        <f>CF!E60</f>
        <v>0</v>
      </c>
      <c r="I46" s="36">
        <f>CF!F60</f>
        <v>0</v>
      </c>
      <c r="J46" s="36">
        <f>CF!G60</f>
        <v>0</v>
      </c>
      <c r="K46" s="36">
        <f>CF!H60</f>
        <v>0</v>
      </c>
      <c r="L46" s="36">
        <f>CF!I60</f>
        <v>0</v>
      </c>
      <c r="M46" s="36">
        <f>CF!J60</f>
        <v>0</v>
      </c>
      <c r="N46" s="36">
        <f>CF!K60</f>
        <v>0</v>
      </c>
      <c r="O46" s="36">
        <f>CF!L60</f>
        <v>0</v>
      </c>
      <c r="P46" s="36">
        <f>CF!M60</f>
        <v>0</v>
      </c>
      <c r="Q46" s="36">
        <f>CF!N60</f>
        <v>0</v>
      </c>
      <c r="R46" s="36">
        <f>CF!O60</f>
        <v>0</v>
      </c>
      <c r="S46" s="36">
        <f>CF!P60</f>
        <v>0</v>
      </c>
      <c r="T46" s="36">
        <f>CF!Q60</f>
        <v>0</v>
      </c>
      <c r="U46" s="36">
        <f>CF!R60</f>
        <v>0</v>
      </c>
      <c r="V46" s="36">
        <f>CF!S60</f>
        <v>0</v>
      </c>
      <c r="W46" s="36">
        <f>CF!T60</f>
        <v>0</v>
      </c>
      <c r="X46" s="36">
        <f>CF!U60</f>
        <v>0</v>
      </c>
      <c r="Y46" s="36">
        <f>CF!V60</f>
        <v>0</v>
      </c>
      <c r="Z46" s="36">
        <f>CF!W60</f>
        <v>0</v>
      </c>
      <c r="AA46" s="36">
        <f>CF!X60</f>
        <v>0</v>
      </c>
      <c r="AB46" s="36">
        <f>CF!Y60</f>
        <v>0</v>
      </c>
      <c r="AC46" s="36">
        <f>CF!Z60</f>
        <v>0</v>
      </c>
      <c r="AD46" s="36">
        <f>CF!AA60</f>
        <v>0</v>
      </c>
      <c r="AE46" s="36">
        <f>CF!AB60</f>
        <v>0</v>
      </c>
      <c r="AF46" s="36">
        <f>CF!AC60</f>
        <v>0</v>
      </c>
      <c r="AG46" s="38">
        <f>SUM(G46:AF46)</f>
        <v>0</v>
      </c>
    </row>
    <row r="47" spans="1:33" x14ac:dyDescent="0.25">
      <c r="A47" s="4" t="s">
        <v>370</v>
      </c>
      <c r="B47" s="5"/>
      <c r="C47" s="5"/>
      <c r="D47" s="5"/>
      <c r="E47" s="5"/>
      <c r="F47" s="5"/>
      <c r="G47" s="36">
        <f>CF!D44</f>
        <v>0</v>
      </c>
      <c r="H47" s="36">
        <f>CF!E44</f>
        <v>0</v>
      </c>
      <c r="I47" s="36">
        <f>CF!F44</f>
        <v>0</v>
      </c>
      <c r="J47" s="36">
        <f>CF!G44</f>
        <v>0</v>
      </c>
      <c r="K47" s="36">
        <f>CF!H44</f>
        <v>0</v>
      </c>
      <c r="L47" s="36">
        <f>CF!I44</f>
        <v>0</v>
      </c>
      <c r="M47" s="36">
        <f>CF!J44</f>
        <v>0</v>
      </c>
      <c r="N47" s="36">
        <f>CF!K44</f>
        <v>0</v>
      </c>
      <c r="O47" s="36">
        <f>CF!L44</f>
        <v>0</v>
      </c>
      <c r="P47" s="36">
        <f>CF!M44</f>
        <v>0</v>
      </c>
      <c r="Q47" s="36">
        <f>CF!N44</f>
        <v>0</v>
      </c>
      <c r="R47" s="36">
        <f>CF!O44</f>
        <v>0</v>
      </c>
      <c r="S47" s="36">
        <f>CF!P44</f>
        <v>0</v>
      </c>
      <c r="T47" s="36">
        <f>CF!Q44</f>
        <v>0</v>
      </c>
      <c r="U47" s="36">
        <f>CF!R44</f>
        <v>0</v>
      </c>
      <c r="V47" s="36">
        <f>CF!S44</f>
        <v>0</v>
      </c>
      <c r="W47" s="36">
        <f>CF!T44</f>
        <v>0</v>
      </c>
      <c r="X47" s="36">
        <f>CF!U44</f>
        <v>0</v>
      </c>
      <c r="Y47" s="36">
        <f>CF!V44</f>
        <v>0</v>
      </c>
      <c r="Z47" s="36">
        <f>CF!W44</f>
        <v>0</v>
      </c>
      <c r="AA47" s="36">
        <f>CF!X44</f>
        <v>0</v>
      </c>
      <c r="AB47" s="36">
        <f>CF!Y44</f>
        <v>0</v>
      </c>
      <c r="AC47" s="36">
        <f>CF!Z44</f>
        <v>0</v>
      </c>
      <c r="AD47" s="36">
        <f>CF!AA44</f>
        <v>0</v>
      </c>
      <c r="AE47" s="36">
        <f>CF!AB44</f>
        <v>0</v>
      </c>
      <c r="AF47" s="36">
        <f>CF!AC44</f>
        <v>0</v>
      </c>
      <c r="AG47" s="38">
        <f>SUM(G47:AF47)</f>
        <v>0</v>
      </c>
    </row>
    <row r="48" spans="1:33" x14ac:dyDescent="0.25">
      <c r="A48" s="4" t="s">
        <v>86</v>
      </c>
      <c r="B48" s="5"/>
      <c r="C48" s="5"/>
      <c r="D48" s="5"/>
      <c r="E48" s="5"/>
      <c r="F48" s="5"/>
      <c r="G48" s="36">
        <f>CF!D68</f>
        <v>80819.865000000005</v>
      </c>
      <c r="H48" s="36">
        <f>CF!E68</f>
        <v>137895.636</v>
      </c>
      <c r="I48" s="36">
        <f>CF!F68</f>
        <v>138075.39311999999</v>
      </c>
      <c r="J48" s="36">
        <f>CF!G68</f>
        <v>138588.29658240001</v>
      </c>
      <c r="K48" s="36">
        <f>CF!H68</f>
        <v>139517.57171404798</v>
      </c>
      <c r="L48" s="36">
        <f>CF!I68</f>
        <v>140322.29394832894</v>
      </c>
      <c r="M48" s="36">
        <f>CF!J68</f>
        <v>142209.15882729553</v>
      </c>
      <c r="N48" s="36">
        <f>CF!K68</f>
        <v>143555.38200384143</v>
      </c>
      <c r="O48" s="36">
        <f>CF!L68</f>
        <v>145193.16924391827</v>
      </c>
      <c r="P48" s="36">
        <f>CF!M68</f>
        <v>147039.30642879664</v>
      </c>
      <c r="Q48" s="36">
        <f>CF!N68</f>
        <v>148844.13955737257</v>
      </c>
      <c r="R48" s="36">
        <f>CF!O68</f>
        <v>150441.23474852002</v>
      </c>
      <c r="S48" s="36">
        <f>CF!P68</f>
        <v>152746.01824349043</v>
      </c>
      <c r="T48" s="36">
        <f>CF!Q68</f>
        <v>153844.43640836023</v>
      </c>
      <c r="U48" s="36">
        <f>CF!R68</f>
        <v>155608.94573652744</v>
      </c>
      <c r="V48" s="36" t="e">
        <f>CF!S68</f>
        <v>#VALUE!</v>
      </c>
      <c r="W48" s="36">
        <f>CF!T68</f>
        <v>896.15450828315159</v>
      </c>
      <c r="X48" s="36">
        <f>CF!U68</f>
        <v>914.07759844881457</v>
      </c>
      <c r="Y48" s="36">
        <f>CF!V68</f>
        <v>932.35915041779083</v>
      </c>
      <c r="Z48" s="36">
        <f>CF!W68</f>
        <v>951.00633342614674</v>
      </c>
      <c r="AA48" s="36">
        <f>CF!X68</f>
        <v>970.02646009466969</v>
      </c>
      <c r="AB48" s="36">
        <f>CF!Y68</f>
        <v>989.42698929656308</v>
      </c>
      <c r="AC48" s="36">
        <f>CF!Z68</f>
        <v>1009.2155290824941</v>
      </c>
      <c r="AD48" s="36">
        <f>CF!AA68</f>
        <v>1029.3998396641441</v>
      </c>
      <c r="AE48" s="36">
        <f>CF!AB68</f>
        <v>1049.987836457427</v>
      </c>
      <c r="AF48" s="36">
        <f>CF!AC68</f>
        <v>0</v>
      </c>
      <c r="AG48" s="38" t="e">
        <f>SUM(G48:AF48)</f>
        <v>#VALUE!</v>
      </c>
    </row>
    <row r="49" spans="1:33" x14ac:dyDescent="0.25">
      <c r="A49" s="4" t="s">
        <v>2</v>
      </c>
      <c r="B49" s="5"/>
      <c r="C49" s="5"/>
      <c r="D49" s="5"/>
      <c r="E49" s="5"/>
      <c r="F49" s="5"/>
      <c r="G49" s="36">
        <f>DEPR!F34</f>
        <v>0</v>
      </c>
      <c r="H49" s="36">
        <f>DEPR!G34</f>
        <v>0</v>
      </c>
      <c r="I49" s="36">
        <f>DEPR!H34</f>
        <v>0</v>
      </c>
      <c r="J49" s="36">
        <f>DEPR!I34</f>
        <v>0</v>
      </c>
      <c r="K49" s="36">
        <f>DEPR!J34</f>
        <v>0</v>
      </c>
      <c r="L49" s="36">
        <f>DEPR!K34</f>
        <v>0</v>
      </c>
      <c r="M49" s="36">
        <f>DEPR!L34</f>
        <v>0</v>
      </c>
      <c r="N49" s="36">
        <f>DEPR!M34</f>
        <v>0</v>
      </c>
      <c r="O49" s="36">
        <f>DEPR!N34</f>
        <v>0</v>
      </c>
      <c r="P49" s="36">
        <f>DEPR!O34</f>
        <v>0</v>
      </c>
      <c r="Q49" s="36">
        <f>DEPR!P34</f>
        <v>0</v>
      </c>
      <c r="R49" s="36">
        <f>DEPR!Q34</f>
        <v>0</v>
      </c>
      <c r="S49" s="36">
        <f>DEPR!R34</f>
        <v>0</v>
      </c>
      <c r="T49" s="36">
        <f>DEPR!S34</f>
        <v>0</v>
      </c>
      <c r="U49" s="36">
        <f>DEPR!T34</f>
        <v>0</v>
      </c>
      <c r="V49" s="36">
        <f>DEPR!U34</f>
        <v>0</v>
      </c>
      <c r="W49" s="36">
        <f>DEPR!V34</f>
        <v>0</v>
      </c>
      <c r="X49" s="36">
        <f>DEPR!W34</f>
        <v>0</v>
      </c>
      <c r="Y49" s="36">
        <f>DEPR!X34</f>
        <v>0</v>
      </c>
      <c r="Z49" s="36">
        <f>DEPR!Y34</f>
        <v>0</v>
      </c>
      <c r="AA49" s="36">
        <f>DEPR!Z34</f>
        <v>0</v>
      </c>
      <c r="AB49" s="36">
        <f>DEPR!AA34</f>
        <v>0</v>
      </c>
      <c r="AC49" s="36">
        <f>DEPR!AB34</f>
        <v>0</v>
      </c>
      <c r="AD49" s="36">
        <f>DEPR!AC34</f>
        <v>0</v>
      </c>
      <c r="AE49" s="36">
        <f>DEPR!AD34</f>
        <v>0</v>
      </c>
      <c r="AF49" s="36">
        <f>DEPR!AE34</f>
        <v>0</v>
      </c>
      <c r="AG49" s="38">
        <f>SUM(G49:AF49)</f>
        <v>0</v>
      </c>
    </row>
    <row r="50" spans="1:33" x14ac:dyDescent="0.25">
      <c r="A50" s="4" t="s">
        <v>371</v>
      </c>
      <c r="B50" s="5"/>
      <c r="C50" s="5"/>
      <c r="D50" s="5"/>
      <c r="E50" s="5"/>
      <c r="F50" s="5"/>
      <c r="G50" s="39" t="e">
        <f>FIN!D10</f>
        <v>#REF!</v>
      </c>
      <c r="H50" s="39" t="e">
        <f>FIN!E10</f>
        <v>#REF!</v>
      </c>
      <c r="I50" s="39" t="e">
        <f>FIN!F10</f>
        <v>#REF!</v>
      </c>
      <c r="J50" s="39" t="e">
        <f>FIN!G10</f>
        <v>#REF!</v>
      </c>
      <c r="K50" s="39" t="e">
        <f>FIN!H10</f>
        <v>#REF!</v>
      </c>
      <c r="L50" s="39" t="e">
        <f>FIN!I10</f>
        <v>#REF!</v>
      </c>
      <c r="M50" s="39" t="e">
        <f>FIN!J10</f>
        <v>#REF!</v>
      </c>
      <c r="N50" s="39" t="e">
        <f>FIN!K10</f>
        <v>#REF!</v>
      </c>
      <c r="O50" s="39" t="e">
        <f>FIN!L10</f>
        <v>#REF!</v>
      </c>
      <c r="P50" s="39" t="e">
        <f>FIN!M10</f>
        <v>#REF!</v>
      </c>
      <c r="Q50" s="39" t="e">
        <f>FIN!N10</f>
        <v>#REF!</v>
      </c>
      <c r="R50" s="39" t="e">
        <f>FIN!O10</f>
        <v>#REF!</v>
      </c>
      <c r="S50" s="39" t="e">
        <f>FIN!P10</f>
        <v>#REF!</v>
      </c>
      <c r="T50" s="39" t="e">
        <f>FIN!Q10</f>
        <v>#REF!</v>
      </c>
      <c r="U50" s="39" t="e">
        <f>FIN!R10</f>
        <v>#REF!</v>
      </c>
      <c r="V50" s="39" t="e">
        <f>FIN!S10</f>
        <v>#REF!</v>
      </c>
      <c r="W50" s="39" t="e">
        <f>FIN!T10</f>
        <v>#REF!</v>
      </c>
      <c r="X50" s="39" t="e">
        <f>FIN!U10</f>
        <v>#REF!</v>
      </c>
      <c r="Y50" s="39" t="e">
        <f>FIN!V10</f>
        <v>#REF!</v>
      </c>
      <c r="Z50" s="39" t="e">
        <f>FIN!W10</f>
        <v>#REF!</v>
      </c>
      <c r="AA50" s="39" t="e">
        <f>FIN!X10</f>
        <v>#REF!</v>
      </c>
      <c r="AB50" s="39" t="e">
        <f>FIN!Y10</f>
        <v>#REF!</v>
      </c>
      <c r="AC50" s="39" t="e">
        <f>FIN!Z10</f>
        <v>#REF!</v>
      </c>
      <c r="AD50" s="39" t="e">
        <f>FIN!AA10</f>
        <v>#REF!</v>
      </c>
      <c r="AE50" s="39" t="e">
        <f>FIN!AB10</f>
        <v>#REF!</v>
      </c>
      <c r="AF50" s="39" t="e">
        <f>FIN!AC10</f>
        <v>#REF!</v>
      </c>
      <c r="AG50" s="44" t="e">
        <f>SUM(G50:AF50)</f>
        <v>#REF!</v>
      </c>
    </row>
    <row r="51" spans="1:33" x14ac:dyDescent="0.25">
      <c r="A51" s="4" t="s">
        <v>372</v>
      </c>
      <c r="B51" s="5"/>
      <c r="C51" s="5"/>
      <c r="D51" s="5"/>
      <c r="E51" s="5"/>
      <c r="F51" s="5"/>
      <c r="G51" s="36" t="e">
        <f>SUM(G46:G50)</f>
        <v>#REF!</v>
      </c>
      <c r="H51" s="36" t="e">
        <f t="shared" ref="H51:W51" si="29">SUM(H46:H50)</f>
        <v>#REF!</v>
      </c>
      <c r="I51" s="36" t="e">
        <f t="shared" si="29"/>
        <v>#REF!</v>
      </c>
      <c r="J51" s="36" t="e">
        <f t="shared" si="29"/>
        <v>#REF!</v>
      </c>
      <c r="K51" s="36" t="e">
        <f t="shared" si="29"/>
        <v>#REF!</v>
      </c>
      <c r="L51" s="36" t="e">
        <f t="shared" si="29"/>
        <v>#REF!</v>
      </c>
      <c r="M51" s="36" t="e">
        <f t="shared" si="29"/>
        <v>#REF!</v>
      </c>
      <c r="N51" s="36" t="e">
        <f t="shared" si="29"/>
        <v>#REF!</v>
      </c>
      <c r="O51" s="36" t="e">
        <f t="shared" si="29"/>
        <v>#REF!</v>
      </c>
      <c r="P51" s="36" t="e">
        <f t="shared" si="29"/>
        <v>#REF!</v>
      </c>
      <c r="Q51" s="36" t="e">
        <f t="shared" si="29"/>
        <v>#REF!</v>
      </c>
      <c r="R51" s="36" t="e">
        <f t="shared" si="29"/>
        <v>#REF!</v>
      </c>
      <c r="S51" s="36" t="e">
        <f t="shared" si="29"/>
        <v>#REF!</v>
      </c>
      <c r="T51" s="36" t="e">
        <f t="shared" si="29"/>
        <v>#REF!</v>
      </c>
      <c r="U51" s="36" t="e">
        <f t="shared" si="29"/>
        <v>#REF!</v>
      </c>
      <c r="V51" s="36" t="e">
        <f t="shared" si="29"/>
        <v>#VALUE!</v>
      </c>
      <c r="W51" s="36" t="e">
        <f t="shared" si="29"/>
        <v>#REF!</v>
      </c>
      <c r="X51" s="36" t="e">
        <f t="shared" ref="X51:AF51" si="30">SUM(X46:X50)</f>
        <v>#REF!</v>
      </c>
      <c r="Y51" s="36" t="e">
        <f t="shared" si="30"/>
        <v>#REF!</v>
      </c>
      <c r="Z51" s="36" t="e">
        <f t="shared" si="30"/>
        <v>#REF!</v>
      </c>
      <c r="AA51" s="36" t="e">
        <f t="shared" si="30"/>
        <v>#REF!</v>
      </c>
      <c r="AB51" s="36" t="e">
        <f t="shared" si="30"/>
        <v>#REF!</v>
      </c>
      <c r="AC51" s="36" t="e">
        <f t="shared" si="30"/>
        <v>#REF!</v>
      </c>
      <c r="AD51" s="36" t="e">
        <f t="shared" si="30"/>
        <v>#REF!</v>
      </c>
      <c r="AE51" s="36" t="e">
        <f t="shared" si="30"/>
        <v>#REF!</v>
      </c>
      <c r="AF51" s="36" t="e">
        <f t="shared" si="30"/>
        <v>#REF!</v>
      </c>
      <c r="AG51" s="38" t="e">
        <f>SUM(AG46:AG50)</f>
        <v>#VALUE!</v>
      </c>
    </row>
    <row r="52" spans="1:33" x14ac:dyDescent="0.25">
      <c r="A52" s="4"/>
      <c r="B52" s="5"/>
      <c r="C52" s="5"/>
      <c r="D52" s="5"/>
      <c r="E52" s="5"/>
      <c r="F52" s="5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8" t="s">
        <v>7</v>
      </c>
    </row>
    <row r="53" spans="1:33" x14ac:dyDescent="0.25">
      <c r="A53" s="4" t="s">
        <v>373</v>
      </c>
      <c r="B53" s="5"/>
      <c r="C53" s="5"/>
      <c r="D53" s="5"/>
      <c r="E53" s="5" t="s">
        <v>7</v>
      </c>
      <c r="F53" s="5"/>
      <c r="G53" s="36" t="e">
        <f>G44-G51</f>
        <v>#REF!</v>
      </c>
      <c r="H53" s="36" t="e">
        <f t="shared" ref="H53:W53" si="31">H44-H51</f>
        <v>#REF!</v>
      </c>
      <c r="I53" s="36" t="e">
        <f t="shared" si="31"/>
        <v>#REF!</v>
      </c>
      <c r="J53" s="36" t="e">
        <f t="shared" si="31"/>
        <v>#REF!</v>
      </c>
      <c r="K53" s="36" t="e">
        <f t="shared" si="31"/>
        <v>#REF!</v>
      </c>
      <c r="L53" s="36" t="e">
        <f t="shared" si="31"/>
        <v>#REF!</v>
      </c>
      <c r="M53" s="36" t="e">
        <f t="shared" si="31"/>
        <v>#REF!</v>
      </c>
      <c r="N53" s="36" t="e">
        <f t="shared" si="31"/>
        <v>#REF!</v>
      </c>
      <c r="O53" s="36" t="e">
        <f t="shared" si="31"/>
        <v>#REF!</v>
      </c>
      <c r="P53" s="36" t="e">
        <f t="shared" si="31"/>
        <v>#REF!</v>
      </c>
      <c r="Q53" s="36" t="e">
        <f t="shared" si="31"/>
        <v>#REF!</v>
      </c>
      <c r="R53" s="36" t="e">
        <f t="shared" si="31"/>
        <v>#REF!</v>
      </c>
      <c r="S53" s="36" t="e">
        <f t="shared" si="31"/>
        <v>#REF!</v>
      </c>
      <c r="T53" s="36" t="e">
        <f t="shared" si="31"/>
        <v>#REF!</v>
      </c>
      <c r="U53" s="36" t="e">
        <f t="shared" si="31"/>
        <v>#REF!</v>
      </c>
      <c r="V53" s="36" t="e">
        <f t="shared" si="31"/>
        <v>#VALUE!</v>
      </c>
      <c r="W53" s="36" t="e">
        <f t="shared" si="31"/>
        <v>#REF!</v>
      </c>
      <c r="X53" s="36" t="e">
        <f t="shared" ref="X53:AF53" si="32">X44-X51</f>
        <v>#REF!</v>
      </c>
      <c r="Y53" s="36" t="e">
        <f t="shared" si="32"/>
        <v>#REF!</v>
      </c>
      <c r="Z53" s="36" t="e">
        <f t="shared" si="32"/>
        <v>#REF!</v>
      </c>
      <c r="AA53" s="36" t="e">
        <f t="shared" si="32"/>
        <v>#REF!</v>
      </c>
      <c r="AB53" s="36" t="e">
        <f t="shared" si="32"/>
        <v>#REF!</v>
      </c>
      <c r="AC53" s="36" t="e">
        <f t="shared" si="32"/>
        <v>#REF!</v>
      </c>
      <c r="AD53" s="36" t="e">
        <f t="shared" si="32"/>
        <v>#REF!</v>
      </c>
      <c r="AE53" s="36" t="e">
        <f t="shared" si="32"/>
        <v>#REF!</v>
      </c>
      <c r="AF53" s="36" t="e">
        <f t="shared" si="32"/>
        <v>#REF!</v>
      </c>
      <c r="AG53" s="38" t="e">
        <f>SUM(G53:AF53)</f>
        <v>#REF!</v>
      </c>
    </row>
    <row r="54" spans="1:33" x14ac:dyDescent="0.25">
      <c r="A54" s="4" t="s">
        <v>374</v>
      </c>
      <c r="B54" s="5"/>
      <c r="C54" s="5"/>
      <c r="D54" s="5"/>
      <c r="E54" s="5" t="s">
        <v>7</v>
      </c>
      <c r="F54" s="5"/>
      <c r="G54" s="36" t="e">
        <f>IF(G53&lt;0,0,G53*ASS!$I$9)</f>
        <v>#REF!</v>
      </c>
      <c r="H54" s="36" t="e">
        <f>IF(H53&lt;0,0,H53*ASS!$I$9)</f>
        <v>#REF!</v>
      </c>
      <c r="I54" s="36" t="e">
        <f>IF(I53&lt;0,0,I53*ASS!$I$9)</f>
        <v>#REF!</v>
      </c>
      <c r="J54" s="36" t="e">
        <f>IF(J53&lt;0,0,J53*ASS!$I$9)</f>
        <v>#REF!</v>
      </c>
      <c r="K54" s="36" t="e">
        <f>IF(K53&lt;0,0,K53*ASS!$I$9)</f>
        <v>#REF!</v>
      </c>
      <c r="L54" s="36" t="e">
        <f>IF(L53&lt;0,0,L53*ASS!$I$9)</f>
        <v>#REF!</v>
      </c>
      <c r="M54" s="36" t="e">
        <f>IF(M53&lt;0,0,M53*ASS!$I$9)</f>
        <v>#REF!</v>
      </c>
      <c r="N54" s="36" t="e">
        <f>IF(N53&lt;0,0,N53*ASS!$I$9)</f>
        <v>#REF!</v>
      </c>
      <c r="O54" s="36" t="e">
        <f>IF(O53&lt;0,0,O53*ASS!$I$9)</f>
        <v>#REF!</v>
      </c>
      <c r="P54" s="36" t="e">
        <f>IF(P53&lt;0,0,P53*ASS!$I$9)</f>
        <v>#REF!</v>
      </c>
      <c r="Q54" s="36" t="e">
        <f>IF(Q53&lt;0,0,Q53*ASS!$I$9)</f>
        <v>#REF!</v>
      </c>
      <c r="R54" s="36" t="e">
        <f>IF(R53&lt;0,0,R53*ASS!$I$9)</f>
        <v>#REF!</v>
      </c>
      <c r="S54" s="36" t="e">
        <f>IF(S53&lt;0,0,S53*ASS!$I$9)</f>
        <v>#REF!</v>
      </c>
      <c r="T54" s="36" t="e">
        <f>IF(T53&lt;0,0,T53*ASS!$I$9)</f>
        <v>#REF!</v>
      </c>
      <c r="U54" s="36" t="e">
        <f>IF(U53&lt;0,0,U53*ASS!$I$9)</f>
        <v>#REF!</v>
      </c>
      <c r="V54" s="36" t="e">
        <f>IF(V53&lt;0,0,V53*ASS!$I$9)</f>
        <v>#VALUE!</v>
      </c>
      <c r="W54" s="36" t="e">
        <f>IF(W53&lt;0,0,W53*ASS!$I$9)</f>
        <v>#REF!</v>
      </c>
      <c r="X54" s="36" t="e">
        <f>IF(X53&lt;0,0,X53*ASS!$I$9)</f>
        <v>#REF!</v>
      </c>
      <c r="Y54" s="36" t="e">
        <f>IF(Y53&lt;0,0,Y53*ASS!$I$9)</f>
        <v>#REF!</v>
      </c>
      <c r="Z54" s="36" t="e">
        <f>IF(Z53&lt;0,0,Z53*ASS!$I$9)</f>
        <v>#REF!</v>
      </c>
      <c r="AA54" s="36" t="e">
        <f>IF(AA53&lt;0,0,AA53*ASS!$I$9)</f>
        <v>#REF!</v>
      </c>
      <c r="AB54" s="36" t="e">
        <f>IF(AB53&lt;0,0,AB53*ASS!$I$9)</f>
        <v>#REF!</v>
      </c>
      <c r="AC54" s="36" t="e">
        <f>IF(AC53&lt;0,0,AC53*ASS!$I$9)</f>
        <v>#REF!</v>
      </c>
      <c r="AD54" s="36" t="e">
        <f>IF(AD53&lt;0,0,AD53*ASS!$I$9)</f>
        <v>#REF!</v>
      </c>
      <c r="AE54" s="36" t="e">
        <f>IF(AE53&lt;0,0,AE53*ASS!$I$9)</f>
        <v>#REF!</v>
      </c>
      <c r="AF54" s="36" t="e">
        <f>IF(AF53&lt;0,0,AF53*ASS!$I$9)</f>
        <v>#REF!</v>
      </c>
      <c r="AG54" s="38" t="e">
        <f>SUM(G54:AF54)</f>
        <v>#REF!</v>
      </c>
    </row>
    <row r="55" spans="1:33" x14ac:dyDescent="0.25">
      <c r="A55" s="4" t="s">
        <v>375</v>
      </c>
      <c r="B55" s="5"/>
      <c r="C55" s="5"/>
      <c r="D55" s="5"/>
      <c r="E55" s="5" t="s">
        <v>7</v>
      </c>
      <c r="F55" s="5"/>
      <c r="G55" s="36" t="e">
        <f>-G54*ASS!#REF!</f>
        <v>#REF!</v>
      </c>
      <c r="H55" s="36" t="e">
        <f>-H54*ASS!#REF!</f>
        <v>#REF!</v>
      </c>
      <c r="I55" s="36" t="e">
        <f>-I54*ASS!#REF!</f>
        <v>#REF!</v>
      </c>
      <c r="J55" s="36" t="e">
        <f>-J54*ASS!#REF!</f>
        <v>#REF!</v>
      </c>
      <c r="K55" s="36" t="e">
        <f>-K54*ASS!#REF!</f>
        <v>#REF!</v>
      </c>
      <c r="L55" s="36" t="e">
        <f>-L54*ASS!#REF!</f>
        <v>#REF!</v>
      </c>
      <c r="M55" s="36" t="e">
        <f>-M54*ASS!#REF!</f>
        <v>#REF!</v>
      </c>
      <c r="N55" s="36" t="e">
        <f>-N54*ASS!#REF!</f>
        <v>#REF!</v>
      </c>
      <c r="O55" s="36" t="e">
        <f>-O54*ASS!#REF!</f>
        <v>#REF!</v>
      </c>
      <c r="P55" s="36" t="e">
        <f>-P54*ASS!#REF!</f>
        <v>#REF!</v>
      </c>
      <c r="Q55" s="36" t="e">
        <f>-Q54*ASS!#REF!</f>
        <v>#REF!</v>
      </c>
      <c r="R55" s="36" t="e">
        <f>-R54*ASS!#REF!</f>
        <v>#REF!</v>
      </c>
      <c r="S55" s="36" t="e">
        <f>-S54*ASS!#REF!</f>
        <v>#REF!</v>
      </c>
      <c r="T55" s="36" t="e">
        <f>-T54*ASS!#REF!</f>
        <v>#REF!</v>
      </c>
      <c r="U55" s="36" t="e">
        <f>-U54*ASS!#REF!</f>
        <v>#REF!</v>
      </c>
      <c r="V55" s="36" t="e">
        <f>-V54*ASS!#REF!</f>
        <v>#VALUE!</v>
      </c>
      <c r="W55" s="36" t="e">
        <f>-W54*ASS!#REF!</f>
        <v>#REF!</v>
      </c>
      <c r="X55" s="36" t="e">
        <f>-X54*ASS!#REF!</f>
        <v>#REF!</v>
      </c>
      <c r="Y55" s="36" t="e">
        <f>-Y54*ASS!#REF!</f>
        <v>#REF!</v>
      </c>
      <c r="Z55" s="36" t="e">
        <f>-Z54*ASS!#REF!</f>
        <v>#REF!</v>
      </c>
      <c r="AA55" s="36" t="e">
        <f>-AA54*ASS!#REF!</f>
        <v>#REF!</v>
      </c>
      <c r="AB55" s="36" t="e">
        <f>-AB54*ASS!#REF!</f>
        <v>#REF!</v>
      </c>
      <c r="AC55" s="36" t="e">
        <f>-AC54*ASS!#REF!</f>
        <v>#REF!</v>
      </c>
      <c r="AD55" s="36" t="e">
        <f>-AD54*ASS!#REF!</f>
        <v>#REF!</v>
      </c>
      <c r="AE55" s="36" t="e">
        <f>-AE54*ASS!#REF!</f>
        <v>#REF!</v>
      </c>
      <c r="AF55" s="36" t="e">
        <f>-AF54*ASS!#REF!</f>
        <v>#REF!</v>
      </c>
      <c r="AG55" s="38" t="e">
        <f>SUM(G55:AA55)</f>
        <v>#REF!</v>
      </c>
    </row>
    <row r="56" spans="1:33" x14ac:dyDescent="0.25">
      <c r="A56" s="4"/>
      <c r="B56" s="5"/>
      <c r="C56" s="5"/>
      <c r="D56" s="5"/>
      <c r="E56" s="5" t="s">
        <v>7</v>
      </c>
      <c r="F56" s="5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8">
        <f>SUM(G56:AA56)</f>
        <v>0</v>
      </c>
    </row>
    <row r="57" spans="1:33" x14ac:dyDescent="0.25">
      <c r="A57" s="4" t="s">
        <v>376</v>
      </c>
      <c r="B57" s="5"/>
      <c r="C57" s="5"/>
      <c r="D57" s="5"/>
      <c r="E57" s="5" t="s">
        <v>7</v>
      </c>
      <c r="F57" s="5"/>
      <c r="G57" s="40" t="e">
        <f>G53-G54-G55</f>
        <v>#REF!</v>
      </c>
      <c r="H57" s="40" t="e">
        <f t="shared" ref="H57:W57" si="33">H53-H54-H55</f>
        <v>#REF!</v>
      </c>
      <c r="I57" s="40" t="e">
        <f t="shared" si="33"/>
        <v>#REF!</v>
      </c>
      <c r="J57" s="40" t="e">
        <f t="shared" si="33"/>
        <v>#REF!</v>
      </c>
      <c r="K57" s="40" t="e">
        <f t="shared" si="33"/>
        <v>#REF!</v>
      </c>
      <c r="L57" s="40" t="e">
        <f t="shared" si="33"/>
        <v>#REF!</v>
      </c>
      <c r="M57" s="40" t="e">
        <f t="shared" si="33"/>
        <v>#REF!</v>
      </c>
      <c r="N57" s="40" t="e">
        <f t="shared" si="33"/>
        <v>#REF!</v>
      </c>
      <c r="O57" s="40" t="e">
        <f t="shared" si="33"/>
        <v>#REF!</v>
      </c>
      <c r="P57" s="40" t="e">
        <f t="shared" si="33"/>
        <v>#REF!</v>
      </c>
      <c r="Q57" s="40" t="e">
        <f t="shared" si="33"/>
        <v>#REF!</v>
      </c>
      <c r="R57" s="40" t="e">
        <f t="shared" si="33"/>
        <v>#REF!</v>
      </c>
      <c r="S57" s="40" t="e">
        <f t="shared" si="33"/>
        <v>#REF!</v>
      </c>
      <c r="T57" s="40" t="e">
        <f t="shared" si="33"/>
        <v>#REF!</v>
      </c>
      <c r="U57" s="40" t="e">
        <f t="shared" si="33"/>
        <v>#REF!</v>
      </c>
      <c r="V57" s="40" t="e">
        <f t="shared" si="33"/>
        <v>#VALUE!</v>
      </c>
      <c r="W57" s="40" t="e">
        <f t="shared" si="33"/>
        <v>#REF!</v>
      </c>
      <c r="X57" s="40" t="e">
        <f t="shared" ref="X57:AF57" si="34">X53-X54-X55</f>
        <v>#REF!</v>
      </c>
      <c r="Y57" s="40" t="e">
        <f t="shared" si="34"/>
        <v>#REF!</v>
      </c>
      <c r="Z57" s="40" t="e">
        <f t="shared" si="34"/>
        <v>#REF!</v>
      </c>
      <c r="AA57" s="40" t="e">
        <f t="shared" si="34"/>
        <v>#REF!</v>
      </c>
      <c r="AB57" s="40" t="e">
        <f t="shared" si="34"/>
        <v>#REF!</v>
      </c>
      <c r="AC57" s="40" t="e">
        <f t="shared" si="34"/>
        <v>#REF!</v>
      </c>
      <c r="AD57" s="40" t="e">
        <f t="shared" si="34"/>
        <v>#REF!</v>
      </c>
      <c r="AE57" s="40" t="e">
        <f t="shared" si="34"/>
        <v>#REF!</v>
      </c>
      <c r="AF57" s="40" t="e">
        <f t="shared" si="34"/>
        <v>#REF!</v>
      </c>
      <c r="AG57" s="38" t="e">
        <f>AG53-AG54+AG55</f>
        <v>#REF!</v>
      </c>
    </row>
    <row r="58" spans="1:33" x14ac:dyDescent="0.25">
      <c r="A58" s="6"/>
      <c r="B58" s="7"/>
      <c r="C58" s="7"/>
      <c r="D58" s="7"/>
      <c r="E58" s="7"/>
      <c r="F58" s="7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6"/>
    </row>
    <row r="61" spans="1:33" ht="15.6" x14ac:dyDescent="0.3">
      <c r="A61" s="318" t="s">
        <v>377</v>
      </c>
      <c r="B61" s="319"/>
      <c r="C61" s="319"/>
      <c r="D61" s="320"/>
    </row>
    <row r="62" spans="1:33" x14ac:dyDescent="0.25">
      <c r="G62" s="34">
        <f t="shared" ref="G62:AF62" si="35">G5</f>
        <v>1</v>
      </c>
      <c r="H62" s="34">
        <f t="shared" si="35"/>
        <v>2</v>
      </c>
      <c r="I62" s="34">
        <f t="shared" si="35"/>
        <v>3</v>
      </c>
      <c r="J62" s="34">
        <f t="shared" si="35"/>
        <v>4</v>
      </c>
      <c r="K62" s="34">
        <f t="shared" si="35"/>
        <v>5</v>
      </c>
      <c r="L62" s="34">
        <f t="shared" si="35"/>
        <v>6</v>
      </c>
      <c r="M62" s="34">
        <f t="shared" si="35"/>
        <v>7</v>
      </c>
      <c r="N62" s="34">
        <f t="shared" si="35"/>
        <v>8</v>
      </c>
      <c r="O62" s="34">
        <f t="shared" si="35"/>
        <v>9</v>
      </c>
      <c r="P62" s="34">
        <f t="shared" si="35"/>
        <v>10</v>
      </c>
      <c r="Q62" s="34">
        <f t="shared" si="35"/>
        <v>11</v>
      </c>
      <c r="R62" s="34">
        <f t="shared" si="35"/>
        <v>12</v>
      </c>
      <c r="S62" s="34">
        <f t="shared" si="35"/>
        <v>13</v>
      </c>
      <c r="T62" s="34">
        <f t="shared" si="35"/>
        <v>14</v>
      </c>
      <c r="U62" s="34">
        <f t="shared" si="35"/>
        <v>15</v>
      </c>
      <c r="V62" s="34">
        <f t="shared" si="35"/>
        <v>16</v>
      </c>
      <c r="W62" s="34">
        <f t="shared" si="35"/>
        <v>17</v>
      </c>
      <c r="X62" s="34">
        <f t="shared" si="35"/>
        <v>18</v>
      </c>
      <c r="Y62" s="34">
        <f t="shared" si="35"/>
        <v>19</v>
      </c>
      <c r="Z62" s="34">
        <f t="shared" si="35"/>
        <v>20</v>
      </c>
      <c r="AA62" s="34">
        <f t="shared" si="35"/>
        <v>21</v>
      </c>
      <c r="AB62" s="34">
        <f t="shared" si="35"/>
        <v>22</v>
      </c>
      <c r="AC62" s="34">
        <f t="shared" si="35"/>
        <v>23</v>
      </c>
      <c r="AD62" s="34">
        <f t="shared" si="35"/>
        <v>24</v>
      </c>
      <c r="AE62" s="34">
        <f t="shared" si="35"/>
        <v>25</v>
      </c>
      <c r="AF62" s="34">
        <f t="shared" si="35"/>
        <v>26</v>
      </c>
      <c r="AG62" s="22"/>
    </row>
    <row r="63" spans="1:33" x14ac:dyDescent="0.25">
      <c r="G63" s="34">
        <f t="shared" ref="G63:AF63" si="36">G6</f>
        <v>2001</v>
      </c>
      <c r="H63" s="34">
        <f t="shared" si="36"/>
        <v>2002</v>
      </c>
      <c r="I63" s="34">
        <f t="shared" si="36"/>
        <v>2003</v>
      </c>
      <c r="J63" s="34">
        <f t="shared" si="36"/>
        <v>2004</v>
      </c>
      <c r="K63" s="34">
        <f t="shared" si="36"/>
        <v>2005</v>
      </c>
      <c r="L63" s="34">
        <f t="shared" si="36"/>
        <v>2006</v>
      </c>
      <c r="M63" s="34">
        <f t="shared" si="36"/>
        <v>2007</v>
      </c>
      <c r="N63" s="34">
        <f t="shared" si="36"/>
        <v>2008</v>
      </c>
      <c r="O63" s="34">
        <f t="shared" si="36"/>
        <v>2009</v>
      </c>
      <c r="P63" s="34">
        <f t="shared" si="36"/>
        <v>2010</v>
      </c>
      <c r="Q63" s="34">
        <f t="shared" si="36"/>
        <v>2011</v>
      </c>
      <c r="R63" s="34">
        <f t="shared" si="36"/>
        <v>2012</v>
      </c>
      <c r="S63" s="34">
        <f t="shared" si="36"/>
        <v>2013</v>
      </c>
      <c r="T63" s="34">
        <f t="shared" si="36"/>
        <v>2014</v>
      </c>
      <c r="U63" s="34">
        <f t="shared" si="36"/>
        <v>2015</v>
      </c>
      <c r="V63" s="34">
        <f t="shared" si="36"/>
        <v>2016</v>
      </c>
      <c r="W63" s="34">
        <f t="shared" si="36"/>
        <v>2017</v>
      </c>
      <c r="X63" s="34">
        <f t="shared" si="36"/>
        <v>2018</v>
      </c>
      <c r="Y63" s="34">
        <f t="shared" si="36"/>
        <v>2019</v>
      </c>
      <c r="Z63" s="34">
        <f t="shared" si="36"/>
        <v>2020</v>
      </c>
      <c r="AA63" s="34">
        <f t="shared" si="36"/>
        <v>2021</v>
      </c>
      <c r="AB63" s="34">
        <f t="shared" si="36"/>
        <v>2022</v>
      </c>
      <c r="AC63" s="34">
        <f t="shared" si="36"/>
        <v>2023</v>
      </c>
      <c r="AD63" s="34">
        <f t="shared" si="36"/>
        <v>2024</v>
      </c>
      <c r="AE63" s="34">
        <f t="shared" si="36"/>
        <v>2025</v>
      </c>
      <c r="AF63" s="34">
        <f t="shared" si="36"/>
        <v>2026</v>
      </c>
      <c r="AG63" s="43" t="s">
        <v>175</v>
      </c>
    </row>
    <row r="64" spans="1:33" x14ac:dyDescent="0.25">
      <c r="A64" s="15" t="s">
        <v>378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2"/>
    </row>
    <row r="65" spans="1:33" x14ac:dyDescent="0.25">
      <c r="A65" s="4"/>
      <c r="B65" s="5" t="s">
        <v>379</v>
      </c>
      <c r="C65" s="5"/>
      <c r="D65" s="5"/>
      <c r="E65" s="5"/>
      <c r="F65" s="388" t="s">
        <v>434</v>
      </c>
      <c r="G65" s="388">
        <f>CF!D25</f>
        <v>80819.865000000005</v>
      </c>
      <c r="H65" s="36">
        <f>CF!E25</f>
        <v>137895.636</v>
      </c>
      <c r="I65" s="36">
        <f>CF!F25</f>
        <v>138075.39311999999</v>
      </c>
      <c r="J65" s="36">
        <f>CF!G25</f>
        <v>138588.29658240001</v>
      </c>
      <c r="K65" s="36">
        <f>CF!H25</f>
        <v>139517.57171404798</v>
      </c>
      <c r="L65" s="36">
        <f>CF!I25</f>
        <v>140322.29394832894</v>
      </c>
      <c r="M65" s="36">
        <f>CF!J25</f>
        <v>142209.15882729553</v>
      </c>
      <c r="N65" s="36">
        <f>CF!K25</f>
        <v>143555.38200384143</v>
      </c>
      <c r="O65" s="36">
        <f>CF!L25</f>
        <v>145193.16924391827</v>
      </c>
      <c r="P65" s="36">
        <f>CF!M25</f>
        <v>147039.30642879664</v>
      </c>
      <c r="Q65" s="36">
        <f>CF!N25</f>
        <v>148844.13955737257</v>
      </c>
      <c r="R65" s="36">
        <f>CF!O25</f>
        <v>150441.23474852002</v>
      </c>
      <c r="S65" s="36">
        <f>CF!P25</f>
        <v>152746.01824349043</v>
      </c>
      <c r="T65" s="36">
        <f>CF!Q25</f>
        <v>153844.43640836023</v>
      </c>
      <c r="U65" s="36">
        <f>CF!R25</f>
        <v>155608.94573652744</v>
      </c>
      <c r="V65" s="36" t="e">
        <f>CF!S25</f>
        <v>#VALUE!</v>
      </c>
      <c r="W65" s="36">
        <f>CF!T25</f>
        <v>896.15450828315159</v>
      </c>
      <c r="X65" s="36">
        <f>CF!U25</f>
        <v>914.07759844881457</v>
      </c>
      <c r="Y65" s="36">
        <f>CF!V25</f>
        <v>932.35915041779083</v>
      </c>
      <c r="Z65" s="36">
        <f>CF!W25</f>
        <v>951.00633342614674</v>
      </c>
      <c r="AA65" s="36">
        <f>CF!X25</f>
        <v>970.02646009466969</v>
      </c>
      <c r="AB65" s="36">
        <f>CF!Y25</f>
        <v>989.42698929656308</v>
      </c>
      <c r="AC65" s="36">
        <f>CF!Z25</f>
        <v>1009.2155290824941</v>
      </c>
      <c r="AD65" s="36">
        <f>CF!AA25</f>
        <v>1029.3998396641441</v>
      </c>
      <c r="AE65" s="36">
        <f>CF!AB25</f>
        <v>1049.987836457427</v>
      </c>
      <c r="AF65" s="36">
        <f>CF!AC25</f>
        <v>0</v>
      </c>
      <c r="AG65" s="38" t="e">
        <f t="shared" ref="AG65:AG71" si="37">SUM(G65:AF65)</f>
        <v>#VALUE!</v>
      </c>
    </row>
    <row r="66" spans="1:33" x14ac:dyDescent="0.25">
      <c r="A66" s="4"/>
      <c r="B66" s="5" t="s">
        <v>380</v>
      </c>
      <c r="C66" s="5"/>
      <c r="D66" s="5"/>
      <c r="E66" s="5"/>
      <c r="F66" s="5"/>
      <c r="G66" s="36">
        <f>-CF!D72</f>
        <v>-80819.865000000005</v>
      </c>
      <c r="H66" s="36">
        <f>-CF!E72</f>
        <v>-137895.636</v>
      </c>
      <c r="I66" s="36">
        <f>-CF!F72</f>
        <v>-138075.39311999999</v>
      </c>
      <c r="J66" s="36">
        <f>-CF!G72</f>
        <v>-138588.29658240001</v>
      </c>
      <c r="K66" s="36">
        <f>-CF!H72</f>
        <v>-139517.57171404798</v>
      </c>
      <c r="L66" s="36">
        <f>-CF!I72</f>
        <v>-140322.29394832894</v>
      </c>
      <c r="M66" s="36">
        <f>-CF!J72</f>
        <v>-142209.15882729553</v>
      </c>
      <c r="N66" s="36">
        <f>-CF!K72</f>
        <v>-143555.38200384143</v>
      </c>
      <c r="O66" s="36">
        <f>-CF!L72</f>
        <v>-145193.16924391827</v>
      </c>
      <c r="P66" s="36">
        <f>-CF!M72</f>
        <v>-147039.30642879664</v>
      </c>
      <c r="Q66" s="36">
        <f>-CF!N72</f>
        <v>-148844.13955737257</v>
      </c>
      <c r="R66" s="36">
        <f>-CF!O72</f>
        <v>-150441.23474852002</v>
      </c>
      <c r="S66" s="36">
        <f>-CF!P72</f>
        <v>-152746.01824349043</v>
      </c>
      <c r="T66" s="36">
        <f>-CF!Q72</f>
        <v>-153844.43640836023</v>
      </c>
      <c r="U66" s="36">
        <f>-CF!R72</f>
        <v>-155608.94573652744</v>
      </c>
      <c r="V66" s="36" t="e">
        <f>-CF!S72</f>
        <v>#VALUE!</v>
      </c>
      <c r="W66" s="36">
        <f>-CF!T72</f>
        <v>-896.15450828315159</v>
      </c>
      <c r="X66" s="36">
        <f>-CF!U72</f>
        <v>-914.07759844881457</v>
      </c>
      <c r="Y66" s="36">
        <f>-CF!V72</f>
        <v>-932.35915041779083</v>
      </c>
      <c r="Z66" s="36">
        <f>-CF!W72</f>
        <v>-951.00633342614674</v>
      </c>
      <c r="AA66" s="36">
        <f>-CF!X72</f>
        <v>-970.02646009466969</v>
      </c>
      <c r="AB66" s="36">
        <f>-CF!Y72</f>
        <v>-989.42698929656308</v>
      </c>
      <c r="AC66" s="36">
        <f>-CF!Z72</f>
        <v>-1009.2155290824941</v>
      </c>
      <c r="AD66" s="36">
        <f>-CF!AA72</f>
        <v>-1029.3998396641441</v>
      </c>
      <c r="AE66" s="36">
        <f>-CF!AB72</f>
        <v>-1049.987836457427</v>
      </c>
      <c r="AF66" s="36">
        <f>-CF!AC72</f>
        <v>0</v>
      </c>
      <c r="AG66" s="38" t="e">
        <f t="shared" si="37"/>
        <v>#VALUE!</v>
      </c>
    </row>
    <row r="67" spans="1:33" x14ac:dyDescent="0.25">
      <c r="A67" s="4"/>
      <c r="B67" s="5" t="s">
        <v>381</v>
      </c>
      <c r="C67" s="5"/>
      <c r="D67" s="5"/>
      <c r="E67" s="5"/>
      <c r="F67" s="5"/>
      <c r="G67" s="36">
        <f>CF!D88</f>
        <v>0</v>
      </c>
      <c r="H67" s="36">
        <f>CF!E88</f>
        <v>0</v>
      </c>
      <c r="I67" s="36">
        <f>CF!F88</f>
        <v>0</v>
      </c>
      <c r="J67" s="36">
        <f>CF!G88</f>
        <v>0</v>
      </c>
      <c r="K67" s="36">
        <f>CF!H88</f>
        <v>0</v>
      </c>
      <c r="L67" s="36">
        <f>CF!I88</f>
        <v>0</v>
      </c>
      <c r="M67" s="36">
        <f>CF!J88</f>
        <v>0</v>
      </c>
      <c r="N67" s="36">
        <f>CF!K88</f>
        <v>0</v>
      </c>
      <c r="O67" s="36">
        <f>CF!L88</f>
        <v>0</v>
      </c>
      <c r="P67" s="36">
        <f>CF!M88</f>
        <v>0</v>
      </c>
      <c r="Q67" s="36">
        <f>CF!N88</f>
        <v>0</v>
      </c>
      <c r="R67" s="36">
        <f>CF!O88</f>
        <v>0</v>
      </c>
      <c r="S67" s="36">
        <f>CF!P88</f>
        <v>0</v>
      </c>
      <c r="T67" s="36">
        <f>CF!Q88</f>
        <v>0</v>
      </c>
      <c r="U67" s="36">
        <f>CF!R88</f>
        <v>0</v>
      </c>
      <c r="V67" s="36">
        <f>CF!S88</f>
        <v>0</v>
      </c>
      <c r="W67" s="36">
        <f>CF!T88</f>
        <v>0</v>
      </c>
      <c r="X67" s="36">
        <f>CF!U88</f>
        <v>0</v>
      </c>
      <c r="Y67" s="36">
        <f>CF!V88</f>
        <v>0</v>
      </c>
      <c r="Z67" s="36">
        <f>CF!W88</f>
        <v>0</v>
      </c>
      <c r="AA67" s="36">
        <f>CF!X88</f>
        <v>0</v>
      </c>
      <c r="AB67" s="36">
        <f>CF!Y88</f>
        <v>0</v>
      </c>
      <c r="AC67" s="36">
        <f>CF!Z88</f>
        <v>0</v>
      </c>
      <c r="AD67" s="36">
        <f>CF!AA88</f>
        <v>0</v>
      </c>
      <c r="AE67" s="36">
        <f>CF!AB88</f>
        <v>0</v>
      </c>
      <c r="AF67" s="36">
        <f>CF!AC88</f>
        <v>0</v>
      </c>
      <c r="AG67" s="38">
        <f t="shared" si="37"/>
        <v>0</v>
      </c>
    </row>
    <row r="68" spans="1:33" x14ac:dyDescent="0.25">
      <c r="A68" s="4"/>
      <c r="B68" s="5" t="s">
        <v>426</v>
      </c>
      <c r="C68" s="5"/>
      <c r="D68" s="5"/>
      <c r="E68" s="5"/>
      <c r="F68" s="5"/>
      <c r="G68" s="36">
        <f>CF!D92+CF!D93</f>
        <v>0</v>
      </c>
      <c r="H68" s="36">
        <f>CF!E92+CF!E93</f>
        <v>0</v>
      </c>
      <c r="I68" s="36">
        <f>CF!F92+CF!F93</f>
        <v>0</v>
      </c>
      <c r="J68" s="36">
        <f>CF!G92+CF!G93</f>
        <v>0</v>
      </c>
      <c r="K68" s="36">
        <f>CF!H92+CF!H93</f>
        <v>0</v>
      </c>
      <c r="L68" s="36">
        <f>CF!I92+CF!I93</f>
        <v>0</v>
      </c>
      <c r="M68" s="36">
        <f>CF!J92+CF!J93</f>
        <v>0</v>
      </c>
      <c r="N68" s="36">
        <f>CF!K92+CF!K93</f>
        <v>0</v>
      </c>
      <c r="O68" s="36">
        <f>CF!L92+CF!L93</f>
        <v>0</v>
      </c>
      <c r="P68" s="36">
        <f>CF!M92+CF!M93</f>
        <v>0</v>
      </c>
      <c r="Q68" s="36">
        <f>CF!N92+CF!N93</f>
        <v>0</v>
      </c>
      <c r="R68" s="36">
        <f>CF!O92+CF!O93</f>
        <v>0</v>
      </c>
      <c r="S68" s="36">
        <f>CF!P92+CF!P93</f>
        <v>0</v>
      </c>
      <c r="T68" s="36">
        <f>CF!Q92+CF!Q93</f>
        <v>0</v>
      </c>
      <c r="U68" s="36">
        <f>CF!R92+CF!R93</f>
        <v>0</v>
      </c>
      <c r="V68" s="36">
        <f>CF!S92+CF!S93</f>
        <v>0</v>
      </c>
      <c r="W68" s="36">
        <f>CF!T92+CF!T93</f>
        <v>0</v>
      </c>
      <c r="X68" s="36">
        <f>CF!U92+CF!U93</f>
        <v>0</v>
      </c>
      <c r="Y68" s="36">
        <f>CF!V92+CF!V93</f>
        <v>0</v>
      </c>
      <c r="Z68" s="36">
        <f>CF!W92+CF!W93</f>
        <v>0</v>
      </c>
      <c r="AA68" s="36">
        <f>CF!X92+CF!X93</f>
        <v>0</v>
      </c>
      <c r="AB68" s="36">
        <f>CF!Y92+CF!Y93</f>
        <v>0</v>
      </c>
      <c r="AC68" s="36">
        <f>CF!Z92+CF!Z93</f>
        <v>0</v>
      </c>
      <c r="AD68" s="36">
        <f>CF!AA92+CF!AA93</f>
        <v>0</v>
      </c>
      <c r="AE68" s="36">
        <f>CF!AB92+CF!AB93</f>
        <v>0</v>
      </c>
      <c r="AF68" s="36">
        <f>CF!AC92+CF!AC93</f>
        <v>0</v>
      </c>
      <c r="AG68" s="38"/>
    </row>
    <row r="69" spans="1:33" x14ac:dyDescent="0.25">
      <c r="A69" s="4"/>
      <c r="B69" s="5" t="s">
        <v>382</v>
      </c>
      <c r="C69" s="5"/>
      <c r="D69" s="5"/>
      <c r="E69" s="5"/>
      <c r="F69" s="5"/>
      <c r="G69" s="36" t="e">
        <f>-FIN!D10</f>
        <v>#REF!</v>
      </c>
      <c r="H69" s="36" t="e">
        <f>-FIN!E10</f>
        <v>#REF!</v>
      </c>
      <c r="I69" s="36" t="e">
        <f>-FIN!F10</f>
        <v>#REF!</v>
      </c>
      <c r="J69" s="36" t="e">
        <f>-FIN!G10</f>
        <v>#REF!</v>
      </c>
      <c r="K69" s="36" t="e">
        <f>-FIN!H10</f>
        <v>#REF!</v>
      </c>
      <c r="L69" s="36" t="e">
        <f>-FIN!I10</f>
        <v>#REF!</v>
      </c>
      <c r="M69" s="36" t="e">
        <f>-FIN!J10</f>
        <v>#REF!</v>
      </c>
      <c r="N69" s="36" t="e">
        <f>-FIN!K10</f>
        <v>#REF!</v>
      </c>
      <c r="O69" s="36" t="e">
        <f>-FIN!L10</f>
        <v>#REF!</v>
      </c>
      <c r="P69" s="36" t="e">
        <f>-FIN!M10</f>
        <v>#REF!</v>
      </c>
      <c r="Q69" s="36" t="e">
        <f>-FIN!N10</f>
        <v>#REF!</v>
      </c>
      <c r="R69" s="36" t="e">
        <f>-FIN!O10</f>
        <v>#REF!</v>
      </c>
      <c r="S69" s="36" t="e">
        <f>-FIN!P10</f>
        <v>#REF!</v>
      </c>
      <c r="T69" s="36" t="e">
        <f>-FIN!Q10</f>
        <v>#REF!</v>
      </c>
      <c r="U69" s="36" t="e">
        <f>-FIN!R10</f>
        <v>#REF!</v>
      </c>
      <c r="V69" s="36" t="e">
        <f>-FIN!S10</f>
        <v>#REF!</v>
      </c>
      <c r="W69" s="36" t="e">
        <f>-FIN!T10</f>
        <v>#REF!</v>
      </c>
      <c r="X69" s="36" t="e">
        <f>-FIN!U10</f>
        <v>#REF!</v>
      </c>
      <c r="Y69" s="36" t="e">
        <f>-FIN!V10</f>
        <v>#REF!</v>
      </c>
      <c r="Z69" s="36" t="e">
        <f>-FIN!W10</f>
        <v>#REF!</v>
      </c>
      <c r="AA69" s="36" t="e">
        <f>-FIN!X10</f>
        <v>#REF!</v>
      </c>
      <c r="AB69" s="36" t="e">
        <f>-FIN!Y10</f>
        <v>#REF!</v>
      </c>
      <c r="AC69" s="36" t="e">
        <f>-FIN!Z10</f>
        <v>#REF!</v>
      </c>
      <c r="AD69" s="36" t="e">
        <f>-FIN!AA10</f>
        <v>#REF!</v>
      </c>
      <c r="AE69" s="36" t="e">
        <f>-FIN!AB10</f>
        <v>#REF!</v>
      </c>
      <c r="AF69" s="36" t="e">
        <f>-FIN!AC10</f>
        <v>#REF!</v>
      </c>
      <c r="AG69" s="38" t="e">
        <f t="shared" si="37"/>
        <v>#REF!</v>
      </c>
    </row>
    <row r="70" spans="1:33" x14ac:dyDescent="0.25">
      <c r="A70" s="4"/>
      <c r="B70" s="5" t="s">
        <v>383</v>
      </c>
      <c r="C70" s="5"/>
      <c r="D70" s="5"/>
      <c r="E70" s="5"/>
      <c r="F70" s="5"/>
      <c r="G70" s="39" t="e">
        <f>CF!D94</f>
        <v>#REF!</v>
      </c>
      <c r="H70" s="39" t="e">
        <f>CF!E94</f>
        <v>#REF!</v>
      </c>
      <c r="I70" s="39" t="e">
        <f>CF!F94</f>
        <v>#REF!</v>
      </c>
      <c r="J70" s="39" t="e">
        <f>CF!G94</f>
        <v>#REF!</v>
      </c>
      <c r="K70" s="39" t="e">
        <f>CF!H94</f>
        <v>#REF!</v>
      </c>
      <c r="L70" s="39" t="e">
        <f>CF!I94</f>
        <v>#REF!</v>
      </c>
      <c r="M70" s="39" t="e">
        <f>CF!J94</f>
        <v>#REF!</v>
      </c>
      <c r="N70" s="39" t="e">
        <f>CF!K94</f>
        <v>#REF!</v>
      </c>
      <c r="O70" s="39" t="e">
        <f>CF!L94</f>
        <v>#REF!</v>
      </c>
      <c r="P70" s="39" t="e">
        <f>CF!M94</f>
        <v>#REF!</v>
      </c>
      <c r="Q70" s="39" t="e">
        <f>CF!N94</f>
        <v>#REF!</v>
      </c>
      <c r="R70" s="39" t="e">
        <f>CF!O94</f>
        <v>#REF!</v>
      </c>
      <c r="S70" s="39" t="e">
        <f>CF!P94</f>
        <v>#REF!</v>
      </c>
      <c r="T70" s="39" t="e">
        <f>CF!Q94</f>
        <v>#REF!</v>
      </c>
      <c r="U70" s="39" t="e">
        <f>CF!R94</f>
        <v>#REF!</v>
      </c>
      <c r="V70" s="39" t="e">
        <f>CF!S94</f>
        <v>#VALUE!</v>
      </c>
      <c r="W70" s="39" t="e">
        <f>CF!T94</f>
        <v>#REF!</v>
      </c>
      <c r="X70" s="39" t="e">
        <f>CF!U94</f>
        <v>#REF!</v>
      </c>
      <c r="Y70" s="39" t="e">
        <f>CF!V94</f>
        <v>#REF!</v>
      </c>
      <c r="Z70" s="39" t="e">
        <f>CF!W94</f>
        <v>#REF!</v>
      </c>
      <c r="AA70" s="39" t="e">
        <f>CF!X94</f>
        <v>#REF!</v>
      </c>
      <c r="AB70" s="39" t="e">
        <f>CF!Y94</f>
        <v>#REF!</v>
      </c>
      <c r="AC70" s="39" t="e">
        <f>CF!Z94</f>
        <v>#REF!</v>
      </c>
      <c r="AD70" s="39" t="e">
        <f>CF!AA94</f>
        <v>#REF!</v>
      </c>
      <c r="AE70" s="39" t="e">
        <f>CF!AB94</f>
        <v>#REF!</v>
      </c>
      <c r="AF70" s="39" t="e">
        <f>CF!AC94</f>
        <v>#REF!</v>
      </c>
      <c r="AG70" s="196" t="e">
        <f t="shared" si="37"/>
        <v>#REF!</v>
      </c>
    </row>
    <row r="71" spans="1:33" x14ac:dyDescent="0.25">
      <c r="A71" s="4"/>
      <c r="B71" s="5"/>
      <c r="C71" s="5" t="s">
        <v>384</v>
      </c>
      <c r="D71" s="5"/>
      <c r="E71" s="5"/>
      <c r="F71" s="5"/>
      <c r="G71" s="36" t="e">
        <f>SUM(G65:G70)</f>
        <v>#REF!</v>
      </c>
      <c r="H71" s="36" t="e">
        <f t="shared" ref="H71:W71" si="38">SUM(H65:H70)</f>
        <v>#REF!</v>
      </c>
      <c r="I71" s="36" t="e">
        <f t="shared" si="38"/>
        <v>#REF!</v>
      </c>
      <c r="J71" s="36" t="e">
        <f t="shared" si="38"/>
        <v>#REF!</v>
      </c>
      <c r="K71" s="36" t="e">
        <f t="shared" si="38"/>
        <v>#REF!</v>
      </c>
      <c r="L71" s="36" t="e">
        <f t="shared" si="38"/>
        <v>#REF!</v>
      </c>
      <c r="M71" s="36" t="e">
        <f t="shared" si="38"/>
        <v>#REF!</v>
      </c>
      <c r="N71" s="36" t="e">
        <f t="shared" si="38"/>
        <v>#REF!</v>
      </c>
      <c r="O71" s="36" t="e">
        <f t="shared" si="38"/>
        <v>#REF!</v>
      </c>
      <c r="P71" s="36" t="e">
        <f t="shared" si="38"/>
        <v>#REF!</v>
      </c>
      <c r="Q71" s="36" t="e">
        <f t="shared" si="38"/>
        <v>#REF!</v>
      </c>
      <c r="R71" s="36" t="e">
        <f t="shared" si="38"/>
        <v>#REF!</v>
      </c>
      <c r="S71" s="36" t="e">
        <f t="shared" si="38"/>
        <v>#REF!</v>
      </c>
      <c r="T71" s="36" t="e">
        <f t="shared" si="38"/>
        <v>#REF!</v>
      </c>
      <c r="U71" s="36" t="e">
        <f t="shared" si="38"/>
        <v>#REF!</v>
      </c>
      <c r="V71" s="36" t="e">
        <f t="shared" si="38"/>
        <v>#VALUE!</v>
      </c>
      <c r="W71" s="36" t="e">
        <f t="shared" si="38"/>
        <v>#REF!</v>
      </c>
      <c r="X71" s="36" t="e">
        <f t="shared" ref="X71:AF71" si="39">SUM(X65:X70)</f>
        <v>#REF!</v>
      </c>
      <c r="Y71" s="36" t="e">
        <f t="shared" si="39"/>
        <v>#REF!</v>
      </c>
      <c r="Z71" s="36" t="e">
        <f t="shared" si="39"/>
        <v>#REF!</v>
      </c>
      <c r="AA71" s="36" t="e">
        <f t="shared" si="39"/>
        <v>#REF!</v>
      </c>
      <c r="AB71" s="36" t="e">
        <f t="shared" si="39"/>
        <v>#REF!</v>
      </c>
      <c r="AC71" s="36" t="e">
        <f t="shared" si="39"/>
        <v>#REF!</v>
      </c>
      <c r="AD71" s="36" t="e">
        <f t="shared" si="39"/>
        <v>#REF!</v>
      </c>
      <c r="AE71" s="36" t="e">
        <f t="shared" si="39"/>
        <v>#REF!</v>
      </c>
      <c r="AF71" s="36" t="e">
        <f t="shared" si="39"/>
        <v>#REF!</v>
      </c>
      <c r="AG71" s="38" t="e">
        <f t="shared" si="37"/>
        <v>#REF!</v>
      </c>
    </row>
    <row r="72" spans="1:33" x14ac:dyDescent="0.25">
      <c r="A72" s="4"/>
      <c r="B72" s="5"/>
      <c r="C72" s="5"/>
      <c r="D72" s="5"/>
      <c r="E72" s="5"/>
      <c r="F72" s="5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8"/>
    </row>
    <row r="73" spans="1:33" x14ac:dyDescent="0.25">
      <c r="A73" s="4" t="s">
        <v>385</v>
      </c>
      <c r="B73" s="5"/>
      <c r="C73" s="5"/>
      <c r="D73" s="5"/>
      <c r="E73" s="5"/>
      <c r="F73" s="5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8"/>
    </row>
    <row r="74" spans="1:33" x14ac:dyDescent="0.25">
      <c r="A74" s="4"/>
      <c r="B74" s="5" t="s">
        <v>386</v>
      </c>
      <c r="C74" s="5"/>
      <c r="D74" s="5"/>
      <c r="E74" s="5"/>
      <c r="F74" s="5"/>
      <c r="G74" s="36" t="e">
        <f>-FIN!D11</f>
        <v>#REF!</v>
      </c>
      <c r="H74" s="36" t="e">
        <f>-FIN!E11</f>
        <v>#REF!</v>
      </c>
      <c r="I74" s="36" t="e">
        <f>-FIN!F11</f>
        <v>#REF!</v>
      </c>
      <c r="J74" s="36" t="e">
        <f>-FIN!G11</f>
        <v>#REF!</v>
      </c>
      <c r="K74" s="36" t="e">
        <f>-FIN!H11</f>
        <v>#REF!</v>
      </c>
      <c r="L74" s="36" t="e">
        <f>-FIN!I11</f>
        <v>#REF!</v>
      </c>
      <c r="M74" s="36" t="e">
        <f>-FIN!J11</f>
        <v>#REF!</v>
      </c>
      <c r="N74" s="36" t="e">
        <f>-FIN!K11</f>
        <v>#REF!</v>
      </c>
      <c r="O74" s="36" t="e">
        <f>-FIN!L11</f>
        <v>#REF!</v>
      </c>
      <c r="P74" s="36" t="e">
        <f>-FIN!M11</f>
        <v>#REF!</v>
      </c>
      <c r="Q74" s="36" t="e">
        <f>-FIN!N11</f>
        <v>#REF!</v>
      </c>
      <c r="R74" s="36" t="e">
        <f>-FIN!O11</f>
        <v>#REF!</v>
      </c>
      <c r="S74" s="36" t="e">
        <f>-FIN!P11</f>
        <v>#REF!</v>
      </c>
      <c r="T74" s="36" t="e">
        <f>-FIN!Q11</f>
        <v>#REF!</v>
      </c>
      <c r="U74" s="36" t="e">
        <f>-FIN!R11</f>
        <v>#REF!</v>
      </c>
      <c r="V74" s="36" t="e">
        <f>-FIN!S11</f>
        <v>#REF!</v>
      </c>
      <c r="W74" s="36" t="e">
        <f>-FIN!T11</f>
        <v>#REF!</v>
      </c>
      <c r="X74" s="36" t="e">
        <f>-FIN!U11</f>
        <v>#REF!</v>
      </c>
      <c r="Y74" s="36" t="e">
        <f>-FIN!V11</f>
        <v>#REF!</v>
      </c>
      <c r="Z74" s="36" t="e">
        <f>-FIN!W11</f>
        <v>#REF!</v>
      </c>
      <c r="AA74" s="36" t="e">
        <f>-FIN!X11</f>
        <v>#REF!</v>
      </c>
      <c r="AB74" s="36" t="e">
        <f>-FIN!Y11</f>
        <v>#REF!</v>
      </c>
      <c r="AC74" s="36" t="e">
        <f>-FIN!Z11</f>
        <v>#REF!</v>
      </c>
      <c r="AD74" s="36" t="e">
        <f>-FIN!AA11</f>
        <v>#REF!</v>
      </c>
      <c r="AE74" s="36" t="e">
        <f>-FIN!AB11</f>
        <v>#REF!</v>
      </c>
      <c r="AF74" s="36" t="e">
        <f>-FIN!AC11</f>
        <v>#REF!</v>
      </c>
      <c r="AG74" s="38" t="e">
        <f>SUM(G74:AA74)</f>
        <v>#REF!</v>
      </c>
    </row>
    <row r="75" spans="1:33" x14ac:dyDescent="0.25">
      <c r="A75" s="4"/>
      <c r="B75" s="5" t="s">
        <v>387</v>
      </c>
      <c r="C75" s="5"/>
      <c r="D75" s="5"/>
      <c r="E75" s="5"/>
      <c r="F75" s="5"/>
      <c r="G75" s="36" t="e">
        <f>COST*DEBTPERC</f>
        <v>#REF!</v>
      </c>
      <c r="H75" s="36">
        <v>0</v>
      </c>
      <c r="I75" s="36">
        <v>0</v>
      </c>
      <c r="J75" s="36">
        <v>0</v>
      </c>
      <c r="K75" s="36">
        <v>0</v>
      </c>
      <c r="L75" s="36">
        <v>0</v>
      </c>
      <c r="M75" s="36">
        <v>0</v>
      </c>
      <c r="N75" s="36">
        <v>0</v>
      </c>
      <c r="O75" s="36">
        <v>0</v>
      </c>
      <c r="P75" s="36">
        <v>0</v>
      </c>
      <c r="Q75" s="36">
        <v>0</v>
      </c>
      <c r="R75" s="36">
        <v>0</v>
      </c>
      <c r="S75" s="36">
        <v>0</v>
      </c>
      <c r="T75" s="36">
        <v>0</v>
      </c>
      <c r="U75" s="36">
        <v>0</v>
      </c>
      <c r="V75" s="36">
        <v>0</v>
      </c>
      <c r="W75" s="36">
        <v>0</v>
      </c>
      <c r="X75" s="36">
        <v>0</v>
      </c>
      <c r="Y75" s="36">
        <v>0</v>
      </c>
      <c r="Z75" s="36">
        <v>0</v>
      </c>
      <c r="AA75" s="36">
        <v>0</v>
      </c>
      <c r="AB75" s="36">
        <v>0</v>
      </c>
      <c r="AC75" s="36">
        <v>0</v>
      </c>
      <c r="AD75" s="36">
        <v>0</v>
      </c>
      <c r="AE75" s="36">
        <v>0</v>
      </c>
      <c r="AF75" s="36">
        <v>0</v>
      </c>
      <c r="AG75" s="38" t="e">
        <f>SUM(G75:AA75)</f>
        <v>#REF!</v>
      </c>
    </row>
    <row r="76" spans="1:33" x14ac:dyDescent="0.25">
      <c r="A76" s="4"/>
      <c r="B76" s="5" t="s">
        <v>388</v>
      </c>
      <c r="C76" s="5"/>
      <c r="D76" s="5"/>
      <c r="E76" s="5"/>
      <c r="F76" s="5"/>
      <c r="G76" s="36">
        <v>0</v>
      </c>
      <c r="H76" s="36">
        <v>0</v>
      </c>
      <c r="I76" s="36">
        <v>0</v>
      </c>
      <c r="J76" s="36">
        <v>0</v>
      </c>
      <c r="K76" s="36">
        <v>0</v>
      </c>
      <c r="L76" s="36">
        <v>0</v>
      </c>
      <c r="M76" s="36">
        <v>0</v>
      </c>
      <c r="N76" s="36">
        <v>0</v>
      </c>
      <c r="O76" s="36">
        <v>0</v>
      </c>
      <c r="P76" s="36">
        <v>0</v>
      </c>
      <c r="Q76" s="36">
        <v>0</v>
      </c>
      <c r="R76" s="36">
        <v>0</v>
      </c>
      <c r="S76" s="36">
        <v>0</v>
      </c>
      <c r="T76" s="36">
        <v>0</v>
      </c>
      <c r="U76" s="36">
        <v>0</v>
      </c>
      <c r="V76" s="36">
        <v>0</v>
      </c>
      <c r="W76" s="36">
        <v>0</v>
      </c>
      <c r="X76" s="36">
        <v>0</v>
      </c>
      <c r="Y76" s="36">
        <v>0</v>
      </c>
      <c r="Z76" s="36">
        <v>0</v>
      </c>
      <c r="AA76" s="36">
        <v>0</v>
      </c>
      <c r="AB76" s="36">
        <v>0</v>
      </c>
      <c r="AC76" s="36">
        <v>0</v>
      </c>
      <c r="AD76" s="36">
        <v>0</v>
      </c>
      <c r="AE76" s="36">
        <v>0</v>
      </c>
      <c r="AF76" s="36">
        <v>0</v>
      </c>
      <c r="AG76" s="38">
        <f t="shared" ref="AG76:AG84" si="40">SUM(G76:AA76)</f>
        <v>0</v>
      </c>
    </row>
    <row r="77" spans="1:33" x14ac:dyDescent="0.25">
      <c r="A77" s="4"/>
      <c r="B77" s="5" t="s">
        <v>389</v>
      </c>
      <c r="C77" s="5"/>
      <c r="D77" s="5"/>
      <c r="E77" s="5"/>
      <c r="F77" s="5"/>
      <c r="G77" s="36">
        <v>0</v>
      </c>
      <c r="H77" s="36">
        <v>0</v>
      </c>
      <c r="I77" s="36">
        <v>0</v>
      </c>
      <c r="J77" s="36">
        <v>0</v>
      </c>
      <c r="K77" s="36">
        <v>0</v>
      </c>
      <c r="L77" s="36">
        <v>0</v>
      </c>
      <c r="M77" s="36">
        <v>0</v>
      </c>
      <c r="N77" s="36">
        <v>0</v>
      </c>
      <c r="O77" s="36">
        <v>0</v>
      </c>
      <c r="P77" s="36">
        <v>0</v>
      </c>
      <c r="Q77" s="36">
        <v>0</v>
      </c>
      <c r="R77" s="36">
        <v>0</v>
      </c>
      <c r="S77" s="36">
        <v>0</v>
      </c>
      <c r="T77" s="36">
        <v>0</v>
      </c>
      <c r="U77" s="36">
        <v>0</v>
      </c>
      <c r="V77" s="36">
        <v>0</v>
      </c>
      <c r="W77" s="36">
        <v>0</v>
      </c>
      <c r="X77" s="36">
        <v>0</v>
      </c>
      <c r="Y77" s="36">
        <v>0</v>
      </c>
      <c r="Z77" s="36">
        <v>0</v>
      </c>
      <c r="AA77" s="36">
        <v>0</v>
      </c>
      <c r="AB77" s="36">
        <v>0</v>
      </c>
      <c r="AC77" s="36">
        <v>0</v>
      </c>
      <c r="AD77" s="36">
        <v>0</v>
      </c>
      <c r="AE77" s="36">
        <v>0</v>
      </c>
      <c r="AF77" s="36">
        <v>0</v>
      </c>
      <c r="AG77" s="38">
        <f t="shared" si="40"/>
        <v>0</v>
      </c>
    </row>
    <row r="78" spans="1:33" x14ac:dyDescent="0.25">
      <c r="A78" s="4"/>
      <c r="B78" s="5" t="s">
        <v>390</v>
      </c>
      <c r="C78" s="5"/>
      <c r="D78" s="5"/>
      <c r="E78" s="5"/>
      <c r="F78" s="5"/>
      <c r="G78" s="36">
        <v>0</v>
      </c>
      <c r="H78" s="36">
        <v>0</v>
      </c>
      <c r="I78" s="36">
        <v>0</v>
      </c>
      <c r="J78" s="36">
        <v>0</v>
      </c>
      <c r="K78" s="36">
        <v>0</v>
      </c>
      <c r="L78" s="36">
        <v>0</v>
      </c>
      <c r="M78" s="36">
        <v>0</v>
      </c>
      <c r="N78" s="36">
        <v>0</v>
      </c>
      <c r="O78" s="36">
        <v>0</v>
      </c>
      <c r="P78" s="36">
        <v>0</v>
      </c>
      <c r="Q78" s="36">
        <v>0</v>
      </c>
      <c r="R78" s="36">
        <v>0</v>
      </c>
      <c r="S78" s="36">
        <v>0</v>
      </c>
      <c r="T78" s="36">
        <v>0</v>
      </c>
      <c r="U78" s="36">
        <v>0</v>
      </c>
      <c r="V78" s="36">
        <v>0</v>
      </c>
      <c r="W78" s="36">
        <v>0</v>
      </c>
      <c r="X78" s="36">
        <v>0</v>
      </c>
      <c r="Y78" s="36">
        <v>0</v>
      </c>
      <c r="Z78" s="36">
        <v>0</v>
      </c>
      <c r="AA78" s="36">
        <v>0</v>
      </c>
      <c r="AB78" s="36">
        <v>0</v>
      </c>
      <c r="AC78" s="36">
        <v>0</v>
      </c>
      <c r="AD78" s="36">
        <v>0</v>
      </c>
      <c r="AE78" s="36">
        <v>0</v>
      </c>
      <c r="AF78" s="36">
        <v>0</v>
      </c>
      <c r="AG78" s="38">
        <f t="shared" si="40"/>
        <v>0</v>
      </c>
    </row>
    <row r="79" spans="1:33" x14ac:dyDescent="0.25">
      <c r="A79" s="4"/>
      <c r="B79" s="5" t="s">
        <v>391</v>
      </c>
      <c r="C79" s="5"/>
      <c r="D79" s="5"/>
      <c r="E79" s="5"/>
      <c r="F79" s="5"/>
      <c r="G79" s="36">
        <v>0</v>
      </c>
      <c r="H79" s="36">
        <v>0</v>
      </c>
      <c r="I79" s="36">
        <v>0</v>
      </c>
      <c r="J79" s="36">
        <v>0</v>
      </c>
      <c r="K79" s="36">
        <v>0</v>
      </c>
      <c r="L79" s="36">
        <v>0</v>
      </c>
      <c r="M79" s="36">
        <v>0</v>
      </c>
      <c r="N79" s="36">
        <v>0</v>
      </c>
      <c r="O79" s="36">
        <v>0</v>
      </c>
      <c r="P79" s="36">
        <v>0</v>
      </c>
      <c r="Q79" s="36">
        <v>0</v>
      </c>
      <c r="R79" s="36">
        <v>0</v>
      </c>
      <c r="S79" s="36">
        <v>0</v>
      </c>
      <c r="T79" s="36">
        <v>0</v>
      </c>
      <c r="U79" s="36">
        <v>0</v>
      </c>
      <c r="V79" s="36">
        <v>0</v>
      </c>
      <c r="W79" s="36">
        <v>0</v>
      </c>
      <c r="X79" s="36">
        <v>0</v>
      </c>
      <c r="Y79" s="36">
        <v>0</v>
      </c>
      <c r="Z79" s="36">
        <v>0</v>
      </c>
      <c r="AA79" s="36">
        <v>0</v>
      </c>
      <c r="AB79" s="36">
        <v>0</v>
      </c>
      <c r="AC79" s="36">
        <v>0</v>
      </c>
      <c r="AD79" s="36">
        <v>0</v>
      </c>
      <c r="AE79" s="36">
        <v>0</v>
      </c>
      <c r="AF79" s="36">
        <v>0</v>
      </c>
      <c r="AG79" s="38">
        <f t="shared" si="40"/>
        <v>0</v>
      </c>
    </row>
    <row r="80" spans="1:33" x14ac:dyDescent="0.25">
      <c r="A80" s="4"/>
      <c r="B80" s="5" t="s">
        <v>392</v>
      </c>
      <c r="C80" s="5"/>
      <c r="D80" s="5"/>
      <c r="E80" s="5"/>
      <c r="F80" s="5"/>
      <c r="G80" s="36">
        <v>0</v>
      </c>
      <c r="H80" s="36">
        <v>0</v>
      </c>
      <c r="I80" s="36">
        <v>0</v>
      </c>
      <c r="J80" s="36">
        <v>0</v>
      </c>
      <c r="K80" s="36">
        <v>0</v>
      </c>
      <c r="L80" s="36">
        <v>0</v>
      </c>
      <c r="M80" s="36">
        <v>0</v>
      </c>
      <c r="N80" s="36">
        <v>0</v>
      </c>
      <c r="O80" s="36">
        <v>0</v>
      </c>
      <c r="P80" s="36">
        <v>0</v>
      </c>
      <c r="Q80" s="36">
        <v>0</v>
      </c>
      <c r="R80" s="36">
        <v>0</v>
      </c>
      <c r="S80" s="36">
        <v>0</v>
      </c>
      <c r="T80" s="36">
        <v>0</v>
      </c>
      <c r="U80" s="36">
        <v>0</v>
      </c>
      <c r="V80" s="36">
        <v>0</v>
      </c>
      <c r="W80" s="36">
        <v>0</v>
      </c>
      <c r="X80" s="36">
        <v>0</v>
      </c>
      <c r="Y80" s="36">
        <v>0</v>
      </c>
      <c r="Z80" s="36">
        <v>0</v>
      </c>
      <c r="AA80" s="36">
        <v>0</v>
      </c>
      <c r="AB80" s="36">
        <v>0</v>
      </c>
      <c r="AC80" s="36">
        <v>0</v>
      </c>
      <c r="AD80" s="36">
        <v>0</v>
      </c>
      <c r="AE80" s="36">
        <v>0</v>
      </c>
      <c r="AF80" s="36">
        <v>0</v>
      </c>
      <c r="AG80" s="38">
        <f t="shared" si="40"/>
        <v>0</v>
      </c>
    </row>
    <row r="81" spans="1:33" x14ac:dyDescent="0.25">
      <c r="A81" s="4"/>
      <c r="B81" s="5" t="s">
        <v>393</v>
      </c>
      <c r="C81" s="5"/>
      <c r="D81" s="5"/>
      <c r="E81" s="5"/>
      <c r="F81" s="5"/>
      <c r="G81" s="36" t="e">
        <f>COST*equityperc</f>
        <v>#REF!</v>
      </c>
      <c r="H81" s="36">
        <v>0</v>
      </c>
      <c r="I81" s="36">
        <v>0</v>
      </c>
      <c r="J81" s="36">
        <v>0</v>
      </c>
      <c r="K81" s="36">
        <v>0</v>
      </c>
      <c r="L81" s="36">
        <v>0</v>
      </c>
      <c r="M81" s="36">
        <v>0</v>
      </c>
      <c r="N81" s="36">
        <v>0</v>
      </c>
      <c r="O81" s="36">
        <v>0</v>
      </c>
      <c r="P81" s="36">
        <v>0</v>
      </c>
      <c r="Q81" s="36">
        <v>0</v>
      </c>
      <c r="R81" s="36">
        <v>0</v>
      </c>
      <c r="S81" s="36">
        <v>0</v>
      </c>
      <c r="T81" s="36">
        <v>0</v>
      </c>
      <c r="U81" s="36">
        <v>0</v>
      </c>
      <c r="V81" s="36">
        <v>0</v>
      </c>
      <c r="W81" s="36">
        <v>0</v>
      </c>
      <c r="X81" s="36">
        <v>0</v>
      </c>
      <c r="Y81" s="36">
        <v>0</v>
      </c>
      <c r="Z81" s="36">
        <v>0</v>
      </c>
      <c r="AA81" s="36">
        <v>0</v>
      </c>
      <c r="AB81" s="36">
        <v>0</v>
      </c>
      <c r="AC81" s="36">
        <v>0</v>
      </c>
      <c r="AD81" s="36">
        <v>0</v>
      </c>
      <c r="AE81" s="36">
        <v>0</v>
      </c>
      <c r="AF81" s="36">
        <v>0</v>
      </c>
      <c r="AG81" s="38" t="e">
        <f t="shared" si="40"/>
        <v>#REF!</v>
      </c>
    </row>
    <row r="82" spans="1:33" x14ac:dyDescent="0.25">
      <c r="A82" s="4"/>
      <c r="B82" s="5" t="s">
        <v>348</v>
      </c>
      <c r="C82" s="5"/>
      <c r="D82" s="5"/>
      <c r="E82" s="5"/>
      <c r="F82" s="36"/>
      <c r="G82" s="36" t="e">
        <f>-(G75+G81-WCAP)</f>
        <v>#REF!</v>
      </c>
      <c r="H82" s="36">
        <v>0</v>
      </c>
      <c r="I82" s="36">
        <v>0</v>
      </c>
      <c r="J82" s="36">
        <v>0</v>
      </c>
      <c r="K82" s="36">
        <v>0</v>
      </c>
      <c r="L82" s="36">
        <v>0</v>
      </c>
      <c r="M82" s="36">
        <v>0</v>
      </c>
      <c r="N82" s="36">
        <v>0</v>
      </c>
      <c r="O82" s="36">
        <v>0</v>
      </c>
      <c r="P82" s="36">
        <v>0</v>
      </c>
      <c r="Q82" s="36">
        <v>0</v>
      </c>
      <c r="R82" s="36">
        <v>0</v>
      </c>
      <c r="S82" s="36">
        <v>0</v>
      </c>
      <c r="T82" s="36">
        <v>0</v>
      </c>
      <c r="U82" s="36">
        <v>0</v>
      </c>
      <c r="V82" s="36">
        <v>0</v>
      </c>
      <c r="W82" s="36">
        <v>0</v>
      </c>
      <c r="X82" s="36">
        <v>0</v>
      </c>
      <c r="Y82" s="36">
        <v>0</v>
      </c>
      <c r="Z82" s="36">
        <v>0</v>
      </c>
      <c r="AA82" s="36">
        <v>0</v>
      </c>
      <c r="AB82" s="36">
        <v>0</v>
      </c>
      <c r="AC82" s="36">
        <v>0</v>
      </c>
      <c r="AD82" s="36">
        <v>0</v>
      </c>
      <c r="AE82" s="36">
        <v>0</v>
      </c>
      <c r="AF82" s="36">
        <v>0</v>
      </c>
      <c r="AG82" s="38" t="e">
        <f t="shared" si="40"/>
        <v>#REF!</v>
      </c>
    </row>
    <row r="83" spans="1:33" x14ac:dyDescent="0.25">
      <c r="A83" s="4"/>
      <c r="B83" s="5" t="s">
        <v>394</v>
      </c>
      <c r="C83" s="5"/>
      <c r="D83" s="5"/>
      <c r="E83" s="5"/>
      <c r="F83" s="5"/>
      <c r="G83" s="36" t="e">
        <f>-CF!D96</f>
        <v>#REF!</v>
      </c>
      <c r="H83" s="36" t="e">
        <f>-CF!E96</f>
        <v>#REF!</v>
      </c>
      <c r="I83" s="36" t="e">
        <f>-CF!F96</f>
        <v>#REF!</v>
      </c>
      <c r="J83" s="36" t="e">
        <f>-CF!G96</f>
        <v>#REF!</v>
      </c>
      <c r="K83" s="36" t="e">
        <f>-CF!H96</f>
        <v>#REF!</v>
      </c>
      <c r="L83" s="36" t="e">
        <f>-CF!I96</f>
        <v>#REF!</v>
      </c>
      <c r="M83" s="36" t="e">
        <f>-CF!J96</f>
        <v>#REF!</v>
      </c>
      <c r="N83" s="36" t="e">
        <f>-CF!K96</f>
        <v>#REF!</v>
      </c>
      <c r="O83" s="36" t="e">
        <f>-CF!L96</f>
        <v>#REF!</v>
      </c>
      <c r="P83" s="36" t="e">
        <f>-CF!M96</f>
        <v>#REF!</v>
      </c>
      <c r="Q83" s="36" t="e">
        <f>-CF!N96</f>
        <v>#REF!</v>
      </c>
      <c r="R83" s="36" t="e">
        <f>-CF!O96</f>
        <v>#REF!</v>
      </c>
      <c r="S83" s="36" t="e">
        <f>-CF!P96</f>
        <v>#REF!</v>
      </c>
      <c r="T83" s="36" t="e">
        <f>-CF!Q96</f>
        <v>#REF!</v>
      </c>
      <c r="U83" s="36" t="e">
        <f>-CF!R96</f>
        <v>#REF!</v>
      </c>
      <c r="V83" s="36" t="e">
        <f>-CF!S96</f>
        <v>#VALUE!</v>
      </c>
      <c r="W83" s="36" t="e">
        <f>-CF!T96</f>
        <v>#REF!</v>
      </c>
      <c r="X83" s="36" t="e">
        <f>-CF!U96</f>
        <v>#REF!</v>
      </c>
      <c r="Y83" s="36" t="e">
        <f>-CF!V96</f>
        <v>#REF!</v>
      </c>
      <c r="Z83" s="36" t="e">
        <f>-CF!W96</f>
        <v>#REF!</v>
      </c>
      <c r="AA83" s="36" t="e">
        <f>-CF!X96</f>
        <v>#REF!</v>
      </c>
      <c r="AB83" s="36" t="e">
        <f>-CF!Y96</f>
        <v>#REF!</v>
      </c>
      <c r="AC83" s="36" t="e">
        <f>-CF!Z96</f>
        <v>#REF!</v>
      </c>
      <c r="AD83" s="36" t="e">
        <f>-CF!AA96</f>
        <v>#REF!</v>
      </c>
      <c r="AE83" s="36" t="e">
        <f>-CF!AB96</f>
        <v>#REF!</v>
      </c>
      <c r="AF83" s="36" t="e">
        <f>-CF!AC96</f>
        <v>#REF!</v>
      </c>
      <c r="AG83" s="38" t="e">
        <f t="shared" si="40"/>
        <v>#REF!</v>
      </c>
    </row>
    <row r="84" spans="1:33" x14ac:dyDescent="0.25">
      <c r="A84" s="4"/>
      <c r="B84" s="5"/>
      <c r="C84" s="5" t="s">
        <v>395</v>
      </c>
      <c r="D84" s="5"/>
      <c r="E84" s="5"/>
      <c r="F84" s="5"/>
      <c r="G84" s="39" t="e">
        <f>SUM(G74:G83)</f>
        <v>#REF!</v>
      </c>
      <c r="H84" s="39" t="e">
        <f t="shared" ref="H84:W84" si="41">SUM(H74:H83)</f>
        <v>#REF!</v>
      </c>
      <c r="I84" s="39" t="e">
        <f t="shared" si="41"/>
        <v>#REF!</v>
      </c>
      <c r="J84" s="39" t="e">
        <f t="shared" si="41"/>
        <v>#REF!</v>
      </c>
      <c r="K84" s="39" t="e">
        <f t="shared" si="41"/>
        <v>#REF!</v>
      </c>
      <c r="L84" s="39" t="e">
        <f t="shared" si="41"/>
        <v>#REF!</v>
      </c>
      <c r="M84" s="39" t="e">
        <f t="shared" si="41"/>
        <v>#REF!</v>
      </c>
      <c r="N84" s="39" t="e">
        <f t="shared" si="41"/>
        <v>#REF!</v>
      </c>
      <c r="O84" s="39" t="e">
        <f t="shared" si="41"/>
        <v>#REF!</v>
      </c>
      <c r="P84" s="39" t="e">
        <f t="shared" si="41"/>
        <v>#REF!</v>
      </c>
      <c r="Q84" s="39" t="e">
        <f t="shared" si="41"/>
        <v>#REF!</v>
      </c>
      <c r="R84" s="39" t="e">
        <f t="shared" si="41"/>
        <v>#REF!</v>
      </c>
      <c r="S84" s="39" t="e">
        <f t="shared" si="41"/>
        <v>#REF!</v>
      </c>
      <c r="T84" s="39" t="e">
        <f t="shared" si="41"/>
        <v>#REF!</v>
      </c>
      <c r="U84" s="39" t="e">
        <f t="shared" si="41"/>
        <v>#REF!</v>
      </c>
      <c r="V84" s="39" t="e">
        <f t="shared" si="41"/>
        <v>#REF!</v>
      </c>
      <c r="W84" s="39" t="e">
        <f t="shared" si="41"/>
        <v>#REF!</v>
      </c>
      <c r="X84" s="39" t="e">
        <f t="shared" ref="X84:AF84" si="42">SUM(X74:X83)</f>
        <v>#REF!</v>
      </c>
      <c r="Y84" s="39" t="e">
        <f t="shared" si="42"/>
        <v>#REF!</v>
      </c>
      <c r="Z84" s="39" t="e">
        <f t="shared" si="42"/>
        <v>#REF!</v>
      </c>
      <c r="AA84" s="39" t="e">
        <f t="shared" si="42"/>
        <v>#REF!</v>
      </c>
      <c r="AB84" s="39" t="e">
        <f t="shared" si="42"/>
        <v>#REF!</v>
      </c>
      <c r="AC84" s="39" t="e">
        <f t="shared" si="42"/>
        <v>#REF!</v>
      </c>
      <c r="AD84" s="39" t="e">
        <f t="shared" si="42"/>
        <v>#REF!</v>
      </c>
      <c r="AE84" s="39" t="e">
        <f t="shared" si="42"/>
        <v>#REF!</v>
      </c>
      <c r="AF84" s="39" t="e">
        <f t="shared" si="42"/>
        <v>#REF!</v>
      </c>
      <c r="AG84" s="196" t="e">
        <f t="shared" si="40"/>
        <v>#REF!</v>
      </c>
    </row>
    <row r="85" spans="1:33" x14ac:dyDescent="0.25">
      <c r="A85" s="4"/>
      <c r="B85" s="5"/>
      <c r="C85" s="5"/>
      <c r="D85" s="5"/>
      <c r="E85" s="5"/>
      <c r="F85" s="5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8" t="s">
        <v>7</v>
      </c>
    </row>
    <row r="86" spans="1:33" x14ac:dyDescent="0.25">
      <c r="A86" s="4" t="s">
        <v>396</v>
      </c>
      <c r="B86" s="5"/>
      <c r="C86" s="5"/>
      <c r="D86" s="5"/>
      <c r="E86" s="5"/>
      <c r="F86" s="5"/>
      <c r="G86" s="36" t="e">
        <f>G71+G84</f>
        <v>#REF!</v>
      </c>
      <c r="H86" s="36" t="e">
        <f>H71+H84</f>
        <v>#REF!</v>
      </c>
      <c r="I86" s="36" t="e">
        <f t="shared" ref="I86:X86" si="43">I71+I84</f>
        <v>#REF!</v>
      </c>
      <c r="J86" s="36" t="e">
        <f t="shared" si="43"/>
        <v>#REF!</v>
      </c>
      <c r="K86" s="36" t="e">
        <f t="shared" si="43"/>
        <v>#REF!</v>
      </c>
      <c r="L86" s="36" t="e">
        <f t="shared" si="43"/>
        <v>#REF!</v>
      </c>
      <c r="M86" s="36" t="e">
        <f t="shared" si="43"/>
        <v>#REF!</v>
      </c>
      <c r="N86" s="36" t="e">
        <f t="shared" si="43"/>
        <v>#REF!</v>
      </c>
      <c r="O86" s="36" t="e">
        <f t="shared" si="43"/>
        <v>#REF!</v>
      </c>
      <c r="P86" s="36" t="e">
        <f t="shared" si="43"/>
        <v>#REF!</v>
      </c>
      <c r="Q86" s="36" t="e">
        <f t="shared" si="43"/>
        <v>#REF!</v>
      </c>
      <c r="R86" s="36" t="e">
        <f t="shared" si="43"/>
        <v>#REF!</v>
      </c>
      <c r="S86" s="36" t="e">
        <f t="shared" si="43"/>
        <v>#REF!</v>
      </c>
      <c r="T86" s="36" t="e">
        <f t="shared" si="43"/>
        <v>#REF!</v>
      </c>
      <c r="U86" s="36" t="e">
        <f t="shared" si="43"/>
        <v>#REF!</v>
      </c>
      <c r="V86" s="36" t="e">
        <f t="shared" si="43"/>
        <v>#VALUE!</v>
      </c>
      <c r="W86" s="36" t="e">
        <f t="shared" si="43"/>
        <v>#REF!</v>
      </c>
      <c r="X86" s="36" t="e">
        <f t="shared" si="43"/>
        <v>#REF!</v>
      </c>
      <c r="Y86" s="36" t="e">
        <f t="shared" ref="Y86:AF86" si="44">Y71+Y84</f>
        <v>#REF!</v>
      </c>
      <c r="Z86" s="36" t="e">
        <f t="shared" si="44"/>
        <v>#REF!</v>
      </c>
      <c r="AA86" s="36" t="e">
        <f t="shared" si="44"/>
        <v>#REF!</v>
      </c>
      <c r="AB86" s="36" t="e">
        <f t="shared" si="44"/>
        <v>#REF!</v>
      </c>
      <c r="AC86" s="36" t="e">
        <f t="shared" si="44"/>
        <v>#REF!</v>
      </c>
      <c r="AD86" s="36" t="e">
        <f t="shared" si="44"/>
        <v>#REF!</v>
      </c>
      <c r="AE86" s="36" t="e">
        <f t="shared" si="44"/>
        <v>#REF!</v>
      </c>
      <c r="AF86" s="36" t="e">
        <f t="shared" si="44"/>
        <v>#REF!</v>
      </c>
      <c r="AG86" s="38" t="e">
        <f>SUM(G86:AF86)</f>
        <v>#REF!</v>
      </c>
    </row>
    <row r="87" spans="1:33" x14ac:dyDescent="0.25">
      <c r="A87" s="4"/>
      <c r="B87" s="5"/>
      <c r="C87" s="5"/>
      <c r="D87" s="5"/>
      <c r="E87" s="5"/>
      <c r="F87" s="5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8" t="s">
        <v>7</v>
      </c>
    </row>
    <row r="88" spans="1:33" x14ac:dyDescent="0.25">
      <c r="A88" s="4" t="s">
        <v>397</v>
      </c>
      <c r="B88" s="5"/>
      <c r="C88" s="5"/>
      <c r="D88" s="5"/>
      <c r="E88" s="5"/>
      <c r="F88" s="5"/>
      <c r="G88" s="36">
        <v>0</v>
      </c>
      <c r="H88" s="36" t="e">
        <f t="shared" ref="H88:AF88" si="45">G90</f>
        <v>#REF!</v>
      </c>
      <c r="I88" s="36" t="e">
        <f t="shared" si="45"/>
        <v>#REF!</v>
      </c>
      <c r="J88" s="36" t="e">
        <f t="shared" si="45"/>
        <v>#REF!</v>
      </c>
      <c r="K88" s="36" t="e">
        <f t="shared" si="45"/>
        <v>#REF!</v>
      </c>
      <c r="L88" s="36" t="e">
        <f t="shared" si="45"/>
        <v>#REF!</v>
      </c>
      <c r="M88" s="36" t="e">
        <f t="shared" si="45"/>
        <v>#REF!</v>
      </c>
      <c r="N88" s="36" t="e">
        <f t="shared" si="45"/>
        <v>#REF!</v>
      </c>
      <c r="O88" s="36" t="e">
        <f t="shared" si="45"/>
        <v>#REF!</v>
      </c>
      <c r="P88" s="36" t="e">
        <f t="shared" si="45"/>
        <v>#REF!</v>
      </c>
      <c r="Q88" s="36" t="e">
        <f t="shared" si="45"/>
        <v>#REF!</v>
      </c>
      <c r="R88" s="36" t="e">
        <f t="shared" si="45"/>
        <v>#REF!</v>
      </c>
      <c r="S88" s="36" t="e">
        <f t="shared" si="45"/>
        <v>#REF!</v>
      </c>
      <c r="T88" s="36" t="e">
        <f t="shared" si="45"/>
        <v>#REF!</v>
      </c>
      <c r="U88" s="36" t="e">
        <f t="shared" si="45"/>
        <v>#REF!</v>
      </c>
      <c r="V88" s="36" t="e">
        <f t="shared" si="45"/>
        <v>#REF!</v>
      </c>
      <c r="W88" s="36" t="e">
        <f t="shared" si="45"/>
        <v>#VALUE!</v>
      </c>
      <c r="X88" s="36" t="e">
        <f t="shared" si="45"/>
        <v>#REF!</v>
      </c>
      <c r="Y88" s="36" t="e">
        <f t="shared" si="45"/>
        <v>#REF!</v>
      </c>
      <c r="Z88" s="36" t="e">
        <f t="shared" si="45"/>
        <v>#REF!</v>
      </c>
      <c r="AA88" s="36" t="e">
        <f t="shared" si="45"/>
        <v>#REF!</v>
      </c>
      <c r="AB88" s="36" t="e">
        <f t="shared" si="45"/>
        <v>#REF!</v>
      </c>
      <c r="AC88" s="36" t="e">
        <f t="shared" si="45"/>
        <v>#REF!</v>
      </c>
      <c r="AD88" s="36" t="e">
        <f t="shared" si="45"/>
        <v>#REF!</v>
      </c>
      <c r="AE88" s="36" t="e">
        <f t="shared" si="45"/>
        <v>#REF!</v>
      </c>
      <c r="AF88" s="36" t="e">
        <f t="shared" si="45"/>
        <v>#REF!</v>
      </c>
      <c r="AG88" s="38" t="e">
        <f>SUM(G88:AF88)</f>
        <v>#REF!</v>
      </c>
    </row>
    <row r="89" spans="1:33" x14ac:dyDescent="0.25">
      <c r="A89" s="4"/>
      <c r="B89" s="5"/>
      <c r="C89" s="5"/>
      <c r="D89" s="5"/>
      <c r="E89" s="5"/>
      <c r="F89" s="5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8" t="s">
        <v>7</v>
      </c>
    </row>
    <row r="90" spans="1:33" x14ac:dyDescent="0.25">
      <c r="A90" s="6" t="s">
        <v>398</v>
      </c>
      <c r="B90" s="7"/>
      <c r="C90" s="7"/>
      <c r="D90" s="7"/>
      <c r="E90" s="7"/>
      <c r="F90" s="7"/>
      <c r="G90" s="45" t="e">
        <f>G86+G88</f>
        <v>#REF!</v>
      </c>
      <c r="H90" s="45" t="e">
        <f t="shared" ref="H90:W90" si="46">H86+H88</f>
        <v>#REF!</v>
      </c>
      <c r="I90" s="45" t="e">
        <f t="shared" si="46"/>
        <v>#REF!</v>
      </c>
      <c r="J90" s="45" t="e">
        <f t="shared" si="46"/>
        <v>#REF!</v>
      </c>
      <c r="K90" s="45" t="e">
        <f t="shared" si="46"/>
        <v>#REF!</v>
      </c>
      <c r="L90" s="45" t="e">
        <f t="shared" si="46"/>
        <v>#REF!</v>
      </c>
      <c r="M90" s="45" t="e">
        <f t="shared" si="46"/>
        <v>#REF!</v>
      </c>
      <c r="N90" s="45" t="e">
        <f t="shared" si="46"/>
        <v>#REF!</v>
      </c>
      <c r="O90" s="45" t="e">
        <f t="shared" si="46"/>
        <v>#REF!</v>
      </c>
      <c r="P90" s="45" t="e">
        <f t="shared" si="46"/>
        <v>#REF!</v>
      </c>
      <c r="Q90" s="45" t="e">
        <f t="shared" si="46"/>
        <v>#REF!</v>
      </c>
      <c r="R90" s="45" t="e">
        <f t="shared" si="46"/>
        <v>#REF!</v>
      </c>
      <c r="S90" s="45" t="e">
        <f t="shared" si="46"/>
        <v>#REF!</v>
      </c>
      <c r="T90" s="45" t="e">
        <f t="shared" si="46"/>
        <v>#REF!</v>
      </c>
      <c r="U90" s="45" t="e">
        <f t="shared" si="46"/>
        <v>#REF!</v>
      </c>
      <c r="V90" s="45" t="e">
        <f t="shared" si="46"/>
        <v>#VALUE!</v>
      </c>
      <c r="W90" s="45" t="e">
        <f t="shared" si="46"/>
        <v>#REF!</v>
      </c>
      <c r="X90" s="45" t="e">
        <f t="shared" ref="X90:AF90" si="47">X86+X88</f>
        <v>#REF!</v>
      </c>
      <c r="Y90" s="45" t="e">
        <f t="shared" si="47"/>
        <v>#REF!</v>
      </c>
      <c r="Z90" s="45" t="e">
        <f t="shared" si="47"/>
        <v>#REF!</v>
      </c>
      <c r="AA90" s="45" t="e">
        <f t="shared" si="47"/>
        <v>#REF!</v>
      </c>
      <c r="AB90" s="45" t="e">
        <f t="shared" si="47"/>
        <v>#REF!</v>
      </c>
      <c r="AC90" s="45" t="e">
        <f t="shared" si="47"/>
        <v>#REF!</v>
      </c>
      <c r="AD90" s="45" t="e">
        <f t="shared" si="47"/>
        <v>#REF!</v>
      </c>
      <c r="AE90" s="45" t="e">
        <f t="shared" si="47"/>
        <v>#REF!</v>
      </c>
      <c r="AF90" s="45" t="e">
        <f t="shared" si="47"/>
        <v>#REF!</v>
      </c>
      <c r="AG90" s="46" t="e">
        <f>SUM(G90:AF90)</f>
        <v>#REF!</v>
      </c>
    </row>
  </sheetData>
  <printOptions horizontalCentered="1"/>
  <pageMargins left="0.5" right="1" top="0.75" bottom="0.75" header="0.5" footer="0.5"/>
  <pageSetup scale="39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96</vt:i4>
      </vt:variant>
    </vt:vector>
  </HeadingPairs>
  <TitlesOfParts>
    <vt:vector size="105" baseType="lpstr">
      <vt:lpstr>ASS</vt:lpstr>
      <vt:lpstr>CF</vt:lpstr>
      <vt:lpstr>RETURNS</vt:lpstr>
      <vt:lpstr>DRAWDOWN</vt:lpstr>
      <vt:lpstr>IDC</vt:lpstr>
      <vt:lpstr>FIN</vt:lpstr>
      <vt:lpstr>TAXES_FEES</vt:lpstr>
      <vt:lpstr>DEPR</vt:lpstr>
      <vt:lpstr>BS_IS</vt:lpstr>
      <vt:lpstr>ASS</vt:lpstr>
      <vt:lpstr>avail</vt:lpstr>
      <vt:lpstr>BLANK</vt:lpstr>
      <vt:lpstr>BS</vt:lpstr>
      <vt:lpstr>capacity</vt:lpstr>
      <vt:lpstr>CCINPUT</vt:lpstr>
      <vt:lpstr>CCTEMP</vt:lpstr>
      <vt:lpstr>CCVAR</vt:lpstr>
      <vt:lpstr>CCVAR1</vt:lpstr>
      <vt:lpstr>CF</vt:lpstr>
      <vt:lpstr>COST</vt:lpstr>
      <vt:lpstr>CPI</vt:lpstr>
      <vt:lpstr>CT_COMFEE</vt:lpstr>
      <vt:lpstr>DEBT</vt:lpstr>
      <vt:lpstr>DEBTPERC</vt:lpstr>
      <vt:lpstr>DEPR</vt:lpstr>
      <vt:lpstr>DISC</vt:lpstr>
      <vt:lpstr>dispatch</vt:lpstr>
      <vt:lpstr>DRAW_TABLE</vt:lpstr>
      <vt:lpstr>DRAWDOWN</vt:lpstr>
      <vt:lpstr>EQUITY</vt:lpstr>
      <vt:lpstr>equityperc</vt:lpstr>
      <vt:lpstr>EST_COMMITT</vt:lpstr>
      <vt:lpstr>EST_COST</vt:lpstr>
      <vt:lpstr>EST_COST1</vt:lpstr>
      <vt:lpstr>EST_D1</vt:lpstr>
      <vt:lpstr>EST_D3</vt:lpstr>
      <vt:lpstr>EST_D4</vt:lpstr>
      <vt:lpstr>EST_D5</vt:lpstr>
      <vt:lpstr>EST_D6</vt:lpstr>
      <vt:lpstr>EST_DEV</vt:lpstr>
      <vt:lpstr>EST_EXIM</vt:lpstr>
      <vt:lpstr>EST_FIN</vt:lpstr>
      <vt:lpstr>EST_IDC</vt:lpstr>
      <vt:lpstr>FIN</vt:lpstr>
      <vt:lpstr>FIN_TABLE</vt:lpstr>
      <vt:lpstr>HR</vt:lpstr>
      <vt:lpstr>IDC</vt:lpstr>
      <vt:lpstr>IDC_TABLE</vt:lpstr>
      <vt:lpstr>idc_table1</vt:lpstr>
      <vt:lpstr>INPUTS</vt:lpstr>
      <vt:lpstr>INT1</vt:lpstr>
      <vt:lpstr>INT2</vt:lpstr>
      <vt:lpstr>INT3</vt:lpstr>
      <vt:lpstr>INT4</vt:lpstr>
      <vt:lpstr>INT5</vt:lpstr>
      <vt:lpstr>INT6</vt:lpstr>
      <vt:lpstr>IR1A</vt:lpstr>
      <vt:lpstr>IR1B</vt:lpstr>
      <vt:lpstr>IR1TEMP</vt:lpstr>
      <vt:lpstr>IR2A</vt:lpstr>
      <vt:lpstr>IR2B</vt:lpstr>
      <vt:lpstr>IR2TEMP</vt:lpstr>
      <vt:lpstr>IR3A</vt:lpstr>
      <vt:lpstr>IR3B</vt:lpstr>
      <vt:lpstr>IR3TEMP</vt:lpstr>
      <vt:lpstr>IR4A</vt:lpstr>
      <vt:lpstr>IR4B</vt:lpstr>
      <vt:lpstr>IR4TEMP</vt:lpstr>
      <vt:lpstr>IR5A</vt:lpstr>
      <vt:lpstr>IR5B</vt:lpstr>
      <vt:lpstr>IR5TEMP</vt:lpstr>
      <vt:lpstr>IR6A</vt:lpstr>
      <vt:lpstr>IR6B</vt:lpstr>
      <vt:lpstr>IR6TEMP</vt:lpstr>
      <vt:lpstr>IRR</vt:lpstr>
      <vt:lpstr>IRRFACTOR</vt:lpstr>
      <vt:lpstr>loopfactor</vt:lpstr>
      <vt:lpstr>Loss</vt:lpstr>
      <vt:lpstr>MOSYR1</vt:lpstr>
      <vt:lpstr>NEG</vt:lpstr>
      <vt:lpstr>NPV</vt:lpstr>
      <vt:lpstr>POS</vt:lpstr>
      <vt:lpstr>ASS!Print_Area</vt:lpstr>
      <vt:lpstr>BS_IS!Print_Area</vt:lpstr>
      <vt:lpstr>CF!Print_Area</vt:lpstr>
      <vt:lpstr>DEPR!Print_Area</vt:lpstr>
      <vt:lpstr>DRAWDOWN!Print_Area</vt:lpstr>
      <vt:lpstr>FIN!Print_Area</vt:lpstr>
      <vt:lpstr>IDC!Print_Area</vt:lpstr>
      <vt:lpstr>RETURNS!Print_Area</vt:lpstr>
      <vt:lpstr>TAXES_FEES!Print_Area</vt:lpstr>
      <vt:lpstr>RET_TABLE</vt:lpstr>
      <vt:lpstr>RETURNS</vt:lpstr>
      <vt:lpstr>SPARES</vt:lpstr>
      <vt:lpstr>STARTCONST</vt:lpstr>
      <vt:lpstr>STARTYR</vt:lpstr>
      <vt:lpstr>TARGET</vt:lpstr>
      <vt:lpstr>TARIFF</vt:lpstr>
      <vt:lpstr>TAX</vt:lpstr>
      <vt:lpstr>TEMP</vt:lpstr>
      <vt:lpstr>TERM</vt:lpstr>
      <vt:lpstr>TERM_C</vt:lpstr>
      <vt:lpstr>USTAX</vt:lpstr>
      <vt:lpstr>VALUES</vt:lpstr>
      <vt:lpstr>WCAP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Rehm, Amanda H</dc:creator>
  <cp:lastModifiedBy>Havlíček Jan</cp:lastModifiedBy>
  <cp:lastPrinted>1999-10-07T14:40:28Z</cp:lastPrinted>
  <dcterms:created xsi:type="dcterms:W3CDTF">1997-10-01T15:48:53Z</dcterms:created>
  <dcterms:modified xsi:type="dcterms:W3CDTF">2023-09-10T11:54:25Z</dcterms:modified>
</cp:coreProperties>
</file>