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12" windowWidth="12120" windowHeight="1812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Gleason!$A$1:$BV$258</definedName>
    <definedName name="_xlnm.Print_Area" localSheetId="4">Summary!$A$1:$O$117</definedName>
    <definedName name="_xlnm.Print_Area" localSheetId="8">Wheatland!$A$1:$BT$188</definedName>
    <definedName name="_xlnm.Print_Area" localSheetId="5">Wilton!$A$1:$BT$279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Gleason!$C:$I,Gleason!$T:$BL,Gleason!$BO:$BP,Gleason!$BM:$BM</definedName>
    <definedName name="To_Hide" localSheetId="8">Wheatland!$C:$I,Wheatland!$T:$BJ,Wheatland!$BM:$BN,Wheatland!$BK:$BK</definedName>
    <definedName name="To_Hide" localSheetId="5">Wilton!$C:$I,Wilton!$T:$BJ,Wilton!$BM:$BN,Wilton!$BK:$BK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V2" i="15"/>
  <c r="BR3" i="15"/>
  <c r="BV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F9" i="15"/>
  <c r="BN9" i="15"/>
  <c r="BP9" i="15"/>
  <c r="BR9" i="15"/>
  <c r="BT9" i="15"/>
  <c r="BV9" i="15"/>
  <c r="BN10" i="15"/>
  <c r="BP10" i="15"/>
  <c r="BR10" i="15"/>
  <c r="BT10" i="15"/>
  <c r="BV10" i="15"/>
  <c r="R11" i="15"/>
  <c r="BN11" i="15"/>
  <c r="BR11" i="15"/>
  <c r="BT11" i="15"/>
  <c r="BV11" i="15"/>
  <c r="R12" i="15"/>
  <c r="BN12" i="15"/>
  <c r="BR12" i="15"/>
  <c r="BT12" i="15"/>
  <c r="BV12" i="15"/>
  <c r="R13" i="15"/>
  <c r="BN13" i="15"/>
  <c r="BR13" i="15"/>
  <c r="BT13" i="15"/>
  <c r="BV13" i="15"/>
  <c r="BF14" i="15"/>
  <c r="BN14" i="15"/>
  <c r="BP14" i="15"/>
  <c r="BR14" i="15"/>
  <c r="BT14" i="15"/>
  <c r="BV14" i="15"/>
  <c r="BR15" i="15"/>
  <c r="BV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N16" i="15"/>
  <c r="BP16" i="15"/>
  <c r="BR16" i="15"/>
  <c r="BT16" i="15"/>
  <c r="BV16" i="15"/>
  <c r="R18" i="15"/>
  <c r="BN18" i="15"/>
  <c r="BR18" i="15"/>
  <c r="BT18" i="15"/>
  <c r="BV18" i="15"/>
  <c r="AV19" i="15"/>
  <c r="AZ19" i="15"/>
  <c r="BN19" i="15"/>
  <c r="BP19" i="15"/>
  <c r="BR19" i="15"/>
  <c r="BT19" i="15"/>
  <c r="BV19" i="15"/>
  <c r="BN20" i="15"/>
  <c r="BR20" i="15"/>
  <c r="BT20" i="15"/>
  <c r="BV20" i="15"/>
  <c r="BN21" i="15"/>
  <c r="BR21" i="15"/>
  <c r="BT21" i="15"/>
  <c r="BV21" i="15"/>
  <c r="BN22" i="15"/>
  <c r="BR22" i="15"/>
  <c r="BT22" i="15"/>
  <c r="BV22" i="15"/>
  <c r="BN23" i="15"/>
  <c r="BR23" i="15"/>
  <c r="BT23" i="15"/>
  <c r="BV23" i="15"/>
  <c r="BN24" i="15"/>
  <c r="BR24" i="15"/>
  <c r="BT24" i="15"/>
  <c r="BV24" i="15"/>
  <c r="R25" i="15"/>
  <c r="BN25" i="15"/>
  <c r="BR25" i="15"/>
  <c r="BT25" i="15"/>
  <c r="BV25" i="15"/>
  <c r="R26" i="15"/>
  <c r="BN26" i="15"/>
  <c r="BR26" i="15"/>
  <c r="BT26" i="15"/>
  <c r="BV26" i="15"/>
  <c r="R27" i="15"/>
  <c r="BN27" i="15"/>
  <c r="BR27" i="15"/>
  <c r="BT27" i="15"/>
  <c r="BV27" i="15"/>
  <c r="R28" i="15"/>
  <c r="BN28" i="15"/>
  <c r="BR28" i="15"/>
  <c r="BT28" i="15"/>
  <c r="BV28" i="15"/>
  <c r="R29" i="15"/>
  <c r="BN29" i="15"/>
  <c r="BR29" i="15"/>
  <c r="BT29" i="15"/>
  <c r="BV29" i="15"/>
  <c r="R30" i="15"/>
  <c r="BN30" i="15"/>
  <c r="BR30" i="15"/>
  <c r="BT30" i="15"/>
  <c r="BV30" i="15"/>
  <c r="R31" i="15"/>
  <c r="BN31" i="15"/>
  <c r="BR31" i="15"/>
  <c r="BT31" i="15"/>
  <c r="BV31" i="15"/>
  <c r="R32" i="15"/>
  <c r="BN32" i="15"/>
  <c r="BR32" i="15"/>
  <c r="BT32" i="15"/>
  <c r="BV32" i="15"/>
  <c r="BN33" i="15"/>
  <c r="BR33" i="15"/>
  <c r="BT33" i="15"/>
  <c r="BV33" i="15"/>
  <c r="BR34" i="15"/>
  <c r="BT34" i="15"/>
  <c r="BV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N35" i="15"/>
  <c r="BP35" i="15"/>
  <c r="BR35" i="15"/>
  <c r="BT35" i="15"/>
  <c r="BV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N37" i="15"/>
  <c r="BP37" i="15"/>
  <c r="BR37" i="15"/>
  <c r="BT37" i="15"/>
  <c r="BV37" i="15"/>
  <c r="AV43" i="15"/>
  <c r="AZ43" i="15"/>
  <c r="BH43" i="15"/>
  <c r="BN43" i="15"/>
  <c r="BP43" i="15"/>
  <c r="BR43" i="15"/>
  <c r="BT43" i="15"/>
  <c r="BV43" i="15"/>
  <c r="AR44" i="15"/>
  <c r="AV44" i="15"/>
  <c r="AZ44" i="15"/>
  <c r="BH44" i="15"/>
  <c r="BN44" i="15"/>
  <c r="BP44" i="15"/>
  <c r="BR44" i="15"/>
  <c r="BT44" i="15"/>
  <c r="BV44" i="15"/>
  <c r="AR45" i="15"/>
  <c r="AV45" i="15"/>
  <c r="AZ45" i="15"/>
  <c r="BH45" i="15"/>
  <c r="BN45" i="15"/>
  <c r="BP45" i="15"/>
  <c r="BR45" i="15"/>
  <c r="BT45" i="15"/>
  <c r="BV45" i="15"/>
  <c r="AV46" i="15"/>
  <c r="AZ46" i="15"/>
  <c r="BH46" i="15"/>
  <c r="BN46" i="15"/>
  <c r="BP46" i="15"/>
  <c r="BR46" i="15"/>
  <c r="BT46" i="15"/>
  <c r="BV46" i="15"/>
  <c r="AV47" i="15"/>
  <c r="AZ47" i="15"/>
  <c r="BH47" i="15"/>
  <c r="BN47" i="15"/>
  <c r="BR47" i="15"/>
  <c r="BT47" i="15"/>
  <c r="BV47" i="15"/>
  <c r="BN48" i="15"/>
  <c r="BR48" i="15"/>
  <c r="BT48" i="15"/>
  <c r="BV48" i="15"/>
  <c r="BN49" i="15"/>
  <c r="BR49" i="15"/>
  <c r="BT49" i="15"/>
  <c r="BV49" i="15"/>
  <c r="BN50" i="15"/>
  <c r="BR50" i="15"/>
  <c r="BT50" i="15"/>
  <c r="BV50" i="15"/>
  <c r="AZ51" i="15"/>
  <c r="BH51" i="15"/>
  <c r="BN51" i="15"/>
  <c r="BR51" i="15"/>
  <c r="BT51" i="15"/>
  <c r="BV51" i="15"/>
  <c r="AZ52" i="15"/>
  <c r="BN52" i="15"/>
  <c r="BR52" i="15"/>
  <c r="BT52" i="15"/>
  <c r="BV52" i="15"/>
  <c r="BN53" i="15"/>
  <c r="BR53" i="15"/>
  <c r="BT53" i="15"/>
  <c r="BV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V54" i="15"/>
  <c r="AZ57" i="15"/>
  <c r="BH57" i="15"/>
  <c r="BN57" i="15"/>
  <c r="BR57" i="15"/>
  <c r="BT57" i="15"/>
  <c r="BV57" i="15"/>
  <c r="AZ58" i="15"/>
  <c r="BH58" i="15"/>
  <c r="BN58" i="15"/>
  <c r="BP58" i="15"/>
  <c r="BR58" i="15"/>
  <c r="BT58" i="15"/>
  <c r="BV58" i="15"/>
  <c r="BH59" i="15"/>
  <c r="BN59" i="15"/>
  <c r="BR59" i="15"/>
  <c r="BT59" i="15"/>
  <c r="BV59" i="15"/>
  <c r="BH60" i="15"/>
  <c r="BN60" i="15"/>
  <c r="BP60" i="15"/>
  <c r="BR60" i="15"/>
  <c r="BT60" i="15"/>
  <c r="BV60" i="15"/>
  <c r="BH61" i="15"/>
  <c r="BN61" i="15"/>
  <c r="BR61" i="15"/>
  <c r="BT61" i="15"/>
  <c r="BV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V63" i="15"/>
  <c r="R66" i="15"/>
  <c r="AV66" i="15"/>
  <c r="AZ66" i="15"/>
  <c r="BH66" i="15"/>
  <c r="BN66" i="15"/>
  <c r="BR66" i="15"/>
  <c r="BT66" i="15"/>
  <c r="BV66" i="15"/>
  <c r="AV67" i="15"/>
  <c r="AZ67" i="15"/>
  <c r="BH67" i="15"/>
  <c r="BN67" i="15"/>
  <c r="BP67" i="15"/>
  <c r="BR67" i="15"/>
  <c r="BT67" i="15"/>
  <c r="BV67" i="15"/>
  <c r="AZ68" i="15"/>
  <c r="BH68" i="15"/>
  <c r="BN68" i="15"/>
  <c r="BR68" i="15"/>
  <c r="BT68" i="15"/>
  <c r="BV68" i="15"/>
  <c r="BH69" i="15"/>
  <c r="BN69" i="15"/>
  <c r="BP69" i="15"/>
  <c r="BR69" i="15"/>
  <c r="BT69" i="15"/>
  <c r="BV69" i="15"/>
  <c r="AZ70" i="15"/>
  <c r="BH70" i="15"/>
  <c r="BN70" i="15"/>
  <c r="BR70" i="15"/>
  <c r="BT70" i="15"/>
  <c r="BV70" i="15"/>
  <c r="AV71" i="15"/>
  <c r="AZ71" i="15"/>
  <c r="BH71" i="15"/>
  <c r="BN71" i="15"/>
  <c r="BP71" i="15"/>
  <c r="BR71" i="15"/>
  <c r="BT71" i="15"/>
  <c r="BV71" i="15"/>
  <c r="AZ72" i="15"/>
  <c r="BH72" i="15"/>
  <c r="BN72" i="15"/>
  <c r="BR72" i="15"/>
  <c r="BT72" i="15"/>
  <c r="BV72" i="15"/>
  <c r="BH73" i="15"/>
  <c r="BN73" i="15"/>
  <c r="BP73" i="15"/>
  <c r="BR73" i="15"/>
  <c r="BT73" i="15"/>
  <c r="BV73" i="15"/>
  <c r="AZ74" i="15"/>
  <c r="BH74" i="15"/>
  <c r="BN74" i="15"/>
  <c r="BR74" i="15"/>
  <c r="BT74" i="15"/>
  <c r="BV74" i="15"/>
  <c r="AZ75" i="15"/>
  <c r="BH75" i="15"/>
  <c r="BN75" i="15"/>
  <c r="BP75" i="15"/>
  <c r="BR75" i="15"/>
  <c r="BT75" i="15"/>
  <c r="BV75" i="15"/>
  <c r="BN76" i="15"/>
  <c r="BR76" i="15"/>
  <c r="BT76" i="15"/>
  <c r="BV76" i="15"/>
  <c r="BH77" i="15"/>
  <c r="BN77" i="15"/>
  <c r="BP77" i="15"/>
  <c r="BR77" i="15"/>
  <c r="BT77" i="15"/>
  <c r="BV77" i="15"/>
  <c r="AZ78" i="15"/>
  <c r="BH78" i="15"/>
  <c r="BN78" i="15"/>
  <c r="BR78" i="15"/>
  <c r="BT78" i="15"/>
  <c r="BV78" i="15"/>
  <c r="AZ79" i="15"/>
  <c r="BH79" i="15"/>
  <c r="BN79" i="15"/>
  <c r="BP79" i="15"/>
  <c r="BR79" i="15"/>
  <c r="BT79" i="15"/>
  <c r="BV79" i="15"/>
  <c r="BH80" i="15"/>
  <c r="BN80" i="15"/>
  <c r="BP80" i="15"/>
  <c r="BR80" i="15"/>
  <c r="BT80" i="15"/>
  <c r="BV80" i="15"/>
  <c r="BN81" i="15"/>
  <c r="BP81" i="15"/>
  <c r="BR81" i="15"/>
  <c r="BT81" i="15"/>
  <c r="BV81" i="15"/>
  <c r="R82" i="15"/>
  <c r="BH82" i="15"/>
  <c r="BN82" i="15"/>
  <c r="BR82" i="15"/>
  <c r="BT82" i="15"/>
  <c r="BV82" i="15"/>
  <c r="AZ83" i="15"/>
  <c r="BH83" i="15"/>
  <c r="BN83" i="15"/>
  <c r="BP83" i="15"/>
  <c r="BR83" i="15"/>
  <c r="BT83" i="15"/>
  <c r="BV83" i="15"/>
  <c r="BH84" i="15"/>
  <c r="BN84" i="15"/>
  <c r="BP84" i="15"/>
  <c r="BR84" i="15"/>
  <c r="BT84" i="15"/>
  <c r="BV84" i="15"/>
  <c r="BR85" i="15"/>
  <c r="BT85" i="15"/>
  <c r="BV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AZ89" i="15"/>
  <c r="BH89" i="15"/>
  <c r="BN89" i="15"/>
  <c r="BP89" i="15"/>
  <c r="BR89" i="15"/>
  <c r="BT89" i="15"/>
  <c r="BV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V91" i="15"/>
  <c r="BN93" i="15"/>
  <c r="BV93" i="15"/>
  <c r="AR95" i="15"/>
  <c r="AV95" i="15"/>
  <c r="BF95" i="15"/>
  <c r="BH95" i="15"/>
  <c r="BN95" i="15"/>
  <c r="BP95" i="15"/>
  <c r="BT95" i="15"/>
  <c r="BV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H98" i="15"/>
  <c r="BN98" i="15"/>
  <c r="BT98" i="15"/>
  <c r="BN100" i="15"/>
  <c r="BR100" i="15"/>
  <c r="BT100" i="15"/>
  <c r="BV100" i="15"/>
  <c r="BN101" i="15"/>
  <c r="BR101" i="15"/>
  <c r="BT101" i="15"/>
  <c r="BV101" i="15"/>
  <c r="BN102" i="15"/>
  <c r="BR102" i="15"/>
  <c r="BT102" i="15"/>
  <c r="BV102" i="15"/>
  <c r="R103" i="15"/>
  <c r="BN103" i="15"/>
  <c r="BR103" i="15"/>
  <c r="BT103" i="15"/>
  <c r="BV103" i="15"/>
  <c r="R104" i="15"/>
  <c r="BN104" i="15"/>
  <c r="BR104" i="15"/>
  <c r="BT104" i="15"/>
  <c r="BV104" i="15"/>
  <c r="R105" i="15"/>
  <c r="BN105" i="15"/>
  <c r="BT105" i="15"/>
  <c r="BV105" i="15"/>
  <c r="BR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BT107" i="15"/>
  <c r="BV107" i="15"/>
  <c r="R110" i="15"/>
  <c r="BN110" i="15"/>
  <c r="BR110" i="15"/>
  <c r="BT110" i="15"/>
  <c r="BV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BT112" i="15"/>
  <c r="BV112" i="15"/>
  <c r="R116" i="15"/>
  <c r="BN116" i="15"/>
  <c r="BR116" i="15"/>
  <c r="BT116" i="15"/>
  <c r="BV116" i="15"/>
  <c r="R117" i="15"/>
  <c r="BN117" i="15"/>
  <c r="BR117" i="15"/>
  <c r="BT117" i="15"/>
  <c r="BV117" i="15"/>
  <c r="R118" i="15"/>
  <c r="BN118" i="15"/>
  <c r="BR118" i="15"/>
  <c r="BT118" i="15"/>
  <c r="BV118" i="15"/>
  <c r="R119" i="15"/>
  <c r="BN119" i="15"/>
  <c r="BR119" i="15"/>
  <c r="BT119" i="15"/>
  <c r="BV119" i="15"/>
  <c r="R120" i="15"/>
  <c r="BN120" i="15"/>
  <c r="BR120" i="15"/>
  <c r="BT120" i="15"/>
  <c r="BV120" i="15"/>
  <c r="R121" i="15"/>
  <c r="BN121" i="15"/>
  <c r="BR121" i="15"/>
  <c r="BT121" i="15"/>
  <c r="BV121" i="15"/>
  <c r="R122" i="15"/>
  <c r="BN122" i="15"/>
  <c r="BR122" i="15"/>
  <c r="BT122" i="15"/>
  <c r="BV122" i="15"/>
  <c r="R123" i="15"/>
  <c r="BN123" i="15"/>
  <c r="BR123" i="15"/>
  <c r="BT123" i="15"/>
  <c r="BV123" i="15"/>
  <c r="R124" i="15"/>
  <c r="BN124" i="15"/>
  <c r="BR124" i="15"/>
  <c r="BT124" i="15"/>
  <c r="BV124" i="15"/>
  <c r="R125" i="15"/>
  <c r="BN125" i="15"/>
  <c r="BR125" i="15"/>
  <c r="BT125" i="15"/>
  <c r="BV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R127" i="15"/>
  <c r="BT127" i="15"/>
  <c r="BV127" i="15"/>
  <c r="BN131" i="15"/>
  <c r="BR131" i="15"/>
  <c r="BT131" i="15"/>
  <c r="BV131" i="15"/>
  <c r="AZ132" i="15"/>
  <c r="BN132" i="15"/>
  <c r="BR132" i="15"/>
  <c r="BT132" i="15"/>
  <c r="BV132" i="15"/>
  <c r="BN133" i="15"/>
  <c r="BR133" i="15"/>
  <c r="BT133" i="15"/>
  <c r="BV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N134" i="15"/>
  <c r="BP134" i="15"/>
  <c r="BR134" i="15"/>
  <c r="BT134" i="15"/>
  <c r="BV134" i="15"/>
  <c r="BD136" i="15"/>
  <c r="BN136" i="15"/>
  <c r="BR136" i="15"/>
  <c r="BT136" i="15"/>
  <c r="BV136" i="15"/>
  <c r="BN138" i="15"/>
  <c r="BR138" i="15"/>
  <c r="BT138" i="15"/>
  <c r="BV138" i="15"/>
  <c r="BN140" i="15"/>
  <c r="BR140" i="15"/>
  <c r="BT140" i="15"/>
  <c r="BV140" i="15"/>
  <c r="BN142" i="15"/>
  <c r="BR142" i="15"/>
  <c r="BT142" i="15"/>
  <c r="BV142" i="15"/>
  <c r="BN145" i="15"/>
  <c r="BR145" i="15"/>
  <c r="BT145" i="15"/>
  <c r="BV145" i="15"/>
  <c r="BN146" i="15"/>
  <c r="BR146" i="15"/>
  <c r="BT146" i="15"/>
  <c r="BV146" i="15"/>
  <c r="BN147" i="15"/>
  <c r="BR147" i="15"/>
  <c r="BT147" i="15"/>
  <c r="BV147" i="15"/>
  <c r="BR148" i="15"/>
  <c r="BT148" i="15"/>
  <c r="BV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P149" i="15"/>
  <c r="BR149" i="15"/>
  <c r="BT149" i="15"/>
  <c r="BV149" i="15"/>
  <c r="BN152" i="15"/>
  <c r="BR152" i="15"/>
  <c r="BT152" i="15"/>
  <c r="BV152" i="15"/>
  <c r="BN153" i="15"/>
  <c r="BR153" i="15"/>
  <c r="BT153" i="15"/>
  <c r="BV153" i="15"/>
  <c r="BN154" i="15"/>
  <c r="BR154" i="15"/>
  <c r="BT154" i="15"/>
  <c r="BV154" i="15"/>
  <c r="BN155" i="15"/>
  <c r="BR155" i="15"/>
  <c r="BT155" i="15"/>
  <c r="BV155" i="15"/>
  <c r="BN156" i="15"/>
  <c r="BR156" i="15"/>
  <c r="BT156" i="15"/>
  <c r="BV156" i="15"/>
  <c r="AN157" i="15"/>
  <c r="AZ157" i="15"/>
  <c r="BD157" i="15"/>
  <c r="BN157" i="15"/>
  <c r="BR157" i="15"/>
  <c r="BT157" i="15"/>
  <c r="BV157" i="15"/>
  <c r="BR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N159" i="15"/>
  <c r="BP159" i="15"/>
  <c r="BR159" i="15"/>
  <c r="BT159" i="15"/>
  <c r="BV159" i="15"/>
  <c r="Q162" i="15"/>
  <c r="BN162" i="15"/>
  <c r="BT162" i="15"/>
  <c r="BV162" i="15"/>
  <c r="O163" i="15"/>
  <c r="Q163" i="15"/>
  <c r="BN163" i="15"/>
  <c r="BR163" i="15"/>
  <c r="BT163" i="15"/>
  <c r="BV163" i="15"/>
  <c r="M164" i="15"/>
  <c r="O164" i="15"/>
  <c r="Q164" i="15"/>
  <c r="BB164" i="15"/>
  <c r="BN164" i="15"/>
  <c r="BR164" i="15"/>
  <c r="BT164" i="15"/>
  <c r="BV164" i="15"/>
  <c r="BB165" i="15"/>
  <c r="BN165" i="15"/>
  <c r="BR165" i="15"/>
  <c r="BT165" i="15"/>
  <c r="BV165" i="15"/>
  <c r="BN166" i="15"/>
  <c r="BR166" i="15"/>
  <c r="BT166" i="15"/>
  <c r="BV166" i="15"/>
  <c r="BB167" i="15"/>
  <c r="BN167" i="15"/>
  <c r="BR167" i="15"/>
  <c r="BT167" i="15"/>
  <c r="BV167" i="15"/>
  <c r="BB168" i="15"/>
  <c r="BN168" i="15"/>
  <c r="BR168" i="15"/>
  <c r="BT168" i="15"/>
  <c r="BV168" i="15"/>
  <c r="BB169" i="15"/>
  <c r="BN169" i="15"/>
  <c r="BR169" i="15"/>
  <c r="BT169" i="15"/>
  <c r="BV169" i="15"/>
  <c r="BB170" i="15"/>
  <c r="BN170" i="15"/>
  <c r="BR170" i="15"/>
  <c r="BT170" i="15"/>
  <c r="BV170" i="15"/>
  <c r="BB171" i="15"/>
  <c r="BN171" i="15"/>
  <c r="BR171" i="15"/>
  <c r="BT171" i="15"/>
  <c r="BV171" i="15"/>
  <c r="BB172" i="15"/>
  <c r="BN172" i="15"/>
  <c r="BR172" i="15"/>
  <c r="BT172" i="15"/>
  <c r="BV172" i="15"/>
  <c r="BB173" i="15"/>
  <c r="BN173" i="15"/>
  <c r="BR173" i="15"/>
  <c r="BT173" i="15"/>
  <c r="BV173" i="15"/>
  <c r="BB174" i="15"/>
  <c r="BN174" i="15"/>
  <c r="BR174" i="15"/>
  <c r="BT174" i="15"/>
  <c r="BV174" i="15"/>
  <c r="BB175" i="15"/>
  <c r="BN175" i="15"/>
  <c r="BR175" i="15"/>
  <c r="BT175" i="15"/>
  <c r="BV175" i="15"/>
  <c r="BB176" i="15"/>
  <c r="BN176" i="15"/>
  <c r="BR176" i="15"/>
  <c r="BT176" i="15"/>
  <c r="BV176" i="15"/>
  <c r="BB177" i="15"/>
  <c r="BN177" i="15"/>
  <c r="BR177" i="15"/>
  <c r="BT177" i="15"/>
  <c r="BV177" i="15"/>
  <c r="BB178" i="15"/>
  <c r="BN178" i="15"/>
  <c r="BR178" i="15"/>
  <c r="BT178" i="15"/>
  <c r="BV178" i="15"/>
  <c r="BB179" i="15"/>
  <c r="BN179" i="15"/>
  <c r="BR179" i="15"/>
  <c r="BT179" i="15"/>
  <c r="BV179" i="15"/>
  <c r="BN180" i="15"/>
  <c r="BT180" i="15"/>
  <c r="BV180" i="15"/>
  <c r="R181" i="15"/>
  <c r="BN181" i="15"/>
  <c r="BR181" i="15"/>
  <c r="BT181" i="15"/>
  <c r="BV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P182" i="15"/>
  <c r="BQ182" i="15"/>
  <c r="BR182" i="15"/>
  <c r="BS182" i="15"/>
  <c r="BT182" i="15"/>
  <c r="BU182" i="15"/>
  <c r="BV182" i="15"/>
  <c r="BW182" i="15"/>
  <c r="BN184" i="15"/>
  <c r="BR184" i="15"/>
  <c r="BT184" i="15"/>
  <c r="BV184" i="15"/>
  <c r="R187" i="15"/>
  <c r="BN187" i="15"/>
  <c r="BR187" i="15"/>
  <c r="BT187" i="15"/>
  <c r="BV187" i="15"/>
  <c r="BN188" i="15"/>
  <c r="BR188" i="15"/>
  <c r="BT188" i="15"/>
  <c r="BV188" i="15"/>
  <c r="BN189" i="15"/>
  <c r="BR189" i="15"/>
  <c r="BT189" i="15"/>
  <c r="BV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R190" i="15"/>
  <c r="BT190" i="15"/>
  <c r="BV190" i="15"/>
  <c r="BN192" i="15"/>
  <c r="BR192" i="15"/>
  <c r="BT192" i="15"/>
  <c r="BV192" i="15"/>
  <c r="AL194" i="15"/>
  <c r="BN194" i="15"/>
  <c r="BR194" i="15"/>
  <c r="BT194" i="15"/>
  <c r="BV194" i="15"/>
  <c r="AJ197" i="15"/>
  <c r="BN197" i="15"/>
  <c r="BR197" i="15"/>
  <c r="BT197" i="15"/>
  <c r="BV197" i="15"/>
  <c r="AT198" i="15"/>
  <c r="AV198" i="15"/>
  <c r="BN198" i="15"/>
  <c r="BR198" i="15"/>
  <c r="BT198" i="15"/>
  <c r="BV198" i="15"/>
  <c r="R199" i="15"/>
  <c r="BN199" i="15"/>
  <c r="BR199" i="15"/>
  <c r="BT199" i="15"/>
  <c r="BV199" i="15"/>
  <c r="P200" i="15"/>
  <c r="R200" i="15"/>
  <c r="AR200" i="15"/>
  <c r="AT200" i="15"/>
  <c r="AV200" i="15"/>
  <c r="BF200" i="15"/>
  <c r="BH200" i="15"/>
  <c r="BJ200" i="15"/>
  <c r="BN200" i="15"/>
  <c r="BR200" i="15"/>
  <c r="BT200" i="15"/>
  <c r="BV200" i="15"/>
  <c r="AT201" i="15"/>
  <c r="BN201" i="15"/>
  <c r="BR201" i="15"/>
  <c r="BT201" i="15"/>
  <c r="BV201" i="15"/>
  <c r="BN202" i="15"/>
  <c r="BT202" i="15"/>
  <c r="BV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N203" i="15"/>
  <c r="BO203" i="15"/>
  <c r="BP203" i="15"/>
  <c r="BQ203" i="15"/>
  <c r="BR203" i="15"/>
  <c r="BS203" i="15"/>
  <c r="BT203" i="15"/>
  <c r="BU203" i="15"/>
  <c r="BV203" i="15"/>
  <c r="BW203" i="15"/>
  <c r="P206" i="15"/>
  <c r="BF206" i="15"/>
  <c r="BN206" i="15"/>
  <c r="BR206" i="15"/>
  <c r="BT206" i="15"/>
  <c r="BV206" i="15"/>
  <c r="P207" i="15"/>
  <c r="AT207" i="15"/>
  <c r="BN207" i="15"/>
  <c r="BR207" i="15"/>
  <c r="BT207" i="15"/>
  <c r="BV207" i="15"/>
  <c r="BN208" i="15"/>
  <c r="BR208" i="15"/>
  <c r="BT208" i="15"/>
  <c r="BV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N209" i="15"/>
  <c r="BP209" i="15"/>
  <c r="BR209" i="15"/>
  <c r="BT209" i="15"/>
  <c r="BV209" i="15"/>
  <c r="P211" i="15"/>
  <c r="AN211" i="15"/>
  <c r="AP211" i="15"/>
  <c r="AR211" i="15"/>
  <c r="AT211" i="15"/>
  <c r="AV211" i="15"/>
  <c r="AX211" i="15"/>
  <c r="AZ211" i="15"/>
  <c r="BF211" i="15"/>
  <c r="BN211" i="15"/>
  <c r="BT211" i="15"/>
  <c r="BV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N213" i="15"/>
  <c r="BO213" i="15"/>
  <c r="BP213" i="15"/>
  <c r="BQ213" i="15"/>
  <c r="BR213" i="15"/>
  <c r="BS213" i="15"/>
  <c r="BT213" i="15"/>
  <c r="BU213" i="15"/>
  <c r="BV213" i="15"/>
  <c r="BW213" i="15"/>
  <c r="P215" i="15"/>
  <c r="R215" i="15"/>
  <c r="BN215" i="15"/>
  <c r="BR215" i="15"/>
  <c r="BT215" i="15"/>
  <c r="BV215" i="15"/>
  <c r="BN217" i="15"/>
  <c r="BT217" i="15"/>
  <c r="BV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N219" i="15"/>
  <c r="BO219" i="15"/>
  <c r="BP219" i="15"/>
  <c r="BQ219" i="15"/>
  <c r="BR219" i="15"/>
  <c r="BS219" i="15"/>
  <c r="BT219" i="15"/>
  <c r="BU219" i="15"/>
  <c r="BV219" i="15"/>
  <c r="BN222" i="15"/>
  <c r="BN223" i="15"/>
  <c r="BN224" i="15"/>
  <c r="BN226" i="15"/>
  <c r="BN229" i="15"/>
  <c r="BH234" i="15"/>
  <c r="BN234" i="15"/>
  <c r="BB235" i="15"/>
  <c r="BH235" i="15"/>
  <c r="BN235" i="15"/>
  <c r="BR235" i="15"/>
  <c r="BT235" i="15"/>
  <c r="BV235" i="15"/>
  <c r="BH236" i="15"/>
  <c r="BN236" i="15"/>
  <c r="BR236" i="15"/>
  <c r="BT236" i="15"/>
  <c r="BV236" i="15"/>
  <c r="BB237" i="15"/>
  <c r="BH237" i="15"/>
  <c r="BN237" i="15"/>
  <c r="BR237" i="15"/>
  <c r="BT237" i="15"/>
  <c r="BV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P238" i="15"/>
  <c r="BQ238" i="15"/>
  <c r="BR238" i="15"/>
  <c r="BS238" i="15"/>
  <c r="BT238" i="15"/>
  <c r="BU238" i="15"/>
  <c r="BV238" i="15"/>
  <c r="BW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N241" i="15"/>
  <c r="BO241" i="15"/>
  <c r="BP241" i="15"/>
  <c r="BQ241" i="15"/>
  <c r="BR241" i="15"/>
  <c r="BS241" i="15"/>
  <c r="BT241" i="15"/>
  <c r="BU241" i="15"/>
  <c r="BV241" i="15"/>
  <c r="BW241" i="15"/>
  <c r="BN247" i="15"/>
  <c r="BP248" i="15"/>
  <c r="BN251" i="15"/>
  <c r="BN256" i="15"/>
  <c r="BN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V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1" i="5"/>
  <c r="A117" i="5"/>
  <c r="A1" i="13"/>
  <c r="A2" i="13"/>
  <c r="BT2" i="13"/>
  <c r="BP3" i="13"/>
  <c r="BT3" i="13"/>
  <c r="BV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AD9" i="13"/>
  <c r="AV9" i="13"/>
  <c r="BD9" i="13"/>
  <c r="BL9" i="13"/>
  <c r="BN9" i="13"/>
  <c r="BP9" i="13"/>
  <c r="BR9" i="13"/>
  <c r="BT9" i="13"/>
  <c r="BL10" i="13"/>
  <c r="BN10" i="13"/>
  <c r="BP10" i="13"/>
  <c r="BR10" i="13"/>
  <c r="BT10" i="13"/>
  <c r="BT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R14" i="13"/>
  <c r="BL14" i="13"/>
  <c r="BP14" i="13"/>
  <c r="BR14" i="13"/>
  <c r="BT14" i="13"/>
  <c r="AX15" i="13"/>
  <c r="BL15" i="13"/>
  <c r="BN15" i="13"/>
  <c r="BP15" i="13"/>
  <c r="BR15" i="13"/>
  <c r="BT15" i="13"/>
  <c r="BL16" i="13"/>
  <c r="BP16" i="13"/>
  <c r="BR16" i="13"/>
  <c r="BT16" i="13"/>
  <c r="BL17" i="13"/>
  <c r="BP17" i="13"/>
  <c r="BR17" i="13"/>
  <c r="BT17" i="13"/>
  <c r="BL18" i="13"/>
  <c r="BP18" i="13"/>
  <c r="BR18" i="13"/>
  <c r="BT18" i="13"/>
  <c r="BL19" i="13"/>
  <c r="BP19" i="13"/>
  <c r="BR19" i="13"/>
  <c r="BT19" i="13"/>
  <c r="BL20" i="13"/>
  <c r="BP20" i="13"/>
  <c r="BR20" i="13"/>
  <c r="BT20" i="13"/>
  <c r="BL21" i="13"/>
  <c r="BP21" i="13"/>
  <c r="BR21" i="13"/>
  <c r="BT21" i="13"/>
  <c r="R22" i="13"/>
  <c r="BL22" i="13"/>
  <c r="BP22" i="13"/>
  <c r="BR22" i="13"/>
  <c r="BT22" i="13"/>
  <c r="R23" i="13"/>
  <c r="BL23" i="13"/>
  <c r="BP23" i="13"/>
  <c r="BR23" i="13"/>
  <c r="BT23" i="13"/>
  <c r="R24" i="13"/>
  <c r="BL24" i="13"/>
  <c r="BP24" i="13"/>
  <c r="BR24" i="13"/>
  <c r="BT24" i="13"/>
  <c r="R25" i="13"/>
  <c r="BL25" i="13"/>
  <c r="BP25" i="13"/>
  <c r="BR25" i="13"/>
  <c r="BT25" i="13"/>
  <c r="R26" i="13"/>
  <c r="BL26" i="13"/>
  <c r="BP26" i="13"/>
  <c r="BR26" i="13"/>
  <c r="BT26" i="13"/>
  <c r="R27" i="13"/>
  <c r="BL27" i="13"/>
  <c r="BP27" i="13"/>
  <c r="BR27" i="13"/>
  <c r="BT27" i="13"/>
  <c r="R28" i="13"/>
  <c r="BL28" i="13"/>
  <c r="BP28" i="13"/>
  <c r="BR28" i="13"/>
  <c r="BT28" i="13"/>
  <c r="R29" i="13"/>
  <c r="BL29" i="13"/>
  <c r="BP29" i="13"/>
  <c r="BR29" i="13"/>
  <c r="BT29" i="13"/>
  <c r="BL30" i="13"/>
  <c r="BP30" i="13"/>
  <c r="BR30" i="13"/>
  <c r="BT30" i="13"/>
  <c r="BP31" i="13"/>
  <c r="BR31" i="13"/>
  <c r="BT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AT40" i="13"/>
  <c r="AX40" i="13"/>
  <c r="BL40" i="13"/>
  <c r="BN40" i="13"/>
  <c r="BP40" i="13"/>
  <c r="BR40" i="13"/>
  <c r="BT40" i="13"/>
  <c r="AP41" i="13"/>
  <c r="AT41" i="13"/>
  <c r="AX41" i="13"/>
  <c r="BL41" i="13"/>
  <c r="BN41" i="13"/>
  <c r="BP41" i="13"/>
  <c r="BR41" i="13"/>
  <c r="BT41" i="13"/>
  <c r="AP42" i="13"/>
  <c r="AT42" i="13"/>
  <c r="AX42" i="13"/>
  <c r="BL42" i="13"/>
  <c r="BN42" i="13"/>
  <c r="BP42" i="13"/>
  <c r="BR42" i="13"/>
  <c r="BT42" i="13"/>
  <c r="AT43" i="13"/>
  <c r="AX43" i="13"/>
  <c r="BL43" i="13"/>
  <c r="BN43" i="13"/>
  <c r="BP43" i="13"/>
  <c r="BR43" i="13"/>
  <c r="BT43" i="13"/>
  <c r="AT44" i="13"/>
  <c r="AX44" i="13"/>
  <c r="BL44" i="13"/>
  <c r="BP44" i="13"/>
  <c r="BR44" i="13"/>
  <c r="BT44" i="13"/>
  <c r="BL45" i="13"/>
  <c r="BP45" i="13"/>
  <c r="BR45" i="13"/>
  <c r="BT45" i="13"/>
  <c r="BL46" i="13"/>
  <c r="BP46" i="13"/>
  <c r="BR46" i="13"/>
  <c r="BT46" i="13"/>
  <c r="BL47" i="13"/>
  <c r="BP47" i="13"/>
  <c r="BR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L50" i="13"/>
  <c r="BL51" i="13"/>
  <c r="BP51" i="13"/>
  <c r="BR51" i="13"/>
  <c r="BT51" i="13"/>
  <c r="AT52" i="13"/>
  <c r="AX52" i="13"/>
  <c r="BL52" i="13"/>
  <c r="BN52" i="13"/>
  <c r="BP52" i="13"/>
  <c r="BR52" i="13"/>
  <c r="BT52" i="13"/>
  <c r="BL53" i="13"/>
  <c r="BN53" i="13"/>
  <c r="BP53" i="13"/>
  <c r="BR53" i="13"/>
  <c r="BT53" i="13"/>
  <c r="AX54" i="13"/>
  <c r="BL54" i="13"/>
  <c r="BN54" i="13"/>
  <c r="BP54" i="13"/>
  <c r="BR54" i="13"/>
  <c r="BT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R58" i="13"/>
  <c r="AX58" i="13"/>
  <c r="BL58" i="13"/>
  <c r="BN58" i="13"/>
  <c r="BP58" i="13"/>
  <c r="BR58" i="13"/>
  <c r="BT58" i="13"/>
  <c r="AX59" i="13"/>
  <c r="BL59" i="13"/>
  <c r="BM59" i="13"/>
  <c r="BO59" i="13"/>
  <c r="BP59" i="13"/>
  <c r="BQ59" i="13"/>
  <c r="BR59" i="13"/>
  <c r="BS59" i="13"/>
  <c r="BT59" i="13"/>
  <c r="AT60" i="13"/>
  <c r="AX60" i="13"/>
  <c r="BL60" i="13"/>
  <c r="BM60" i="13"/>
  <c r="BN60" i="13"/>
  <c r="BO60" i="13"/>
  <c r="BP60" i="13"/>
  <c r="BQ60" i="13"/>
  <c r="BR60" i="13"/>
  <c r="BS60" i="13"/>
  <c r="BT60" i="13"/>
  <c r="AT61" i="13"/>
  <c r="AX61" i="13"/>
  <c r="BL61" i="13"/>
  <c r="BP61" i="13"/>
  <c r="BR61" i="13"/>
  <c r="BT61" i="13"/>
  <c r="AT62" i="13"/>
  <c r="AX62" i="13"/>
  <c r="BL62" i="13"/>
  <c r="BN62" i="13"/>
  <c r="BP62" i="13"/>
  <c r="BR62" i="13"/>
  <c r="BT62" i="13"/>
  <c r="AT63" i="13"/>
  <c r="AX63" i="13"/>
  <c r="BL63" i="13"/>
  <c r="BP63" i="13"/>
  <c r="BR63" i="13"/>
  <c r="BT63" i="13"/>
  <c r="AT64" i="13"/>
  <c r="AX64" i="13"/>
  <c r="BL64" i="13"/>
  <c r="BN64" i="13"/>
  <c r="BP64" i="13"/>
  <c r="BR64" i="13"/>
  <c r="BT64" i="13"/>
  <c r="AX65" i="13"/>
  <c r="BL65" i="13"/>
  <c r="BP65" i="13"/>
  <c r="BR65" i="13"/>
  <c r="BT65" i="13"/>
  <c r="AX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AX67" i="13"/>
  <c r="BL67" i="13"/>
  <c r="BP67" i="13"/>
  <c r="BR67" i="13"/>
  <c r="BT67" i="13"/>
  <c r="AX68" i="13"/>
  <c r="BL68" i="13"/>
  <c r="BN68" i="13"/>
  <c r="BP68" i="13"/>
  <c r="BR68" i="13"/>
  <c r="BT68" i="13"/>
  <c r="BL69" i="13"/>
  <c r="BP69" i="13"/>
  <c r="BR69" i="13"/>
  <c r="BT69" i="13"/>
  <c r="AX70" i="13"/>
  <c r="BL70" i="13"/>
  <c r="BP70" i="13"/>
  <c r="BR70" i="13"/>
  <c r="BT70" i="13"/>
  <c r="BL71" i="13"/>
  <c r="BP71" i="13"/>
  <c r="BR71" i="13"/>
  <c r="BT71" i="13"/>
  <c r="AX72" i="13"/>
  <c r="BL72" i="13"/>
  <c r="BN72" i="13"/>
  <c r="BP72" i="13"/>
  <c r="BR72" i="13"/>
  <c r="BT72" i="13"/>
  <c r="AX73" i="13"/>
  <c r="BL73" i="13"/>
  <c r="BN73" i="13"/>
  <c r="BP73" i="13"/>
  <c r="BR73" i="13"/>
  <c r="BT73" i="13"/>
  <c r="AX74" i="13"/>
  <c r="BL74" i="13"/>
  <c r="BN74" i="13"/>
  <c r="BP74" i="13"/>
  <c r="BR74" i="13"/>
  <c r="BT74" i="13"/>
  <c r="R75" i="13"/>
  <c r="BL75" i="13"/>
  <c r="BP75" i="13"/>
  <c r="BR75" i="13"/>
  <c r="BT75" i="13"/>
  <c r="AP76" i="13"/>
  <c r="AT76" i="13"/>
  <c r="AX76" i="13"/>
  <c r="BL76" i="13"/>
  <c r="BN76" i="13"/>
  <c r="BP76" i="13"/>
  <c r="BR76" i="13"/>
  <c r="BT76" i="13"/>
  <c r="AX77" i="13"/>
  <c r="BL77" i="13"/>
  <c r="BN77" i="13"/>
  <c r="BP77" i="13"/>
  <c r="BR77" i="13"/>
  <c r="BT77" i="13"/>
  <c r="AX78" i="13"/>
  <c r="BL78" i="13"/>
  <c r="BP78" i="13"/>
  <c r="BR78" i="13"/>
  <c r="BT78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AX83" i="13"/>
  <c r="BL83" i="13"/>
  <c r="BN83" i="13"/>
  <c r="BP83" i="13"/>
  <c r="BR83" i="13"/>
  <c r="BT83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AT87" i="13"/>
  <c r="BL87" i="13"/>
  <c r="BT87" i="13"/>
  <c r="AP89" i="13"/>
  <c r="AT89" i="13"/>
  <c r="AZ89" i="13"/>
  <c r="BD89" i="13"/>
  <c r="BL89" i="13"/>
  <c r="BN89" i="13"/>
  <c r="BP89" i="13"/>
  <c r="BR89" i="13"/>
  <c r="BT89" i="13"/>
  <c r="N91" i="13"/>
  <c r="P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AH95" i="13"/>
  <c r="BL95" i="13"/>
  <c r="BP95" i="13"/>
  <c r="BR95" i="13"/>
  <c r="BT95" i="13"/>
  <c r="AH96" i="13"/>
  <c r="BL96" i="13"/>
  <c r="BP96" i="13"/>
  <c r="BR96" i="13"/>
  <c r="BT96" i="13"/>
  <c r="BL97" i="13"/>
  <c r="BP97" i="13"/>
  <c r="BR97" i="13"/>
  <c r="BT97" i="13"/>
  <c r="R98" i="13"/>
  <c r="BL98" i="13"/>
  <c r="BP98" i="13"/>
  <c r="BR98" i="13"/>
  <c r="BT98" i="13"/>
  <c r="R99" i="13"/>
  <c r="BL99" i="13"/>
  <c r="BP99" i="13"/>
  <c r="BR99" i="13"/>
  <c r="BT99" i="13"/>
  <c r="R100" i="13"/>
  <c r="BL100" i="13"/>
  <c r="BP100" i="13"/>
  <c r="BR100" i="13"/>
  <c r="BT100" i="13"/>
  <c r="BP101" i="13"/>
  <c r="BT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L105" i="13"/>
  <c r="BP105" i="13"/>
  <c r="BR105" i="13"/>
  <c r="BT105" i="13"/>
  <c r="BT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L112" i="13"/>
  <c r="BP112" i="13"/>
  <c r="BR112" i="13"/>
  <c r="BT112" i="13"/>
  <c r="AX113" i="13"/>
  <c r="BL113" i="13"/>
  <c r="BP113" i="13"/>
  <c r="BR113" i="13"/>
  <c r="BT113" i="13"/>
  <c r="BL114" i="13"/>
  <c r="BP114" i="13"/>
  <c r="BR114" i="13"/>
  <c r="BT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L117" i="13"/>
  <c r="BP117" i="13"/>
  <c r="BR117" i="13"/>
  <c r="BT117" i="13"/>
  <c r="BL119" i="13"/>
  <c r="BP119" i="13"/>
  <c r="BR119" i="13"/>
  <c r="BT119" i="13"/>
  <c r="BL121" i="13"/>
  <c r="BP121" i="13"/>
  <c r="BR121" i="13"/>
  <c r="BT121" i="13"/>
  <c r="BL123" i="13"/>
  <c r="BP123" i="13"/>
  <c r="BR123" i="13"/>
  <c r="BT123" i="13"/>
  <c r="BL126" i="13"/>
  <c r="BP126" i="13"/>
  <c r="BR126" i="13"/>
  <c r="BT126" i="13"/>
  <c r="BL127" i="13"/>
  <c r="BP127" i="13"/>
  <c r="BR127" i="13"/>
  <c r="BT127" i="13"/>
  <c r="R128" i="13"/>
  <c r="AL128" i="13"/>
  <c r="AN128" i="13"/>
  <c r="AV128" i="13"/>
  <c r="BL128" i="13"/>
  <c r="BP128" i="13"/>
  <c r="BR128" i="13"/>
  <c r="BT128" i="13"/>
  <c r="BP129" i="13"/>
  <c r="BR129" i="13"/>
  <c r="BT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L133" i="13"/>
  <c r="BP133" i="13"/>
  <c r="BR133" i="13"/>
  <c r="BT133" i="13"/>
  <c r="BL134" i="13"/>
  <c r="BP134" i="13"/>
  <c r="BR134" i="13"/>
  <c r="BT134" i="13"/>
  <c r="Z135" i="13"/>
  <c r="AB135" i="13"/>
  <c r="AR135" i="13"/>
  <c r="BH135" i="13"/>
  <c r="BL135" i="13"/>
  <c r="BP135" i="13"/>
  <c r="BR135" i="13"/>
  <c r="BT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H139" i="13"/>
  <c r="BL139" i="13"/>
  <c r="BP139" i="13"/>
  <c r="BR139" i="13"/>
  <c r="BT139" i="13"/>
  <c r="BL141" i="13"/>
  <c r="BP141" i="13"/>
  <c r="BR141" i="13"/>
  <c r="BT141" i="13"/>
  <c r="R144" i="13"/>
  <c r="BL144" i="13"/>
  <c r="BP144" i="13"/>
  <c r="BR144" i="13"/>
  <c r="BT144" i="13"/>
  <c r="BL145" i="13"/>
  <c r="BP145" i="13"/>
  <c r="BR145" i="13"/>
  <c r="BT145" i="13"/>
  <c r="BL146" i="13"/>
  <c r="BP146" i="13"/>
  <c r="BR146" i="13"/>
  <c r="BT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L149" i="13"/>
  <c r="BP149" i="13"/>
  <c r="BR149" i="13"/>
  <c r="BT149" i="13"/>
  <c r="AB151" i="13"/>
  <c r="AD151" i="13"/>
  <c r="BL151" i="13"/>
  <c r="BP151" i="13"/>
  <c r="BR151" i="13"/>
  <c r="BT151" i="13"/>
  <c r="BJ154" i="13"/>
  <c r="BL154" i="13"/>
  <c r="BP154" i="13"/>
  <c r="BR154" i="13"/>
  <c r="BT154" i="13"/>
  <c r="Z155" i="13"/>
  <c r="AD155" i="13"/>
  <c r="BL155" i="13"/>
  <c r="BP155" i="13"/>
  <c r="BR155" i="13"/>
  <c r="BT155" i="13"/>
  <c r="BL156" i="13"/>
  <c r="BP156" i="13"/>
  <c r="BR156" i="13"/>
  <c r="BT156" i="13"/>
  <c r="P157" i="13"/>
  <c r="AD157" i="13"/>
  <c r="AP157" i="13"/>
  <c r="AR157" i="13"/>
  <c r="AZ157" i="13"/>
  <c r="BB157" i="13"/>
  <c r="BD157" i="13"/>
  <c r="BH157" i="13"/>
  <c r="BL157" i="13"/>
  <c r="BP157" i="13"/>
  <c r="BR157" i="13"/>
  <c r="BT157" i="13"/>
  <c r="AR158" i="13"/>
  <c r="BL158" i="13"/>
  <c r="BP158" i="13"/>
  <c r="BR158" i="13"/>
  <c r="BT158" i="13"/>
  <c r="AH159" i="13"/>
  <c r="BL159" i="13"/>
  <c r="BP159" i="13"/>
  <c r="BR159" i="13"/>
  <c r="BT159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BS160" i="13"/>
  <c r="BT160" i="13"/>
  <c r="P163" i="13"/>
  <c r="BL163" i="13"/>
  <c r="BP163" i="13"/>
  <c r="BR163" i="13"/>
  <c r="BT163" i="13"/>
  <c r="AR164" i="13"/>
  <c r="BL164" i="13"/>
  <c r="BP164" i="13"/>
  <c r="BR164" i="13"/>
  <c r="BT164" i="13"/>
  <c r="AR165" i="13"/>
  <c r="BD165" i="13"/>
  <c r="BJ165" i="13"/>
  <c r="BL165" i="13"/>
  <c r="BP165" i="13"/>
  <c r="BR165" i="13"/>
  <c r="BT165" i="13"/>
  <c r="BL166" i="13"/>
  <c r="BP166" i="13"/>
  <c r="BR166" i="13"/>
  <c r="BT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L169" i="13"/>
  <c r="BR169" i="13"/>
  <c r="BT169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P173" i="13"/>
  <c r="R173" i="13"/>
  <c r="BP173" i="13"/>
  <c r="BR173" i="13"/>
  <c r="BT173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BS176" i="13"/>
  <c r="BT176" i="13"/>
  <c r="BR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L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L180" i="13"/>
  <c r="BL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L183" i="13"/>
  <c r="BD184" i="13"/>
  <c r="BD186" i="13"/>
  <c r="BL186" i="13"/>
  <c r="BD187" i="13"/>
  <c r="A1" i="12"/>
  <c r="A2" i="12"/>
  <c r="BT2" i="12"/>
  <c r="BP3" i="12"/>
  <c r="BT3" i="12"/>
  <c r="BV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L9" i="12"/>
  <c r="BN9" i="12"/>
  <c r="BP9" i="12"/>
  <c r="BR9" i="12"/>
  <c r="BT9" i="12"/>
  <c r="BL10" i="12"/>
  <c r="BP10" i="12"/>
  <c r="BR10" i="12"/>
  <c r="BT10" i="12"/>
  <c r="BP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BP12" i="12"/>
  <c r="BR12" i="12"/>
  <c r="BT12" i="12"/>
  <c r="R14" i="12"/>
  <c r="BL14" i="12"/>
  <c r="BP14" i="12"/>
  <c r="BR14" i="12"/>
  <c r="BT14" i="12"/>
  <c r="AH15" i="12"/>
  <c r="BL15" i="12"/>
  <c r="BN15" i="12"/>
  <c r="BP15" i="12"/>
  <c r="BR15" i="12"/>
  <c r="BT15" i="12"/>
  <c r="BP16" i="12"/>
  <c r="BR16" i="12"/>
  <c r="BT16" i="12"/>
  <c r="BP17" i="12"/>
  <c r="BR17" i="12"/>
  <c r="BT17" i="12"/>
  <c r="BP18" i="12"/>
  <c r="BR18" i="12"/>
  <c r="BT18" i="12"/>
  <c r="BP19" i="12"/>
  <c r="BR19" i="12"/>
  <c r="BT19" i="12"/>
  <c r="BP20" i="12"/>
  <c r="BR20" i="12"/>
  <c r="BT20" i="12"/>
  <c r="R21" i="12"/>
  <c r="BL21" i="12"/>
  <c r="BP21" i="12"/>
  <c r="BR21" i="12"/>
  <c r="BT21" i="12"/>
  <c r="R22" i="12"/>
  <c r="BL22" i="12"/>
  <c r="BP22" i="12"/>
  <c r="BR22" i="12"/>
  <c r="BT22" i="12"/>
  <c r="R23" i="12"/>
  <c r="BL23" i="12"/>
  <c r="BP23" i="12"/>
  <c r="BR23" i="12"/>
  <c r="BT23" i="12"/>
  <c r="R24" i="12"/>
  <c r="BL24" i="12"/>
  <c r="BP24" i="12"/>
  <c r="BR24" i="12"/>
  <c r="BT24" i="12"/>
  <c r="R25" i="12"/>
  <c r="BL25" i="12"/>
  <c r="BP25" i="12"/>
  <c r="BR25" i="12"/>
  <c r="BT25" i="12"/>
  <c r="R26" i="12"/>
  <c r="BL26" i="12"/>
  <c r="BP26" i="12"/>
  <c r="BR26" i="12"/>
  <c r="BT26" i="12"/>
  <c r="R27" i="12"/>
  <c r="BL27" i="12"/>
  <c r="BP27" i="12"/>
  <c r="BR27" i="12"/>
  <c r="BT27" i="12"/>
  <c r="R28" i="12"/>
  <c r="BL28" i="12"/>
  <c r="BP28" i="12"/>
  <c r="BR28" i="12"/>
  <c r="BT28" i="12"/>
  <c r="BL29" i="12"/>
  <c r="BP29" i="12"/>
  <c r="BR29" i="12"/>
  <c r="BT29" i="12"/>
  <c r="BP30" i="12"/>
  <c r="BR30" i="12"/>
  <c r="BT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L31" i="12"/>
  <c r="BN31" i="12"/>
  <c r="BP31" i="12"/>
  <c r="BR31" i="12"/>
  <c r="BT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L33" i="12"/>
  <c r="BN33" i="12"/>
  <c r="BP33" i="12"/>
  <c r="BR33" i="12"/>
  <c r="BT33" i="12"/>
  <c r="AR39" i="12"/>
  <c r="AT39" i="12"/>
  <c r="AX39" i="12"/>
  <c r="BD39" i="12"/>
  <c r="BF39" i="12"/>
  <c r="BL39" i="12"/>
  <c r="BN39" i="12"/>
  <c r="BP39" i="12"/>
  <c r="BR39" i="12"/>
  <c r="BT39" i="12"/>
  <c r="AP40" i="12"/>
  <c r="AR40" i="12"/>
  <c r="AT40" i="12"/>
  <c r="AX40" i="12"/>
  <c r="BD40" i="12"/>
  <c r="BF40" i="12"/>
  <c r="BL40" i="12"/>
  <c r="BN40" i="12"/>
  <c r="BP40" i="12"/>
  <c r="BR40" i="12"/>
  <c r="BT40" i="12"/>
  <c r="AP41" i="12"/>
  <c r="AR41" i="12"/>
  <c r="AT41" i="12"/>
  <c r="AX41" i="12"/>
  <c r="BD41" i="12"/>
  <c r="BF41" i="12"/>
  <c r="BL41" i="12"/>
  <c r="BN41" i="12"/>
  <c r="BP41" i="12"/>
  <c r="BR41" i="12"/>
  <c r="BT41" i="12"/>
  <c r="R42" i="12"/>
  <c r="AP42" i="12"/>
  <c r="AR42" i="12"/>
  <c r="AT42" i="12"/>
  <c r="AX42" i="12"/>
  <c r="BD42" i="12"/>
  <c r="BF42" i="12"/>
  <c r="BL42" i="12"/>
  <c r="BN42" i="12"/>
  <c r="BP42" i="12"/>
  <c r="BR42" i="12"/>
  <c r="BT42" i="12"/>
  <c r="AR43" i="12"/>
  <c r="AT43" i="12"/>
  <c r="AX43" i="12"/>
  <c r="BD43" i="12"/>
  <c r="BL43" i="12"/>
  <c r="BN43" i="12"/>
  <c r="BP43" i="12"/>
  <c r="BR43" i="12"/>
  <c r="BT43" i="12"/>
  <c r="BL44" i="12"/>
  <c r="BN44" i="12"/>
  <c r="BP44" i="12"/>
  <c r="BR44" i="12"/>
  <c r="BT44" i="12"/>
  <c r="BL45" i="12"/>
  <c r="BN45" i="12"/>
  <c r="BP45" i="12"/>
  <c r="BR45" i="12"/>
  <c r="BT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L46" i="12"/>
  <c r="BN46" i="12"/>
  <c r="BP46" i="12"/>
  <c r="BQ46" i="12"/>
  <c r="BR46" i="12"/>
  <c r="BS46" i="12"/>
  <c r="BT46" i="12"/>
  <c r="AT49" i="12"/>
  <c r="AX49" i="12"/>
  <c r="BD49" i="12"/>
  <c r="BF49" i="12"/>
  <c r="BL49" i="12"/>
  <c r="BN49" i="12"/>
  <c r="BP49" i="12"/>
  <c r="BR49" i="12"/>
  <c r="BT49" i="12"/>
  <c r="AR50" i="12"/>
  <c r="AT50" i="12"/>
  <c r="AX50" i="12"/>
  <c r="BD50" i="12"/>
  <c r="BF50" i="12"/>
  <c r="BL50" i="12"/>
  <c r="BN50" i="12"/>
  <c r="BP50" i="12"/>
  <c r="BR50" i="12"/>
  <c r="BT50" i="12"/>
  <c r="AT51" i="12"/>
  <c r="AX51" i="12"/>
  <c r="BD51" i="12"/>
  <c r="BF51" i="12"/>
  <c r="BL51" i="12"/>
  <c r="BN51" i="12"/>
  <c r="BP51" i="12"/>
  <c r="BR51" i="12"/>
  <c r="BT51" i="12"/>
  <c r="AX52" i="12"/>
  <c r="BD52" i="12"/>
  <c r="BF52" i="12"/>
  <c r="BL52" i="12"/>
  <c r="BN52" i="12"/>
  <c r="BP52" i="12"/>
  <c r="BR52" i="12"/>
  <c r="BT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L53" i="12"/>
  <c r="BN53" i="12"/>
  <c r="BP53" i="12"/>
  <c r="BQ53" i="12"/>
  <c r="BR53" i="12"/>
  <c r="BS53" i="12"/>
  <c r="BT53" i="12"/>
  <c r="R56" i="12"/>
  <c r="AT56" i="12"/>
  <c r="BD56" i="12"/>
  <c r="BF56" i="12"/>
  <c r="BL56" i="12"/>
  <c r="BN56" i="12"/>
  <c r="BP56" i="12"/>
  <c r="BR56" i="12"/>
  <c r="BT56" i="12"/>
  <c r="BF57" i="12"/>
  <c r="BL57" i="12"/>
  <c r="BN57" i="12"/>
  <c r="BP57" i="12"/>
  <c r="BR57" i="12"/>
  <c r="BT57" i="12"/>
  <c r="AT58" i="12"/>
  <c r="AX58" i="12"/>
  <c r="BD58" i="12"/>
  <c r="BF58" i="12"/>
  <c r="BL58" i="12"/>
  <c r="BN58" i="12"/>
  <c r="BP58" i="12"/>
  <c r="BR58" i="12"/>
  <c r="BT58" i="12"/>
  <c r="AX59" i="12"/>
  <c r="BD59" i="12"/>
  <c r="BF59" i="12"/>
  <c r="BL59" i="12"/>
  <c r="BN59" i="12"/>
  <c r="BP59" i="12"/>
  <c r="BR59" i="12"/>
  <c r="BT59" i="12"/>
  <c r="AT60" i="12"/>
  <c r="AX60" i="12"/>
  <c r="BD60" i="12"/>
  <c r="BF60" i="12"/>
  <c r="BL60" i="12"/>
  <c r="BN60" i="12"/>
  <c r="BP60" i="12"/>
  <c r="BR60" i="12"/>
  <c r="BT60" i="12"/>
  <c r="AT61" i="12"/>
  <c r="AX61" i="12"/>
  <c r="BD61" i="12"/>
  <c r="BL61" i="12"/>
  <c r="BN61" i="12"/>
  <c r="BP61" i="12"/>
  <c r="BR61" i="12"/>
  <c r="BT61" i="12"/>
  <c r="AX62" i="12"/>
  <c r="BD62" i="12"/>
  <c r="BF62" i="12"/>
  <c r="BL62" i="12"/>
  <c r="BN62" i="12"/>
  <c r="BP62" i="12"/>
  <c r="BR62" i="12"/>
  <c r="BT62" i="12"/>
  <c r="AT63" i="12"/>
  <c r="AX63" i="12"/>
  <c r="BD63" i="12"/>
  <c r="BF63" i="12"/>
  <c r="BL63" i="12"/>
  <c r="BN63" i="12"/>
  <c r="BP63" i="12"/>
  <c r="BR63" i="12"/>
  <c r="BT63" i="12"/>
  <c r="AX64" i="12"/>
  <c r="BD64" i="12"/>
  <c r="BF64" i="12"/>
  <c r="BL64" i="12"/>
  <c r="BN64" i="12"/>
  <c r="BP64" i="12"/>
  <c r="BR64" i="12"/>
  <c r="BT64" i="12"/>
  <c r="AT65" i="12"/>
  <c r="AX65" i="12"/>
  <c r="BD65" i="12"/>
  <c r="BF65" i="12"/>
  <c r="BL65" i="12"/>
  <c r="BN65" i="12"/>
  <c r="BP65" i="12"/>
  <c r="BR65" i="12"/>
  <c r="BT65" i="12"/>
  <c r="AX66" i="12"/>
  <c r="BD66" i="12"/>
  <c r="BF66" i="12"/>
  <c r="BL66" i="12"/>
  <c r="BN66" i="12"/>
  <c r="BP66" i="12"/>
  <c r="BR66" i="12"/>
  <c r="BT66" i="12"/>
  <c r="AX67" i="12"/>
  <c r="BD67" i="12"/>
  <c r="BL67" i="12"/>
  <c r="BN67" i="12"/>
  <c r="BP67" i="12"/>
  <c r="BR67" i="12"/>
  <c r="BT67" i="12"/>
  <c r="BD68" i="12"/>
  <c r="BF68" i="12"/>
  <c r="BL68" i="12"/>
  <c r="BN68" i="12"/>
  <c r="BP68" i="12"/>
  <c r="BR68" i="12"/>
  <c r="BT68" i="12"/>
  <c r="AX69" i="12"/>
  <c r="BD69" i="12"/>
  <c r="BF69" i="12"/>
  <c r="BL69" i="12"/>
  <c r="BN69" i="12"/>
  <c r="BP69" i="12"/>
  <c r="BR69" i="12"/>
  <c r="BT69" i="12"/>
  <c r="AT70" i="12"/>
  <c r="AX70" i="12"/>
  <c r="BD70" i="12"/>
  <c r="BF70" i="12"/>
  <c r="BL70" i="12"/>
  <c r="BN70" i="12"/>
  <c r="BP70" i="12"/>
  <c r="BR70" i="12"/>
  <c r="BT70" i="12"/>
  <c r="AX71" i="12"/>
  <c r="BD71" i="12"/>
  <c r="BF71" i="12"/>
  <c r="BL71" i="12"/>
  <c r="BN71" i="12"/>
  <c r="BP71" i="12"/>
  <c r="BR71" i="12"/>
  <c r="BT71" i="12"/>
  <c r="AX72" i="12"/>
  <c r="BD72" i="12"/>
  <c r="BF72" i="12"/>
  <c r="BL72" i="12"/>
  <c r="BN72" i="12"/>
  <c r="BP72" i="12"/>
  <c r="BR72" i="12"/>
  <c r="BT72" i="12"/>
  <c r="R73" i="12"/>
  <c r="BD73" i="12"/>
  <c r="BF73" i="12"/>
  <c r="BL73" i="12"/>
  <c r="BN73" i="12"/>
  <c r="BP73" i="12"/>
  <c r="BR73" i="12"/>
  <c r="BT73" i="12"/>
  <c r="AT74" i="12"/>
  <c r="AX74" i="12"/>
  <c r="BD74" i="12"/>
  <c r="BF74" i="12"/>
  <c r="BL74" i="12"/>
  <c r="BN74" i="12"/>
  <c r="BP74" i="12"/>
  <c r="BR74" i="12"/>
  <c r="BT74" i="12"/>
  <c r="BD75" i="12"/>
  <c r="BF75" i="12"/>
  <c r="BL75" i="12"/>
  <c r="BN75" i="12"/>
  <c r="BP75" i="12"/>
  <c r="BR75" i="12"/>
  <c r="BT75" i="12"/>
  <c r="BL76" i="12"/>
  <c r="BP76" i="12"/>
  <c r="BR76" i="12"/>
  <c r="BT76" i="12"/>
  <c r="AX77" i="12"/>
  <c r="BD77" i="12"/>
  <c r="BF77" i="12"/>
  <c r="BL77" i="12"/>
  <c r="BN77" i="12"/>
  <c r="BP77" i="12"/>
  <c r="BR77" i="12"/>
  <c r="BT77" i="12"/>
  <c r="AX78" i="12"/>
  <c r="BD78" i="12"/>
  <c r="BF78" i="12"/>
  <c r="BL78" i="12"/>
  <c r="BN78" i="12"/>
  <c r="BT78" i="12"/>
  <c r="AX79" i="12"/>
  <c r="BD79" i="12"/>
  <c r="BF79" i="12"/>
  <c r="BL79" i="12"/>
  <c r="BT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L80" i="12"/>
  <c r="BN80" i="12"/>
  <c r="BP80" i="12"/>
  <c r="BQ80" i="12"/>
  <c r="BR80" i="12"/>
  <c r="BS80" i="12"/>
  <c r="BT80" i="12"/>
  <c r="BU80" i="12"/>
  <c r="AT83" i="12"/>
  <c r="AX83" i="12"/>
  <c r="BD83" i="12"/>
  <c r="BF83" i="12"/>
  <c r="BL83" i="12"/>
  <c r="BN83" i="12"/>
  <c r="BP83" i="12"/>
  <c r="BR83" i="12"/>
  <c r="BT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L85" i="12"/>
  <c r="BN85" i="12"/>
  <c r="BP85" i="12"/>
  <c r="BQ85" i="12"/>
  <c r="BR85" i="12"/>
  <c r="BS85" i="12"/>
  <c r="BT85" i="12"/>
  <c r="BL86" i="12"/>
  <c r="BQ86" i="12"/>
  <c r="BS86" i="12"/>
  <c r="BT86" i="12"/>
  <c r="AP87" i="12"/>
  <c r="AR87" i="12"/>
  <c r="AT87" i="12"/>
  <c r="AX87" i="12"/>
  <c r="BD87" i="12"/>
  <c r="BF87" i="12"/>
  <c r="BL87" i="12"/>
  <c r="BP87" i="12"/>
  <c r="BQ87" i="12"/>
  <c r="BR87" i="12"/>
  <c r="BS87" i="12"/>
  <c r="BT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L89" i="12"/>
  <c r="BN89" i="12"/>
  <c r="BP89" i="12"/>
  <c r="BQ89" i="12"/>
  <c r="BR89" i="12"/>
  <c r="BS89" i="12"/>
  <c r="BT89" i="12"/>
  <c r="BU89" i="12"/>
  <c r="AH92" i="12"/>
  <c r="BL92" i="12"/>
  <c r="BN92" i="12"/>
  <c r="BP92" i="12"/>
  <c r="BR92" i="12"/>
  <c r="BT92" i="12"/>
  <c r="AH93" i="12"/>
  <c r="BL93" i="12"/>
  <c r="BP93" i="12"/>
  <c r="BR93" i="12"/>
  <c r="BT93" i="12"/>
  <c r="BL94" i="12"/>
  <c r="BP94" i="12"/>
  <c r="BR94" i="12"/>
  <c r="BT94" i="12"/>
  <c r="R95" i="12"/>
  <c r="BL95" i="12"/>
  <c r="BP95" i="12"/>
  <c r="BR95" i="12"/>
  <c r="BT95" i="12"/>
  <c r="R96" i="12"/>
  <c r="BL96" i="12"/>
  <c r="BP96" i="12"/>
  <c r="BR96" i="12"/>
  <c r="BT96" i="12"/>
  <c r="R97" i="12"/>
  <c r="BL97" i="12"/>
  <c r="BP97" i="12"/>
  <c r="BR97" i="12"/>
  <c r="BT97" i="12"/>
  <c r="BP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N99" i="12"/>
  <c r="BP99" i="12"/>
  <c r="BR99" i="12"/>
  <c r="BT99" i="12"/>
  <c r="BL102" i="12"/>
  <c r="BP102" i="12"/>
  <c r="BR102" i="12"/>
  <c r="BT102" i="12"/>
  <c r="BL103" i="12"/>
  <c r="BP103" i="12"/>
  <c r="BR103" i="12"/>
  <c r="BT103" i="12"/>
  <c r="BL104" i="12"/>
  <c r="BP104" i="12"/>
  <c r="BR104" i="12"/>
  <c r="BT104" i="12"/>
  <c r="BL105" i="12"/>
  <c r="BP105" i="12"/>
  <c r="BR105" i="12"/>
  <c r="BT105" i="12"/>
  <c r="BL106" i="12"/>
  <c r="BP106" i="12"/>
  <c r="BR106" i="12"/>
  <c r="BT106" i="12"/>
  <c r="BP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BR108" i="12"/>
  <c r="BT108" i="12"/>
  <c r="AJ112" i="12"/>
  <c r="BL114" i="12"/>
  <c r="BP114" i="12"/>
  <c r="BR114" i="12"/>
  <c r="BT114" i="12"/>
  <c r="AX115" i="12"/>
  <c r="BL115" i="12"/>
  <c r="BP115" i="12"/>
  <c r="BR115" i="12"/>
  <c r="BT115" i="12"/>
  <c r="BL116" i="12"/>
  <c r="BP116" i="12"/>
  <c r="BR116" i="12"/>
  <c r="BT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P117" i="12"/>
  <c r="BR117" i="12"/>
  <c r="BT117" i="12"/>
  <c r="BL121" i="12"/>
  <c r="BP121" i="12"/>
  <c r="BR121" i="12"/>
  <c r="BT121" i="12"/>
  <c r="BL123" i="12"/>
  <c r="BP123" i="12"/>
  <c r="BR123" i="12"/>
  <c r="BT123" i="12"/>
  <c r="BL125" i="12"/>
  <c r="BP125" i="12"/>
  <c r="BR125" i="12"/>
  <c r="BT125" i="12"/>
  <c r="BL128" i="12"/>
  <c r="BP128" i="12"/>
  <c r="BR128" i="12"/>
  <c r="BT128" i="12"/>
  <c r="BL129" i="12"/>
  <c r="BP129" i="12"/>
  <c r="BR129" i="12"/>
  <c r="BT129" i="12"/>
  <c r="R130" i="12"/>
  <c r="AV130" i="12"/>
  <c r="BL130" i="12"/>
  <c r="BP130" i="12"/>
  <c r="BR130" i="12"/>
  <c r="BT130" i="12"/>
  <c r="BP131" i="12"/>
  <c r="BR131" i="12"/>
  <c r="BT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L132" i="12"/>
  <c r="BN132" i="12"/>
  <c r="BP132" i="12"/>
  <c r="BR132" i="12"/>
  <c r="BT132" i="12"/>
  <c r="BL135" i="12"/>
  <c r="BP135" i="12"/>
  <c r="BR135" i="12"/>
  <c r="BT135" i="12"/>
  <c r="BL136" i="12"/>
  <c r="BP136" i="12"/>
  <c r="BR136" i="12"/>
  <c r="BT136" i="12"/>
  <c r="AF137" i="12"/>
  <c r="AH137" i="12"/>
  <c r="AJ137" i="12"/>
  <c r="AP137" i="12"/>
  <c r="BB137" i="12"/>
  <c r="BH137" i="12"/>
  <c r="BL137" i="12"/>
  <c r="BP137" i="12"/>
  <c r="BR137" i="12"/>
  <c r="BT137" i="12"/>
  <c r="BP138" i="12"/>
  <c r="BR138" i="12"/>
  <c r="BT138" i="12"/>
  <c r="BP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L140" i="12"/>
  <c r="BN140" i="12"/>
  <c r="BP140" i="12"/>
  <c r="BR140" i="12"/>
  <c r="BT140" i="12"/>
  <c r="AP142" i="12"/>
  <c r="BL142" i="12"/>
  <c r="BP142" i="12"/>
  <c r="BR142" i="12"/>
  <c r="BT142" i="12"/>
  <c r="BL144" i="12"/>
  <c r="BN144" i="12"/>
  <c r="BP144" i="12"/>
  <c r="BR144" i="12"/>
  <c r="BT144" i="12"/>
  <c r="R147" i="12"/>
  <c r="BL147" i="12"/>
  <c r="BP147" i="12"/>
  <c r="BR147" i="12"/>
  <c r="BT147" i="12"/>
  <c r="BL148" i="12"/>
  <c r="BP148" i="12"/>
  <c r="BR148" i="12"/>
  <c r="BT148" i="12"/>
  <c r="BL149" i="12"/>
  <c r="BP149" i="12"/>
  <c r="BR149" i="12"/>
  <c r="BT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P150" i="12"/>
  <c r="BR150" i="12"/>
  <c r="BT150" i="12"/>
  <c r="BL152" i="12"/>
  <c r="BP152" i="12"/>
  <c r="BR152" i="12"/>
  <c r="BT152" i="12"/>
  <c r="BL154" i="12"/>
  <c r="BP154" i="12"/>
  <c r="BR154" i="12"/>
  <c r="BT154" i="12"/>
  <c r="BB157" i="12"/>
  <c r="BL157" i="12"/>
  <c r="BP157" i="12"/>
  <c r="BR157" i="12"/>
  <c r="BT157" i="12"/>
  <c r="AT158" i="12"/>
  <c r="BB158" i="12"/>
  <c r="BL158" i="12"/>
  <c r="BP158" i="12"/>
  <c r="BR158" i="12"/>
  <c r="BT158" i="12"/>
  <c r="BD159" i="12"/>
  <c r="BL159" i="12"/>
  <c r="BP159" i="12"/>
  <c r="BR159" i="12"/>
  <c r="BT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L160" i="12"/>
  <c r="BP160" i="12"/>
  <c r="BR160" i="12"/>
  <c r="BT160" i="12"/>
  <c r="AR161" i="12"/>
  <c r="BL161" i="12"/>
  <c r="BP161" i="12"/>
  <c r="BR161" i="12"/>
  <c r="BT161" i="12"/>
  <c r="AF162" i="12"/>
  <c r="AH162" i="12"/>
  <c r="BL162" i="12"/>
  <c r="BP162" i="12"/>
  <c r="BR162" i="12"/>
  <c r="BT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L163" i="12"/>
  <c r="BN163" i="12"/>
  <c r="BP163" i="12"/>
  <c r="BQ163" i="12"/>
  <c r="BR163" i="12"/>
  <c r="BS163" i="12"/>
  <c r="BT163" i="12"/>
  <c r="P166" i="12"/>
  <c r="BL166" i="12"/>
  <c r="BP166" i="12"/>
  <c r="BR166" i="12"/>
  <c r="BT166" i="12"/>
  <c r="BL167" i="12"/>
  <c r="BP167" i="12"/>
  <c r="BR167" i="12"/>
  <c r="BT167" i="12"/>
  <c r="BD168" i="12"/>
  <c r="BL168" i="12"/>
  <c r="BP168" i="12"/>
  <c r="BR168" i="12"/>
  <c r="BT168" i="12"/>
  <c r="BL169" i="12"/>
  <c r="BP169" i="12"/>
  <c r="BR169" i="12"/>
  <c r="BT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N170" i="12"/>
  <c r="BP170" i="12"/>
  <c r="BR170" i="12"/>
  <c r="BT170" i="12"/>
  <c r="P172" i="12"/>
  <c r="AD172" i="12"/>
  <c r="AJ172" i="12"/>
  <c r="AL172" i="12"/>
  <c r="AP172" i="12"/>
  <c r="AR172" i="12"/>
  <c r="AT172" i="12"/>
  <c r="AV172" i="12"/>
  <c r="AX172" i="12"/>
  <c r="BL172" i="12"/>
  <c r="BP172" i="12"/>
  <c r="BR172" i="12"/>
  <c r="BT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L174" i="12"/>
  <c r="BN174" i="12"/>
  <c r="BP174" i="12"/>
  <c r="BQ174" i="12"/>
  <c r="BR174" i="12"/>
  <c r="BS174" i="12"/>
  <c r="BT174" i="12"/>
  <c r="BU174" i="12"/>
  <c r="P176" i="12"/>
  <c r="BL176" i="12"/>
  <c r="BP176" i="12"/>
  <c r="BR176" i="12"/>
  <c r="BT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L179" i="12"/>
  <c r="BN179" i="12"/>
  <c r="BP179" i="12"/>
  <c r="BQ179" i="12"/>
  <c r="BR179" i="12"/>
  <c r="BS179" i="12"/>
  <c r="BT179" i="12"/>
  <c r="BR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L183" i="12"/>
  <c r="BL184" i="12"/>
  <c r="BL185" i="12"/>
  <c r="BL187" i="12"/>
  <c r="BL189" i="12"/>
  <c r="BL190" i="12"/>
  <c r="P240" i="12"/>
  <c r="AB240" i="12"/>
  <c r="BL240" i="12"/>
  <c r="BP240" i="12"/>
  <c r="BR240" i="12"/>
  <c r="AJ242" i="12"/>
  <c r="BL242" i="12"/>
  <c r="BP242" i="12"/>
  <c r="BR242" i="12"/>
  <c r="BL243" i="12"/>
  <c r="BP243" i="12"/>
  <c r="BR243" i="12"/>
  <c r="AD244" i="12"/>
  <c r="AJ244" i="12"/>
  <c r="AN244" i="12"/>
  <c r="AP244" i="12"/>
  <c r="BL244" i="12"/>
  <c r="BR244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F246" i="12"/>
  <c r="AH246" i="12"/>
  <c r="AJ246" i="12"/>
  <c r="AL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D246" i="12"/>
  <c r="BF246" i="12"/>
  <c r="BH246" i="12"/>
  <c r="BJ246" i="12"/>
  <c r="BL246" i="12"/>
  <c r="BN246" i="12"/>
  <c r="BP246" i="12"/>
  <c r="BQ246" i="12"/>
  <c r="BR246" i="12"/>
  <c r="BS246" i="12"/>
  <c r="BT246" i="12"/>
  <c r="X250" i="12"/>
  <c r="AH250" i="12"/>
  <c r="BL250" i="12"/>
  <c r="BP250" i="12"/>
  <c r="BR250" i="12"/>
  <c r="X251" i="12"/>
  <c r="Z251" i="12"/>
  <c r="AD251" i="12"/>
  <c r="BL251" i="12"/>
  <c r="BP251" i="12"/>
  <c r="BR251" i="12"/>
  <c r="BL252" i="12"/>
  <c r="BP252" i="12"/>
  <c r="BR252" i="12"/>
  <c r="BL253" i="12"/>
  <c r="BP253" i="12"/>
  <c r="BR253" i="12"/>
  <c r="BP254" i="12"/>
  <c r="N255" i="12"/>
  <c r="P255" i="12"/>
  <c r="R255" i="12"/>
  <c r="T255" i="12"/>
  <c r="V255" i="12"/>
  <c r="X255" i="12"/>
  <c r="Z255" i="12"/>
  <c r="AA255" i="12"/>
  <c r="AB255" i="12"/>
  <c r="AC255" i="12"/>
  <c r="AD255" i="12"/>
  <c r="AF255" i="12"/>
  <c r="AH255" i="12"/>
  <c r="AJ255" i="12"/>
  <c r="AL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D255" i="12"/>
  <c r="BF255" i="12"/>
  <c r="BH255" i="12"/>
  <c r="BJ255" i="12"/>
  <c r="BL255" i="12"/>
  <c r="BP255" i="12"/>
  <c r="BR255" i="12"/>
  <c r="N260" i="12"/>
  <c r="P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F260" i="12"/>
  <c r="AH260" i="12"/>
  <c r="AJ260" i="12"/>
  <c r="AL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D260" i="12"/>
  <c r="BF260" i="12"/>
  <c r="BH260" i="12"/>
  <c r="BJ260" i="12"/>
  <c r="BL260" i="12"/>
  <c r="BN260" i="12"/>
  <c r="BP260" i="12"/>
  <c r="BQ260" i="12"/>
  <c r="BR260" i="12"/>
  <c r="BS260" i="12"/>
  <c r="BT260" i="12"/>
  <c r="BL270" i="12"/>
  <c r="BL276" i="12"/>
  <c r="BL277" i="12"/>
  <c r="BL279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N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P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</authors>
  <commentList>
    <comment ref="BR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P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<sst xmlns="http://schemas.openxmlformats.org/spreadsheetml/2006/main" count="1668" uniqueCount="449">
  <si>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</si>
  <si>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</si>
  <si>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</si>
  <si>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</si>
  <si>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</si>
  <si>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</si>
  <si>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</si>
  <si>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</si>
  <si>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</si>
  <si>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</si>
  <si>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</si>
  <si>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</si>
  <si>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</si>
  <si>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</si>
  <si>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</si>
  <si>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</si>
  <si>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</si>
  <si>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</si>
  <si>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</si>
  <si>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</si>
  <si>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</si>
  <si>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</si>
  <si>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</si>
  <si>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</si>
  <si>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</si>
  <si>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</si>
  <si>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</si>
  <si>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</si>
  <si>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</si>
  <si>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</si>
  <si>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</si>
  <si>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</si>
  <si>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</si>
  <si>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</si>
  <si>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</si>
  <si>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</si>
  <si>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</si>
  <si>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</si>
  <si>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</si>
  <si>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</si>
  <si>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</si>
  <si>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</si>
  <si>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</si>
  <si>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</si>
  <si>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</si>
  <si>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</si>
  <si>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</si>
  <si>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</si>
  <si>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</si>
  <si>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</si>
  <si>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</si>
  <si>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</si>
  <si>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</si>
  <si>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</si>
  <si>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</si>
  <si>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</si>
  <si>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</si>
  <si>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</si>
  <si>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</si>
  <si>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</si>
  <si>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</si>
  <si>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</si>
  <si>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</si>
  <si>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</si>
  <si>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</si>
  <si>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</si>
  <si>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</si>
  <si>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</si>
  <si>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</si>
  <si>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</si>
  <si>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</si>
  <si>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</si>
  <si>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</si>
  <si>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</si>
  <si>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</si>
  <si>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</si>
  <si>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</si>
  <si>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</si>
  <si>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</si>
  <si>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</si>
  <si>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</si>
  <si>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</si>
  <si>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</si>
  <si>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</si>
  <si>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</si>
  <si>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</si>
  <si>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</si>
  <si>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</si>
  <si>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</si>
  <si>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</si>
  <si>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</si>
  <si>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</si>
  <si>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</si>
  <si>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</si>
  <si>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</si>
  <si>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</si>
  <si>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</si>
  <si>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</si>
  <si>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</si>
  <si>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</si>
  <si>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</si>
  <si>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</si>
  <si>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</si>
  <si>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</si>
  <si>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</si>
  <si>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</si>
  <si>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</si>
  <si>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</si>
  <si>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</si>
  <si>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</si>
  <si>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</si>
  <si>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</si>
  <si>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</si>
  <si>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</si>
  <si>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</si>
  <si>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</si>
  <si>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</si>
  <si>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</si>
  <si>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</si>
  <si>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</si>
  <si>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</si>
  <si>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</si>
  <si>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</si>
  <si>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</si>
  <si>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</si>
  <si>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</si>
  <si>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</si>
  <si>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</si>
  <si>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</si>
  <si>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</si>
  <si>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</si>
  <si>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</si>
  <si>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</si>
  <si>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</si>
  <si>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</si>
  <si>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</si>
  <si>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</si>
  <si>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</si>
  <si>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</si>
  <si>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</si>
  <si>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</si>
  <si>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</si>
  <si>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</si>
  <si>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</si>
  <si>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</si>
  <si>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</si>
  <si>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</si>
  <si>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</si>
  <si>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</si>
  <si>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</si>
  <si>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</si>
  <si>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</si>
  <si>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</si>
  <si>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</si>
  <si>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</si>
  <si>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</si>
  <si>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</si>
  <si>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</si>
  <si>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</si>
  <si>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</si>
  <si>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</si>
  <si>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</si>
  <si>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</si>
  <si>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</si>
  <si>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</si>
  <si>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</si>
  <si>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</si>
  <si>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</si>
  <si>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</si>
  <si>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</si>
  <si>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</si>
  <si>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</si>
  <si>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</si>
  <si>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</si>
  <si>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</si>
  <si>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</si>
  <si>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</si>
  <si>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</si>
  <si>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</si>
  <si>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</si>
  <si>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</si>
  <si>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</si>
  <si>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</si>
  <si>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</si>
  <si>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</si>
  <si>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</si>
  <si>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</si>
  <si>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</si>
  <si>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</si>
  <si>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</si>
  <si>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</si>
  <si>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</si>
  <si>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</si>
  <si>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</si>
  <si>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</si>
  <si>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</si>
  <si>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</si>
  <si>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</si>
  <si>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</si>
  <si>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</si>
  <si>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</si>
  <si>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</si>
  <si>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</si>
  <si>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</si>
  <si>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</si>
  <si>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</si>
  <si>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</si>
  <si>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</si>
  <si>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</si>
  <si>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</si>
  <si>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</si>
  <si>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</si>
  <si>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</si>
  <si>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</si>
  <si>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</si>
  <si>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</si>
  <si>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</si>
  <si>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</si>
  <si>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</si>
  <si>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</si>
  <si>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</si>
  <si>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</si>
  <si>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</si>
  <si>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</si>
  <si>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</si>
  <si>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</si>
  <si>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</si>
  <si>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</si>
  <si>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</si>
  <si>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</si>
  <si>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</si>
  <si>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</si>
  <si>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</si>
  <si>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</si>
  <si>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</si>
  <si>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</si>
  <si>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</si>
  <si>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</si>
  <si>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</si>
  <si>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</si>
  <si>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</si>
  <si>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</si>
  <si>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</si>
  <si>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</si>
  <si>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</si>
  <si>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</si>
  <si>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</si>
  <si>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</si>
  <si>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</si>
  <si>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</si>
  <si>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</si>
  <si>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</si>
  <si>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</si>
  <si>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</si>
  <si>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</si>
  <si>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</si>
  <si>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</si>
  <si>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</si>
  <si>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</si>
  <si>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</si>
  <si>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</si>
  <si>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</si>
  <si>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</si>
  <si>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</si>
  <si>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</si>
  <si>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</si>
  <si>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</si>
  <si>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</si>
  <si>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</si>
  <si>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</si>
  <si>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</si>
  <si>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</si>
  <si>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</si>
  <si>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</si>
  <si>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</si>
  <si>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</si>
  <si>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</si>
  <si>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</si>
  <si>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</si>
  <si>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</si>
  <si>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</si>
  <si>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</si>
  <si>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</si>
  <si>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</si>
  <si>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</si>
  <si>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</si>
  <si>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</si>
  <si>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</si>
  <si>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</si>
  <si>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</si>
  <si>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</si>
  <si>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</si>
  <si>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</si>
  <si>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</si>
  <si>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</si>
  <si>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</si>
  <si>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</si>
  <si>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</si>
  <si>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</si>
  <si>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</si>
  <si>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</si>
  <si>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</si>
  <si>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</si>
  <si>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</si>
  <si>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</si>
  <si>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</si>
  <si>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</si>
  <si>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</si>
  <si>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</si>
  <si>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</si>
  <si>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</si>
  <si>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</si>
  <si>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</si>
  <si>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</si>
  <si>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</si>
  <si>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</si>
  <si>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</si>
  <si>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</si>
  <si>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</si>
  <si>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</si>
  <si>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</si>
  <si>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</si>
  <si>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</si>
  <si>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</si>
  <si>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</si>
  <si>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</si>
  <si>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</si>
  <si>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</si>
  <si>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</si>
  <si>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</si>
  <si>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</si>
  <si>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</si>
  <si>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</si>
  <si>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</si>
  <si>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</si>
  <si>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</si>
  <si>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</si>
  <si>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</si>
  <si>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</si>
  <si>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</si>
  <si>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</si>
  <si>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</si>
  <si>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</si>
  <si>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</si>
  <si>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</si>
  <si>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</si>
  <si>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</si>
  <si>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</si>
  <si>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</si>
  <si>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</si>
  <si>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</si>
  <si>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</si>
  <si>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</si>
  <si>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</si>
  <si>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</si>
  <si>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</si>
  <si>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</si>
  <si>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</si>
  <si>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</si>
  <si>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</si>
  <si>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</si>
  <si>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</si>
  <si>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</si>
  <si>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</si>
  <si>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</si>
  <si>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</si>
  <si>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</si>
  <si>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</si>
  <si>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</si>
  <si>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</si>
  <si>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</si>
  <si>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</si>
  <si>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</si>
  <si>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</si>
  <si>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</si>
  <si>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</si>
  <si>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</si>
  <si>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</si>
  <si>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</si>
  <si>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</si>
  <si>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</si>
  <si>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</si>
  <si>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</si>
  <si>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</si>
  <si>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</si>
  <si>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</si>
  <si>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</si>
  <si>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</si>
  <si>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</si>
  <si>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</si>
  <si>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</si>
  <si>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</si>
  <si>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</si>
  <si>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</si>
  <si>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</si>
  <si>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</si>
  <si>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</si>
  <si>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</si>
  <si>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</si>
  <si>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</si>
  <si>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</si>
  <si>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</si>
  <si>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</si>
  <si>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</si>
  <si>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</si>
  <si>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</si>
  <si>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</si>
  <si>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</si>
  <si>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</si>
  <si>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</si>
  <si>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</si>
  <si>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</si>
  <si>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</si>
  <si>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</si>
  <si>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</si>
  <si>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</si>
  <si>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</si>
  <si>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</si>
  <si>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</si>
  <si>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</si>
  <si>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</si>
  <si>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</si>
  <si>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</si>
  <si>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</si>
  <si>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</si>
  <si>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</si>
  <si>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</si>
  <si>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</si>
  <si>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</si>
  <si>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</si>
  <si>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</si>
  <si>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</si>
  <si>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</si>
  <si>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</si>
  <si>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</si>
  <si>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</si>
  <si>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</si>
  <si>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</si>
  <si>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</si>
  <si>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</si>
  <si>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</si>
  <si>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</si>
  <si>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</si>
  <si>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</si>
  <si>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</si>
  <si>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</si>
  <si>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</si>
  <si>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Revision # 63</t>
  </si>
  <si>
    <t xml:space="preserve"> As of 09/11/00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</si>
</sst>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87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left" vertic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12" fillId="7" borderId="0" xfId="0" applyFont="1" applyFill="1"/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0" fontId="77" fillId="0" borderId="0" xfId="0" applyFont="1"/>
    <xf numFmtId="164" fontId="6" fillId="0" borderId="4" xfId="3" applyNumberFormat="1" applyFont="1" applyBorder="1"/>
    <xf numFmtId="164" fontId="5" fillId="0" borderId="4" xfId="3" applyNumberFormat="1" applyFont="1" applyBorder="1"/>
    <xf numFmtId="0" fontId="76" fillId="10" borderId="6" xfId="0" applyFont="1" applyFill="1" applyBorder="1" applyAlignment="1">
      <alignment vertical="center"/>
    </xf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 refreshError="1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3.2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>
      <c r="A1" s="24" t="s">
        <v>117</v>
      </c>
    </row>
    <row r="2" spans="1:11" ht="15.6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3.2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>
      <c r="A1" s="43" t="s">
        <v>73</v>
      </c>
    </row>
    <row r="2" spans="1:5" ht="17.399999999999999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8" thickBot="1">
      <c r="A41" s="21" t="s">
        <v>103</v>
      </c>
      <c r="E41" s="45">
        <f>E37+E39</f>
        <v>84999766.75</v>
      </c>
    </row>
    <row r="42" spans="1:7" ht="13.8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/>
  <cols>
    <col min="1" max="1" width="11.33203125" style="35" customWidth="1"/>
    <col min="2" max="2" width="5.5546875" style="35" customWidth="1"/>
    <col min="3" max="3" width="11.33203125" style="35" bestFit="1" customWidth="1"/>
    <col min="4" max="4" width="3.33203125" style="35" customWidth="1"/>
    <col min="5" max="5" width="10.33203125" style="35" bestFit="1" customWidth="1"/>
    <col min="6" max="6" width="2.6640625" style="35" customWidth="1"/>
    <col min="7" max="7" width="13.44140625" style="35" bestFit="1" customWidth="1"/>
    <col min="8" max="8" width="2.33203125" style="35" customWidth="1"/>
    <col min="9" max="16384" width="9.109375" style="35"/>
  </cols>
  <sheetData>
    <row r="1" spans="1:7" ht="17.399999999999999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3.2"/>
  <cols>
    <col min="1" max="1" width="2" bestFit="1" customWidth="1"/>
    <col min="2" max="3" width="4.664062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7"/>
  <sheetViews>
    <sheetView tabSelected="1" zoomScale="90" zoomScaleNormal="90" zoomScaleSheetLayoutView="100" workbookViewId="0"/>
  </sheetViews>
  <sheetFormatPr defaultRowHeight="13.2"/>
  <cols>
    <col min="1" max="1" width="28.109375" style="175" customWidth="1"/>
    <col min="2" max="2" width="3.109375" style="175" customWidth="1"/>
    <col min="3" max="3" width="15" style="175" customWidth="1"/>
    <col min="4" max="4" width="2.44140625" style="175" customWidth="1"/>
    <col min="5" max="5" width="16.33203125" style="175" bestFit="1" customWidth="1"/>
    <col min="6" max="6" width="2.44140625" style="175" customWidth="1"/>
    <col min="7" max="7" width="15.6640625" style="175" bestFit="1" customWidth="1"/>
    <col min="8" max="8" width="2.44140625" style="175" customWidth="1"/>
    <col min="9" max="9" width="20.33203125" style="175" bestFit="1" customWidth="1"/>
    <col min="10" max="10" width="2.6640625" style="175" customWidth="1"/>
    <col min="11" max="11" width="17.109375" style="175" bestFit="1" customWidth="1"/>
    <col min="12" max="12" width="2.6640625" style="175" customWidth="1"/>
    <col min="13" max="13" width="13.33203125" style="175" bestFit="1" customWidth="1"/>
    <col min="14" max="14" width="2.6640625" style="175" customWidth="1"/>
    <col min="15" max="15" width="19.109375" style="175" bestFit="1" customWidth="1"/>
    <col min="16" max="18" width="0" hidden="1" customWidth="1"/>
    <col min="47" max="58" width="0" hidden="1" customWidth="1"/>
  </cols>
  <sheetData>
    <row r="1" spans="1:74" ht="15.6">
      <c r="A1" s="174" t="s">
        <v>127</v>
      </c>
    </row>
    <row r="2" spans="1:74" ht="15.6">
      <c r="A2" s="174" t="s">
        <v>170</v>
      </c>
      <c r="J2" s="177" t="s">
        <v>124</v>
      </c>
      <c r="O2" s="176">
        <f ca="1">NOW()</f>
        <v>36782.625787268516</v>
      </c>
    </row>
    <row r="3" spans="1:74" ht="15.6">
      <c r="A3" s="178" t="s">
        <v>189</v>
      </c>
      <c r="G3" s="176"/>
      <c r="J3" s="177"/>
      <c r="O3" s="176"/>
      <c r="BV3" t="str">
        <f>Summary!A5</f>
        <v>Revision # 63</v>
      </c>
    </row>
    <row r="4" spans="1:74" ht="15.6">
      <c r="A4" s="174" t="s">
        <v>185</v>
      </c>
      <c r="J4" s="177" t="s">
        <v>125</v>
      </c>
      <c r="O4" s="98" t="s">
        <v>448</v>
      </c>
    </row>
    <row r="5" spans="1:74" ht="15.6">
      <c r="A5" s="178" t="s">
        <v>447</v>
      </c>
      <c r="G5" s="176"/>
      <c r="I5" s="26"/>
      <c r="O5" s="179"/>
    </row>
    <row r="6" spans="1:74" ht="16.2" thickBot="1">
      <c r="A6" s="174"/>
      <c r="I6" s="26"/>
      <c r="O6" s="179"/>
    </row>
    <row r="7" spans="1:74" ht="16.2" thickBot="1">
      <c r="A7" s="174"/>
      <c r="G7" s="165" t="s">
        <v>122</v>
      </c>
      <c r="H7" s="166"/>
      <c r="I7" s="166"/>
      <c r="J7" s="166"/>
      <c r="K7" s="167"/>
      <c r="L7" s="174"/>
      <c r="M7" s="174"/>
    </row>
    <row r="8" spans="1:74">
      <c r="A8" s="224" t="s">
        <v>268</v>
      </c>
      <c r="C8" s="180"/>
      <c r="E8" s="27" t="s">
        <v>43</v>
      </c>
      <c r="G8" s="86" t="s">
        <v>44</v>
      </c>
      <c r="H8" s="181"/>
      <c r="I8" s="87" t="s">
        <v>51</v>
      </c>
      <c r="J8" s="181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51" t="s">
        <v>282</v>
      </c>
      <c r="G9" s="89" t="str">
        <f>+O4</f>
        <v xml:space="preserve"> As of 09/11/00</v>
      </c>
      <c r="H9" s="182"/>
      <c r="I9" s="53" t="str">
        <f>+O4</f>
        <v xml:space="preserve"> As of 09/11/00</v>
      </c>
      <c r="J9" s="182"/>
      <c r="K9" s="90" t="str">
        <f>+O4</f>
        <v xml:space="preserve"> As of 09/11/00</v>
      </c>
      <c r="M9" s="28" t="s">
        <v>143</v>
      </c>
      <c r="O9" s="28" t="s">
        <v>46</v>
      </c>
    </row>
    <row r="10" spans="1:74">
      <c r="A10" s="180"/>
      <c r="C10" s="27"/>
      <c r="E10" s="180"/>
      <c r="G10" s="183"/>
      <c r="H10" s="182"/>
      <c r="I10" s="180"/>
      <c r="J10" s="182"/>
      <c r="K10" s="184"/>
      <c r="M10" s="180"/>
      <c r="O10" s="180"/>
    </row>
    <row r="11" spans="1:74">
      <c r="A11" s="185" t="s">
        <v>254</v>
      </c>
      <c r="C11" s="259">
        <v>608</v>
      </c>
      <c r="E11" s="187">
        <f>Wilton!R179/1000</f>
        <v>239675.46775000001</v>
      </c>
      <c r="F11" s="186"/>
      <c r="G11" s="188">
        <f>Wilton!BL179/1000</f>
        <v>267090.49002869206</v>
      </c>
      <c r="H11" s="182"/>
      <c r="I11" s="187">
        <f>K11-G11</f>
        <v>5544.9459561785916</v>
      </c>
      <c r="J11" s="182"/>
      <c r="K11" s="189">
        <f>Wilton!BR179/1000</f>
        <v>272635.43598487065</v>
      </c>
      <c r="M11" s="187">
        <f>+E11-K11</f>
        <v>-32959.968234870641</v>
      </c>
      <c r="O11" s="190">
        <f>+G11/K11</f>
        <v>0.97966168287644639</v>
      </c>
    </row>
    <row r="12" spans="1:74">
      <c r="A12" s="191"/>
      <c r="C12" s="259"/>
      <c r="E12" s="192"/>
      <c r="F12" s="186"/>
      <c r="G12" s="193"/>
      <c r="H12" s="182"/>
      <c r="I12" s="192"/>
      <c r="J12" s="182"/>
      <c r="K12" s="194"/>
      <c r="M12" s="192"/>
      <c r="O12" s="195"/>
    </row>
    <row r="13" spans="1:74">
      <c r="A13" s="185" t="str">
        <f>Gleason!A3</f>
        <v>Gleason, TN</v>
      </c>
      <c r="C13" s="259">
        <v>509</v>
      </c>
      <c r="E13" s="187">
        <f>Gleason!R219/1000</f>
        <v>170575.01</v>
      </c>
      <c r="F13" s="186"/>
      <c r="G13" s="188">
        <f>Gleason!BN219/1000</f>
        <v>169962.25835366751</v>
      </c>
      <c r="H13" s="182"/>
      <c r="I13" s="187">
        <f>K13-G13</f>
        <v>8249.0621600000013</v>
      </c>
      <c r="J13" s="182"/>
      <c r="K13" s="189">
        <f>Gleason!BT219/1000</f>
        <v>178211.32051366751</v>
      </c>
      <c r="M13" s="187">
        <f>+E13-K13</f>
        <v>-7636.3105136675003</v>
      </c>
      <c r="O13" s="190">
        <f>+G13/K13</f>
        <v>0.95371190709869991</v>
      </c>
    </row>
    <row r="14" spans="1:74">
      <c r="A14" s="191"/>
      <c r="C14" s="259"/>
      <c r="E14" s="192"/>
      <c r="F14" s="186"/>
      <c r="G14" s="193"/>
      <c r="H14" s="182"/>
      <c r="I14" s="192"/>
      <c r="J14" s="182"/>
      <c r="K14" s="194"/>
      <c r="M14" s="192"/>
      <c r="O14" s="195"/>
    </row>
    <row r="15" spans="1:74">
      <c r="A15" s="185" t="s">
        <v>194</v>
      </c>
      <c r="C15" s="259">
        <v>470</v>
      </c>
      <c r="E15" s="187">
        <f>Wheatland!R176/1000</f>
        <v>158451.2481</v>
      </c>
      <c r="F15" s="186"/>
      <c r="G15" s="188">
        <f>Wheatland!BL176/1000</f>
        <v>153798.6609702952</v>
      </c>
      <c r="H15" s="182"/>
      <c r="I15" s="187">
        <f>K15-G15</f>
        <v>9435.4873899999657</v>
      </c>
      <c r="J15" s="182"/>
      <c r="K15" s="189">
        <f>Wheatland!BR176/1000</f>
        <v>163234.14836029516</v>
      </c>
      <c r="M15" s="187">
        <f>+E15-K15</f>
        <v>-4782.9002602951659</v>
      </c>
      <c r="O15" s="190">
        <f>+G15/K15</f>
        <v>0.94219660846225828</v>
      </c>
      <c r="AC15" t="s">
        <v>154</v>
      </c>
    </row>
    <row r="16" spans="1:74" ht="8.25" customHeight="1">
      <c r="A16" s="191"/>
      <c r="B16" s="182"/>
      <c r="C16" s="260"/>
      <c r="D16" s="182"/>
      <c r="E16" s="196"/>
      <c r="F16" s="182"/>
      <c r="G16" s="197"/>
      <c r="H16" s="182"/>
      <c r="I16" s="196"/>
      <c r="J16" s="182"/>
      <c r="K16" s="198"/>
      <c r="L16" s="182"/>
      <c r="M16" s="196"/>
      <c r="N16" s="182"/>
      <c r="O16" s="191"/>
    </row>
    <row r="17" spans="1:29">
      <c r="A17" s="199" t="s">
        <v>265</v>
      </c>
      <c r="B17" s="200"/>
      <c r="C17" s="261">
        <f>SUM(C11:C15)</f>
        <v>1587</v>
      </c>
      <c r="D17" s="182"/>
      <c r="E17" s="201">
        <f>SUM(E11:E15)</f>
        <v>568701.72585000005</v>
      </c>
      <c r="F17" s="202"/>
      <c r="G17" s="203">
        <f>SUM(G11:G15)</f>
        <v>590851.40935265482</v>
      </c>
      <c r="H17" s="202"/>
      <c r="I17" s="201">
        <f>SUM(I11:I15)</f>
        <v>23229.495506178559</v>
      </c>
      <c r="J17" s="182"/>
      <c r="K17" s="204">
        <f>SUM(K11:K15)</f>
        <v>614080.90485883341</v>
      </c>
      <c r="L17" s="182"/>
      <c r="M17" s="201">
        <f>SUM(M10:M15)</f>
        <v>-45379.179008833307</v>
      </c>
      <c r="N17" s="182"/>
      <c r="O17" s="205">
        <f>+G17/K17</f>
        <v>0.96217192991610989</v>
      </c>
    </row>
    <row r="18" spans="1:29" ht="13.8" thickBot="1">
      <c r="A18" s="206" t="s">
        <v>50</v>
      </c>
      <c r="B18" s="200"/>
      <c r="C18" s="206"/>
      <c r="D18" s="182"/>
      <c r="E18" s="207">
        <f>E17/C17</f>
        <v>358.35017381852555</v>
      </c>
      <c r="F18" s="202"/>
      <c r="G18" s="208"/>
      <c r="H18" s="209"/>
      <c r="I18" s="210"/>
      <c r="J18" s="211"/>
      <c r="K18" s="212">
        <f>+K17/C17</f>
        <v>386.9444895140727</v>
      </c>
      <c r="L18" s="182"/>
      <c r="M18" s="207"/>
      <c r="N18" s="182"/>
      <c r="O18" s="213"/>
    </row>
    <row r="19" spans="1:29" s="33" customFormat="1">
      <c r="A19" s="214"/>
      <c r="B19" s="214"/>
      <c r="C19" s="214"/>
      <c r="D19" s="215"/>
      <c r="E19" s="202"/>
      <c r="F19" s="202"/>
      <c r="G19" s="202"/>
      <c r="H19" s="202"/>
      <c r="I19" s="202"/>
      <c r="J19" s="215"/>
      <c r="K19" s="202"/>
      <c r="L19" s="215"/>
      <c r="M19" s="202"/>
      <c r="N19" s="215"/>
      <c r="O19" s="216"/>
    </row>
    <row r="20" spans="1:29" ht="16.2" hidden="1" thickBot="1">
      <c r="A20" s="174"/>
      <c r="C20"/>
      <c r="G20" s="165" t="s">
        <v>122</v>
      </c>
      <c r="H20" s="166"/>
      <c r="I20" s="166"/>
      <c r="J20" s="166"/>
      <c r="K20" s="167"/>
      <c r="L20" s="174"/>
      <c r="M20" s="174"/>
      <c r="O20"/>
    </row>
    <row r="21" spans="1:29" hidden="1">
      <c r="A21" s="224" t="s">
        <v>267</v>
      </c>
      <c r="C21"/>
      <c r="E21" s="27" t="s">
        <v>43</v>
      </c>
      <c r="G21" s="86" t="s">
        <v>44</v>
      </c>
      <c r="H21" s="181"/>
      <c r="I21" s="87" t="s">
        <v>51</v>
      </c>
      <c r="J21" s="181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51" t="str">
        <f>E9</f>
        <v>as of 7/22/99</v>
      </c>
      <c r="G22" s="89" t="str">
        <f>G9</f>
        <v xml:space="preserve"> As of 09/11/00</v>
      </c>
      <c r="H22" s="182"/>
      <c r="I22" s="53" t="str">
        <f>I9</f>
        <v xml:space="preserve"> As of 09/11/00</v>
      </c>
      <c r="J22" s="182"/>
      <c r="K22" s="90" t="str">
        <f>K9</f>
        <v xml:space="preserve"> As of 09/11/00</v>
      </c>
      <c r="M22" s="28" t="s">
        <v>143</v>
      </c>
      <c r="O22"/>
    </row>
    <row r="23" spans="1:29" hidden="1">
      <c r="A23" s="180"/>
      <c r="C23"/>
      <c r="E23" s="180"/>
      <c r="G23" s="183"/>
      <c r="H23" s="182"/>
      <c r="I23" s="180"/>
      <c r="J23" s="182"/>
      <c r="K23" s="184"/>
      <c r="M23" s="180"/>
      <c r="O23"/>
    </row>
    <row r="24" spans="1:29" hidden="1">
      <c r="A24" s="185" t="s">
        <v>254</v>
      </c>
      <c r="C24"/>
      <c r="E24" s="187">
        <v>1500</v>
      </c>
      <c r="F24" s="186"/>
      <c r="G24" s="188">
        <v>0</v>
      </c>
      <c r="H24" s="182"/>
      <c r="I24" s="187">
        <f>K24-G24</f>
        <v>1500</v>
      </c>
      <c r="J24" s="182"/>
      <c r="K24" s="189">
        <v>1500</v>
      </c>
      <c r="M24" s="187">
        <f>+E24-K24</f>
        <v>0</v>
      </c>
      <c r="O24"/>
    </row>
    <row r="25" spans="1:29" hidden="1">
      <c r="A25" s="191"/>
      <c r="C25"/>
      <c r="E25" s="192"/>
      <c r="F25" s="186"/>
      <c r="G25" s="193"/>
      <c r="H25" s="182"/>
      <c r="I25" s="192"/>
      <c r="J25" s="182"/>
      <c r="K25" s="194"/>
      <c r="M25" s="192"/>
      <c r="O25"/>
    </row>
    <row r="26" spans="1:29" hidden="1">
      <c r="A26" s="185" t="str">
        <f>+'Calvert City'!$A$3</f>
        <v>Calvert City, KY</v>
      </c>
      <c r="C26"/>
      <c r="E26" s="187">
        <v>1500</v>
      </c>
      <c r="F26" s="186"/>
      <c r="G26" s="188">
        <v>0</v>
      </c>
      <c r="H26" s="182"/>
      <c r="I26" s="187">
        <f>K26-G26</f>
        <v>1500</v>
      </c>
      <c r="J26" s="182"/>
      <c r="K26" s="189">
        <v>1500</v>
      </c>
      <c r="M26" s="187">
        <f>+E26-K26</f>
        <v>0</v>
      </c>
      <c r="O26"/>
    </row>
    <row r="27" spans="1:29" hidden="1">
      <c r="A27" s="191"/>
      <c r="C27"/>
      <c r="E27" s="192"/>
      <c r="F27" s="186"/>
      <c r="G27" s="193"/>
      <c r="H27" s="182"/>
      <c r="I27" s="192"/>
      <c r="J27" s="182"/>
      <c r="K27" s="194"/>
      <c r="M27" s="192"/>
      <c r="O27"/>
    </row>
    <row r="28" spans="1:29" hidden="1">
      <c r="A28" s="185" t="s">
        <v>194</v>
      </c>
      <c r="C28"/>
      <c r="E28" s="187">
        <v>1500</v>
      </c>
      <c r="F28" s="186"/>
      <c r="G28" s="188">
        <v>0</v>
      </c>
      <c r="H28" s="182"/>
      <c r="I28" s="187">
        <f>K28-G28</f>
        <v>1500</v>
      </c>
      <c r="J28" s="182"/>
      <c r="K28" s="189">
        <v>1500</v>
      </c>
      <c r="M28" s="187">
        <f>+E28-K28</f>
        <v>0</v>
      </c>
      <c r="O28"/>
      <c r="AC28" t="s">
        <v>154</v>
      </c>
    </row>
    <row r="29" spans="1:29" ht="8.25" hidden="1" customHeight="1">
      <c r="A29" s="191"/>
      <c r="B29" s="182"/>
      <c r="C29"/>
      <c r="D29" s="182"/>
      <c r="E29" s="196"/>
      <c r="F29" s="182"/>
      <c r="G29" s="197"/>
      <c r="H29" s="182"/>
      <c r="I29" s="196"/>
      <c r="J29" s="182"/>
      <c r="K29" s="198"/>
      <c r="L29" s="182"/>
      <c r="M29" s="196"/>
      <c r="N29" s="182"/>
      <c r="O29"/>
    </row>
    <row r="30" spans="1:29" hidden="1">
      <c r="A30" s="223" t="s">
        <v>265</v>
      </c>
      <c r="B30" s="200"/>
      <c r="C30"/>
      <c r="D30" s="182"/>
      <c r="E30" s="220">
        <f>SUM(E24:E28)</f>
        <v>4500</v>
      </c>
      <c r="F30" s="202"/>
      <c r="G30" s="222">
        <f>SUM(G24:G28)</f>
        <v>0</v>
      </c>
      <c r="H30" s="202"/>
      <c r="I30" s="220">
        <f>SUM(I24:I28)</f>
        <v>4500</v>
      </c>
      <c r="J30" s="182"/>
      <c r="K30" s="221">
        <f>SUM(K24:K28)</f>
        <v>4500</v>
      </c>
      <c r="L30" s="182"/>
      <c r="M30" s="220">
        <f>SUM(M23:M28)</f>
        <v>0</v>
      </c>
      <c r="N30" s="182"/>
      <c r="O30"/>
    </row>
    <row r="31" spans="1:29" s="33" customFormat="1" hidden="1">
      <c r="A31" s="214"/>
      <c r="B31" s="214"/>
      <c r="C31"/>
      <c r="D31" s="215"/>
      <c r="E31" s="202"/>
      <c r="F31" s="202"/>
      <c r="G31" s="202"/>
      <c r="H31" s="202"/>
      <c r="I31" s="202"/>
      <c r="J31" s="215"/>
      <c r="K31" s="202"/>
      <c r="L31" s="215"/>
      <c r="M31" s="202"/>
      <c r="N31" s="215"/>
      <c r="O31"/>
    </row>
    <row r="32" spans="1:29" s="33" customFormat="1" ht="13.8" thickBot="1">
      <c r="A32" s="214"/>
      <c r="B32" s="214"/>
      <c r="C32" s="214"/>
      <c r="D32" s="215"/>
      <c r="E32" s="202"/>
      <c r="F32" s="202"/>
      <c r="G32" s="202"/>
      <c r="H32" s="202"/>
      <c r="I32" s="202"/>
      <c r="J32" s="215"/>
      <c r="K32" s="202"/>
      <c r="L32" s="215"/>
      <c r="M32" s="202"/>
      <c r="N32" s="215"/>
      <c r="O32" s="216"/>
    </row>
    <row r="33" spans="1:29" ht="16.2" thickBot="1">
      <c r="A33" s="135" t="s">
        <v>200</v>
      </c>
      <c r="G33" s="165" t="s">
        <v>122</v>
      </c>
      <c r="H33" s="166"/>
      <c r="I33" s="166"/>
      <c r="J33" s="166"/>
      <c r="K33" s="167"/>
      <c r="L33" s="174"/>
      <c r="M33" s="174"/>
    </row>
    <row r="34" spans="1:29">
      <c r="A34" s="191"/>
      <c r="E34" s="27" t="s">
        <v>43</v>
      </c>
      <c r="G34" s="86" t="s">
        <v>44</v>
      </c>
      <c r="H34" s="181"/>
      <c r="I34" s="87" t="s">
        <v>51</v>
      </c>
      <c r="J34" s="181"/>
      <c r="K34" s="88" t="s">
        <v>128</v>
      </c>
    </row>
    <row r="35" spans="1:29">
      <c r="A35" s="29" t="s">
        <v>48</v>
      </c>
      <c r="E35" s="151">
        <v>36433</v>
      </c>
      <c r="G35" s="89" t="str">
        <f>O4</f>
        <v xml:space="preserve"> As of 09/11/00</v>
      </c>
      <c r="H35" s="182"/>
      <c r="I35" s="53" t="str">
        <f>O4</f>
        <v xml:space="preserve"> As of 09/11/00</v>
      </c>
      <c r="J35" s="182"/>
      <c r="K35" s="90" t="str">
        <f>O4</f>
        <v xml:space="preserve"> As of 09/11/00</v>
      </c>
    </row>
    <row r="36" spans="1:29">
      <c r="A36" s="180"/>
      <c r="E36" s="180"/>
      <c r="G36" s="183"/>
      <c r="H36" s="182"/>
      <c r="I36" s="180"/>
      <c r="J36" s="182"/>
      <c r="K36" s="184"/>
    </row>
    <row r="37" spans="1:29">
      <c r="A37" s="185" t="s">
        <v>196</v>
      </c>
      <c r="E37" s="187"/>
      <c r="F37" s="186"/>
      <c r="G37" s="188">
        <f>Wilton!BL255/1000</f>
        <v>314.52427</v>
      </c>
      <c r="H37" s="182"/>
      <c r="I37" s="187"/>
      <c r="J37" s="182"/>
      <c r="K37" s="189">
        <f>+I37+G37</f>
        <v>314.52427</v>
      </c>
    </row>
    <row r="38" spans="1:29">
      <c r="A38" s="191"/>
      <c r="E38" s="192"/>
      <c r="F38" s="186"/>
      <c r="G38" s="193"/>
      <c r="H38" s="182"/>
      <c r="I38" s="192"/>
      <c r="J38" s="182"/>
      <c r="K38" s="194"/>
    </row>
    <row r="39" spans="1:29">
      <c r="A39" s="185" t="s">
        <v>289</v>
      </c>
      <c r="E39" s="187">
        <v>1513</v>
      </c>
      <c r="F39" s="186"/>
      <c r="G39" s="188">
        <f>'Calvert City'!BN205/1000</f>
        <v>1407.0854433333327</v>
      </c>
      <c r="H39" s="182"/>
      <c r="I39" s="187">
        <f>E39-G39</f>
        <v>105.91455666666729</v>
      </c>
      <c r="J39" s="182"/>
      <c r="K39" s="189">
        <f>+I39+G39</f>
        <v>1513</v>
      </c>
    </row>
    <row r="40" spans="1:29">
      <c r="A40" s="191"/>
      <c r="E40" s="192"/>
      <c r="F40" s="186"/>
      <c r="G40" s="193"/>
      <c r="H40" s="182"/>
      <c r="I40" s="192"/>
      <c r="J40" s="182"/>
      <c r="K40" s="194"/>
    </row>
    <row r="41" spans="1:29">
      <c r="A41" s="185" t="s">
        <v>199</v>
      </c>
      <c r="E41" s="187"/>
      <c r="F41" s="186"/>
      <c r="G41" s="188">
        <v>15</v>
      </c>
      <c r="H41" s="182"/>
      <c r="I41" s="187"/>
      <c r="J41" s="182"/>
      <c r="K41" s="189">
        <f>+I41+G41</f>
        <v>15</v>
      </c>
      <c r="AC41" t="s">
        <v>154</v>
      </c>
    </row>
    <row r="42" spans="1:29" ht="8.25" customHeight="1">
      <c r="A42" s="191"/>
      <c r="B42" s="182"/>
      <c r="D42" s="182"/>
      <c r="E42" s="196"/>
      <c r="F42" s="182"/>
      <c r="G42" s="197"/>
      <c r="H42" s="182"/>
      <c r="I42" s="196"/>
      <c r="J42" s="182"/>
      <c r="K42" s="198"/>
      <c r="L42" s="182"/>
    </row>
    <row r="43" spans="1:29" ht="13.8" thickBot="1">
      <c r="A43" s="206" t="s">
        <v>49</v>
      </c>
      <c r="B43" s="200"/>
      <c r="D43" s="182"/>
      <c r="E43" s="207">
        <f>SUM(E37:E41)</f>
        <v>1513</v>
      </c>
      <c r="F43" s="202"/>
      <c r="G43" s="208">
        <f>SUM(G37:G41)</f>
        <v>1736.6097133333328</v>
      </c>
      <c r="H43" s="209"/>
      <c r="I43" s="210">
        <f>SUM(I37:I41)</f>
        <v>105.91455666666729</v>
      </c>
      <c r="J43" s="211"/>
      <c r="K43" s="212">
        <f>SUM(K37:K41)</f>
        <v>1842.5242699999999</v>
      </c>
      <c r="L43" s="182"/>
    </row>
    <row r="44" spans="1:29" ht="13.8" thickBot="1"/>
    <row r="45" spans="1:29" ht="13.8" thickBot="1">
      <c r="A45" s="285" t="s">
        <v>205</v>
      </c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19"/>
      <c r="M45" s="219"/>
      <c r="N45" s="219"/>
      <c r="O45" s="219"/>
      <c r="P45" s="163"/>
      <c r="Q45" s="164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2" t="s">
        <v>204</v>
      </c>
      <c r="B47"/>
      <c r="C47" s="154" t="s">
        <v>206</v>
      </c>
      <c r="D47" s="33"/>
      <c r="E47" s="153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2" t="s">
        <v>204</v>
      </c>
      <c r="B49"/>
      <c r="C49" s="147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8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31" customFormat="1" hidden="1">
      <c r="O51" s="230"/>
    </row>
    <row r="52" spans="1:15" hidden="1"/>
    <row r="53" spans="1:15" ht="13.8" hidden="1" thickBot="1"/>
    <row r="54" spans="1:15" ht="13.8" thickBot="1">
      <c r="A54" s="285" t="s">
        <v>142</v>
      </c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163"/>
      <c r="M54" s="163"/>
      <c r="N54" s="163"/>
      <c r="O54" s="164"/>
    </row>
    <row r="56" spans="1:15">
      <c r="J56" s="217"/>
    </row>
    <row r="57" spans="1:15">
      <c r="A57" s="225" t="s">
        <v>254</v>
      </c>
      <c r="C57" s="226">
        <f>Wilton!BT162/1000</f>
        <v>-207.05902000000003</v>
      </c>
      <c r="E57" s="217" t="s">
        <v>275</v>
      </c>
      <c r="F57" s="217"/>
      <c r="G57" s="217"/>
      <c r="H57" s="217"/>
      <c r="I57" s="217"/>
      <c r="J57" s="217"/>
    </row>
    <row r="58" spans="1:15">
      <c r="A58" s="182"/>
      <c r="C58" s="226">
        <f>Wilton!BT89/1000</f>
        <v>-26168.616999999998</v>
      </c>
      <c r="E58" s="175" t="s">
        <v>326</v>
      </c>
    </row>
    <row r="59" spans="1:15">
      <c r="A59" s="182"/>
      <c r="C59" s="226">
        <f>Wilton!BT12/1000</f>
        <v>-1832.0004399999975</v>
      </c>
      <c r="E59" s="175" t="s">
        <v>318</v>
      </c>
    </row>
    <row r="60" spans="1:15">
      <c r="A60" s="182"/>
      <c r="C60" s="226">
        <f>Wilton!BT15/1000</f>
        <v>-464.69799999999998</v>
      </c>
      <c r="E60" s="175" t="s">
        <v>321</v>
      </c>
    </row>
    <row r="61" spans="1:15">
      <c r="A61" s="182"/>
      <c r="C61" s="226">
        <f>Wilton!BT144/1000</f>
        <v>-7400</v>
      </c>
      <c r="E61" s="175" t="s">
        <v>319</v>
      </c>
    </row>
    <row r="62" spans="1:15">
      <c r="A62" s="182"/>
      <c r="C62" s="226">
        <f>(Wilton!BT132+Wilton!BT99+Wilton!BT108)/1000</f>
        <v>-200.09361333333339</v>
      </c>
      <c r="E62" s="175" t="s">
        <v>335</v>
      </c>
    </row>
    <row r="63" spans="1:15">
      <c r="A63" s="182"/>
      <c r="C63" s="226">
        <f>Wilton!BT142/1000</f>
        <v>-200</v>
      </c>
      <c r="E63" s="175" t="s">
        <v>375</v>
      </c>
    </row>
    <row r="64" spans="1:15">
      <c r="A64" s="182"/>
      <c r="C64" s="226">
        <f>Wilton!BT172/1000</f>
        <v>1785.2035684626587</v>
      </c>
      <c r="E64" s="175" t="s">
        <v>374</v>
      </c>
    </row>
    <row r="65" spans="1:12">
      <c r="A65" s="182"/>
      <c r="C65" s="226">
        <f>Wilton!BT154/1000</f>
        <v>90.305000000000007</v>
      </c>
      <c r="E65" s="175" t="s">
        <v>419</v>
      </c>
    </row>
    <row r="66" spans="1:12">
      <c r="A66" s="182"/>
      <c r="C66" s="226">
        <f>(Wilton!BT157+Wilton!BT158+Wilton!BT159+Wilton!BT160)/1000</f>
        <v>-823.17299999999989</v>
      </c>
      <c r="E66" s="175" t="s">
        <v>376</v>
      </c>
    </row>
    <row r="67" spans="1:12">
      <c r="A67" s="182"/>
      <c r="C67" s="226">
        <f>-Wilton!BR161/1000</f>
        <v>-191.01289000000003</v>
      </c>
      <c r="E67" s="175" t="s">
        <v>332</v>
      </c>
    </row>
    <row r="68" spans="1:12">
      <c r="A68" s="182"/>
      <c r="C68" s="226">
        <f>Wilton!BT140/1000</f>
        <v>-517.16789000000006</v>
      </c>
      <c r="E68" s="175" t="s">
        <v>435</v>
      </c>
    </row>
    <row r="69" spans="1:12">
      <c r="A69" s="182"/>
      <c r="C69" s="226">
        <f>Wilton!BT148/1000</f>
        <v>-353.46850000000001</v>
      </c>
      <c r="E69" s="175" t="s">
        <v>410</v>
      </c>
    </row>
    <row r="70" spans="1:12">
      <c r="A70" s="182"/>
      <c r="C70" s="226">
        <f>Wilton!BT170/1000</f>
        <v>-368.28674000000001</v>
      </c>
      <c r="E70" s="175" t="s">
        <v>340</v>
      </c>
    </row>
    <row r="71" spans="1:12">
      <c r="A71" s="182"/>
      <c r="C71" s="249">
        <v>4408.0720000000001</v>
      </c>
      <c r="E71" s="182" t="s">
        <v>320</v>
      </c>
      <c r="F71" s="182"/>
      <c r="G71" s="182"/>
      <c r="H71" s="182"/>
      <c r="I71" s="182"/>
    </row>
    <row r="72" spans="1:12">
      <c r="A72" s="182"/>
      <c r="C72" s="249">
        <f>Wilton!BT152/1000</f>
        <v>-121.30825</v>
      </c>
      <c r="E72" s="182" t="s">
        <v>329</v>
      </c>
      <c r="F72" s="182"/>
      <c r="G72" s="182"/>
      <c r="H72" s="182"/>
      <c r="I72" s="182"/>
    </row>
    <row r="73" spans="1:12">
      <c r="A73" s="182"/>
      <c r="C73" s="245">
        <f>Wilton!BT121/1000</f>
        <v>-396.66321000000005</v>
      </c>
      <c r="D73" s="246"/>
      <c r="E73" s="246" t="s">
        <v>334</v>
      </c>
      <c r="F73" s="246"/>
      <c r="G73" s="246"/>
      <c r="H73" s="246"/>
      <c r="I73" s="246"/>
      <c r="J73" s="246"/>
      <c r="K73" s="246"/>
    </row>
    <row r="74" spans="1:12">
      <c r="A74" s="182"/>
      <c r="C74" s="276">
        <f>SUM(C57:C73)</f>
        <v>-32959.967984870666</v>
      </c>
      <c r="D74" s="277"/>
      <c r="E74" s="278" t="s">
        <v>328</v>
      </c>
      <c r="F74" s="277"/>
      <c r="G74" s="277"/>
      <c r="H74" s="277"/>
      <c r="I74" s="277"/>
      <c r="J74" s="277"/>
      <c r="K74" s="277"/>
      <c r="L74" s="182"/>
    </row>
    <row r="75" spans="1:12">
      <c r="A75" s="182"/>
      <c r="C75" s="257"/>
      <c r="D75" s="182"/>
      <c r="E75" s="256"/>
      <c r="F75" s="182"/>
      <c r="G75" s="182"/>
      <c r="H75" s="182"/>
      <c r="I75" s="182"/>
      <c r="J75" s="182"/>
      <c r="K75" s="182"/>
      <c r="L75" s="182"/>
    </row>
    <row r="76" spans="1:12">
      <c r="A76" s="182"/>
      <c r="C76" s="258"/>
    </row>
    <row r="77" spans="1:12">
      <c r="A77" s="182"/>
      <c r="C77" s="226"/>
    </row>
    <row r="78" spans="1:12">
      <c r="A78" s="225" t="s">
        <v>290</v>
      </c>
      <c r="C78" s="226">
        <f>Gleason!BV202/1000</f>
        <v>-32.203279999999999</v>
      </c>
      <c r="E78" s="217" t="s">
        <v>275</v>
      </c>
      <c r="F78" s="217"/>
      <c r="G78" s="217"/>
      <c r="H78" s="217"/>
      <c r="I78" s="217"/>
    </row>
    <row r="79" spans="1:12">
      <c r="A79" s="225"/>
      <c r="C79" s="249">
        <f>Gleason!BV97/1000</f>
        <v>-5243.6</v>
      </c>
      <c r="D79" s="182"/>
      <c r="E79" s="175" t="s">
        <v>326</v>
      </c>
      <c r="F79" s="215"/>
      <c r="G79" s="215"/>
      <c r="H79" s="215"/>
      <c r="I79" s="215"/>
      <c r="J79" s="182"/>
      <c r="K79" s="182"/>
    </row>
    <row r="80" spans="1:12">
      <c r="A80" s="225"/>
      <c r="C80" s="249">
        <f>Gleason!BV16/1000</f>
        <v>-3392.7400499999972</v>
      </c>
      <c r="E80" s="175" t="s">
        <v>318</v>
      </c>
      <c r="F80" s="215"/>
      <c r="G80" s="215"/>
      <c r="H80" s="215"/>
      <c r="I80" s="215"/>
      <c r="J80" s="182"/>
      <c r="K80" s="182"/>
    </row>
    <row r="81" spans="1:15">
      <c r="A81" s="225"/>
      <c r="C81" s="249">
        <f>Gleason!BV35/1000</f>
        <v>-579.65</v>
      </c>
      <c r="E81" s="175" t="s">
        <v>361</v>
      </c>
      <c r="F81" s="215"/>
      <c r="G81" s="215"/>
      <c r="H81" s="215"/>
      <c r="I81" s="215"/>
      <c r="J81" s="182"/>
      <c r="K81" s="182"/>
    </row>
    <row r="82" spans="1:15">
      <c r="A82" s="225"/>
      <c r="C82" s="249">
        <f>Gleason!BV182/1000</f>
        <v>-2024.46983</v>
      </c>
      <c r="E82" s="175" t="s">
        <v>336</v>
      </c>
      <c r="F82" s="215"/>
      <c r="G82" s="215"/>
      <c r="H82" s="215"/>
      <c r="I82" s="215"/>
      <c r="J82" s="182"/>
      <c r="K82" s="182"/>
    </row>
    <row r="83" spans="1:15">
      <c r="A83" s="225"/>
      <c r="C83" s="249">
        <f>Gleason!BV201/1000</f>
        <v>-191.01290000000003</v>
      </c>
      <c r="E83" s="175" t="s">
        <v>332</v>
      </c>
      <c r="F83" s="215"/>
      <c r="G83" s="215"/>
      <c r="H83" s="215"/>
      <c r="I83" s="215"/>
      <c r="J83" s="182"/>
      <c r="K83" s="182"/>
    </row>
    <row r="84" spans="1:15">
      <c r="A84" s="225"/>
      <c r="C84" s="249">
        <f>Gleason!BV211/1000</f>
        <v>681.58784633251469</v>
      </c>
      <c r="E84" s="175" t="s">
        <v>374</v>
      </c>
      <c r="F84" s="215"/>
      <c r="G84" s="215"/>
      <c r="H84" s="215"/>
      <c r="I84" s="215"/>
      <c r="J84" s="182"/>
      <c r="K84" s="182"/>
    </row>
    <row r="85" spans="1:15">
      <c r="A85" s="225"/>
      <c r="C85" s="249">
        <f>Gleason!BV209/1000</f>
        <v>-252.20846000000003</v>
      </c>
      <c r="E85" s="175" t="s">
        <v>341</v>
      </c>
      <c r="F85" s="215"/>
      <c r="G85" s="215"/>
      <c r="H85" s="215"/>
      <c r="I85" s="215"/>
      <c r="J85" s="182"/>
      <c r="K85" s="182"/>
    </row>
    <row r="86" spans="1:15">
      <c r="A86" s="225"/>
      <c r="C86" s="249">
        <f>Gleason!BV149/1000</f>
        <v>-59.51</v>
      </c>
      <c r="E86" s="175" t="s">
        <v>362</v>
      </c>
      <c r="F86" s="215"/>
      <c r="G86" s="215"/>
      <c r="H86" s="215"/>
      <c r="I86" s="215"/>
      <c r="J86" s="182"/>
      <c r="K86" s="182"/>
    </row>
    <row r="87" spans="1:15">
      <c r="A87" s="225"/>
      <c r="C87" s="249">
        <f>Gleason!BV159/1000</f>
        <v>-657.71646999999996</v>
      </c>
      <c r="E87" s="175" t="s">
        <v>363</v>
      </c>
      <c r="F87" s="215"/>
      <c r="G87" s="215"/>
      <c r="H87" s="215"/>
      <c r="I87" s="215"/>
      <c r="J87" s="182"/>
      <c r="K87" s="182"/>
    </row>
    <row r="88" spans="1:15">
      <c r="A88" s="225"/>
      <c r="C88" s="249">
        <f>Gleason!BV190/1000</f>
        <v>-597.87991999999997</v>
      </c>
      <c r="E88" s="175" t="s">
        <v>412</v>
      </c>
      <c r="F88" s="215"/>
      <c r="G88" s="215"/>
      <c r="H88" s="215"/>
      <c r="I88" s="215"/>
      <c r="J88" s="182"/>
      <c r="K88" s="182"/>
    </row>
    <row r="89" spans="1:15">
      <c r="A89" s="225"/>
      <c r="C89" s="249">
        <f>Gleason!BV136/1000</f>
        <v>-112.3207</v>
      </c>
      <c r="E89" s="175" t="s">
        <v>411</v>
      </c>
      <c r="F89" s="215"/>
      <c r="G89" s="215"/>
      <c r="H89" s="215"/>
      <c r="I89" s="215"/>
      <c r="J89" s="182"/>
      <c r="K89" s="182"/>
    </row>
    <row r="90" spans="1:15">
      <c r="A90" s="225"/>
      <c r="C90" s="249">
        <f>Gleason!BV194/1000</f>
        <v>87.884649999999993</v>
      </c>
      <c r="E90" s="175" t="s">
        <v>419</v>
      </c>
      <c r="F90" s="215"/>
      <c r="G90" s="215"/>
      <c r="H90" s="215"/>
      <c r="I90" s="215"/>
      <c r="J90" s="182"/>
      <c r="K90" s="182"/>
    </row>
    <row r="91" spans="1:15">
      <c r="A91" s="225"/>
      <c r="C91" s="249">
        <f>Gleason!BV200/1000</f>
        <v>-611.17498999999998</v>
      </c>
      <c r="E91" s="175" t="s">
        <v>376</v>
      </c>
      <c r="F91" s="215"/>
      <c r="G91" s="215"/>
      <c r="H91" s="215"/>
      <c r="I91" s="215"/>
      <c r="J91" s="182"/>
      <c r="K91" s="182"/>
    </row>
    <row r="92" spans="1:15">
      <c r="A92" s="225"/>
      <c r="C92" s="249">
        <f>Gleason!BV215/1000</f>
        <v>5423.4979999999996</v>
      </c>
      <c r="D92" s="182"/>
      <c r="E92" s="182" t="s">
        <v>320</v>
      </c>
      <c r="F92" s="215"/>
      <c r="G92" s="215"/>
      <c r="H92" s="215"/>
      <c r="I92" s="215"/>
      <c r="J92" s="182"/>
      <c r="K92" s="182"/>
    </row>
    <row r="93" spans="1:15">
      <c r="A93" s="225"/>
      <c r="C93" s="249">
        <f>Gleason!BV134/1000</f>
        <v>-67.811160000000029</v>
      </c>
      <c r="D93" s="182"/>
      <c r="E93" s="175" t="s">
        <v>445</v>
      </c>
      <c r="F93" s="215"/>
      <c r="G93" s="215"/>
      <c r="H93" s="215"/>
      <c r="I93" s="215"/>
      <c r="J93" s="182"/>
      <c r="K93" s="182"/>
    </row>
    <row r="94" spans="1:15" s="30" customFormat="1" ht="12" customHeight="1">
      <c r="A94" s="225"/>
      <c r="B94" s="182"/>
      <c r="C94" s="245">
        <v>-7</v>
      </c>
      <c r="D94" s="246"/>
      <c r="E94" s="251" t="s">
        <v>121</v>
      </c>
      <c r="F94" s="248"/>
      <c r="G94" s="248"/>
      <c r="H94" s="248"/>
      <c r="I94" s="248"/>
      <c r="J94" s="246"/>
      <c r="K94" s="246"/>
      <c r="L94" s="182"/>
      <c r="M94" s="182"/>
      <c r="N94" s="182"/>
      <c r="O94" s="182"/>
    </row>
    <row r="95" spans="1:15">
      <c r="A95" s="225"/>
      <c r="C95" s="276">
        <f>SUM(C78:C94)</f>
        <v>-7636.3272636674801</v>
      </c>
      <c r="D95" s="277"/>
      <c r="E95" s="282" t="s">
        <v>325</v>
      </c>
      <c r="F95" s="283"/>
      <c r="G95" s="283"/>
      <c r="H95" s="283"/>
      <c r="I95" s="283"/>
      <c r="J95" s="277"/>
      <c r="K95" s="277"/>
    </row>
    <row r="96" spans="1:15">
      <c r="A96" s="182"/>
      <c r="C96" s="226"/>
      <c r="E96" s="217"/>
      <c r="F96" s="217"/>
      <c r="G96" s="217"/>
      <c r="H96" s="217"/>
      <c r="I96" s="217"/>
    </row>
    <row r="97" spans="1:14">
      <c r="A97" s="182"/>
      <c r="C97" s="226"/>
      <c r="E97" s="217"/>
      <c r="F97" s="217"/>
      <c r="G97" s="217"/>
      <c r="H97" s="217"/>
      <c r="I97" s="217"/>
    </row>
    <row r="98" spans="1:14">
      <c r="A98" s="225" t="s">
        <v>194</v>
      </c>
      <c r="C98" s="226">
        <f>Wheatland!BT159/1000</f>
        <v>-168.35607999999999</v>
      </c>
      <c r="E98" s="217" t="s">
        <v>275</v>
      </c>
    </row>
    <row r="99" spans="1:14">
      <c r="C99" s="226">
        <f>Wheatland!BT91/1000</f>
        <v>-5550.8</v>
      </c>
      <c r="E99" s="175" t="s">
        <v>327</v>
      </c>
    </row>
    <row r="100" spans="1:14">
      <c r="A100" s="229"/>
      <c r="B100" s="230"/>
      <c r="C100" s="226">
        <f>Wheatland!BT12/1000</f>
        <v>-966.48900000000003</v>
      </c>
      <c r="D100" s="230"/>
      <c r="E100" s="175" t="s">
        <v>318</v>
      </c>
      <c r="F100" s="230"/>
      <c r="G100" s="230"/>
      <c r="H100" s="230"/>
      <c r="I100" s="230"/>
      <c r="J100" s="230"/>
      <c r="K100" s="230"/>
      <c r="L100" s="230"/>
      <c r="M100" s="230"/>
      <c r="N100" s="230"/>
    </row>
    <row r="101" spans="1:14">
      <c r="C101" s="226">
        <f>Wheatland!BT32/1000</f>
        <v>-428.48060000000055</v>
      </c>
      <c r="E101" s="175" t="s">
        <v>321</v>
      </c>
    </row>
    <row r="102" spans="1:14">
      <c r="C102" s="226">
        <f>Wheatland!BT130/1000</f>
        <v>-1142.8025700000001</v>
      </c>
      <c r="E102" s="175" t="s">
        <v>324</v>
      </c>
    </row>
    <row r="103" spans="1:14">
      <c r="C103" s="226">
        <f>Wheatland!BT135/1000</f>
        <v>-14.559279999999912</v>
      </c>
      <c r="E103" s="175" t="s">
        <v>434</v>
      </c>
    </row>
    <row r="104" spans="1:14">
      <c r="C104" s="226">
        <f>Wheatland!BT157/1000</f>
        <v>-304.24617999999992</v>
      </c>
      <c r="E104" s="175" t="s">
        <v>376</v>
      </c>
    </row>
    <row r="105" spans="1:14">
      <c r="C105" s="226">
        <f>Wheatland!BT158/1000</f>
        <v>-195.04080999999999</v>
      </c>
      <c r="E105" s="175" t="s">
        <v>342</v>
      </c>
    </row>
    <row r="106" spans="1:14">
      <c r="C106" s="226">
        <f>Wheatland!BT151/1000</f>
        <v>84.56859</v>
      </c>
      <c r="E106" s="175" t="s">
        <v>419</v>
      </c>
    </row>
    <row r="107" spans="1:14">
      <c r="C107" s="226">
        <f>Wheatland!BT167/1000</f>
        <v>-301.67212999999998</v>
      </c>
      <c r="E107" s="175" t="s">
        <v>341</v>
      </c>
    </row>
    <row r="108" spans="1:14">
      <c r="C108" s="226">
        <f>Wheatland!BT169/1000</f>
        <v>1031.760929704817</v>
      </c>
      <c r="E108" s="175" t="s">
        <v>367</v>
      </c>
    </row>
    <row r="109" spans="1:14">
      <c r="C109" s="226">
        <f>Wheatland!BT115/1000</f>
        <v>-150.93513000000002</v>
      </c>
      <c r="E109" s="182" t="s">
        <v>437</v>
      </c>
    </row>
    <row r="110" spans="1:14">
      <c r="A110" s="229"/>
      <c r="B110" s="230"/>
      <c r="C110" s="249">
        <v>3324.1521000000002</v>
      </c>
      <c r="D110" s="256"/>
      <c r="E110" s="182" t="s">
        <v>320</v>
      </c>
      <c r="F110" s="256"/>
      <c r="G110" s="256"/>
      <c r="H110" s="256"/>
      <c r="I110" s="256"/>
      <c r="J110" s="256"/>
      <c r="K110" s="256"/>
      <c r="L110" s="230"/>
      <c r="M110" s="230"/>
    </row>
    <row r="111" spans="1:14" ht="14.25" customHeight="1">
      <c r="C111" s="284">
        <f>SUM(C98:C110)</f>
        <v>-4782.9001602951839</v>
      </c>
      <c r="D111" s="277"/>
      <c r="E111" s="278" t="s">
        <v>328</v>
      </c>
      <c r="F111" s="277"/>
      <c r="G111" s="277"/>
      <c r="H111" s="277"/>
      <c r="I111" s="277"/>
      <c r="J111" s="277"/>
      <c r="K111" s="277"/>
    </row>
    <row r="113" spans="1:15">
      <c r="C113"/>
      <c r="D113"/>
      <c r="E113"/>
      <c r="F113"/>
      <c r="G113"/>
      <c r="H113"/>
      <c r="I113"/>
      <c r="J113"/>
      <c r="K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B116" s="26"/>
      <c r="C116" s="177"/>
    </row>
    <row r="117" spans="1:15">
      <c r="A117" s="218" t="str">
        <f ca="1">CELL("FILENAME")</f>
        <v>O:\Fin_Ops\Engysvc\PowerPlants\2000 Plants\Weekly Report\[2000 Weekly Report - 0912.xls]Wheatland</v>
      </c>
      <c r="B117" s="177"/>
      <c r="C117" s="177"/>
    </row>
  </sheetData>
  <mergeCells count="2">
    <mergeCell ref="A54:K54"/>
    <mergeCell ref="A45:K45"/>
  </mergeCells>
  <printOptions horizontalCentered="1"/>
  <pageMargins left="0.25" right="0.25" top="0.5" bottom="0.34" header="0.5" footer="0.5"/>
  <pageSetup scale="4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15"/>
  <sheetViews>
    <sheetView zoomScale="80" zoomScaleNormal="66" workbookViewId="0">
      <pane xSplit="19" ySplit="8" topLeftCell="T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7" sqref="BL7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" style="150" bestFit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customWidth="1"/>
    <col min="18" max="18" width="21.33203125" style="6" customWidth="1"/>
    <col min="19" max="19" width="2.109375" style="4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6640625" style="6" hidden="1" customWidth="1"/>
    <col min="34" max="34" width="19.109375" style="6" hidden="1" customWidth="1"/>
    <col min="35" max="35" width="1.44140625" style="6" hidden="1" customWidth="1"/>
    <col min="36" max="36" width="19.44140625" style="6" hidden="1" customWidth="1"/>
    <col min="37" max="37" width="1" hidden="1" customWidth="1"/>
    <col min="38" max="38" width="19.44140625" style="6" hidden="1" customWidth="1"/>
    <col min="39" max="39" width="0.88671875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5546875" style="6" hidden="1" customWidth="1"/>
    <col min="44" max="44" width="17.33203125" style="6" hidden="1" customWidth="1"/>
    <col min="45" max="45" width="2" style="6" hidden="1" customWidth="1"/>
    <col min="46" max="46" width="11.6640625" style="6" hidden="1" customWidth="1"/>
    <col min="47" max="47" width="6.441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hidden="1" customWidth="1"/>
    <col min="58" max="58" width="17.88671875" style="6" hidden="1" customWidth="1"/>
    <col min="59" max="59" width="0.88671875" hidden="1" customWidth="1"/>
    <col min="60" max="60" width="17.88671875" style="6" hidden="1" customWidth="1"/>
    <col min="61" max="61" width="0.88671875" hidden="1" customWidth="1"/>
    <col min="62" max="62" width="17.33203125" style="65" hidden="1" customWidth="1"/>
    <col min="63" max="63" width="0.88671875" customWidth="1"/>
    <col min="64" max="64" width="20.88671875" style="6" customWidth="1"/>
    <col min="65" max="65" width="1.5546875" customWidth="1"/>
    <col min="66" max="66" width="19.109375" style="65" customWidth="1"/>
    <col min="67" max="67" width="0.88671875" customWidth="1"/>
    <col min="68" max="68" width="23.44140625" style="6" bestFit="1" customWidth="1"/>
    <col min="69" max="69" width="1.6640625" style="6" customWidth="1"/>
    <col min="70" max="70" width="20.88671875" style="6" customWidth="1"/>
    <col min="71" max="71" width="1.6640625" style="6" customWidth="1"/>
    <col min="72" max="72" width="22.33203125" style="6" customWidth="1"/>
    <col min="73" max="73" width="0.88671875" style="4" customWidth="1"/>
    <col min="74" max="74" width="75.88671875" style="4" customWidth="1"/>
    <col min="75" max="16384" width="9.109375" style="4"/>
  </cols>
  <sheetData>
    <row r="1" spans="1:74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78"/>
      <c r="BM1"/>
      <c r="BN1" s="81"/>
      <c r="BO1"/>
      <c r="BP1" s="78"/>
      <c r="BQ1" s="78"/>
      <c r="BR1" s="78"/>
      <c r="BS1" s="78"/>
      <c r="BT1" s="68"/>
    </row>
    <row r="2" spans="1:74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68"/>
      <c r="BM2"/>
      <c r="BN2" s="81"/>
      <c r="BO2"/>
      <c r="BP2" s="68"/>
      <c r="BQ2" s="68"/>
      <c r="BR2" s="68"/>
      <c r="BS2" s="68"/>
      <c r="BT2" s="106" t="str">
        <f ca="1">CELL("filename")</f>
        <v>O:\Fin_Ops\Engysvc\PowerPlants\2000 Plants\Weekly Report\[2000 Weekly Report - 0912.xls]Wheatland</v>
      </c>
    </row>
    <row r="3" spans="1:74" s="18" customFormat="1" ht="15.6">
      <c r="A3" s="99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23"/>
      <c r="BM3"/>
      <c r="BN3" s="81"/>
      <c r="BO3"/>
      <c r="BP3" s="23">
        <f ca="1">NOW()</f>
        <v>36782.625787384262</v>
      </c>
      <c r="BR3" s="23"/>
      <c r="BT3" s="78" t="str">
        <f>Summary!A5</f>
        <v>Revision # 63</v>
      </c>
      <c r="BV3" s="18" t="str">
        <f>Summary!A5</f>
        <v>Revision # 63</v>
      </c>
    </row>
    <row r="4" spans="1:74" s="18" customFormat="1" ht="15.6">
      <c r="A4" s="94"/>
      <c r="B4" s="19">
        <f>Summary!C11</f>
        <v>608</v>
      </c>
      <c r="C4"/>
      <c r="G4" s="67"/>
      <c r="J4" s="67"/>
      <c r="L4" s="74"/>
      <c r="N4" s="69"/>
      <c r="O4" s="129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71"/>
      <c r="BM4"/>
      <c r="BN4" s="70" t="s">
        <v>129</v>
      </c>
      <c r="BO4"/>
      <c r="BP4" s="71"/>
      <c r="BR4" s="71"/>
      <c r="BT4" s="71"/>
    </row>
    <row r="5" spans="1:74" s="18" customFormat="1" ht="15.6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71" t="s">
        <v>44</v>
      </c>
      <c r="BM5"/>
      <c r="BN5" s="70" t="s">
        <v>130</v>
      </c>
      <c r="BO5"/>
      <c r="BP5" s="71" t="s">
        <v>42</v>
      </c>
      <c r="BR5" s="71" t="s">
        <v>144</v>
      </c>
      <c r="BT5" s="71" t="s">
        <v>316</v>
      </c>
    </row>
    <row r="6" spans="1:74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75" t="s">
        <v>126</v>
      </c>
      <c r="BM6"/>
      <c r="BN6" s="73" t="s">
        <v>131</v>
      </c>
      <c r="BO6"/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6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/>
      <c r="AJ7" s="82" t="str">
        <f>+Summary!$O$4</f>
        <v xml:space="preserve"> As of 09/11/00</v>
      </c>
      <c r="AK7"/>
      <c r="AL7" s="82" t="str">
        <f>+Summary!$O$4</f>
        <v xml:space="preserve"> As of 09/11/00</v>
      </c>
      <c r="AM7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82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/>
      <c r="BA7" s="82"/>
      <c r="BB7" s="82"/>
      <c r="BC7" s="82"/>
      <c r="BD7" s="82" t="str">
        <f>+Summary!$O$4</f>
        <v xml:space="preserve"> As of 09/11/00</v>
      </c>
      <c r="BE7"/>
      <c r="BF7" s="82" t="str">
        <f>+Summary!$O$4</f>
        <v xml:space="preserve"> As of 09/11/00</v>
      </c>
      <c r="BG7"/>
      <c r="BH7" s="82" t="str">
        <f>+Summary!$O$4</f>
        <v xml:space="preserve"> As of 09/11/00</v>
      </c>
      <c r="BI7"/>
      <c r="BJ7" s="82" t="str">
        <f>+Summary!$O$4</f>
        <v xml:space="preserve"> As of 09/11/00</v>
      </c>
      <c r="BK7"/>
      <c r="BL7" s="71" t="str">
        <f>Summary!O4</f>
        <v xml:space="preserve"> As of 09/11/00</v>
      </c>
      <c r="BM7"/>
      <c r="BN7" s="64" t="str">
        <f>+Summary!$O$4</f>
        <v xml:space="preserve"> As of 09/11/00</v>
      </c>
      <c r="BO7"/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N8" s="22"/>
      <c r="BU8" s="6"/>
    </row>
    <row r="9" spans="1:74">
      <c r="A9" s="93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f>SUM(T9:BK9)</f>
        <v>142064940.44</v>
      </c>
      <c r="BN9" s="6">
        <f>142064940-R9-192000</f>
        <v>1832000</v>
      </c>
      <c r="BP9" s="6">
        <f>IF(+R9-BL9+BN9&gt;0,R9-BL9+BN9,0)</f>
        <v>0</v>
      </c>
      <c r="BR9" s="6">
        <f>+BL9+BP9</f>
        <v>142064940.44</v>
      </c>
      <c r="BT9" s="6">
        <f>+R9-BR9</f>
        <v>-2024000.4399999976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f>SUM(T10:BK10)</f>
        <v>0</v>
      </c>
      <c r="BN10" s="6">
        <v>-192000</v>
      </c>
      <c r="BP10" s="6">
        <f>IF(+R10-BL10+BN10&gt;0,R10-BL10+BN10,0)</f>
        <v>0</v>
      </c>
      <c r="BR10" s="6">
        <f>+BL10+BP10</f>
        <v>0</v>
      </c>
      <c r="BT10" s="6">
        <f>+R10-BR10</f>
        <v>192000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6">
        <f>IF(+R11-BL11+BN11&gt;0,R11-BL11+BN11,0)</f>
        <v>0</v>
      </c>
      <c r="BR11" s="12"/>
      <c r="BU11" s="6"/>
    </row>
    <row r="12" spans="1:74">
      <c r="A12" s="93"/>
      <c r="B12" s="17" t="s">
        <v>169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142064940.44</v>
      </c>
      <c r="BN12" s="101">
        <f>SUM(BN9:BN11)</f>
        <v>1640000</v>
      </c>
      <c r="BP12" s="101">
        <f>SUM(BP9:BP11)</f>
        <v>0</v>
      </c>
      <c r="BR12" s="101">
        <f>SUM(BR9:BR11)</f>
        <v>142064940.44</v>
      </c>
      <c r="BT12" s="101">
        <f>SUM(BT9:BT11)</f>
        <v>-1832000.4399999976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N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f>SUM(T14:BK14)</f>
        <v>0</v>
      </c>
      <c r="BN14" s="6">
        <v>0</v>
      </c>
      <c r="BP14" s="6">
        <f>+R14-BL14+BN14</f>
        <v>0</v>
      </c>
      <c r="BR14" s="6">
        <f t="shared" ref="BR14:BR30" si="0">+BL14+BP14</f>
        <v>0</v>
      </c>
      <c r="BT14" s="6">
        <f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f>SUM(T15:BK15)</f>
        <v>6342648</v>
      </c>
      <c r="BN15" s="6">
        <f>5916048-5878600+220650+206600</f>
        <v>464698</v>
      </c>
      <c r="BP15" s="6">
        <f t="shared" ref="BP15:BP30" si="1">IF(+R15-BL15+BN15&gt;0,R15-BL15+BN15,0)</f>
        <v>650</v>
      </c>
      <c r="BR15" s="6">
        <f t="shared" si="0"/>
        <v>6343298</v>
      </c>
      <c r="BT15" s="6">
        <f>+R15-BR15</f>
        <v>-464698</v>
      </c>
      <c r="BU15" s="6"/>
    </row>
    <row r="16" spans="1:74">
      <c r="A16" s="57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4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N16" s="6"/>
      <c r="BP16" s="6">
        <f t="shared" si="1"/>
        <v>0</v>
      </c>
      <c r="BR16" s="6">
        <f t="shared" si="0"/>
        <v>0</v>
      </c>
      <c r="BT16" s="6">
        <f t="shared" ref="BT16:BT29" si="2">+R16-BR16</f>
        <v>0</v>
      </c>
      <c r="BU16" s="6"/>
    </row>
    <row r="17" spans="1:73">
      <c r="A17" s="57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N17" s="6"/>
      <c r="BP17" s="6">
        <f t="shared" si="1"/>
        <v>0</v>
      </c>
      <c r="BR17" s="6">
        <f t="shared" si="0"/>
        <v>0</v>
      </c>
      <c r="BT17" s="6">
        <f t="shared" si="2"/>
        <v>0</v>
      </c>
      <c r="BU17" s="6"/>
    </row>
    <row r="18" spans="1:73">
      <c r="A18" s="57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N18" s="6"/>
      <c r="BP18" s="6">
        <f t="shared" si="1"/>
        <v>0</v>
      </c>
      <c r="BR18" s="6">
        <f t="shared" si="0"/>
        <v>0</v>
      </c>
      <c r="BT18" s="6">
        <f t="shared" si="2"/>
        <v>0</v>
      </c>
      <c r="BU18" s="6"/>
    </row>
    <row r="19" spans="1:73">
      <c r="A19" s="57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N19" s="6"/>
      <c r="BP19" s="6">
        <f t="shared" si="1"/>
        <v>0</v>
      </c>
      <c r="BR19" s="6">
        <f t="shared" si="0"/>
        <v>0</v>
      </c>
      <c r="BT19" s="6">
        <f t="shared" si="2"/>
        <v>0</v>
      </c>
      <c r="BU19" s="6"/>
    </row>
    <row r="20" spans="1:73" hidden="1">
      <c r="A20" s="57"/>
      <c r="B20" s="17"/>
      <c r="C20"/>
      <c r="D20"/>
      <c r="E20"/>
      <c r="F20"/>
      <c r="G20"/>
      <c r="H20"/>
      <c r="I20"/>
      <c r="J20" s="49" t="s">
        <v>0</v>
      </c>
      <c r="K20"/>
      <c r="L20" s="134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N20" s="6"/>
      <c r="BP20" s="6">
        <f t="shared" si="1"/>
        <v>0</v>
      </c>
      <c r="BR20" s="6">
        <f t="shared" si="0"/>
        <v>0</v>
      </c>
      <c r="BT20" s="6">
        <f t="shared" si="2"/>
        <v>0</v>
      </c>
      <c r="BU20" s="6"/>
    </row>
    <row r="21" spans="1:73" hidden="1">
      <c r="A21" s="57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f t="shared" ref="BL21:BL29" si="4">SUM(T21:BK21)</f>
        <v>0</v>
      </c>
      <c r="BN21" s="6">
        <v>0</v>
      </c>
      <c r="BP21" s="6">
        <f t="shared" si="1"/>
        <v>0</v>
      </c>
      <c r="BR21" s="6">
        <f t="shared" si="0"/>
        <v>0</v>
      </c>
      <c r="BT21" s="6">
        <f t="shared" si="2"/>
        <v>0</v>
      </c>
      <c r="BU21" s="6"/>
    </row>
    <row r="22" spans="1:73" hidden="1">
      <c r="A22" s="57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f t="shared" si="4"/>
        <v>0</v>
      </c>
      <c r="BN22" s="6">
        <v>0</v>
      </c>
      <c r="BP22" s="6">
        <f t="shared" si="1"/>
        <v>0</v>
      </c>
      <c r="BR22" s="6">
        <f t="shared" si="0"/>
        <v>0</v>
      </c>
      <c r="BT22" s="6">
        <f t="shared" si="2"/>
        <v>0</v>
      </c>
      <c r="BU22" s="6"/>
    </row>
    <row r="23" spans="1:73" hidden="1">
      <c r="A23" s="57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f t="shared" si="4"/>
        <v>0</v>
      </c>
      <c r="BN23" s="6">
        <v>0</v>
      </c>
      <c r="BP23" s="6">
        <f t="shared" si="1"/>
        <v>0</v>
      </c>
      <c r="BR23" s="6">
        <f t="shared" si="0"/>
        <v>0</v>
      </c>
      <c r="BT23" s="6">
        <f t="shared" si="2"/>
        <v>0</v>
      </c>
      <c r="BU23" s="6"/>
    </row>
    <row r="24" spans="1:73" hidden="1">
      <c r="A24" s="57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f t="shared" si="4"/>
        <v>0</v>
      </c>
      <c r="BN24" s="6">
        <v>0</v>
      </c>
      <c r="BP24" s="6">
        <f t="shared" si="1"/>
        <v>0</v>
      </c>
      <c r="BR24" s="6">
        <f t="shared" si="0"/>
        <v>0</v>
      </c>
      <c r="BT24" s="6">
        <f t="shared" si="2"/>
        <v>0</v>
      </c>
      <c r="BU24" s="6"/>
    </row>
    <row r="25" spans="1:73" hidden="1">
      <c r="A25" s="57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f t="shared" si="4"/>
        <v>0</v>
      </c>
      <c r="BN25" s="6">
        <v>0</v>
      </c>
      <c r="BP25" s="6">
        <f t="shared" si="1"/>
        <v>0</v>
      </c>
      <c r="BR25" s="6">
        <f t="shared" si="0"/>
        <v>0</v>
      </c>
      <c r="BT25" s="6">
        <f t="shared" si="2"/>
        <v>0</v>
      </c>
      <c r="BU25" s="6"/>
    </row>
    <row r="26" spans="1:73" hidden="1">
      <c r="A26" s="59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f t="shared" si="4"/>
        <v>0</v>
      </c>
      <c r="BN26" s="6">
        <v>0</v>
      </c>
      <c r="BP26" s="6">
        <f t="shared" si="1"/>
        <v>0</v>
      </c>
      <c r="BR26" s="6">
        <f t="shared" si="0"/>
        <v>0</v>
      </c>
      <c r="BT26" s="6">
        <f t="shared" si="2"/>
        <v>0</v>
      </c>
      <c r="BU26" s="6"/>
    </row>
    <row r="27" spans="1:73" hidden="1">
      <c r="A27" s="59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f t="shared" si="4"/>
        <v>0</v>
      </c>
      <c r="BN27" s="6">
        <v>0</v>
      </c>
      <c r="BP27" s="6">
        <f t="shared" si="1"/>
        <v>0</v>
      </c>
      <c r="BR27" s="6">
        <f t="shared" si="0"/>
        <v>0</v>
      </c>
      <c r="BT27" s="6">
        <f t="shared" si="2"/>
        <v>0</v>
      </c>
      <c r="BU27" s="6"/>
    </row>
    <row r="28" spans="1:73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4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f t="shared" si="4"/>
        <v>0</v>
      </c>
      <c r="BM28"/>
      <c r="BN28" s="12">
        <v>0</v>
      </c>
      <c r="BO28"/>
      <c r="BP28" s="6">
        <f t="shared" si="1"/>
        <v>0</v>
      </c>
      <c r="BQ28" s="12"/>
      <c r="BR28" s="6">
        <f t="shared" si="0"/>
        <v>0</v>
      </c>
      <c r="BS28" s="12"/>
      <c r="BT28" s="6">
        <f t="shared" si="2"/>
        <v>0</v>
      </c>
      <c r="BU28" s="12"/>
    </row>
    <row r="29" spans="1:73">
      <c r="A29" s="57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f t="shared" si="4"/>
        <v>0</v>
      </c>
      <c r="BN29" s="12">
        <v>0</v>
      </c>
      <c r="BP29" s="6">
        <f t="shared" si="1"/>
        <v>0</v>
      </c>
      <c r="BR29" s="6">
        <f t="shared" si="0"/>
        <v>0</v>
      </c>
      <c r="BT29" s="6">
        <f t="shared" si="2"/>
        <v>0</v>
      </c>
      <c r="BU29" s="12"/>
    </row>
    <row r="30" spans="1:73">
      <c r="A30" s="57"/>
      <c r="B30" s="17"/>
      <c r="C30"/>
      <c r="D30"/>
      <c r="E30"/>
      <c r="F30"/>
      <c r="G30"/>
      <c r="H30"/>
      <c r="I30"/>
      <c r="J30" s="49"/>
      <c r="K30"/>
      <c r="L30" s="134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6">
        <f t="shared" si="1"/>
        <v>0</v>
      </c>
      <c r="BR30" s="6">
        <f t="shared" si="0"/>
        <v>0</v>
      </c>
      <c r="BT30" s="6">
        <f>+R30-BR30</f>
        <v>0</v>
      </c>
      <c r="BU30" s="12"/>
    </row>
    <row r="31" spans="1:73">
      <c r="A31" s="57"/>
      <c r="B31" s="17" t="s">
        <v>226</v>
      </c>
      <c r="C31"/>
      <c r="D31"/>
      <c r="E31"/>
      <c r="F31"/>
      <c r="G31"/>
      <c r="H31"/>
      <c r="I31"/>
      <c r="J31" s="49"/>
      <c r="K31"/>
      <c r="L31" s="134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6342648</v>
      </c>
      <c r="BN31" s="101">
        <f>SUM(BN14:BN30)</f>
        <v>464698</v>
      </c>
      <c r="BP31" s="101">
        <f>SUM(BP14:BP30)</f>
        <v>650</v>
      </c>
      <c r="BR31" s="101">
        <f>SUM(BR14:BR30)</f>
        <v>6343298</v>
      </c>
      <c r="BT31" s="101">
        <f>SUM(BT14:BT30)</f>
        <v>-464698</v>
      </c>
      <c r="BU31" s="12"/>
    </row>
    <row r="32" spans="1:73">
      <c r="A32" s="57"/>
      <c r="B32" s="17"/>
      <c r="C32"/>
      <c r="D32"/>
      <c r="E32"/>
      <c r="F32"/>
      <c r="G32"/>
      <c r="H32"/>
      <c r="I32"/>
      <c r="J32" s="49"/>
      <c r="K32"/>
      <c r="L32" s="134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U32" s="12"/>
    </row>
    <row r="33" spans="1:73" s="114" customFormat="1">
      <c r="A33" s="112"/>
      <c r="B33" s="113" t="s">
        <v>15</v>
      </c>
      <c r="J33" s="157"/>
      <c r="L33" s="142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148407588.44</v>
      </c>
      <c r="BM33"/>
      <c r="BN33" s="115">
        <f>+BN31+BN12</f>
        <v>2104698</v>
      </c>
      <c r="BO33"/>
      <c r="BP33" s="115">
        <f>+BP31+BP12</f>
        <v>650</v>
      </c>
      <c r="BQ33" s="115"/>
      <c r="BR33" s="115">
        <f>+BR31+BR12</f>
        <v>148408238.44</v>
      </c>
      <c r="BS33" s="115"/>
      <c r="BT33" s="115">
        <f>+BT31+BT12</f>
        <v>-2296698.4399999976</v>
      </c>
      <c r="BU33" s="115"/>
    </row>
    <row r="34" spans="1:73">
      <c r="A34" s="57"/>
      <c r="B34" s="79"/>
      <c r="C34"/>
      <c r="D34"/>
      <c r="E34"/>
      <c r="F34"/>
      <c r="G34"/>
      <c r="H34"/>
      <c r="I34"/>
      <c r="J34" s="49"/>
      <c r="K34"/>
      <c r="L34" s="134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N34" s="6"/>
      <c r="BU34" s="6"/>
    </row>
    <row r="35" spans="1:73">
      <c r="A35" s="57"/>
      <c r="B35" s="17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N35" s="6"/>
      <c r="BU35" s="6"/>
    </row>
    <row r="36" spans="1:73">
      <c r="A36" s="56" t="s">
        <v>234</v>
      </c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N36" s="6"/>
      <c r="BU36" s="6"/>
    </row>
    <row r="37" spans="1:73">
      <c r="A37" s="57"/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N37" s="6"/>
      <c r="BU37" s="6"/>
    </row>
    <row r="38" spans="1:73">
      <c r="A38" s="57"/>
      <c r="B38" s="232" t="s">
        <v>295</v>
      </c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N38" s="6"/>
      <c r="BU38" s="6"/>
    </row>
    <row r="39" spans="1:73">
      <c r="A39" s="57"/>
      <c r="B39" s="233" t="s">
        <v>293</v>
      </c>
      <c r="C39"/>
      <c r="D39"/>
      <c r="E39"/>
      <c r="F39"/>
      <c r="G39"/>
      <c r="H39"/>
      <c r="I39"/>
      <c r="J39" s="49" t="s">
        <v>229</v>
      </c>
      <c r="K39"/>
      <c r="L39" s="134" t="s">
        <v>202</v>
      </c>
      <c r="M39" s="6"/>
      <c r="O39" s="6"/>
      <c r="Q39" s="6"/>
      <c r="R39" s="235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/>
      <c r="BL39" s="6">
        <f t="shared" ref="BL39:BL45" si="5">SUM(T39:BK39)</f>
        <v>5049977</v>
      </c>
      <c r="BN39" s="6">
        <f>5029611-R39</f>
        <v>3490646</v>
      </c>
      <c r="BP39" s="6">
        <f t="shared" ref="BP39:BP45" si="6">IF(+R39-BL39+BN39&gt;0,R39-BL39+BN39,0)</f>
        <v>0</v>
      </c>
      <c r="BR39" s="6">
        <f t="shared" ref="BR39:BR45" si="7">+BL39+BP39</f>
        <v>5049977</v>
      </c>
      <c r="BT39" s="6">
        <f>+R39-BR39</f>
        <v>-3511012</v>
      </c>
      <c r="BU39" s="6"/>
    </row>
    <row r="40" spans="1:73">
      <c r="A40" s="57"/>
      <c r="B40" s="233" t="s">
        <v>382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/>
      <c r="BL40" s="6">
        <f t="shared" si="5"/>
        <v>4206988</v>
      </c>
      <c r="BN40" s="6">
        <f>4508946-R40</f>
        <v>2791564</v>
      </c>
      <c r="BP40" s="6">
        <f t="shared" si="6"/>
        <v>301958</v>
      </c>
      <c r="BR40" s="6">
        <f t="shared" si="7"/>
        <v>4508946</v>
      </c>
      <c r="BT40" s="6">
        <f t="shared" ref="BT40:BT45" si="8">+R40-BR40</f>
        <v>-2791564</v>
      </c>
      <c r="BU40" s="6"/>
    </row>
    <row r="41" spans="1:73">
      <c r="A41" s="57"/>
      <c r="B41" s="233" t="s">
        <v>383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/>
      <c r="BL41" s="6">
        <f t="shared" si="5"/>
        <v>4466169</v>
      </c>
      <c r="BN41" s="6">
        <f>5191889-R41</f>
        <v>-9370490</v>
      </c>
      <c r="BP41" s="6">
        <f t="shared" si="6"/>
        <v>725720</v>
      </c>
      <c r="BR41" s="6">
        <f t="shared" si="7"/>
        <v>5191889</v>
      </c>
      <c r="BT41" s="6">
        <f t="shared" si="8"/>
        <v>9370490</v>
      </c>
      <c r="BU41" s="6"/>
    </row>
    <row r="42" spans="1:73">
      <c r="A42" s="57"/>
      <c r="B42" s="233" t="s">
        <v>22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N42" s="6">
        <v>0</v>
      </c>
      <c r="O42" s="6"/>
      <c r="P42" s="6">
        <v>0</v>
      </c>
      <c r="Q42" s="6"/>
      <c r="R42" s="235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v>0</v>
      </c>
      <c r="BL42" s="6">
        <f t="shared" si="5"/>
        <v>1174200</v>
      </c>
      <c r="BN42" s="6">
        <f>1113548-R42</f>
        <v>734860</v>
      </c>
      <c r="BP42" s="6">
        <f t="shared" si="6"/>
        <v>0</v>
      </c>
      <c r="BR42" s="6">
        <f t="shared" si="7"/>
        <v>1174200</v>
      </c>
      <c r="BT42" s="6">
        <f t="shared" si="8"/>
        <v>-795512</v>
      </c>
      <c r="BU42" s="6"/>
    </row>
    <row r="43" spans="1:73">
      <c r="A43" s="57"/>
      <c r="B43" s="233" t="s">
        <v>364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v>0</v>
      </c>
      <c r="BL43" s="6">
        <f t="shared" si="5"/>
        <v>62870</v>
      </c>
      <c r="BN43" s="6">
        <f>94000-R43</f>
        <v>-56000</v>
      </c>
      <c r="BP43" s="6">
        <f t="shared" si="6"/>
        <v>31130</v>
      </c>
      <c r="BR43" s="6">
        <f t="shared" si="7"/>
        <v>94000</v>
      </c>
      <c r="BT43" s="6">
        <f t="shared" si="8"/>
        <v>56000</v>
      </c>
      <c r="BU43" s="6"/>
    </row>
    <row r="44" spans="1:73">
      <c r="A44" s="57"/>
      <c r="B44" s="233" t="s">
        <v>190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f t="shared" si="5"/>
        <v>0</v>
      </c>
      <c r="BN44" s="6">
        <f>49938-104121</f>
        <v>-54183</v>
      </c>
      <c r="BP44" s="6">
        <f t="shared" si="6"/>
        <v>49938</v>
      </c>
      <c r="BR44" s="6">
        <f t="shared" si="7"/>
        <v>49938</v>
      </c>
      <c r="BT44" s="6">
        <f t="shared" si="8"/>
        <v>54183</v>
      </c>
      <c r="BU44" s="6"/>
    </row>
    <row r="45" spans="1:73">
      <c r="A45" s="57"/>
      <c r="B45" s="233" t="s">
        <v>294</v>
      </c>
      <c r="C45"/>
      <c r="D45"/>
      <c r="E45"/>
      <c r="F45"/>
      <c r="G45"/>
      <c r="H45"/>
      <c r="I45"/>
      <c r="J45" s="49"/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f t="shared" si="5"/>
        <v>147037</v>
      </c>
      <c r="BN45" s="6">
        <f>551250-R45</f>
        <v>387025</v>
      </c>
      <c r="BP45" s="6">
        <f t="shared" si="6"/>
        <v>404213</v>
      </c>
      <c r="BR45" s="6">
        <f t="shared" si="7"/>
        <v>551250</v>
      </c>
      <c r="BT45" s="6">
        <f t="shared" si="8"/>
        <v>-387025</v>
      </c>
      <c r="BU45" s="6"/>
    </row>
    <row r="46" spans="1:73" s="21" customFormat="1">
      <c r="A46" s="118"/>
      <c r="B46" s="236" t="s">
        <v>296</v>
      </c>
      <c r="J46" s="8"/>
      <c r="L46" s="143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T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0</v>
      </c>
      <c r="BK46"/>
      <c r="BL46" s="9">
        <f t="shared" si="10"/>
        <v>15107241</v>
      </c>
      <c r="BM46"/>
      <c r="BN46" s="9">
        <f t="shared" si="10"/>
        <v>-2076578</v>
      </c>
      <c r="BO46"/>
      <c r="BP46" s="9">
        <f t="shared" si="10"/>
        <v>1512959</v>
      </c>
      <c r="BQ46" s="9">
        <f t="shared" si="10"/>
        <v>0</v>
      </c>
      <c r="BR46" s="9">
        <f t="shared" si="10"/>
        <v>16620200</v>
      </c>
      <c r="BS46" s="9">
        <f t="shared" si="10"/>
        <v>0</v>
      </c>
      <c r="BT46" s="9">
        <f t="shared" si="10"/>
        <v>1995560</v>
      </c>
      <c r="BU46" s="9"/>
    </row>
    <row r="47" spans="1:73">
      <c r="A47" s="57"/>
      <c r="B47" s="234"/>
      <c r="C47"/>
      <c r="D47"/>
      <c r="E47"/>
      <c r="F47"/>
      <c r="G47"/>
      <c r="H47"/>
      <c r="I47"/>
      <c r="J47" s="49"/>
      <c r="K47"/>
      <c r="L47" s="134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N47" s="6"/>
      <c r="BU47" s="6"/>
    </row>
    <row r="48" spans="1:73">
      <c r="B48" s="21" t="s">
        <v>297</v>
      </c>
      <c r="C48"/>
      <c r="D48"/>
      <c r="E48"/>
      <c r="F48"/>
      <c r="G48"/>
      <c r="H48"/>
      <c r="I48"/>
      <c r="J48" s="49"/>
      <c r="K48"/>
      <c r="L48" s="134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N48" s="6"/>
      <c r="BU48" s="6"/>
    </row>
    <row r="49" spans="1:73">
      <c r="A49"/>
      <c r="B49" s="233" t="s">
        <v>384</v>
      </c>
      <c r="C49"/>
      <c r="D49"/>
      <c r="E49"/>
      <c r="F49"/>
      <c r="G49"/>
      <c r="H49"/>
      <c r="I49"/>
      <c r="J49" s="49" t="s">
        <v>229</v>
      </c>
      <c r="K49"/>
      <c r="L49" s="134"/>
      <c r="M49" s="6"/>
      <c r="O49" s="6"/>
      <c r="Q49" s="6"/>
      <c r="R49" s="235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/>
      <c r="BL49" s="6">
        <f>SUM(T49:BK49)</f>
        <v>476183</v>
      </c>
      <c r="BN49" s="6">
        <f>499073-R49</f>
        <v>88769</v>
      </c>
      <c r="BP49" s="6">
        <f>IF(+R49-BL49+BN49&gt;0,R49-BL49+BN49,0)</f>
        <v>22890</v>
      </c>
      <c r="BR49" s="6">
        <f>+BL49+BP49</f>
        <v>499073</v>
      </c>
      <c r="BT49" s="6">
        <f>+R49-BR49</f>
        <v>-88769</v>
      </c>
      <c r="BU49" s="6"/>
    </row>
    <row r="50" spans="1:73">
      <c r="A50"/>
      <c r="B50" s="233" t="s">
        <v>385</v>
      </c>
      <c r="C50"/>
      <c r="D50"/>
      <c r="E50"/>
      <c r="F50"/>
      <c r="G50"/>
      <c r="H50"/>
      <c r="I50"/>
      <c r="J50" s="49" t="s">
        <v>229</v>
      </c>
      <c r="K50"/>
      <c r="L50" s="134"/>
      <c r="M50" s="6"/>
      <c r="O50" s="6"/>
      <c r="Q50" s="6"/>
      <c r="R50" s="235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/>
      <c r="BL50" s="6">
        <f>SUM(T50:BK50)</f>
        <v>4924228</v>
      </c>
      <c r="BN50" s="6">
        <f>5736890-R50</f>
        <v>749780</v>
      </c>
      <c r="BP50" s="6">
        <f>IF(+R50-BL50+BN50&gt;0,R50-BL50+BN50,0)</f>
        <v>812662</v>
      </c>
      <c r="BR50" s="6">
        <f>+BL50+BP50</f>
        <v>5736890</v>
      </c>
      <c r="BT50" s="6">
        <f>+R50-BR50</f>
        <v>-749780</v>
      </c>
      <c r="BU50" s="6"/>
    </row>
    <row r="51" spans="1:73">
      <c r="A51"/>
      <c r="B51" s="233" t="s">
        <v>19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/>
      <c r="BL51" s="6">
        <f>SUM(T51:BK51)</f>
        <v>846743</v>
      </c>
      <c r="BN51" s="6">
        <f>908711-R51</f>
        <v>122048</v>
      </c>
      <c r="BP51" s="6">
        <f>IF(+R51-BL51+BN51&gt;0,R51-BL51+BN51,0)</f>
        <v>61968</v>
      </c>
      <c r="BR51" s="6">
        <f>+BL51+BP51</f>
        <v>908711</v>
      </c>
      <c r="BT51" s="6">
        <f>+R51-BR51</f>
        <v>-122048</v>
      </c>
      <c r="BU51" s="6"/>
    </row>
    <row r="52" spans="1:73">
      <c r="A52"/>
      <c r="B52" s="233" t="s">
        <v>386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/>
      <c r="BL52" s="6">
        <f>SUM(T52:BK52)</f>
        <v>828809</v>
      </c>
      <c r="BN52" s="6">
        <f>843063-R52</f>
        <v>188563</v>
      </c>
      <c r="BP52" s="6">
        <f>IF(+R52-BL52+BN52&gt;0,R52-BL52+BN52,0)</f>
        <v>14254</v>
      </c>
      <c r="BR52" s="6">
        <f>+BL52+BP52</f>
        <v>843063</v>
      </c>
      <c r="BT52" s="6">
        <f>+R52-BR52</f>
        <v>-188563</v>
      </c>
      <c r="BU52" s="6"/>
    </row>
    <row r="53" spans="1:73" s="21" customFormat="1">
      <c r="B53" s="236" t="s">
        <v>298</v>
      </c>
      <c r="J53" s="8"/>
      <c r="L53" s="143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T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0</v>
      </c>
      <c r="BK53"/>
      <c r="BL53" s="9">
        <f t="shared" si="12"/>
        <v>7075963</v>
      </c>
      <c r="BM53"/>
      <c r="BN53" s="9">
        <f t="shared" si="12"/>
        <v>1149160</v>
      </c>
      <c r="BO53"/>
      <c r="BP53" s="9">
        <f t="shared" si="12"/>
        <v>911774</v>
      </c>
      <c r="BQ53" s="9">
        <f t="shared" si="12"/>
        <v>0</v>
      </c>
      <c r="BR53" s="9">
        <f t="shared" si="12"/>
        <v>7987737</v>
      </c>
      <c r="BS53" s="9">
        <f t="shared" si="12"/>
        <v>0</v>
      </c>
      <c r="BT53" s="9">
        <f t="shared" si="12"/>
        <v>-1149160</v>
      </c>
      <c r="BU53" s="9"/>
    </row>
    <row r="54" spans="1:73" s="21" customFormat="1">
      <c r="B54" s="236"/>
      <c r="J54" s="8"/>
      <c r="L54" s="14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 s="9"/>
      <c r="BR54" s="9"/>
      <c r="BS54" s="9"/>
      <c r="BT54" s="9"/>
      <c r="BU54" s="9"/>
    </row>
    <row r="55" spans="1:73" s="21" customFormat="1">
      <c r="B55" s="237" t="s">
        <v>310</v>
      </c>
      <c r="J55" s="8"/>
      <c r="L55" s="14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 s="9"/>
      <c r="BR55" s="9"/>
      <c r="BS55" s="9"/>
      <c r="BT55" s="9"/>
      <c r="BU55" s="9"/>
    </row>
    <row r="56" spans="1:73" s="21" customFormat="1">
      <c r="B56" s="238" t="s">
        <v>299</v>
      </c>
      <c r="J56" s="8"/>
      <c r="L56" s="143"/>
      <c r="M56" s="9"/>
      <c r="N56" s="9"/>
      <c r="O56" s="9"/>
      <c r="P56" s="9"/>
      <c r="Q56" s="9"/>
      <c r="R56" s="235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9"/>
      <c r="BK56"/>
      <c r="BL56" s="6">
        <f t="shared" ref="BL56:BL79" si="13">SUM(T56:BK56)</f>
        <v>1520655</v>
      </c>
      <c r="BM56"/>
      <c r="BN56" s="6">
        <f>1151288+577765-R56</f>
        <v>-603945</v>
      </c>
      <c r="BO56"/>
      <c r="BP56" s="6">
        <f>IF(+R56-BL56+BN56&gt;0,R56-BL56+BN56,0)</f>
        <v>208398</v>
      </c>
      <c r="BQ56" s="6"/>
      <c r="BR56" s="6">
        <f>+BL56+BP56</f>
        <v>1729053</v>
      </c>
      <c r="BS56" s="6"/>
      <c r="BT56" s="6">
        <f>+R56-BR56</f>
        <v>603945</v>
      </c>
      <c r="BU56" s="9"/>
    </row>
    <row r="57" spans="1:73" s="21" customFormat="1">
      <c r="B57" s="238" t="s">
        <v>365</v>
      </c>
      <c r="J57" s="8"/>
      <c r="L57" s="143"/>
      <c r="M57" s="9"/>
      <c r="N57" s="9"/>
      <c r="O57" s="9"/>
      <c r="P57" s="9"/>
      <c r="Q57" s="9"/>
      <c r="R57" s="235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9"/>
      <c r="BK57"/>
      <c r="BL57" s="6">
        <f t="shared" si="13"/>
        <v>84897</v>
      </c>
      <c r="BM57"/>
      <c r="BN57" s="6">
        <f>150482</f>
        <v>150482</v>
      </c>
      <c r="BO57"/>
      <c r="BP57" s="6">
        <f>IF(+R57-BL57+BN57&gt;0,R57-BL57+BN57,0)</f>
        <v>65585</v>
      </c>
      <c r="BQ57" s="6"/>
      <c r="BR57" s="6">
        <f>+BL57+BP57</f>
        <v>150482</v>
      </c>
      <c r="BS57" s="6"/>
      <c r="BT57" s="6">
        <f>+R57-BR57</f>
        <v>-150482</v>
      </c>
      <c r="BU57" s="9"/>
    </row>
    <row r="58" spans="1:73" s="21" customFormat="1">
      <c r="B58" s="238" t="s">
        <v>300</v>
      </c>
      <c r="J58" s="8"/>
      <c r="L58" s="143"/>
      <c r="M58" s="9"/>
      <c r="N58" s="9"/>
      <c r="O58" s="9"/>
      <c r="P58" s="9"/>
      <c r="Q58" s="9"/>
      <c r="R58" s="235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9"/>
      <c r="BK58"/>
      <c r="BL58" s="6">
        <f>SUM(T58:BK58)</f>
        <v>446090</v>
      </c>
      <c r="BM58"/>
      <c r="BN58" s="6">
        <f>460249-R58</f>
        <v>-37168</v>
      </c>
      <c r="BO58"/>
      <c r="BP58" s="6">
        <f>IF(+R58-BL58+BN58&gt;0,R58-BL58+BN58,0)</f>
        <v>14159</v>
      </c>
      <c r="BQ58" s="6"/>
      <c r="BR58" s="6">
        <f>+BL58+BP58</f>
        <v>460249</v>
      </c>
      <c r="BS58" s="6"/>
      <c r="BT58" s="6">
        <f>+R58-BR58</f>
        <v>37168</v>
      </c>
      <c r="BU58" s="9"/>
    </row>
    <row r="59" spans="1:73" s="21" customFormat="1">
      <c r="B59" s="238" t="s">
        <v>387</v>
      </c>
      <c r="J59" s="8"/>
      <c r="L59" s="143"/>
      <c r="M59" s="9"/>
      <c r="N59" s="9"/>
      <c r="O59" s="9"/>
      <c r="P59" s="9"/>
      <c r="Q59" s="9"/>
      <c r="R59" s="235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9"/>
      <c r="BK59"/>
      <c r="BL59" s="6">
        <f>SUM(T59:BK59)</f>
        <v>2348535</v>
      </c>
      <c r="BM59"/>
      <c r="BN59" s="6">
        <f>2425421-R59</f>
        <v>1591116</v>
      </c>
      <c r="BO59"/>
      <c r="BP59" s="6">
        <f>IF(+R59-BL59+BN59&gt;0,R59-BL59+BN59,0)</f>
        <v>76886</v>
      </c>
      <c r="BQ59" s="6"/>
      <c r="BR59" s="6">
        <f>+BL59+BP59</f>
        <v>2425421</v>
      </c>
      <c r="BS59" s="6"/>
      <c r="BT59" s="6">
        <f>+R59-BR59</f>
        <v>-1591116</v>
      </c>
      <c r="BU59" s="9"/>
    </row>
    <row r="60" spans="1:73" s="21" customFormat="1">
      <c r="B60" s="238" t="s">
        <v>388</v>
      </c>
      <c r="J60" s="8"/>
      <c r="L60" s="143"/>
      <c r="M60" s="9"/>
      <c r="N60" s="9"/>
      <c r="O60" s="9"/>
      <c r="P60" s="9"/>
      <c r="Q60" s="9"/>
      <c r="R60" s="235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9"/>
      <c r="BK60"/>
      <c r="BL60" s="6">
        <f t="shared" si="13"/>
        <v>1329939</v>
      </c>
      <c r="BM60"/>
      <c r="BN60" s="6">
        <f>1329155-R60</f>
        <v>610616</v>
      </c>
      <c r="BO60"/>
      <c r="BP60" s="6">
        <f t="shared" ref="BP60:BP77" si="14">IF(+R60-BL60+BN60&gt;0,R60-BL60+BN60,0)</f>
        <v>0</v>
      </c>
      <c r="BQ60" s="6"/>
      <c r="BR60" s="6">
        <f t="shared" ref="BR60:BR77" si="15">+BL60+BP60</f>
        <v>1329939</v>
      </c>
      <c r="BS60" s="6"/>
      <c r="BT60" s="6">
        <f t="shared" ref="BT60:BT79" si="16">+R60-BR60</f>
        <v>-611400</v>
      </c>
      <c r="BU60" s="9"/>
    </row>
    <row r="61" spans="1:73" s="21" customFormat="1">
      <c r="B61" s="238" t="s">
        <v>301</v>
      </c>
      <c r="J61" s="8"/>
      <c r="L61" s="143"/>
      <c r="M61" s="9"/>
      <c r="N61" s="9"/>
      <c r="O61" s="9"/>
      <c r="P61" s="9"/>
      <c r="Q61" s="9"/>
      <c r="R61" s="235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9"/>
      <c r="BK61"/>
      <c r="BL61" s="6">
        <f>SUM(T61:BK61)</f>
        <v>262512</v>
      </c>
      <c r="BM61"/>
      <c r="BN61" s="6">
        <f>281819-R61</f>
        <v>-171181</v>
      </c>
      <c r="BO61"/>
      <c r="BP61" s="6">
        <f>IF(+R61-BL61+BN61&gt;0,R61-BL61+BN61,0)</f>
        <v>19307</v>
      </c>
      <c r="BQ61" s="6"/>
      <c r="BR61" s="6">
        <f>+BL61+BP61</f>
        <v>281819</v>
      </c>
      <c r="BS61" s="6"/>
      <c r="BT61" s="6">
        <f>+R61-BR61</f>
        <v>171181</v>
      </c>
      <c r="BU61" s="9"/>
    </row>
    <row r="62" spans="1:73" s="21" customFormat="1">
      <c r="B62" s="238" t="s">
        <v>394</v>
      </c>
      <c r="J62" s="8"/>
      <c r="L62" s="143"/>
      <c r="M62" s="9"/>
      <c r="N62" s="9"/>
      <c r="O62" s="9"/>
      <c r="P62" s="9"/>
      <c r="Q62" s="9"/>
      <c r="R62" s="235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9"/>
      <c r="BK62"/>
      <c r="BL62" s="6">
        <f t="shared" si="13"/>
        <v>3538842</v>
      </c>
      <c r="BM62"/>
      <c r="BN62" s="6">
        <f>3596047-R62</f>
        <v>1331026</v>
      </c>
      <c r="BO62"/>
      <c r="BP62" s="6">
        <f t="shared" si="14"/>
        <v>57205</v>
      </c>
      <c r="BQ62" s="6"/>
      <c r="BR62" s="6">
        <f t="shared" si="15"/>
        <v>3596047</v>
      </c>
      <c r="BS62" s="6"/>
      <c r="BT62" s="6">
        <f t="shared" si="16"/>
        <v>-1331026</v>
      </c>
      <c r="BU62" s="9"/>
    </row>
    <row r="63" spans="1:73" s="21" customFormat="1">
      <c r="B63" s="238" t="s">
        <v>302</v>
      </c>
      <c r="J63" s="8"/>
      <c r="L63" s="143"/>
      <c r="M63" s="9"/>
      <c r="N63" s="9"/>
      <c r="O63" s="9"/>
      <c r="P63" s="9"/>
      <c r="Q63" s="9"/>
      <c r="R63" s="235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9"/>
      <c r="BK63"/>
      <c r="BL63" s="6">
        <f>SUM(T63:BK63)</f>
        <v>1443041</v>
      </c>
      <c r="BM63"/>
      <c r="BN63" s="6">
        <f>1471618-R63</f>
        <v>321156</v>
      </c>
      <c r="BO63"/>
      <c r="BP63" s="6">
        <f>IF(+R63-BL63+BN63&gt;0,R63-BL63+BN63,0)</f>
        <v>28577</v>
      </c>
      <c r="BQ63" s="6"/>
      <c r="BR63" s="6">
        <f>+BL63+BP63</f>
        <v>1471618</v>
      </c>
      <c r="BS63" s="6"/>
      <c r="BT63" s="6">
        <f>+R63-BR63</f>
        <v>-321156</v>
      </c>
      <c r="BU63" s="9"/>
    </row>
    <row r="64" spans="1:73" s="21" customFormat="1">
      <c r="B64" s="238" t="s">
        <v>389</v>
      </c>
      <c r="J64" s="8"/>
      <c r="L64" s="143"/>
      <c r="M64" s="9"/>
      <c r="N64" s="9"/>
      <c r="O64" s="9"/>
      <c r="P64" s="9"/>
      <c r="Q64" s="9"/>
      <c r="R64" s="235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9"/>
      <c r="BK64"/>
      <c r="BL64" s="6">
        <f t="shared" si="13"/>
        <v>1031462</v>
      </c>
      <c r="BM64"/>
      <c r="BN64" s="6">
        <f>1039642-R64</f>
        <v>849693</v>
      </c>
      <c r="BO64"/>
      <c r="BP64" s="6">
        <f t="shared" si="14"/>
        <v>8180</v>
      </c>
      <c r="BQ64" s="6"/>
      <c r="BR64" s="6">
        <f t="shared" si="15"/>
        <v>1039642</v>
      </c>
      <c r="BS64" s="6"/>
      <c r="BT64" s="6">
        <f t="shared" si="16"/>
        <v>-849693</v>
      </c>
      <c r="BU64" s="9"/>
    </row>
    <row r="65" spans="2:73" s="21" customFormat="1">
      <c r="B65" s="238" t="s">
        <v>393</v>
      </c>
      <c r="J65" s="8"/>
      <c r="L65" s="143"/>
      <c r="M65" s="9"/>
      <c r="N65" s="9"/>
      <c r="O65" s="9"/>
      <c r="P65" s="9"/>
      <c r="Q65" s="9"/>
      <c r="R65" s="235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9"/>
      <c r="BK65"/>
      <c r="BL65" s="6">
        <f>SUM(T65:BK65)</f>
        <v>37948</v>
      </c>
      <c r="BM65"/>
      <c r="BN65" s="6">
        <f>38833-R65</f>
        <v>-38788</v>
      </c>
      <c r="BO65"/>
      <c r="BP65" s="6">
        <f>IF(+R65-BL65+BN65&gt;0,R65-BL65+BN65,0)</f>
        <v>885</v>
      </c>
      <c r="BQ65" s="6"/>
      <c r="BR65" s="6">
        <f>+BL65+BP65</f>
        <v>38833</v>
      </c>
      <c r="BS65" s="6"/>
      <c r="BT65" s="6">
        <f>+R65-BR65</f>
        <v>38788</v>
      </c>
      <c r="BU65" s="9"/>
    </row>
    <row r="66" spans="2:73" s="21" customFormat="1">
      <c r="B66" s="238" t="s">
        <v>303</v>
      </c>
      <c r="J66" s="8"/>
      <c r="L66" s="143"/>
      <c r="M66" s="9"/>
      <c r="N66" s="9"/>
      <c r="O66" s="9"/>
      <c r="P66" s="9"/>
      <c r="Q66" s="9"/>
      <c r="R66" s="235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9"/>
      <c r="BK66"/>
      <c r="BL66" s="6">
        <f t="shared" si="13"/>
        <v>548568</v>
      </c>
      <c r="BM66"/>
      <c r="BN66" s="6">
        <f>555023-R66</f>
        <v>410586</v>
      </c>
      <c r="BO66"/>
      <c r="BP66" s="6">
        <f t="shared" si="14"/>
        <v>6455</v>
      </c>
      <c r="BQ66" s="6"/>
      <c r="BR66" s="6">
        <f t="shared" si="15"/>
        <v>555023</v>
      </c>
      <c r="BS66" s="6"/>
      <c r="BT66" s="6">
        <f t="shared" si="16"/>
        <v>-410586</v>
      </c>
      <c r="BU66" s="9"/>
    </row>
    <row r="67" spans="2:73" s="21" customFormat="1">
      <c r="B67" s="238" t="s">
        <v>304</v>
      </c>
      <c r="J67" s="8"/>
      <c r="L67" s="143"/>
      <c r="M67" s="9"/>
      <c r="N67" s="9"/>
      <c r="O67" s="9"/>
      <c r="P67" s="9"/>
      <c r="Q67" s="9"/>
      <c r="R67" s="235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9"/>
      <c r="BK67"/>
      <c r="BL67" s="6">
        <f>SUM(T67:BK67)</f>
        <v>350311</v>
      </c>
      <c r="BM67"/>
      <c r="BN67" s="6">
        <f>430000-R67</f>
        <v>102686</v>
      </c>
      <c r="BO67"/>
      <c r="BP67" s="6">
        <f>IF(+R67-BL67+BN67&gt;0,R67-BL67+BN67,0)</f>
        <v>79689</v>
      </c>
      <c r="BQ67" s="6"/>
      <c r="BR67" s="6">
        <f>+BL67+BP67</f>
        <v>430000</v>
      </c>
      <c r="BS67" s="6"/>
      <c r="BT67" s="6">
        <f>+R67-BR67</f>
        <v>-102686</v>
      </c>
      <c r="BU67" s="9"/>
    </row>
    <row r="68" spans="2:73" s="21" customFormat="1">
      <c r="B68" s="238" t="s">
        <v>305</v>
      </c>
      <c r="J68" s="8"/>
      <c r="L68" s="143"/>
      <c r="M68" s="9"/>
      <c r="N68" s="9"/>
      <c r="O68" s="9"/>
      <c r="P68" s="9"/>
      <c r="Q68" s="9"/>
      <c r="R68" s="235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9"/>
      <c r="BK68"/>
      <c r="BL68" s="6">
        <f t="shared" si="13"/>
        <v>17674</v>
      </c>
      <c r="BM68"/>
      <c r="BN68" s="6">
        <f>2746-R68</f>
        <v>-327714</v>
      </c>
      <c r="BO68"/>
      <c r="BP68" s="6">
        <f t="shared" si="14"/>
        <v>0</v>
      </c>
      <c r="BQ68" s="6"/>
      <c r="BR68" s="6">
        <f t="shared" si="15"/>
        <v>17674</v>
      </c>
      <c r="BS68" s="6"/>
      <c r="BT68" s="6">
        <f t="shared" si="16"/>
        <v>312786</v>
      </c>
      <c r="BU68" s="9"/>
    </row>
    <row r="69" spans="2:73" s="21" customFormat="1">
      <c r="B69" s="238" t="s">
        <v>390</v>
      </c>
      <c r="J69" s="8"/>
      <c r="L69" s="143"/>
      <c r="M69" s="9"/>
      <c r="N69" s="9"/>
      <c r="O69" s="9"/>
      <c r="P69" s="9"/>
      <c r="Q69" s="9"/>
      <c r="R69" s="235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9"/>
      <c r="BK69"/>
      <c r="BL69" s="6">
        <f t="shared" si="13"/>
        <v>495063</v>
      </c>
      <c r="BM69"/>
      <c r="BN69" s="6">
        <f>482366-R69</f>
        <v>-326225</v>
      </c>
      <c r="BO69"/>
      <c r="BP69" s="6">
        <f t="shared" si="14"/>
        <v>0</v>
      </c>
      <c r="BQ69" s="6"/>
      <c r="BR69" s="6">
        <f t="shared" si="15"/>
        <v>495063</v>
      </c>
      <c r="BS69" s="6"/>
      <c r="BT69" s="6">
        <f t="shared" si="16"/>
        <v>313528</v>
      </c>
      <c r="BU69" s="9"/>
    </row>
    <row r="70" spans="2:73" s="21" customFormat="1">
      <c r="B70" s="238" t="s">
        <v>391</v>
      </c>
      <c r="J70" s="8"/>
      <c r="L70" s="143"/>
      <c r="M70" s="9"/>
      <c r="N70" s="9"/>
      <c r="O70" s="9"/>
      <c r="P70" s="9"/>
      <c r="Q70" s="9"/>
      <c r="R70" s="235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9"/>
      <c r="BK70"/>
      <c r="BL70" s="6">
        <f t="shared" si="13"/>
        <v>1282165</v>
      </c>
      <c r="BM70"/>
      <c r="BN70" s="6">
        <f>1345532-R70</f>
        <v>487189</v>
      </c>
      <c r="BO70"/>
      <c r="BP70" s="6">
        <f t="shared" si="14"/>
        <v>63367</v>
      </c>
      <c r="BQ70" s="6"/>
      <c r="BR70" s="6">
        <f t="shared" si="15"/>
        <v>1345532</v>
      </c>
      <c r="BS70" s="6"/>
      <c r="BT70" s="6">
        <f t="shared" si="16"/>
        <v>-487189</v>
      </c>
      <c r="BU70" s="9"/>
    </row>
    <row r="71" spans="2:73" s="21" customFormat="1">
      <c r="B71" s="238" t="s">
        <v>392</v>
      </c>
      <c r="J71" s="8"/>
      <c r="L71" s="143"/>
      <c r="M71" s="9"/>
      <c r="N71" s="9"/>
      <c r="O71" s="9"/>
      <c r="P71" s="9"/>
      <c r="Q71" s="9"/>
      <c r="R71" s="235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9"/>
      <c r="BK71"/>
      <c r="BL71" s="6">
        <f t="shared" si="13"/>
        <v>6038190</v>
      </c>
      <c r="BM71"/>
      <c r="BN71" s="6">
        <f>6443420-R71</f>
        <v>4697905</v>
      </c>
      <c r="BO71"/>
      <c r="BP71" s="6">
        <f t="shared" si="14"/>
        <v>405230</v>
      </c>
      <c r="BQ71" s="6"/>
      <c r="BR71" s="6">
        <f t="shared" si="15"/>
        <v>6443420</v>
      </c>
      <c r="BS71" s="6"/>
      <c r="BT71" s="6">
        <f t="shared" si="16"/>
        <v>-4697905</v>
      </c>
      <c r="BU71" s="9"/>
    </row>
    <row r="72" spans="2:73" s="21" customFormat="1">
      <c r="B72" s="238" t="s">
        <v>307</v>
      </c>
      <c r="J72" s="8"/>
      <c r="L72" s="143"/>
      <c r="M72" s="9"/>
      <c r="N72" s="9"/>
      <c r="O72" s="9"/>
      <c r="P72" s="9"/>
      <c r="Q72" s="9"/>
      <c r="R72" s="235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9"/>
      <c r="BK72"/>
      <c r="BL72" s="6">
        <f t="shared" si="13"/>
        <v>222321</v>
      </c>
      <c r="BM72"/>
      <c r="BN72" s="6">
        <f>221748-R72</f>
        <v>-349816</v>
      </c>
      <c r="BO72"/>
      <c r="BP72" s="6">
        <f t="shared" si="14"/>
        <v>0</v>
      </c>
      <c r="BQ72" s="6"/>
      <c r="BR72" s="6">
        <f>+BL72+BP72-3</f>
        <v>222318</v>
      </c>
      <c r="BS72" s="6"/>
      <c r="BT72" s="6">
        <f t="shared" si="16"/>
        <v>349246</v>
      </c>
      <c r="BU72" s="9"/>
    </row>
    <row r="73" spans="2:73" s="21" customFormat="1">
      <c r="B73" s="238" t="s">
        <v>308</v>
      </c>
      <c r="J73" s="8"/>
      <c r="L73" s="143"/>
      <c r="M73" s="9"/>
      <c r="N73" s="9"/>
      <c r="O73" s="9"/>
      <c r="P73" s="9"/>
      <c r="Q73" s="9"/>
      <c r="R73" s="235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9"/>
      <c r="BK73"/>
      <c r="BL73" s="6">
        <f t="shared" si="13"/>
        <v>679853</v>
      </c>
      <c r="BM73"/>
      <c r="BN73" s="6">
        <f>288000+569000-R73</f>
        <v>-74641</v>
      </c>
      <c r="BO73"/>
      <c r="BP73" s="6">
        <f t="shared" si="14"/>
        <v>177147</v>
      </c>
      <c r="BQ73" s="6"/>
      <c r="BR73" s="6">
        <f t="shared" si="15"/>
        <v>857000</v>
      </c>
      <c r="BS73" s="6"/>
      <c r="BT73" s="6">
        <f t="shared" si="16"/>
        <v>74641</v>
      </c>
      <c r="BU73" s="9"/>
    </row>
    <row r="74" spans="2:73" s="21" customFormat="1">
      <c r="B74" s="238" t="s">
        <v>396</v>
      </c>
      <c r="J74" s="8"/>
      <c r="L74" s="143"/>
      <c r="M74" s="9"/>
      <c r="N74" s="9"/>
      <c r="O74" s="9"/>
      <c r="P74" s="9"/>
      <c r="Q74" s="9"/>
      <c r="R74" s="235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9"/>
      <c r="BK74"/>
      <c r="BL74" s="6">
        <f t="shared" si="13"/>
        <v>18841458</v>
      </c>
      <c r="BM74"/>
      <c r="BN74" s="6">
        <f>18956735-R74</f>
        <v>12658870</v>
      </c>
      <c r="BO74"/>
      <c r="BP74" s="6">
        <f t="shared" si="14"/>
        <v>115277</v>
      </c>
      <c r="BQ74" s="6"/>
      <c r="BR74" s="6">
        <f t="shared" si="15"/>
        <v>18956735</v>
      </c>
      <c r="BS74" s="6"/>
      <c r="BT74" s="6">
        <f t="shared" si="16"/>
        <v>-12658870</v>
      </c>
      <c r="BU74" s="9"/>
    </row>
    <row r="75" spans="2:73" s="21" customFormat="1">
      <c r="B75" s="238" t="s">
        <v>395</v>
      </c>
      <c r="J75" s="8"/>
      <c r="L75" s="143"/>
      <c r="M75" s="9"/>
      <c r="N75" s="9"/>
      <c r="O75" s="9"/>
      <c r="P75" s="9"/>
      <c r="Q75" s="9"/>
      <c r="R75" s="235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9"/>
      <c r="BK75"/>
      <c r="BL75" s="6">
        <f t="shared" si="13"/>
        <v>4411227</v>
      </c>
      <c r="BM75"/>
      <c r="BN75" s="6">
        <f>4402434-R75</f>
        <v>3534094</v>
      </c>
      <c r="BO75"/>
      <c r="BP75" s="6">
        <f t="shared" si="14"/>
        <v>0</v>
      </c>
      <c r="BQ75" s="6"/>
      <c r="BR75" s="6">
        <f t="shared" si="15"/>
        <v>4411227</v>
      </c>
      <c r="BS75" s="6"/>
      <c r="BT75" s="6">
        <f t="shared" si="16"/>
        <v>-3542887</v>
      </c>
      <c r="BU75" s="9"/>
    </row>
    <row r="76" spans="2:73" s="21" customFormat="1">
      <c r="B76" s="238" t="s">
        <v>309</v>
      </c>
      <c r="J76" s="8"/>
      <c r="L76" s="143"/>
      <c r="M76" s="9"/>
      <c r="N76" s="9"/>
      <c r="O76" s="9"/>
      <c r="P76" s="9"/>
      <c r="Q76" s="9"/>
      <c r="R76" s="235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9"/>
      <c r="BK76"/>
      <c r="BL76" s="6">
        <f t="shared" si="13"/>
        <v>0</v>
      </c>
      <c r="BM76"/>
      <c r="BN76" s="6">
        <v>1225177</v>
      </c>
      <c r="BO76"/>
      <c r="BP76" s="6">
        <f t="shared" si="14"/>
        <v>0</v>
      </c>
      <c r="BQ76" s="6"/>
      <c r="BR76" s="6">
        <f t="shared" si="15"/>
        <v>0</v>
      </c>
      <c r="BS76" s="6"/>
      <c r="BT76" s="6">
        <f t="shared" si="16"/>
        <v>-1225177</v>
      </c>
      <c r="BU76" s="9"/>
    </row>
    <row r="77" spans="2:73" s="21" customFormat="1">
      <c r="B77" s="238" t="s">
        <v>369</v>
      </c>
      <c r="J77" s="8"/>
      <c r="L77" s="143"/>
      <c r="M77" s="9"/>
      <c r="N77" s="9"/>
      <c r="O77" s="9"/>
      <c r="P77" s="9"/>
      <c r="Q77" s="9"/>
      <c r="R77" s="235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9"/>
      <c r="BK77"/>
      <c r="BL77" s="6">
        <f t="shared" si="13"/>
        <v>286812</v>
      </c>
      <c r="BM77"/>
      <c r="BN77" s="6">
        <f>259913-R77</f>
        <v>259913</v>
      </c>
      <c r="BO77"/>
      <c r="BP77" s="6">
        <f t="shared" si="14"/>
        <v>0</v>
      </c>
      <c r="BQ77" s="6"/>
      <c r="BR77" s="6">
        <f t="shared" si="15"/>
        <v>286812</v>
      </c>
      <c r="BS77" s="6"/>
      <c r="BT77" s="6">
        <f t="shared" si="16"/>
        <v>-286812</v>
      </c>
      <c r="BU77" s="9"/>
    </row>
    <row r="78" spans="2:73" s="21" customFormat="1">
      <c r="B78" s="238" t="s">
        <v>370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9"/>
      <c r="BK78"/>
      <c r="BL78" s="6">
        <f t="shared" si="13"/>
        <v>254882</v>
      </c>
      <c r="BM78"/>
      <c r="BN78" s="9">
        <f>-236705+223957</f>
        <v>-12748</v>
      </c>
      <c r="BO78"/>
      <c r="BP78" s="6">
        <v>-12748</v>
      </c>
      <c r="BQ78" s="6"/>
      <c r="BR78" s="6">
        <v>223957</v>
      </c>
      <c r="BS78" s="6"/>
      <c r="BT78" s="6">
        <f t="shared" si="16"/>
        <v>-223957</v>
      </c>
      <c r="BU78" s="9"/>
    </row>
    <row r="79" spans="2:73" s="21" customFormat="1">
      <c r="B79" s="233" t="s">
        <v>371</v>
      </c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9"/>
      <c r="BK79"/>
      <c r="BL79" s="6">
        <f t="shared" si="13"/>
        <v>234280</v>
      </c>
      <c r="BM79"/>
      <c r="BN79" s="6">
        <v>-25357</v>
      </c>
      <c r="BO79"/>
      <c r="BP79" s="9">
        <v>-446388</v>
      </c>
      <c r="BQ79" s="9"/>
      <c r="BR79" s="6">
        <v>-25357</v>
      </c>
      <c r="BS79" s="9"/>
      <c r="BT79" s="6">
        <f t="shared" si="16"/>
        <v>25357</v>
      </c>
      <c r="BU79" s="9"/>
    </row>
    <row r="80" spans="2:73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SUM(R56:R79)</f>
        <v>20178205</v>
      </c>
      <c r="S80" s="9">
        <f t="shared" ref="S80:BU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0</v>
      </c>
      <c r="BK80"/>
      <c r="BL80" s="9">
        <f t="shared" si="17"/>
        <v>45706725</v>
      </c>
      <c r="BM80"/>
      <c r="BN80" s="9">
        <f t="shared" si="17"/>
        <v>26262926</v>
      </c>
      <c r="BO80"/>
      <c r="BP80" s="9">
        <f t="shared" si="17"/>
        <v>867211</v>
      </c>
      <c r="BQ80" s="9">
        <f t="shared" si="17"/>
        <v>0</v>
      </c>
      <c r="BR80" s="9">
        <f t="shared" si="17"/>
        <v>46742507</v>
      </c>
      <c r="BS80" s="9">
        <f t="shared" si="17"/>
        <v>0</v>
      </c>
      <c r="BT80" s="9">
        <f t="shared" si="17"/>
        <v>-26564302</v>
      </c>
      <c r="BU80" s="9">
        <f t="shared" si="17"/>
        <v>0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9"/>
      <c r="BK83"/>
      <c r="BL83" s="6">
        <f>SUM(T83:BK83)</f>
        <v>4901020</v>
      </c>
      <c r="BM83"/>
      <c r="BN83" s="6">
        <f>5762815-R83</f>
        <v>450715</v>
      </c>
      <c r="BO83"/>
      <c r="BP83" s="6">
        <f>IF(+R83-BL83+BN83&gt;0,R83-BL83+BN83,0)</f>
        <v>861795</v>
      </c>
      <c r="BQ83" s="6"/>
      <c r="BR83" s="6">
        <f>+BL83+BP83</f>
        <v>5762815</v>
      </c>
      <c r="BS83" s="6"/>
      <c r="BT83" s="6">
        <f>+R83-BR83</f>
        <v>-450715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0</v>
      </c>
      <c r="BK85"/>
      <c r="BL85" s="9">
        <f>SUM(BL83:BL84)</f>
        <v>4901020</v>
      </c>
      <c r="BM85"/>
      <c r="BN85" s="9">
        <f>SUM(BN83:BN84)</f>
        <v>450715</v>
      </c>
      <c r="BO85"/>
      <c r="BP85" s="9">
        <f>SUM(BP83:BP84)</f>
        <v>861795</v>
      </c>
      <c r="BQ85" s="9">
        <f>SUM(BQ83:BQ84)</f>
        <v>0</v>
      </c>
      <c r="BR85" s="9">
        <f>SUM(BR83:BR84)</f>
        <v>5762815</v>
      </c>
      <c r="BS85" s="9">
        <f>SUM(BS83:BS84)</f>
        <v>0</v>
      </c>
      <c r="BT85" s="6">
        <f>+R85-BR85</f>
        <v>-450715</v>
      </c>
      <c r="BU85" s="9"/>
    </row>
    <row r="86" spans="1:73" s="21" customFormat="1">
      <c r="B86" s="241" t="s">
        <v>400</v>
      </c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6">
        <f>SUM(T86:BK86)</f>
        <v>0</v>
      </c>
      <c r="BM86"/>
      <c r="BN86" s="9"/>
      <c r="BO86"/>
      <c r="BP86" s="6"/>
      <c r="BQ86" s="9">
        <f>SUM(BQ84:BQ85)</f>
        <v>0</v>
      </c>
      <c r="BR86" s="6">
        <v>0</v>
      </c>
      <c r="BS86" s="9">
        <f>SUM(BS84:BS85)</f>
        <v>0</v>
      </c>
      <c r="BT86" s="6">
        <f>+R86-BR86</f>
        <v>0</v>
      </c>
      <c r="BU86" s="9"/>
    </row>
    <row r="87" spans="1:73" s="21" customFormat="1">
      <c r="B87" s="241" t="s">
        <v>323</v>
      </c>
      <c r="J87" s="8"/>
      <c r="L87" s="143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/>
      <c r="BK87"/>
      <c r="BL87" s="6">
        <f>SUM(T87:BK87)</f>
        <v>3953448</v>
      </c>
      <c r="BM87"/>
      <c r="BN87" s="9">
        <v>0</v>
      </c>
      <c r="BO87"/>
      <c r="BP87" s="279">
        <f>-BL87</f>
        <v>-3953448</v>
      </c>
      <c r="BQ87" s="9">
        <f>SUM(BQ85:BQ86)</f>
        <v>0</v>
      </c>
      <c r="BR87" s="6">
        <f>+BL87+BP87</f>
        <v>0</v>
      </c>
      <c r="BS87" s="9">
        <f>SUM(BS85:BS86)</f>
        <v>0</v>
      </c>
      <c r="BT87" s="6">
        <f>+R87-BR87</f>
        <v>0</v>
      </c>
      <c r="BU87" s="9"/>
    </row>
    <row r="88" spans="1:73" s="21" customFormat="1">
      <c r="B88" s="247" t="s">
        <v>322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 s="9"/>
      <c r="BR88" s="6"/>
      <c r="BS88" s="9"/>
      <c r="BT88" s="6">
        <v>0</v>
      </c>
      <c r="BU88" s="9"/>
    </row>
    <row r="89" spans="1:73" s="105" customFormat="1">
      <c r="A89" s="242"/>
      <c r="B89" s="243" t="s">
        <v>243</v>
      </c>
      <c r="J89" s="158"/>
      <c r="L89" s="144"/>
      <c r="M89" s="13"/>
      <c r="N89" s="244">
        <f>SUM(N37:N88)</f>
        <v>0</v>
      </c>
      <c r="O89" s="13"/>
      <c r="P89" s="244">
        <f>SUM(P37:P88)</f>
        <v>0</v>
      </c>
      <c r="Q89" s="13"/>
      <c r="R89" s="244">
        <f t="shared" ref="R89:AD89" si="20">R85+R80+R53+R46+R87</f>
        <v>50944642</v>
      </c>
      <c r="S89" s="244">
        <f t="shared" si="20"/>
        <v>0</v>
      </c>
      <c r="T89" s="244">
        <f t="shared" si="20"/>
        <v>0</v>
      </c>
      <c r="U89" s="244">
        <f t="shared" si="20"/>
        <v>0</v>
      </c>
      <c r="V89" s="244">
        <f t="shared" si="20"/>
        <v>0</v>
      </c>
      <c r="W89" s="244">
        <f t="shared" si="20"/>
        <v>0</v>
      </c>
      <c r="X89" s="244">
        <f t="shared" si="20"/>
        <v>0</v>
      </c>
      <c r="Y89" s="244">
        <f t="shared" si="20"/>
        <v>0</v>
      </c>
      <c r="Z89" s="244">
        <f t="shared" si="20"/>
        <v>0</v>
      </c>
      <c r="AA89" s="244">
        <f t="shared" si="20"/>
        <v>0</v>
      </c>
      <c r="AB89" s="244">
        <f t="shared" si="20"/>
        <v>0</v>
      </c>
      <c r="AC89" s="244">
        <f t="shared" si="20"/>
        <v>0</v>
      </c>
      <c r="AD89" s="244">
        <f t="shared" si="20"/>
        <v>0</v>
      </c>
      <c r="AE89" s="244"/>
      <c r="AF89" s="244">
        <f>AF85+AF80+AF53+AF46+AF87</f>
        <v>0</v>
      </c>
      <c r="AG89" s="244"/>
      <c r="AH89" s="244">
        <f>AH85+AH80+AH53+AH46+AH87</f>
        <v>0</v>
      </c>
      <c r="AI89" s="244"/>
      <c r="AJ89" s="244">
        <f t="shared" ref="AJ89:BU89" si="21">AJ85+AJ80+AJ53+AJ46+AJ87</f>
        <v>0</v>
      </c>
      <c r="AK89" s="244">
        <f t="shared" si="21"/>
        <v>0</v>
      </c>
      <c r="AL89" s="244">
        <f t="shared" si="21"/>
        <v>0</v>
      </c>
      <c r="AM89" s="244">
        <f t="shared" si="21"/>
        <v>0</v>
      </c>
      <c r="AN89" s="244">
        <f t="shared" si="21"/>
        <v>0</v>
      </c>
      <c r="AO89" s="244">
        <f t="shared" si="21"/>
        <v>0</v>
      </c>
      <c r="AP89" s="244">
        <f t="shared" si="21"/>
        <v>9438462</v>
      </c>
      <c r="AQ89" s="244">
        <f t="shared" si="21"/>
        <v>0</v>
      </c>
      <c r="AR89" s="244">
        <f t="shared" si="21"/>
        <v>10717074</v>
      </c>
      <c r="AS89" s="244">
        <f t="shared" si="21"/>
        <v>0</v>
      </c>
      <c r="AT89" s="244">
        <f t="shared" si="21"/>
        <v>744251</v>
      </c>
      <c r="AU89" s="244">
        <f t="shared" si="21"/>
        <v>0</v>
      </c>
      <c r="AV89" s="244">
        <f t="shared" si="21"/>
        <v>12922196</v>
      </c>
      <c r="AW89" s="244">
        <f t="shared" si="21"/>
        <v>0</v>
      </c>
      <c r="AX89" s="244">
        <f t="shared" si="21"/>
        <v>11527832</v>
      </c>
      <c r="AY89" s="244">
        <f t="shared" si="21"/>
        <v>0</v>
      </c>
      <c r="AZ89" s="244">
        <f t="shared" si="21"/>
        <v>19510321</v>
      </c>
      <c r="BA89" s="244">
        <f t="shared" si="21"/>
        <v>0</v>
      </c>
      <c r="BB89" s="244">
        <f t="shared" si="21"/>
        <v>0</v>
      </c>
      <c r="BC89" s="244"/>
      <c r="BD89" s="244">
        <f t="shared" si="21"/>
        <v>10907182</v>
      </c>
      <c r="BE89"/>
      <c r="BF89" s="244">
        <f t="shared" si="21"/>
        <v>977079</v>
      </c>
      <c r="BG89"/>
      <c r="BH89" s="244">
        <f t="shared" si="21"/>
        <v>0</v>
      </c>
      <c r="BI89"/>
      <c r="BJ89" s="244">
        <f t="shared" si="21"/>
        <v>0</v>
      </c>
      <c r="BK89"/>
      <c r="BL89" s="244">
        <f>BL85+BL80+BL53+BL46+BL87+BL86</f>
        <v>76744397</v>
      </c>
      <c r="BM89"/>
      <c r="BN89" s="244">
        <f t="shared" si="21"/>
        <v>25786223</v>
      </c>
      <c r="BO89"/>
      <c r="BP89" s="244">
        <f>BP85+BP80+BP53+BP46+BP87+BP86</f>
        <v>200291</v>
      </c>
      <c r="BQ89" s="244">
        <f t="shared" si="21"/>
        <v>0</v>
      </c>
      <c r="BR89" s="244">
        <f>BR85+BR80+BR53+BR46+BR87+BR86+BR88</f>
        <v>77113259</v>
      </c>
      <c r="BS89" s="244">
        <f t="shared" si="21"/>
        <v>0</v>
      </c>
      <c r="BT89" s="244">
        <f>BT85+BT80+BT53+BT46+BT87+BT86</f>
        <v>-26168617</v>
      </c>
      <c r="BU89" s="244">
        <f t="shared" si="21"/>
        <v>0</v>
      </c>
    </row>
    <row r="90" spans="1:73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N90" s="6"/>
      <c r="BU90" s="6"/>
    </row>
    <row r="91" spans="1:73">
      <c r="A91" s="56" t="s">
        <v>227</v>
      </c>
      <c r="B91" s="11"/>
      <c r="C91"/>
      <c r="D91"/>
      <c r="E91"/>
      <c r="F91"/>
      <c r="G91"/>
      <c r="H91"/>
      <c r="I91"/>
      <c r="J91" s="49"/>
      <c r="K91"/>
      <c r="L91" s="134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N91" s="6"/>
      <c r="BU91" s="6"/>
    </row>
    <row r="92" spans="1:73">
      <c r="A92" s="61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4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0</v>
      </c>
      <c r="BL92" s="6">
        <f t="shared" ref="BL92:BL97" si="22">SUM(T92:BK92)</f>
        <v>940199.33333333314</v>
      </c>
      <c r="BN92" s="6">
        <f>5000-1</f>
        <v>4999</v>
      </c>
      <c r="BP92" s="6">
        <f t="shared" ref="BP92:BP98" si="23">IF(+R92-BL92+BN92&gt;0,R92-BL92+BN92,0)</f>
        <v>0</v>
      </c>
      <c r="BR92" s="6">
        <f t="shared" ref="BR92:BR97" si="24">+BL92+BP92</f>
        <v>940199.33333333314</v>
      </c>
      <c r="BT92" s="6">
        <f t="shared" ref="BT92:BT97" si="25">+R92-BR92</f>
        <v>-4999.3333333331393</v>
      </c>
      <c r="BU92" s="6"/>
    </row>
    <row r="93" spans="1:73">
      <c r="A93" s="61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4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f t="shared" si="22"/>
        <v>2824792</v>
      </c>
      <c r="BN93" s="6">
        <v>-8</v>
      </c>
      <c r="BP93" s="6">
        <f t="shared" si="23"/>
        <v>0</v>
      </c>
      <c r="BR93" s="6">
        <f t="shared" si="24"/>
        <v>2824792</v>
      </c>
      <c r="BT93" s="6">
        <f t="shared" si="25"/>
        <v>8</v>
      </c>
      <c r="BU93" s="6"/>
    </row>
    <row r="94" spans="1:73">
      <c r="A94" s="61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4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8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f t="shared" si="22"/>
        <v>0</v>
      </c>
      <c r="BN94" s="6">
        <v>0</v>
      </c>
      <c r="BP94" s="6">
        <f t="shared" si="23"/>
        <v>0</v>
      </c>
      <c r="BR94" s="6">
        <f t="shared" si="24"/>
        <v>0</v>
      </c>
      <c r="BT94" s="6">
        <f t="shared" si="25"/>
        <v>0</v>
      </c>
      <c r="BU94" s="6"/>
    </row>
    <row r="95" spans="1:73">
      <c r="A95" s="61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f t="shared" si="22"/>
        <v>0</v>
      </c>
      <c r="BN95" s="12">
        <v>0</v>
      </c>
      <c r="BP95" s="6">
        <f t="shared" si="23"/>
        <v>0</v>
      </c>
      <c r="BQ95" s="12"/>
      <c r="BR95" s="6">
        <f t="shared" si="24"/>
        <v>0</v>
      </c>
      <c r="BS95" s="12"/>
      <c r="BT95" s="6">
        <f t="shared" si="25"/>
        <v>0</v>
      </c>
      <c r="BU95" s="12"/>
    </row>
    <row r="96" spans="1:73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6" t="s">
        <v>236</v>
      </c>
      <c r="K96" s="30"/>
      <c r="L96" s="134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f t="shared" si="22"/>
        <v>0</v>
      </c>
      <c r="BM96"/>
      <c r="BN96" s="12">
        <v>0</v>
      </c>
      <c r="BO96"/>
      <c r="BP96" s="6">
        <f t="shared" si="23"/>
        <v>0</v>
      </c>
      <c r="BQ96" s="12"/>
      <c r="BR96" s="6">
        <f t="shared" si="24"/>
        <v>0</v>
      </c>
      <c r="BS96" s="12"/>
      <c r="BT96" s="6">
        <f t="shared" si="25"/>
        <v>0</v>
      </c>
      <c r="BU96" s="12"/>
    </row>
    <row r="97" spans="1:73">
      <c r="A97" s="61"/>
      <c r="B97" s="17" t="s">
        <v>121</v>
      </c>
      <c r="C97"/>
      <c r="D97"/>
      <c r="E97"/>
      <c r="F97"/>
      <c r="G97"/>
      <c r="H97"/>
      <c r="I97"/>
      <c r="J97" s="49"/>
      <c r="K97"/>
      <c r="L97" s="134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f t="shared" si="22"/>
        <v>0</v>
      </c>
      <c r="BN97" s="12">
        <v>0</v>
      </c>
      <c r="BP97" s="6">
        <f t="shared" si="23"/>
        <v>0</v>
      </c>
      <c r="BQ97" s="12"/>
      <c r="BR97" s="6">
        <f t="shared" si="24"/>
        <v>0</v>
      </c>
      <c r="BS97" s="12"/>
      <c r="BT97" s="6">
        <f t="shared" si="25"/>
        <v>0</v>
      </c>
      <c r="BU97" s="12"/>
    </row>
    <row r="98" spans="1:73">
      <c r="A98" s="61"/>
      <c r="B98" s="17"/>
      <c r="C98"/>
      <c r="D98"/>
      <c r="E98"/>
      <c r="F98"/>
      <c r="G98"/>
      <c r="H98"/>
      <c r="I98"/>
      <c r="J98" s="49"/>
      <c r="K98"/>
      <c r="L98" s="134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6">
        <f t="shared" si="23"/>
        <v>0</v>
      </c>
      <c r="BQ98" s="12"/>
      <c r="BR98" s="12"/>
      <c r="BS98" s="12"/>
      <c r="BT98" s="12"/>
      <c r="BU98" s="12"/>
    </row>
    <row r="99" spans="1:73" s="114" customFormat="1">
      <c r="A99" s="112"/>
      <c r="B99" s="113" t="s">
        <v>244</v>
      </c>
      <c r="J99" s="157"/>
      <c r="L99" s="142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0</v>
      </c>
      <c r="BK99"/>
      <c r="BL99" s="116">
        <f>SUM(BL92:BL98)</f>
        <v>3764991.333333333</v>
      </c>
      <c r="BM99"/>
      <c r="BN99" s="116">
        <f>SUM(BN92:BN98)</f>
        <v>4991</v>
      </c>
      <c r="BO99"/>
      <c r="BP99" s="116">
        <f>SUM(BP92:BP98)</f>
        <v>0</v>
      </c>
      <c r="BQ99" s="115"/>
      <c r="BR99" s="116">
        <f>SUM(BR92:BR98)</f>
        <v>3764991.333333333</v>
      </c>
      <c r="BS99" s="115"/>
      <c r="BT99" s="116">
        <f>SUM(BT92:BT98)</f>
        <v>-4991.3333333331393</v>
      </c>
      <c r="BU99" s="117"/>
    </row>
    <row r="100" spans="1:73" customFormat="1"/>
    <row r="101" spans="1:73" s="15" customFormat="1">
      <c r="A101" s="62" t="s">
        <v>242</v>
      </c>
      <c r="B101" s="17"/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 s="22"/>
      <c r="BR101" s="22"/>
      <c r="BS101" s="22"/>
      <c r="BT101" s="22"/>
      <c r="BU101" s="22"/>
    </row>
    <row r="102" spans="1:73" s="15" customFormat="1">
      <c r="A102" s="62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0</v>
      </c>
      <c r="BK102"/>
      <c r="BL102" s="22">
        <f>SUM(T102:BK102)</f>
        <v>8862625</v>
      </c>
      <c r="BM102"/>
      <c r="BN102" s="22">
        <v>440</v>
      </c>
      <c r="BO102"/>
      <c r="BP102" s="6">
        <f t="shared" ref="BP102:BP107" si="26">IF(+R102-BL102+BN102&gt;0,R102-BL102+BN102,0)</f>
        <v>616894</v>
      </c>
      <c r="BQ102" s="22"/>
      <c r="BR102" s="6">
        <f>+BL102+BP102</f>
        <v>9479519</v>
      </c>
      <c r="BS102" s="22"/>
      <c r="BT102" s="6">
        <f>+R102-BR102</f>
        <v>-440</v>
      </c>
      <c r="BU102" s="22"/>
    </row>
    <row r="103" spans="1:73" s="15" customFormat="1">
      <c r="A103" s="62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f>SUM(T103:BK103)</f>
        <v>0</v>
      </c>
      <c r="BM103"/>
      <c r="BN103" s="22">
        <v>0</v>
      </c>
      <c r="BO103"/>
      <c r="BP103" s="6">
        <f t="shared" si="26"/>
        <v>0</v>
      </c>
      <c r="BQ103" s="22"/>
      <c r="BR103" s="6">
        <f>+BL103+BP103</f>
        <v>0</v>
      </c>
      <c r="BS103" s="22"/>
      <c r="BT103" s="6">
        <f>+R103-BR103</f>
        <v>0</v>
      </c>
      <c r="BU103" s="22"/>
    </row>
    <row r="104" spans="1:73" s="15" customFormat="1">
      <c r="A104" s="57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f>SUM(T104:BK104)</f>
        <v>0</v>
      </c>
      <c r="BM104"/>
      <c r="BN104" s="22">
        <v>0</v>
      </c>
      <c r="BO104"/>
      <c r="BP104" s="6">
        <f t="shared" si="26"/>
        <v>0</v>
      </c>
      <c r="BQ104" s="22"/>
      <c r="BR104" s="6">
        <f>+BL104+BP104</f>
        <v>0</v>
      </c>
      <c r="BS104" s="22"/>
      <c r="BT104" s="6">
        <f>+R104-BR104</f>
        <v>0</v>
      </c>
      <c r="BU104" s="22"/>
    </row>
    <row r="105" spans="1:73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4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f>SUM(T105:BK105)</f>
        <v>0</v>
      </c>
      <c r="BM105"/>
      <c r="BN105" s="80">
        <v>0</v>
      </c>
      <c r="BO105"/>
      <c r="BP105" s="6">
        <f t="shared" si="26"/>
        <v>0</v>
      </c>
      <c r="BQ105" s="80"/>
      <c r="BR105" s="6">
        <f>+BL105+BP105</f>
        <v>0</v>
      </c>
      <c r="BS105" s="80"/>
      <c r="BT105" s="6">
        <f>+R105-BR105</f>
        <v>0</v>
      </c>
      <c r="BU105" s="80"/>
    </row>
    <row r="106" spans="1:73" s="15" customFormat="1">
      <c r="A106" s="57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4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f>SUM(T106:BK106)</f>
        <v>0</v>
      </c>
      <c r="BM106"/>
      <c r="BN106" s="80">
        <v>0</v>
      </c>
      <c r="BO106"/>
      <c r="BP106" s="6">
        <f t="shared" si="26"/>
        <v>0</v>
      </c>
      <c r="BQ106" s="22"/>
      <c r="BR106" s="6">
        <f>+BL106+BP106</f>
        <v>0</v>
      </c>
      <c r="BS106" s="22"/>
      <c r="BT106" s="6">
        <f>+R106-BR106</f>
        <v>0</v>
      </c>
      <c r="BU106" s="80"/>
    </row>
    <row r="107" spans="1:73" s="15" customFormat="1">
      <c r="A107" s="57"/>
      <c r="B107" s="17"/>
      <c r="C107"/>
      <c r="D107"/>
      <c r="E107"/>
      <c r="F107"/>
      <c r="G107"/>
      <c r="H107"/>
      <c r="I107"/>
      <c r="J107" s="49"/>
      <c r="K107"/>
      <c r="L107" s="134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6">
        <f t="shared" si="26"/>
        <v>0</v>
      </c>
      <c r="BQ107" s="22"/>
      <c r="BR107" s="80"/>
      <c r="BS107" s="22"/>
      <c r="BT107" s="80"/>
      <c r="BU107" s="80"/>
    </row>
    <row r="108" spans="1:73" s="104" customFormat="1">
      <c r="A108" s="111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3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0</v>
      </c>
      <c r="BK108"/>
      <c r="BL108" s="108">
        <f>SUM(BL102:BL107)</f>
        <v>8862625</v>
      </c>
      <c r="BM108"/>
      <c r="BN108" s="108">
        <f>SUM(BN102:BN107)</f>
        <v>440</v>
      </c>
      <c r="BO108"/>
      <c r="BP108" s="108">
        <f>SUM(BP102:BP107)</f>
        <v>616894</v>
      </c>
      <c r="BQ108" s="16"/>
      <c r="BR108" s="108">
        <f>SUM(BR102:BR107)</f>
        <v>9479519</v>
      </c>
      <c r="BS108" s="16"/>
      <c r="BT108" s="108">
        <f>SUM(BT102:BT107)</f>
        <v>-440</v>
      </c>
      <c r="BU108" s="16"/>
    </row>
    <row r="109" spans="1:73" s="15" customFormat="1">
      <c r="A109" s="57"/>
      <c r="B109" s="17"/>
      <c r="C109"/>
      <c r="D109"/>
      <c r="E109"/>
      <c r="F109"/>
      <c r="G109"/>
      <c r="H109"/>
      <c r="I109"/>
      <c r="J109" s="49"/>
      <c r="K109"/>
      <c r="L109" s="13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 s="22"/>
      <c r="BR109" s="22"/>
      <c r="BS109" s="22"/>
      <c r="BT109" s="22"/>
      <c r="BU109" s="22"/>
    </row>
    <row r="110" spans="1:73" s="105" customFormat="1">
      <c r="A110" s="162" t="s">
        <v>246</v>
      </c>
      <c r="B110" s="63"/>
      <c r="J110" s="158"/>
      <c r="L110" s="14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 s="13"/>
      <c r="BR110" s="13"/>
      <c r="BS110" s="13"/>
      <c r="BT110" s="13"/>
      <c r="BU110" s="13"/>
    </row>
    <row r="111" spans="1:73" s="15" customFormat="1">
      <c r="A111" s="14"/>
      <c r="B111" s="60"/>
      <c r="C111"/>
      <c r="D111"/>
      <c r="E111"/>
      <c r="F111"/>
      <c r="G111"/>
      <c r="H111"/>
      <c r="I111"/>
      <c r="J111" s="49"/>
      <c r="K111"/>
      <c r="L111" s="13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 s="22"/>
      <c r="BR111" s="22"/>
      <c r="BS111" s="22"/>
      <c r="BT111" s="22"/>
      <c r="BU111" s="22"/>
    </row>
    <row r="112" spans="1:73" s="15" customFormat="1">
      <c r="A112" s="14"/>
      <c r="B112" s="60"/>
      <c r="C112"/>
      <c r="D112"/>
      <c r="E112"/>
      <c r="F112"/>
      <c r="G112"/>
      <c r="H112"/>
      <c r="I112"/>
      <c r="J112" s="49"/>
      <c r="K112"/>
      <c r="L112" s="13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 s="22"/>
      <c r="BR112" s="22"/>
      <c r="BS112" s="22"/>
      <c r="BT112" s="22"/>
      <c r="BU112" s="22"/>
    </row>
    <row r="113" spans="1:73">
      <c r="A113" s="56" t="s">
        <v>25</v>
      </c>
      <c r="B113" s="58"/>
      <c r="C113"/>
      <c r="D113"/>
      <c r="E113"/>
      <c r="F113"/>
      <c r="G113"/>
      <c r="H113"/>
      <c r="I113"/>
      <c r="J113" s="49"/>
      <c r="K113"/>
      <c r="L113" s="134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N113" s="6"/>
      <c r="BQ113" s="22"/>
      <c r="BS113" s="22"/>
      <c r="BU113" s="6"/>
    </row>
    <row r="114" spans="1:73">
      <c r="A114" s="61"/>
      <c r="B114" s="17" t="s">
        <v>377</v>
      </c>
      <c r="E114" s="4"/>
      <c r="G114" s="4"/>
      <c r="I114" s="4"/>
      <c r="J114" s="5" t="s">
        <v>0</v>
      </c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f>SUM(T114:BK114)</f>
        <v>185000</v>
      </c>
      <c r="BN114" s="6">
        <v>0</v>
      </c>
      <c r="BP114" s="6">
        <f>IF(+R114-BL114+BN114&gt;0,R114-BL114+BN114,0)</f>
        <v>0</v>
      </c>
      <c r="BQ114" s="22"/>
      <c r="BR114" s="6">
        <f>+BL114+BP114</f>
        <v>185000</v>
      </c>
      <c r="BS114" s="22"/>
      <c r="BT114" s="6">
        <f>+R114-BR114</f>
        <v>0</v>
      </c>
      <c r="BU114" s="6"/>
    </row>
    <row r="115" spans="1:73">
      <c r="A115" s="61"/>
      <c r="B115" s="17" t="s">
        <v>379</v>
      </c>
      <c r="E115" s="4"/>
      <c r="G115" s="4"/>
      <c r="I115" s="4"/>
      <c r="L115" s="134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0</v>
      </c>
      <c r="BL115" s="6">
        <f>SUM(T115:BK115)</f>
        <v>669701.62000000011</v>
      </c>
      <c r="BN115" s="6">
        <v>0</v>
      </c>
      <c r="BP115" s="6">
        <f>+R115-BL115+BN115</f>
        <v>54084.379999999888</v>
      </c>
      <c r="BQ115" s="22"/>
      <c r="BR115" s="6">
        <f>+BL115+BP115</f>
        <v>723786</v>
      </c>
      <c r="BS115" s="22"/>
      <c r="BT115" s="6">
        <f>+R115-BR115</f>
        <v>0</v>
      </c>
      <c r="BU115" s="6"/>
    </row>
    <row r="116" spans="1:73" hidden="1">
      <c r="A116" s="61"/>
      <c r="B116" s="17" t="s">
        <v>121</v>
      </c>
      <c r="E116" s="4"/>
      <c r="G116" s="4"/>
      <c r="I116" s="4"/>
      <c r="L116" s="134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f>SUM(T116:BK116)</f>
        <v>0</v>
      </c>
      <c r="BN116" s="6">
        <v>0</v>
      </c>
      <c r="BP116" s="6">
        <f>+R116-BL116+BN116</f>
        <v>0</v>
      </c>
      <c r="BQ116" s="22"/>
      <c r="BR116" s="6">
        <f>+BL116+BP116</f>
        <v>0</v>
      </c>
      <c r="BS116" s="22"/>
      <c r="BT116" s="6">
        <f>+R116-BR116</f>
        <v>0</v>
      </c>
      <c r="BU116" s="6"/>
    </row>
    <row r="117" spans="1:73" s="21" customFormat="1">
      <c r="A117" s="56"/>
      <c r="B117" s="58" t="s">
        <v>247</v>
      </c>
      <c r="J117" s="8"/>
      <c r="L117" s="143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0</v>
      </c>
      <c r="BK117"/>
      <c r="BL117" s="108">
        <f>SUM(BL114:BL116)</f>
        <v>854701.62000000011</v>
      </c>
      <c r="BM117"/>
      <c r="BN117" s="102">
        <f>SUM(BN114:BN116)</f>
        <v>0</v>
      </c>
      <c r="BO117"/>
      <c r="BP117" s="102">
        <f>SUM(BP114:BP116)</f>
        <v>54084.379999999888</v>
      </c>
      <c r="BQ117" s="16"/>
      <c r="BR117" s="102">
        <f>SUM(BR114:BR116)</f>
        <v>908786</v>
      </c>
      <c r="BS117" s="16"/>
      <c r="BT117" s="102">
        <f>SUM(BT114:BT116)</f>
        <v>0</v>
      </c>
      <c r="BU117" s="9"/>
    </row>
    <row r="118" spans="1:73" s="21" customFormat="1">
      <c r="A118" s="56"/>
      <c r="B118" s="58"/>
      <c r="J118" s="8"/>
      <c r="L118" s="143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 s="16"/>
      <c r="BR118" s="10"/>
      <c r="BS118" s="16"/>
      <c r="BT118" s="10"/>
      <c r="BU118" s="9"/>
    </row>
    <row r="120" spans="1:73" s="21" customFormat="1">
      <c r="A120" s="62"/>
      <c r="B120" s="58"/>
      <c r="J120" s="8"/>
      <c r="L120" s="143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 s="9"/>
      <c r="BR120" s="9"/>
      <c r="BS120" s="9"/>
      <c r="BT120" s="9"/>
      <c r="BU120" s="9"/>
    </row>
    <row r="121" spans="1:73" s="21" customFormat="1">
      <c r="A121" s="56" t="s">
        <v>216</v>
      </c>
      <c r="B121" s="31"/>
      <c r="J121" s="8" t="s">
        <v>0</v>
      </c>
      <c r="L121" s="134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f>SUM(T121:BK121)</f>
        <v>396663.21</v>
      </c>
      <c r="BM121"/>
      <c r="BN121" s="9">
        <v>2743.49</v>
      </c>
      <c r="BO121"/>
      <c r="BP121" s="6">
        <f>IF(+R121-BL121+BN121&gt;0,R121-BL121+BN121,0)</f>
        <v>0</v>
      </c>
      <c r="BQ121" s="9"/>
      <c r="BR121" s="9">
        <f>+BL121+BP121</f>
        <v>396663.21</v>
      </c>
      <c r="BS121" s="9"/>
      <c r="BT121" s="9">
        <f>+R121-BR121</f>
        <v>-396663.21</v>
      </c>
      <c r="BU121" s="9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 s="9"/>
      <c r="BR122" s="9"/>
      <c r="BS122" s="9"/>
      <c r="BT122" s="9"/>
      <c r="BU122" s="9"/>
    </row>
    <row r="123" spans="1:73" s="31" customFormat="1">
      <c r="A123" s="58" t="s">
        <v>30</v>
      </c>
      <c r="J123" s="159" t="s">
        <v>0</v>
      </c>
      <c r="L123" s="145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0</v>
      </c>
      <c r="BK123"/>
      <c r="BL123" s="10">
        <f>SUM(T123:BK123)</f>
        <v>0</v>
      </c>
      <c r="BM123"/>
      <c r="BN123" s="10">
        <v>0</v>
      </c>
      <c r="BO123"/>
      <c r="BP123" s="6">
        <f>IF(+R123-BL123+BN123&gt;0,R123-BL123+BN123,0)</f>
        <v>500000</v>
      </c>
      <c r="BQ123" s="10"/>
      <c r="BR123" s="9">
        <f>+BL123+BP123</f>
        <v>500000</v>
      </c>
      <c r="BS123" s="10"/>
      <c r="BT123" s="9">
        <f>+R123-BR123</f>
        <v>0</v>
      </c>
      <c r="BU123" s="10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 s="9"/>
      <c r="BR124" s="9"/>
      <c r="BS124" s="9"/>
      <c r="BT124" s="9"/>
      <c r="BU124" s="9"/>
    </row>
    <row r="125" spans="1:73" s="21" customFormat="1">
      <c r="A125" s="56" t="s">
        <v>26</v>
      </c>
      <c r="B125" s="58"/>
      <c r="J125" s="8" t="s">
        <v>0</v>
      </c>
      <c r="L125" s="134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0</v>
      </c>
      <c r="BK125"/>
      <c r="BL125" s="22">
        <f>SUM(T125:BK125)</f>
        <v>502484.68999999994</v>
      </c>
      <c r="BM125"/>
      <c r="BN125" s="9">
        <v>0</v>
      </c>
      <c r="BO125"/>
      <c r="BP125" s="6">
        <f>IF(+R125-BL125+BN125&gt;0,R125-BL125+BN125,0)</f>
        <v>751396.31</v>
      </c>
      <c r="BQ125" s="16"/>
      <c r="BR125" s="9">
        <f>+BL125+BP125</f>
        <v>1253881</v>
      </c>
      <c r="BS125" s="16"/>
      <c r="BT125" s="9">
        <f>+R125-BR125</f>
        <v>0</v>
      </c>
      <c r="BU125" s="9"/>
    </row>
    <row r="126" spans="1:73" s="21" customFormat="1">
      <c r="A126" s="56"/>
      <c r="B126" s="31"/>
      <c r="J126" s="8"/>
      <c r="L126" s="134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 s="9"/>
      <c r="BR126" s="9"/>
      <c r="BS126" s="9"/>
      <c r="BT126" s="9"/>
      <c r="BU126" s="9"/>
    </row>
    <row r="127" spans="1:73">
      <c r="A127" s="56" t="s">
        <v>27</v>
      </c>
      <c r="B127" s="11"/>
      <c r="C127"/>
      <c r="D127"/>
      <c r="E127"/>
      <c r="F127"/>
      <c r="G127"/>
      <c r="H127"/>
      <c r="I127"/>
      <c r="J127" s="49"/>
      <c r="K127"/>
      <c r="L127" s="134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N127" s="6"/>
      <c r="BU127" s="6"/>
    </row>
    <row r="128" spans="1:73">
      <c r="A128" s="61"/>
      <c r="B128" s="11" t="s">
        <v>207</v>
      </c>
      <c r="E128" s="4"/>
      <c r="G128" s="4"/>
      <c r="I128" s="4"/>
      <c r="J128" s="5" t="s">
        <v>0</v>
      </c>
      <c r="L128" s="134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f>SUM(T128:BK128)</f>
        <v>28500</v>
      </c>
      <c r="BN128" s="6">
        <v>0</v>
      </c>
      <c r="BP128" s="6">
        <f>IF(+R128-BL128+BN128&gt;0,R128-BL128+BN128,0)</f>
        <v>0</v>
      </c>
      <c r="BR128" s="6">
        <f>+BL128+BP128</f>
        <v>28500</v>
      </c>
      <c r="BT128" s="6">
        <f>+R128-BR128</f>
        <v>0</v>
      </c>
      <c r="BU128" s="6"/>
    </row>
    <row r="129" spans="1:73">
      <c r="A129" s="61"/>
      <c r="B129" s="11" t="s">
        <v>208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f>SUM(T129:BK129)</f>
        <v>0</v>
      </c>
      <c r="BN129" s="6">
        <v>0</v>
      </c>
      <c r="BP129" s="6">
        <f>+R129-BL129+BN129</f>
        <v>0</v>
      </c>
      <c r="BR129" s="6">
        <f>+BL129+BP129</f>
        <v>0</v>
      </c>
      <c r="BT129" s="6">
        <f>+R129-BR129</f>
        <v>0</v>
      </c>
      <c r="BU129" s="6"/>
    </row>
    <row r="130" spans="1:73">
      <c r="A130" s="61"/>
      <c r="B130" s="11" t="s">
        <v>209</v>
      </c>
      <c r="E130" s="4"/>
      <c r="G130" s="4"/>
      <c r="I130" s="4"/>
      <c r="J130" s="5" t="s">
        <v>0</v>
      </c>
      <c r="L130" s="134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f>SUM(T130:BK130)</f>
        <v>2446162.2800000003</v>
      </c>
      <c r="BN130" s="6">
        <v>25818</v>
      </c>
      <c r="BP130" s="6">
        <f>IF(+R130-BL130+BN130&gt;0,R130-BL130+BN130,0)</f>
        <v>0</v>
      </c>
      <c r="BR130" s="6">
        <f>+BL130+BP130</f>
        <v>2446162.2800000003</v>
      </c>
      <c r="BT130" s="6">
        <f>+R130-BR130</f>
        <v>-194662.28000000026</v>
      </c>
      <c r="BU130" s="6"/>
    </row>
    <row r="131" spans="1:73">
      <c r="A131" s="61"/>
      <c r="B131" s="11" t="s">
        <v>210</v>
      </c>
      <c r="E131" s="4"/>
      <c r="G131" s="4"/>
      <c r="I131" s="4"/>
      <c r="J131" s="5" t="s">
        <v>0</v>
      </c>
      <c r="L131" s="134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N131" s="6"/>
      <c r="BP131" s="6">
        <f>+R131-BL131+BN131</f>
        <v>0</v>
      </c>
      <c r="BR131" s="6">
        <f>+BL131+BP131</f>
        <v>0</v>
      </c>
      <c r="BT131" s="6">
        <f>+R131-BR131</f>
        <v>0</v>
      </c>
      <c r="BU131" s="6"/>
    </row>
    <row r="132" spans="1:73" s="21" customFormat="1">
      <c r="A132" s="56"/>
      <c r="B132" s="31" t="s">
        <v>182</v>
      </c>
      <c r="J132" s="8"/>
      <c r="L132" s="143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2474662.2800000003</v>
      </c>
      <c r="BM132"/>
      <c r="BN132" s="102">
        <f>SUM(BN128:BN131)</f>
        <v>25818</v>
      </c>
      <c r="BO132"/>
      <c r="BP132" s="102">
        <f>SUM(BP128:BP131)</f>
        <v>0</v>
      </c>
      <c r="BQ132" s="9"/>
      <c r="BR132" s="102">
        <f>SUM(BR128:BR131)</f>
        <v>2474662.2800000003</v>
      </c>
      <c r="BS132" s="9"/>
      <c r="BT132" s="102">
        <f>SUM(BT128:BT131)</f>
        <v>-194662.28000000026</v>
      </c>
      <c r="BU132" s="9"/>
    </row>
    <row r="133" spans="1:73" s="21" customFormat="1">
      <c r="A133" s="56"/>
      <c r="B133" s="31"/>
      <c r="J133" s="8"/>
      <c r="L133" s="134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 s="9"/>
      <c r="BR133" s="9"/>
      <c r="BS133" s="9"/>
      <c r="BT133" s="9"/>
      <c r="BU133" s="9"/>
    </row>
    <row r="134" spans="1:73">
      <c r="A134" s="56" t="s">
        <v>28</v>
      </c>
      <c r="B134" s="11"/>
      <c r="C134"/>
      <c r="D134"/>
      <c r="E134"/>
      <c r="F134"/>
      <c r="G134"/>
      <c r="H134"/>
      <c r="I134"/>
      <c r="J134" s="49"/>
      <c r="K134"/>
      <c r="L134" s="134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N134" s="6"/>
      <c r="BU134" s="6"/>
    </row>
    <row r="135" spans="1:73">
      <c r="A135" s="56"/>
      <c r="B135" s="11" t="s">
        <v>260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f>SUM(T135:BK135)</f>
        <v>0</v>
      </c>
      <c r="BN135" s="6">
        <v>0</v>
      </c>
      <c r="BP135" s="6">
        <f>IF(+R135-BL135+BN135&gt;0,R135-BL135+BN135,0)</f>
        <v>0</v>
      </c>
      <c r="BR135" s="6">
        <f>+BL135+BP135</f>
        <v>0</v>
      </c>
      <c r="BT135" s="6">
        <f>+R135-BR135</f>
        <v>0</v>
      </c>
      <c r="BU135" s="6"/>
    </row>
    <row r="136" spans="1:73">
      <c r="A136" s="57"/>
      <c r="B136" s="17" t="s">
        <v>261</v>
      </c>
      <c r="C136"/>
      <c r="D136"/>
      <c r="E136"/>
      <c r="F136"/>
      <c r="G136"/>
      <c r="H136"/>
      <c r="I136"/>
      <c r="J136" s="49"/>
      <c r="K136"/>
      <c r="L136" s="134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f>SUM(T136:BK136)</f>
        <v>0</v>
      </c>
      <c r="BN136" s="6">
        <v>0</v>
      </c>
      <c r="BP136" s="6">
        <f>IF(+R136-BL136+BN136&gt;0,R136-BL136+BN136,0)</f>
        <v>0</v>
      </c>
      <c r="BR136" s="6">
        <f>+BL136+BP136</f>
        <v>0</v>
      </c>
      <c r="BT136" s="6">
        <f>+R136-BR136</f>
        <v>0</v>
      </c>
      <c r="BU136" s="6"/>
    </row>
    <row r="137" spans="1:73">
      <c r="A137" s="57"/>
      <c r="B137" s="17" t="s">
        <v>262</v>
      </c>
      <c r="C137"/>
      <c r="D137"/>
      <c r="E137"/>
      <c r="F137"/>
      <c r="G137"/>
      <c r="H137"/>
      <c r="I137"/>
      <c r="J137" s="49"/>
      <c r="K137"/>
      <c r="L137" s="134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>
        <v>0</v>
      </c>
      <c r="BL137" s="22">
        <f>SUM(T137:BK137)</f>
        <v>417167.89</v>
      </c>
      <c r="BN137" s="6">
        <v>0</v>
      </c>
      <c r="BP137" s="6">
        <f>IF(+R137-BL137+BN137&gt;0,R137-BL137+BN137,0)</f>
        <v>0</v>
      </c>
      <c r="BR137" s="6">
        <f>+BL137+BP137</f>
        <v>417167.89</v>
      </c>
      <c r="BT137" s="6">
        <f>+R137-BR137</f>
        <v>-17167.890000000014</v>
      </c>
      <c r="BU137" s="6"/>
    </row>
    <row r="138" spans="1:73">
      <c r="A138" s="57"/>
      <c r="B138" s="17" t="s">
        <v>436</v>
      </c>
      <c r="C138"/>
      <c r="D138"/>
      <c r="E138"/>
      <c r="F138"/>
      <c r="G138"/>
      <c r="H138"/>
      <c r="I138"/>
      <c r="J138" s="49"/>
      <c r="K138"/>
      <c r="L138" s="134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/>
      <c r="BL138" s="22"/>
      <c r="BN138" s="6">
        <v>500000</v>
      </c>
      <c r="BP138" s="6">
        <f>IF(+R138-BL138+BN138&gt;0,R138-BL138+BN138,0)</f>
        <v>500000</v>
      </c>
      <c r="BR138" s="9">
        <f>+BL138+BP138</f>
        <v>500000</v>
      </c>
      <c r="BT138" s="6">
        <f>+R138-BR138</f>
        <v>-500000</v>
      </c>
      <c r="BU138" s="6"/>
    </row>
    <row r="139" spans="1:73">
      <c r="A139" s="57"/>
      <c r="B139" s="17"/>
      <c r="C139"/>
      <c r="D139"/>
      <c r="E139"/>
      <c r="F139"/>
      <c r="G139"/>
      <c r="H139"/>
      <c r="I139"/>
      <c r="J139" s="49"/>
      <c r="K139"/>
      <c r="L139" s="134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N139" s="6"/>
      <c r="BP139" s="6">
        <f>IF(+R139-BL139+BN139&gt;0,R139-BL139+BN139,0)</f>
        <v>0</v>
      </c>
      <c r="BU139" s="6"/>
    </row>
    <row r="140" spans="1:73" s="21" customFormat="1">
      <c r="A140" s="118"/>
      <c r="B140" s="58" t="s">
        <v>183</v>
      </c>
      <c r="J140" s="8"/>
      <c r="L140" s="143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0</v>
      </c>
      <c r="BK140"/>
      <c r="BL140" s="102">
        <f>SUM(BL135:BL139)</f>
        <v>417167.89</v>
      </c>
      <c r="BM140"/>
      <c r="BN140" s="102">
        <f>SUM(BN135:BN139)</f>
        <v>500000</v>
      </c>
      <c r="BO140"/>
      <c r="BP140" s="102">
        <f>SUM(BP135:BP139)</f>
        <v>500000</v>
      </c>
      <c r="BQ140" s="9"/>
      <c r="BR140" s="102">
        <f>SUM(BR135:BR139)</f>
        <v>917167.89</v>
      </c>
      <c r="BS140" s="9"/>
      <c r="BT140" s="102">
        <f>SUM(BT135:BT139)</f>
        <v>-517167.89</v>
      </c>
      <c r="BU140" s="9"/>
    </row>
    <row r="141" spans="1:73" s="21" customFormat="1">
      <c r="A141" s="118"/>
      <c r="B141" s="58"/>
      <c r="J141" s="8"/>
      <c r="L141" s="143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 s="9"/>
      <c r="BR141" s="10"/>
      <c r="BS141" s="9"/>
      <c r="BT141" s="10"/>
      <c r="BU141" s="9"/>
    </row>
    <row r="142" spans="1:73" s="21" customFormat="1">
      <c r="A142" s="56" t="s">
        <v>373</v>
      </c>
      <c r="B142" s="31"/>
      <c r="J142" s="8" t="s">
        <v>0</v>
      </c>
      <c r="L142" s="134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f>SUM(T142:BK142)</f>
        <v>794580.1</v>
      </c>
      <c r="BM142"/>
      <c r="BN142" s="9">
        <v>200000</v>
      </c>
      <c r="BO142"/>
      <c r="BP142" s="6">
        <f>IF(+R142-BL142+BN142&gt;0,R142-BL142+BN142,0)</f>
        <v>405419.9</v>
      </c>
      <c r="BQ142" s="9"/>
      <c r="BR142" s="9">
        <f>+BL142+BP142</f>
        <v>1200000</v>
      </c>
      <c r="BS142" s="9"/>
      <c r="BT142" s="9">
        <f>+R142-BR142</f>
        <v>-200000</v>
      </c>
      <c r="BU142" s="9"/>
    </row>
    <row r="143" spans="1:73" s="21" customFormat="1">
      <c r="A143" s="118"/>
      <c r="B143" s="58"/>
      <c r="J143" s="8"/>
      <c r="L143" s="143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 s="9"/>
      <c r="BR143" s="10"/>
      <c r="BS143" s="9"/>
      <c r="BT143" s="10"/>
      <c r="BU143" s="9"/>
    </row>
    <row r="144" spans="1:73" s="21" customFormat="1">
      <c r="A144" s="56" t="s">
        <v>29</v>
      </c>
      <c r="B144" s="31"/>
      <c r="J144" s="8" t="s">
        <v>0</v>
      </c>
      <c r="L144" s="134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>
        <f>SUM(T144:BK144)</f>
        <v>8574288.2199999988</v>
      </c>
      <c r="BM144"/>
      <c r="BN144" s="9">
        <f>4500000+2900000</f>
        <v>7400000</v>
      </c>
      <c r="BO144"/>
      <c r="BP144" s="6">
        <f>IF(+R144-BL144+BN144&gt;0,R144-BL144+BN144,0)</f>
        <v>2325711.7800000012</v>
      </c>
      <c r="BQ144" s="9"/>
      <c r="BR144" s="9">
        <f>+BL144+BP144</f>
        <v>10900000</v>
      </c>
      <c r="BS144" s="9"/>
      <c r="BT144" s="9">
        <f>+R144-BR144</f>
        <v>-7400000</v>
      </c>
      <c r="BU144" s="9"/>
    </row>
    <row r="145" spans="1:73" s="21" customFormat="1">
      <c r="A145" s="118"/>
      <c r="B145" s="58"/>
      <c r="J145" s="8"/>
      <c r="L145" s="143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 s="9"/>
      <c r="BR145" s="10"/>
      <c r="BS145" s="9"/>
      <c r="BT145" s="10"/>
      <c r="BU145" s="9"/>
    </row>
    <row r="146" spans="1:73" s="15" customFormat="1">
      <c r="A146" s="111" t="s">
        <v>178</v>
      </c>
      <c r="B146" s="60"/>
      <c r="C146"/>
      <c r="D146"/>
      <c r="E146"/>
      <c r="F146"/>
      <c r="G146"/>
      <c r="H146"/>
      <c r="I146"/>
      <c r="J146" s="49"/>
      <c r="K146"/>
      <c r="L146" s="13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 s="22"/>
      <c r="BR146" s="22"/>
      <c r="BS146" s="22"/>
      <c r="BT146" s="22"/>
      <c r="BU146" s="22"/>
    </row>
    <row r="147" spans="1:73" s="15" customFormat="1" hidden="1">
      <c r="A147" s="14"/>
      <c r="B147" s="60" t="s">
        <v>179</v>
      </c>
      <c r="C147"/>
      <c r="D147"/>
      <c r="E147"/>
      <c r="F147"/>
      <c r="G147"/>
      <c r="H147"/>
      <c r="I147"/>
      <c r="J147" s="49"/>
      <c r="K147"/>
      <c r="L147" s="134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f>SUM(T147:BK147)</f>
        <v>0</v>
      </c>
      <c r="BM147"/>
      <c r="BN147" s="22">
        <v>0</v>
      </c>
      <c r="BO147"/>
      <c r="BP147" s="22">
        <f>+R147-BL147+BN147</f>
        <v>0</v>
      </c>
      <c r="BQ147" s="22"/>
      <c r="BR147" s="6">
        <f>+BL147+BP147</f>
        <v>0</v>
      </c>
      <c r="BS147" s="22"/>
      <c r="BT147" s="6">
        <f>+R147-BR147</f>
        <v>0</v>
      </c>
      <c r="BU147" s="22"/>
    </row>
    <row r="148" spans="1:73" s="15" customFormat="1">
      <c r="A148" s="14"/>
      <c r="B148" s="60" t="s">
        <v>180</v>
      </c>
      <c r="C148"/>
      <c r="D148"/>
      <c r="E148"/>
      <c r="F148"/>
      <c r="G148"/>
      <c r="H148"/>
      <c r="I148"/>
      <c r="J148" s="49"/>
      <c r="K148"/>
      <c r="L148" s="134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f>SUM(T148:BK148)</f>
        <v>1853468.5</v>
      </c>
      <c r="BM148"/>
      <c r="BN148" s="22">
        <v>0</v>
      </c>
      <c r="BO148"/>
      <c r="BP148" s="6">
        <f>IF(+R148-BL148+BN148&gt;0,R148-BL148+BN148,0)</f>
        <v>0</v>
      </c>
      <c r="BQ148" s="22"/>
      <c r="BR148" s="6">
        <f>+BL148+BP148</f>
        <v>1853468.5</v>
      </c>
      <c r="BS148" s="22"/>
      <c r="BT148" s="6">
        <f>+R148-BR148</f>
        <v>-353468.5</v>
      </c>
      <c r="BU148" s="22"/>
    </row>
    <row r="149" spans="1:73" s="15" customFormat="1" hidden="1">
      <c r="A149" s="14"/>
      <c r="B149" s="60" t="s">
        <v>121</v>
      </c>
      <c r="C149"/>
      <c r="D149"/>
      <c r="E149"/>
      <c r="F149"/>
      <c r="G149"/>
      <c r="H149"/>
      <c r="I149"/>
      <c r="J149" s="49"/>
      <c r="K149"/>
      <c r="L149" s="134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f>SUM(T149:BK149)</f>
        <v>0</v>
      </c>
      <c r="BM149"/>
      <c r="BN149" s="22">
        <v>0</v>
      </c>
      <c r="BO149"/>
      <c r="BP149" s="22">
        <f>+R149-BL149+BN149</f>
        <v>0</v>
      </c>
      <c r="BQ149" s="22"/>
      <c r="BR149" s="6">
        <f>+BL149+BP149</f>
        <v>0</v>
      </c>
      <c r="BS149" s="22"/>
      <c r="BT149" s="6">
        <f>+R149-BR149</f>
        <v>0</v>
      </c>
      <c r="BU149" s="22"/>
    </row>
    <row r="150" spans="1:73" s="104" customFormat="1">
      <c r="A150" s="111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3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1853468.5</v>
      </c>
      <c r="BM150"/>
      <c r="BN150" s="108">
        <f>SUM(BN147:BN149)</f>
        <v>0</v>
      </c>
      <c r="BO150"/>
      <c r="BP150" s="108">
        <f>SUM(BP147:BP149)</f>
        <v>0</v>
      </c>
      <c r="BQ150" s="16"/>
      <c r="BR150" s="108">
        <f>SUM(BR147:BR149)</f>
        <v>1853468.5</v>
      </c>
      <c r="BS150" s="16"/>
      <c r="BT150" s="108">
        <f>SUM(BT147:BT149)</f>
        <v>-353468.5</v>
      </c>
      <c r="BU150" s="16"/>
    </row>
    <row r="151" spans="1:73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3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 s="16"/>
      <c r="BR151" s="103"/>
      <c r="BS151" s="16"/>
      <c r="BT151" s="103"/>
      <c r="BU151" s="16"/>
    </row>
    <row r="152" spans="1:73" s="31" customFormat="1">
      <c r="A152" s="58" t="s">
        <v>31</v>
      </c>
      <c r="J152" s="159"/>
      <c r="L152" s="145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f>SUM(T152:BK152)</f>
        <v>271308.25</v>
      </c>
      <c r="BM152"/>
      <c r="BN152" s="10">
        <v>0</v>
      </c>
      <c r="BO152"/>
      <c r="BP152" s="6">
        <f>IF(+R152-BL152+BN152&gt;0,R152-BL152+BN152,0)</f>
        <v>0</v>
      </c>
      <c r="BQ152" s="10"/>
      <c r="BR152" s="9">
        <f>+BL152+BP152</f>
        <v>271308.25</v>
      </c>
      <c r="BS152" s="10"/>
      <c r="BT152" s="9">
        <f>+R152-BR152</f>
        <v>-121308.25</v>
      </c>
      <c r="BU152" s="10"/>
    </row>
    <row r="153" spans="1:73" s="15" customFormat="1">
      <c r="A153" s="14"/>
      <c r="B153" s="60"/>
      <c r="C153"/>
      <c r="D153"/>
      <c r="E153"/>
      <c r="F153"/>
      <c r="G153"/>
      <c r="H153"/>
      <c r="I153"/>
      <c r="J153" s="49"/>
      <c r="K153"/>
      <c r="L153" s="13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 s="22"/>
      <c r="BR153" s="22"/>
      <c r="BS153" s="22"/>
      <c r="BT153" s="22"/>
      <c r="BU153" s="22"/>
    </row>
    <row r="154" spans="1:73" s="31" customFormat="1">
      <c r="A154" s="58" t="s">
        <v>32</v>
      </c>
      <c r="J154" s="159"/>
      <c r="L154" s="145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f>SUM(T154:BK154)</f>
        <v>109694.64</v>
      </c>
      <c r="BM154"/>
      <c r="BN154" s="10">
        <v>-90305</v>
      </c>
      <c r="BO154"/>
      <c r="BP154" s="6">
        <f>IF(+R154-BL154+BN154&gt;0,R154-BL154+BN154,0)</f>
        <v>0.36000000000058208</v>
      </c>
      <c r="BQ154" s="10"/>
      <c r="BR154" s="9">
        <f>+BL154+BP154</f>
        <v>109695</v>
      </c>
      <c r="BS154" s="10"/>
      <c r="BT154" s="6">
        <f>+R154-BR154</f>
        <v>90305</v>
      </c>
      <c r="BU154" s="10"/>
    </row>
    <row r="155" spans="1:73" s="15" customFormat="1">
      <c r="A155" s="14"/>
      <c r="B155" s="60"/>
      <c r="C155"/>
      <c r="D155"/>
      <c r="E155"/>
      <c r="F155"/>
      <c r="G155"/>
      <c r="H155"/>
      <c r="I155"/>
      <c r="J155" s="49"/>
      <c r="K155"/>
      <c r="L155" s="13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 s="22"/>
      <c r="BR155" s="22"/>
      <c r="BS155" s="22"/>
      <c r="BT155" s="22"/>
      <c r="BU155" s="22"/>
    </row>
    <row r="156" spans="1:73">
      <c r="A156" s="56" t="s">
        <v>33</v>
      </c>
      <c r="B156" s="11"/>
      <c r="C156"/>
      <c r="D156"/>
      <c r="E156"/>
      <c r="F156"/>
      <c r="G156"/>
      <c r="H156"/>
      <c r="I156"/>
      <c r="J156" s="49"/>
      <c r="K156"/>
      <c r="L156" s="134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22"/>
      <c r="BN156" s="6"/>
      <c r="BU156" s="6"/>
    </row>
    <row r="157" spans="1:73" s="11" customFormat="1">
      <c r="A157" s="17"/>
      <c r="B157" s="11" t="s">
        <v>184</v>
      </c>
      <c r="J157" s="160"/>
      <c r="L157" s="146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80">
        <f t="shared" ref="BL157:BL162" si="27">SUM(T157:BK157)</f>
        <v>22604.39</v>
      </c>
      <c r="BM157"/>
      <c r="BN157" s="12">
        <v>-12396</v>
      </c>
      <c r="BO157"/>
      <c r="BP157" s="6">
        <f t="shared" ref="BP157:BP162" si="28">IF(+R157-BL157+BN157&gt;0,R157-BL157+BN157,0)</f>
        <v>0</v>
      </c>
      <c r="BQ157" s="12"/>
      <c r="BR157" s="6">
        <f t="shared" ref="BR157:BR162" si="29">+BL157+BP157</f>
        <v>22604.39</v>
      </c>
      <c r="BS157" s="12"/>
      <c r="BT157" s="6">
        <f t="shared" ref="BT157:BT162" si="30">+R157-BR157</f>
        <v>12395.61</v>
      </c>
      <c r="BU157" s="12"/>
    </row>
    <row r="158" spans="1:73" s="11" customFormat="1">
      <c r="A158" s="17"/>
      <c r="B158" s="11" t="s">
        <v>34</v>
      </c>
      <c r="J158" s="160"/>
      <c r="L158" s="146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80">
        <f t="shared" si="27"/>
        <v>78498.36</v>
      </c>
      <c r="BM158"/>
      <c r="BN158" s="12">
        <v>6683</v>
      </c>
      <c r="BO158"/>
      <c r="BP158" s="6">
        <f t="shared" si="28"/>
        <v>0</v>
      </c>
      <c r="BQ158" s="12"/>
      <c r="BR158" s="6">
        <f t="shared" si="29"/>
        <v>78498.36</v>
      </c>
      <c r="BS158" s="12"/>
      <c r="BT158" s="6">
        <f t="shared" si="30"/>
        <v>-33498.36</v>
      </c>
      <c r="BU158" s="12"/>
    </row>
    <row r="159" spans="1:73" s="11" customFormat="1">
      <c r="A159" s="17"/>
      <c r="B159" s="11" t="s">
        <v>317</v>
      </c>
      <c r="J159" s="160"/>
      <c r="L159" s="146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80">
        <f t="shared" si="27"/>
        <v>514961.68</v>
      </c>
      <c r="BM159"/>
      <c r="BN159" s="12">
        <v>79955</v>
      </c>
      <c r="BO159"/>
      <c r="BP159" s="6">
        <f t="shared" si="28"/>
        <v>0</v>
      </c>
      <c r="BQ159" s="12"/>
      <c r="BR159" s="6">
        <f t="shared" si="29"/>
        <v>514961.68</v>
      </c>
      <c r="BS159" s="12"/>
      <c r="BT159" s="6">
        <f t="shared" si="30"/>
        <v>-514961.68</v>
      </c>
      <c r="BU159" s="12"/>
    </row>
    <row r="160" spans="1:73" s="11" customFormat="1">
      <c r="A160" s="17"/>
      <c r="B160" s="11" t="s">
        <v>121</v>
      </c>
      <c r="J160" s="160"/>
      <c r="L160" s="146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v>123</v>
      </c>
      <c r="BK160"/>
      <c r="BL160" s="80">
        <f t="shared" si="27"/>
        <v>421701.56999999995</v>
      </c>
      <c r="BM160"/>
      <c r="BN160" s="12">
        <v>106842</v>
      </c>
      <c r="BO160"/>
      <c r="BP160" s="6">
        <f t="shared" si="28"/>
        <v>0</v>
      </c>
      <c r="BQ160" s="12"/>
      <c r="BR160" s="6">
        <f t="shared" si="29"/>
        <v>421701.56999999995</v>
      </c>
      <c r="BS160" s="12"/>
      <c r="BT160" s="6">
        <f t="shared" si="30"/>
        <v>-287108.56999999995</v>
      </c>
      <c r="BU160" s="12"/>
    </row>
    <row r="161" spans="1:122" s="11" customFormat="1">
      <c r="A161" s="17"/>
      <c r="B161" s="11" t="s">
        <v>331</v>
      </c>
      <c r="J161" s="160"/>
      <c r="L161" s="146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80">
        <f t="shared" si="27"/>
        <v>191012.89</v>
      </c>
      <c r="BM161"/>
      <c r="BN161" s="12">
        <v>0</v>
      </c>
      <c r="BO161"/>
      <c r="BP161" s="6">
        <f t="shared" si="28"/>
        <v>0</v>
      </c>
      <c r="BQ161" s="12"/>
      <c r="BR161" s="6">
        <f t="shared" si="29"/>
        <v>191012.89</v>
      </c>
      <c r="BS161" s="12"/>
      <c r="BT161" s="6">
        <f t="shared" si="30"/>
        <v>-191012.89</v>
      </c>
      <c r="BU161" s="12"/>
    </row>
    <row r="162" spans="1:122" s="11" customFormat="1">
      <c r="A162" s="17"/>
      <c r="B162" s="11" t="s">
        <v>279</v>
      </c>
      <c r="J162" s="160"/>
      <c r="L162" s="146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80">
        <f t="shared" si="27"/>
        <v>207059.02000000002</v>
      </c>
      <c r="BM162"/>
      <c r="BN162" s="12">
        <v>207059</v>
      </c>
      <c r="BO162"/>
      <c r="BP162" s="6">
        <f t="shared" si="28"/>
        <v>0</v>
      </c>
      <c r="BQ162" s="12"/>
      <c r="BR162" s="6">
        <f t="shared" si="29"/>
        <v>207059.02000000002</v>
      </c>
      <c r="BS162" s="12"/>
      <c r="BT162" s="6">
        <f t="shared" si="30"/>
        <v>-207059.02000000002</v>
      </c>
      <c r="BU162" s="12"/>
    </row>
    <row r="163" spans="1:122" s="21" customFormat="1">
      <c r="A163" s="56"/>
      <c r="B163" s="31" t="s">
        <v>40</v>
      </c>
      <c r="J163" s="8"/>
      <c r="L163" s="143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L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123</v>
      </c>
      <c r="BK163"/>
      <c r="BL163" s="102">
        <f t="shared" si="32"/>
        <v>1435837.91</v>
      </c>
      <c r="BM163"/>
      <c r="BN163" s="102">
        <f t="shared" ref="BN163:BT163" si="33">SUM(BN157:BN162)</f>
        <v>388143</v>
      </c>
      <c r="BO163"/>
      <c r="BP163" s="102">
        <f t="shared" si="33"/>
        <v>0</v>
      </c>
      <c r="BQ163" s="102">
        <f t="shared" si="33"/>
        <v>0</v>
      </c>
      <c r="BR163" s="102">
        <f t="shared" si="33"/>
        <v>1435837.91</v>
      </c>
      <c r="BS163" s="102">
        <f t="shared" si="33"/>
        <v>0</v>
      </c>
      <c r="BT163" s="102">
        <f t="shared" si="33"/>
        <v>-1221244.9099999999</v>
      </c>
      <c r="BU163" s="9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21" customFormat="1">
      <c r="A164" s="56"/>
      <c r="B164" s="31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 s="9"/>
      <c r="BR164" s="10"/>
      <c r="BS164" s="9"/>
      <c r="BT164" s="10"/>
      <c r="BU164" s="9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>
      <c r="A165" s="56" t="s">
        <v>35</v>
      </c>
      <c r="B165" s="11"/>
      <c r="C165"/>
      <c r="D165"/>
      <c r="E165"/>
      <c r="F165"/>
      <c r="G165"/>
      <c r="H165"/>
      <c r="I165"/>
      <c r="J165" s="49"/>
      <c r="K165"/>
      <c r="L165" s="134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N165" s="6"/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B166" s="11" t="s">
        <v>37</v>
      </c>
      <c r="J166" s="160"/>
      <c r="L166" s="146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f>SUM(T166:BK166)</f>
        <v>605</v>
      </c>
      <c r="BM166"/>
      <c r="BN166" s="12">
        <v>0</v>
      </c>
      <c r="BO166"/>
      <c r="BP166" s="6">
        <f>IF(+R166-BL166+BN166&gt;0,R166-BL166+BN166,0)</f>
        <v>6146</v>
      </c>
      <c r="BQ166" s="12"/>
      <c r="BR166" s="6">
        <f>+BL166+BP166</f>
        <v>6751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11" customFormat="1">
      <c r="A167" s="17"/>
      <c r="B167" s="11" t="s">
        <v>339</v>
      </c>
      <c r="J167" s="160"/>
      <c r="L167" s="146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>
        <f>SUM(T167:BK167)</f>
        <v>301672.13</v>
      </c>
      <c r="BM167"/>
      <c r="BN167" s="12">
        <v>0</v>
      </c>
      <c r="BO167"/>
      <c r="BP167" s="6">
        <f>IF(+R167-BL167+BN167&gt;0,R167-BL167+BN167,0)</f>
        <v>0</v>
      </c>
      <c r="BQ167" s="12"/>
      <c r="BR167" s="6">
        <f>+BL167+BP167</f>
        <v>301672.13</v>
      </c>
      <c r="BS167" s="12"/>
      <c r="BT167" s="6">
        <f>+R167-BR167</f>
        <v>-301672.13</v>
      </c>
      <c r="BU167" s="12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11" customFormat="1">
      <c r="A168" s="17"/>
      <c r="B168" s="11" t="s">
        <v>121</v>
      </c>
      <c r="J168" s="160"/>
      <c r="L168" s="146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f>SUM(T168:BK168)</f>
        <v>306911.61</v>
      </c>
      <c r="BM168"/>
      <c r="BN168" s="12">
        <v>9703</v>
      </c>
      <c r="BO168"/>
      <c r="BP168" s="6">
        <f>IF(+R168-BL168+BN168&gt;0,R168-BL168+BN168,0)</f>
        <v>0</v>
      </c>
      <c r="BQ168" s="12"/>
      <c r="BR168" s="6">
        <f>BP168+BN168+BL168</f>
        <v>316614.61</v>
      </c>
      <c r="BS168" s="12"/>
      <c r="BT168" s="6">
        <f>+R168-BR168</f>
        <v>-66614.609999999986</v>
      </c>
      <c r="BU168" s="12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11" customFormat="1">
      <c r="A169" s="17"/>
      <c r="J169" s="160"/>
      <c r="L169" s="146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>
        <f>SUM(T169:BK169)</f>
        <v>0</v>
      </c>
      <c r="BM169"/>
      <c r="BN169" s="12">
        <v>0</v>
      </c>
      <c r="BO169"/>
      <c r="BP169" s="6">
        <f>IF(+R169-BL169+BN169&gt;0,R169-BL169+BN169,0)</f>
        <v>0</v>
      </c>
      <c r="BQ169" s="12"/>
      <c r="BR169" s="6">
        <f>+BL169+BP169</f>
        <v>0</v>
      </c>
      <c r="BS169" s="12"/>
      <c r="BT169" s="6">
        <f>+R169-BR169</f>
        <v>0</v>
      </c>
      <c r="BU169" s="12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 t="s">
        <v>41</v>
      </c>
      <c r="J170" s="8"/>
      <c r="L170" s="143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609188.74</v>
      </c>
      <c r="BM170"/>
      <c r="BN170" s="102">
        <f>SUM(BN166:BN169)</f>
        <v>9703</v>
      </c>
      <c r="BO170"/>
      <c r="BP170" s="102">
        <f>SUM(BP166:BP169)</f>
        <v>6146</v>
      </c>
      <c r="BQ170" s="9"/>
      <c r="BR170" s="102">
        <f>SUM(BR166:BR169)</f>
        <v>625037.74</v>
      </c>
      <c r="BS170" s="9"/>
      <c r="BT170" s="102">
        <f>SUM(BT166:BT169)</f>
        <v>-368286.74</v>
      </c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21" customFormat="1">
      <c r="A171" s="58"/>
      <c r="B171" s="31"/>
      <c r="J171" s="8"/>
      <c r="L171" s="143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 s="9"/>
      <c r="BR171" s="10"/>
      <c r="BS171" s="9"/>
      <c r="BT171" s="10"/>
      <c r="BU171" s="9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31" customFormat="1">
      <c r="A172" s="58" t="s">
        <v>249</v>
      </c>
      <c r="J172" s="159"/>
      <c r="L172" s="145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f>SUM(T172:BK172)</f>
        <v>11016842.20535869</v>
      </c>
      <c r="BM172"/>
      <c r="BN172" s="10"/>
      <c r="BO172"/>
      <c r="BP172" s="6">
        <f>IF(+R172-BL172+BN172&gt;0,R172-BL172+BN172,0)-R172+[1]Wilton!$Y$40</f>
        <v>6078.2261786516756</v>
      </c>
      <c r="BQ172" s="10"/>
      <c r="BR172" s="9">
        <f>+BL172+BP172</f>
        <v>11022920.431537341</v>
      </c>
      <c r="BS172" s="10"/>
      <c r="BT172" s="9">
        <f>+R172-BR172</f>
        <v>1785203.5684626587</v>
      </c>
      <c r="BU172" s="10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/>
      <c r="B173" s="31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 s="9"/>
      <c r="BR173" s="10"/>
      <c r="BS173" s="9"/>
      <c r="BT173" s="10"/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105" customFormat="1">
      <c r="A174" s="84" t="s">
        <v>248</v>
      </c>
      <c r="B174" s="54"/>
      <c r="J174" s="158"/>
      <c r="L174" s="144"/>
      <c r="M174" s="13"/>
      <c r="N174" s="120"/>
      <c r="O174" s="13"/>
      <c r="P174" s="120"/>
      <c r="Q174" s="13"/>
      <c r="R174" s="120">
        <f t="shared" ref="R174:AW174" si="34">R172+R163+R154+R152+R150+R144+R140+R132+R125+R123+R121+R243+R117+R170+R142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ref="AX174:BS174" si="35">AX172+AX163+AX154+AX152+AX150+AX144+AX140+AX132+AX125+AX123+AX121+AX243+AX117+AX170+AX142</f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 t="shared" si="35"/>
        <v>614483.34000000008</v>
      </c>
      <c r="BE174"/>
      <c r="BF174" s="120">
        <f t="shared" si="35"/>
        <v>373521.64999999997</v>
      </c>
      <c r="BG174"/>
      <c r="BH174" s="120">
        <f t="shared" si="35"/>
        <v>401728.88999999996</v>
      </c>
      <c r="BI174"/>
      <c r="BJ174" s="120">
        <f t="shared" si="35"/>
        <v>4364298</v>
      </c>
      <c r="BK174"/>
      <c r="BL174" s="120">
        <f>BL172+BL163+BL154+BL152+BL150+BL144+BL140+BL132+BL125+BL123+BL121+BL117+BL170+BL142</f>
        <v>29310888.255358692</v>
      </c>
      <c r="BM174"/>
      <c r="BN174" s="120">
        <f t="shared" si="35"/>
        <v>8436102.4900000002</v>
      </c>
      <c r="BO174"/>
      <c r="BP174" s="120">
        <f>BP117+BP121+BP123+BP125+BP132+BP140+BP142+BP144+BP150+BP152+BP154+BP163+BP170+BP172</f>
        <v>4548836.9561786531</v>
      </c>
      <c r="BQ174" s="120">
        <f t="shared" si="35"/>
        <v>0</v>
      </c>
      <c r="BR174" s="120">
        <f>BR117+BR121+BR123+BR125+BR132+BR140+BR142+BR144+BR150+BR152+BR154+BR163+BR170+BR172</f>
        <v>33869428.211537339</v>
      </c>
      <c r="BS174" s="120">
        <f t="shared" si="35"/>
        <v>0</v>
      </c>
      <c r="BT174" s="120">
        <f>BT117+BT121+BT123+BT125+BT132+BT140+BT142+BT144+BT150+BT152+BT154+BT163+BT170+BT172</f>
        <v>-8897293.2115373425</v>
      </c>
      <c r="BU174" s="120">
        <f>BU172+BU163+BU154+BU152+BU150+BU144+BU140+BU132+BU125+BU123+BU121+BU243+BU117+BU170</f>
        <v>0</v>
      </c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21" customFormat="1">
      <c r="A176" s="56" t="s">
        <v>190</v>
      </c>
      <c r="B176" s="31"/>
      <c r="J176" s="8"/>
      <c r="L176" s="143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10">
        <f>SUM(T176:BK176)</f>
        <v>0</v>
      </c>
      <c r="BM176"/>
      <c r="BN176" s="9">
        <v>-4408072</v>
      </c>
      <c r="BO176"/>
      <c r="BP176" s="6">
        <f>IF(+R176-BL176+BN176&gt;0,R176-BL176+BN176,0)</f>
        <v>0</v>
      </c>
      <c r="BQ176" s="9">
        <v>2030320</v>
      </c>
      <c r="BR176" s="9">
        <f>+BL176+BP176</f>
        <v>0</v>
      </c>
      <c r="BS176" s="9">
        <v>2030320</v>
      </c>
      <c r="BT176" s="6">
        <f>+R176-BR176</f>
        <v>4408071.75</v>
      </c>
      <c r="BU176" s="9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/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 s="9"/>
      <c r="BR177" s="10"/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170" customFormat="1">
      <c r="A179" s="169" t="s">
        <v>253</v>
      </c>
      <c r="J179" s="171"/>
      <c r="L179" s="172"/>
      <c r="M179" s="173"/>
      <c r="N179" s="173"/>
      <c r="O179" s="173"/>
      <c r="P179" s="173"/>
      <c r="Q179" s="173"/>
      <c r="R179" s="168">
        <f t="shared" ref="R179:AD179" si="36">R33+R99+R89+R108+R174+R176</f>
        <v>239675467.75</v>
      </c>
      <c r="S179" s="168">
        <f t="shared" si="36"/>
        <v>0</v>
      </c>
      <c r="T179" s="168">
        <f t="shared" si="36"/>
        <v>7140000</v>
      </c>
      <c r="U179" s="168">
        <f t="shared" si="36"/>
        <v>0</v>
      </c>
      <c r="V179" s="168">
        <f t="shared" si="36"/>
        <v>1297646</v>
      </c>
      <c r="W179" s="168">
        <f t="shared" si="36"/>
        <v>0</v>
      </c>
      <c r="X179" s="168">
        <f t="shared" si="36"/>
        <v>33103293</v>
      </c>
      <c r="Y179" s="168">
        <f t="shared" si="36"/>
        <v>0</v>
      </c>
      <c r="Z179" s="168">
        <f t="shared" si="36"/>
        <v>282259</v>
      </c>
      <c r="AA179" s="168">
        <f t="shared" si="36"/>
        <v>0</v>
      </c>
      <c r="AB179" s="168">
        <f t="shared" si="36"/>
        <v>1722017</v>
      </c>
      <c r="AC179" s="168">
        <f t="shared" si="36"/>
        <v>0</v>
      </c>
      <c r="AD179" s="168">
        <f t="shared" si="36"/>
        <v>18845196.829999998</v>
      </c>
      <c r="AE179" s="168"/>
      <c r="AF179" s="168">
        <f>AF33+AF99+AF89+AF108+AF174+AF176</f>
        <v>8237655.1408541668</v>
      </c>
      <c r="AG179" s="168"/>
      <c r="AH179" s="168">
        <f>AH33+AH99+AH89+AH108+AH174+AH176</f>
        <v>8871230.9374601822</v>
      </c>
      <c r="AI179"/>
      <c r="AJ179" s="168">
        <f>AJ33+AJ99+AJ89+AJ108+AJ174+AJ176</f>
        <v>6989210.1253887061</v>
      </c>
      <c r="AK179"/>
      <c r="AL179" s="168">
        <f>AL33+AL99+AL89+AL108+AL174+AL176</f>
        <v>7789231.1557027698</v>
      </c>
      <c r="AM179"/>
      <c r="AN179" s="168">
        <f t="shared" ref="AN179:BS179" si="37">AN33+AN99+AN89+AN108+AN174+AN176</f>
        <v>11600775.180000002</v>
      </c>
      <c r="AO179" s="168">
        <f t="shared" si="37"/>
        <v>0</v>
      </c>
      <c r="AP179" s="168">
        <f t="shared" si="37"/>
        <v>17679120.913877048</v>
      </c>
      <c r="AQ179" s="168">
        <f t="shared" si="37"/>
        <v>0</v>
      </c>
      <c r="AR179" s="168">
        <f t="shared" si="37"/>
        <v>39304333.695295267</v>
      </c>
      <c r="AS179" s="168">
        <f t="shared" si="37"/>
        <v>0</v>
      </c>
      <c r="AT179" s="168">
        <f t="shared" si="37"/>
        <v>2943898.2559045074</v>
      </c>
      <c r="AU179" s="168">
        <f t="shared" si="37"/>
        <v>0</v>
      </c>
      <c r="AV179" s="168">
        <f t="shared" si="37"/>
        <v>29327061.258771211</v>
      </c>
      <c r="AW179" s="168">
        <f t="shared" si="37"/>
        <v>0</v>
      </c>
      <c r="AX179" s="168">
        <f t="shared" si="37"/>
        <v>23466763.284490943</v>
      </c>
      <c r="AY179" s="168">
        <f t="shared" si="37"/>
        <v>0</v>
      </c>
      <c r="AZ179" s="168">
        <f t="shared" si="37"/>
        <v>22126233.530000001</v>
      </c>
      <c r="BA179" s="168">
        <f t="shared" si="37"/>
        <v>0</v>
      </c>
      <c r="BB179" s="168">
        <f t="shared" si="37"/>
        <v>8412940.5109472163</v>
      </c>
      <c r="BC179" s="168"/>
      <c r="BD179" s="168">
        <f t="shared" si="37"/>
        <v>11834996.67</v>
      </c>
      <c r="BE179"/>
      <c r="BF179" s="168">
        <f t="shared" si="37"/>
        <v>1350600.65</v>
      </c>
      <c r="BG179"/>
      <c r="BH179" s="168">
        <f t="shared" si="37"/>
        <v>401728.88999999996</v>
      </c>
      <c r="BI179"/>
      <c r="BJ179" s="168">
        <f t="shared" si="37"/>
        <v>4364298</v>
      </c>
      <c r="BK179"/>
      <c r="BL179" s="168">
        <f t="shared" si="37"/>
        <v>267090490.02869204</v>
      </c>
      <c r="BM179"/>
      <c r="BN179" s="168">
        <f t="shared" si="37"/>
        <v>31924382.490000002</v>
      </c>
      <c r="BO179"/>
      <c r="BP179" s="168">
        <f>BP33+BP89+BP99+BP108+BP174</f>
        <v>5366671.9561786531</v>
      </c>
      <c r="BQ179" s="168">
        <f t="shared" si="37"/>
        <v>2030320</v>
      </c>
      <c r="BR179" s="168">
        <f t="shared" si="37"/>
        <v>272635435.98487067</v>
      </c>
      <c r="BS179" s="168">
        <f t="shared" si="37"/>
        <v>2030320</v>
      </c>
      <c r="BT179" s="168">
        <f>BT33+BT89+BT99+BT108+BT176+BT174</f>
        <v>-32959968.234870672</v>
      </c>
      <c r="BU179" s="173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>
      <c r="A180" s="56" t="s">
        <v>251</v>
      </c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 s="9"/>
      <c r="BR180" s="10">
        <f>BR179/B4</f>
        <v>448413.5460277478</v>
      </c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t="12" customHeight="1">
      <c r="A181" s="56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M181"/>
      <c r="BN181" s="10"/>
      <c r="BO181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6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4364298</v>
      </c>
      <c r="BK182"/>
      <c r="BM182"/>
      <c r="BN182" s="10"/>
      <c r="BO182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6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 t="s">
        <v>439</v>
      </c>
      <c r="BK183"/>
      <c r="BL183" s="10">
        <f>-BL125</f>
        <v>-502484.68999999994</v>
      </c>
      <c r="BM183"/>
      <c r="BN183" s="10"/>
      <c r="BO183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6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 t="s">
        <v>440</v>
      </c>
      <c r="BK184"/>
      <c r="BL184" s="10">
        <f>-BL117</f>
        <v>-854701.62000000011</v>
      </c>
      <c r="BM184"/>
      <c r="BN184" s="10"/>
      <c r="BO184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6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 t="s">
        <v>444</v>
      </c>
      <c r="BK185"/>
      <c r="BL185" s="10">
        <f>-BL123</f>
        <v>0</v>
      </c>
      <c r="BM185"/>
      <c r="BN185" s="10"/>
      <c r="BO185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6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J186" s="21" t="s">
        <v>441</v>
      </c>
      <c r="BK186"/>
      <c r="BL186" s="10">
        <v>-426646</v>
      </c>
      <c r="BM186"/>
      <c r="BN186" s="10"/>
      <c r="BO186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 hidden="1">
      <c r="A187" s="56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J187" s="10"/>
      <c r="BK187"/>
      <c r="BL187" s="10">
        <f>SUM(BL179:BL186)</f>
        <v>265306657.71869203</v>
      </c>
      <c r="BM187"/>
      <c r="BN187" s="10"/>
      <c r="BO187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 hidden="1">
      <c r="A188" s="56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/>
      <c r="BO188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s="21" customFormat="1" hidden="1">
      <c r="A189" s="56"/>
      <c r="B189" s="31"/>
      <c r="J189" s="8"/>
      <c r="L189" s="143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 t="s">
        <v>438</v>
      </c>
      <c r="BK189"/>
      <c r="BL189" s="10">
        <f>166466044+94476315.48</f>
        <v>260942359.48000002</v>
      </c>
      <c r="BM189"/>
      <c r="BN189" s="10"/>
      <c r="BO189"/>
      <c r="BP189" s="10"/>
      <c r="BQ189" s="9"/>
      <c r="BR189" s="10"/>
      <c r="BS189" s="9"/>
      <c r="BT189" s="10"/>
      <c r="BU189" s="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s="21" customFormat="1" hidden="1">
      <c r="A190" s="56"/>
      <c r="B190" s="31"/>
      <c r="J190" s="8"/>
      <c r="L190" s="143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>
        <f>BL187-BL189</f>
        <v>4364298.2386920154</v>
      </c>
      <c r="BM190"/>
      <c r="BN190" s="10"/>
      <c r="BO190"/>
      <c r="BP190" s="10"/>
      <c r="BQ190" s="9"/>
      <c r="BR190" s="10"/>
      <c r="BS190" s="9"/>
      <c r="BT190" s="10"/>
      <c r="BU190" s="9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s="21" customFormat="1" hidden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/>
      <c r="BO191"/>
      <c r="BP191" s="10"/>
      <c r="BQ191" s="9"/>
      <c r="BR191" s="10"/>
      <c r="BS191" s="9"/>
      <c r="BT191" s="10"/>
      <c r="BU191" s="9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s="21" customFormat="1" hidden="1">
      <c r="A192" s="56"/>
      <c r="B192" s="31"/>
      <c r="J192" s="8"/>
      <c r="L192" s="143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 s="9"/>
      <c r="BR192" s="10"/>
      <c r="BS192" s="9"/>
      <c r="BT192" s="10"/>
      <c r="BU192" s="9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s="21" customFormat="1">
      <c r="A193" s="56"/>
      <c r="B193" s="31"/>
      <c r="J193" s="8"/>
      <c r="L193" s="143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 s="9"/>
      <c r="BR193" s="10"/>
      <c r="BS193" s="9"/>
      <c r="BT193" s="10"/>
      <c r="BU193" s="9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s="21" customFormat="1">
      <c r="A194" s="56"/>
      <c r="B194" s="31"/>
      <c r="J194" s="8"/>
      <c r="L194" s="143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 s="9"/>
      <c r="BR194" s="10"/>
      <c r="BS194" s="9"/>
      <c r="BT194" s="10"/>
      <c r="BU194" s="9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s="21" customFormat="1">
      <c r="A195" s="56"/>
      <c r="B195" s="31"/>
      <c r="J195" s="8"/>
      <c r="L195" s="143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 s="9"/>
      <c r="BR195" s="10"/>
      <c r="BS195" s="9"/>
      <c r="BT195" s="10"/>
      <c r="BU195" s="9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s="21" customFormat="1">
      <c r="A196" s="56"/>
      <c r="B196" s="31"/>
      <c r="J196" s="8"/>
      <c r="L196" s="143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 s="9"/>
      <c r="BR196" s="10"/>
      <c r="BS196" s="9"/>
      <c r="BT196" s="10"/>
      <c r="BU196" s="9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s="21" customFormat="1">
      <c r="A197" s="56"/>
      <c r="B197" s="31"/>
      <c r="J197" s="8"/>
      <c r="L197" s="143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 s="9"/>
      <c r="BR197" s="10"/>
      <c r="BS197" s="9"/>
      <c r="BT197" s="10"/>
      <c r="BU197" s="9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s="21" customFormat="1">
      <c r="A198" s="56"/>
      <c r="B198" s="31"/>
      <c r="J198" s="8"/>
      <c r="L198" s="143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 s="9"/>
      <c r="BR198" s="10"/>
      <c r="BS198" s="9"/>
      <c r="BT198" s="10"/>
      <c r="BU198" s="9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 s="9"/>
      <c r="BR199" s="10"/>
      <c r="BS199" s="9"/>
      <c r="BT199" s="10"/>
      <c r="BU199" s="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s="21" customFormat="1">
      <c r="A200" s="56"/>
      <c r="B200" s="31"/>
      <c r="J200" s="8"/>
      <c r="L200" s="143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 s="9"/>
      <c r="BR200" s="10"/>
      <c r="BS200" s="9"/>
      <c r="BT200" s="10"/>
      <c r="BU200" s="9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 s="9"/>
      <c r="BR201" s="10"/>
      <c r="BS201" s="9"/>
      <c r="BT201" s="10"/>
      <c r="BU201" s="9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s="21" customFormat="1">
      <c r="A202" s="56"/>
      <c r="B202" s="31"/>
      <c r="J202" s="8"/>
      <c r="L202" s="143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 s="9"/>
      <c r="BR202" s="10"/>
      <c r="BS202" s="9"/>
      <c r="BT202" s="10"/>
      <c r="BU202" s="9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 s="9"/>
      <c r="BR203" s="10"/>
      <c r="BS203" s="9"/>
      <c r="BT203" s="10"/>
      <c r="BU203" s="9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 s="9"/>
      <c r="BR204" s="10"/>
      <c r="BS204" s="9"/>
      <c r="BT204" s="10"/>
      <c r="BU204" s="9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s="21" customFormat="1">
      <c r="A205" s="56"/>
      <c r="B205" s="31"/>
      <c r="J205" s="8"/>
      <c r="L205" s="143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 s="9"/>
      <c r="BR205" s="10"/>
      <c r="BS205" s="9"/>
      <c r="BT205" s="10"/>
      <c r="BU205" s="9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s="21" customFormat="1">
      <c r="A206" s="56"/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 s="9"/>
      <c r="BR206" s="10"/>
      <c r="BS206" s="9"/>
      <c r="BT206" s="10"/>
      <c r="BU206" s="9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 s="9"/>
      <c r="BR207" s="10"/>
      <c r="BS207" s="9"/>
      <c r="BT207" s="10"/>
      <c r="BU207" s="9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s="21" customFormat="1">
      <c r="A208" s="56"/>
      <c r="B208" s="31"/>
      <c r="J208" s="8"/>
      <c r="L208" s="143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 s="9"/>
      <c r="BR208" s="10"/>
      <c r="BS208" s="9"/>
      <c r="BT208" s="10"/>
      <c r="BU208" s="9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 s="9"/>
      <c r="BR209" s="10"/>
      <c r="BS209" s="9"/>
      <c r="BT209" s="10"/>
      <c r="BU209" s="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s="21" customFormat="1">
      <c r="A210" s="56"/>
      <c r="B210" s="31"/>
      <c r="J210" s="8"/>
      <c r="L210" s="143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 s="9"/>
      <c r="BR210" s="10"/>
      <c r="BS210" s="9"/>
      <c r="BT210" s="10"/>
      <c r="BU210" s="9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 s="9"/>
      <c r="BR211" s="10"/>
      <c r="BS211" s="9"/>
      <c r="BT211" s="10"/>
      <c r="BU211" s="9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 s="9"/>
      <c r="BR212" s="10"/>
      <c r="BS212" s="9"/>
      <c r="BT212" s="10"/>
      <c r="BU212" s="9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s="21" customFormat="1">
      <c r="A213" s="56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 s="9"/>
      <c r="BR213" s="10"/>
      <c r="BS213" s="9"/>
      <c r="BT213" s="10"/>
      <c r="BU213" s="9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 s="9"/>
      <c r="BR214" s="10"/>
      <c r="BS214" s="9"/>
      <c r="BT214" s="10"/>
      <c r="BU214" s="9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s="21" customFormat="1">
      <c r="A215" s="56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 s="9"/>
      <c r="BR215" s="10"/>
      <c r="BS215" s="9"/>
      <c r="BT215" s="10"/>
      <c r="BU215" s="9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s="21" customFormat="1">
      <c r="A216" s="56"/>
      <c r="B216" s="31"/>
      <c r="J216" s="8"/>
      <c r="L216" s="143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 s="9"/>
      <c r="BR216" s="10"/>
      <c r="BS216" s="9"/>
      <c r="BT216" s="10"/>
      <c r="BU216" s="9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s="21" customFormat="1">
      <c r="A217" s="56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 s="9"/>
      <c r="BR217" s="10"/>
      <c r="BS217" s="9"/>
      <c r="BT217" s="10"/>
      <c r="BU217" s="9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s="21" customFormat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 s="9"/>
      <c r="BR218" s="10"/>
      <c r="BS218" s="9"/>
      <c r="BT218" s="10"/>
      <c r="BU218" s="9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s="21" customFormat="1">
      <c r="A219" s="56"/>
      <c r="B219" s="31"/>
      <c r="J219" s="8"/>
      <c r="L219" s="143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 s="9"/>
      <c r="BR219" s="10"/>
      <c r="BS219" s="9"/>
      <c r="BT219" s="10"/>
      <c r="BU219" s="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s="21" customFormat="1">
      <c r="A220" s="56"/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 s="9"/>
      <c r="BR220" s="10"/>
      <c r="BS220" s="9"/>
      <c r="BT220" s="10"/>
      <c r="BU220" s="9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 s="9"/>
      <c r="BR221" s="10"/>
      <c r="BS221" s="9"/>
      <c r="BT221" s="10"/>
      <c r="BU221" s="9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s="21" customFormat="1">
      <c r="A222" s="56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 s="9"/>
      <c r="BR222" s="10"/>
      <c r="BS222" s="9"/>
      <c r="BT222" s="10"/>
      <c r="BU222" s="9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s="21" customFormat="1">
      <c r="A223" s="56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 s="9"/>
      <c r="BR223" s="10"/>
      <c r="BS223" s="9"/>
      <c r="BT223" s="10"/>
      <c r="BU223" s="9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s="21" customFormat="1">
      <c r="A224" s="56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 s="9"/>
      <c r="BR224" s="10"/>
      <c r="BS224" s="9"/>
      <c r="BT224" s="10"/>
      <c r="BU224" s="9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s="21" customFormat="1">
      <c r="A225" s="56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 s="9"/>
      <c r="BR225" s="10"/>
      <c r="BS225" s="9"/>
      <c r="BT225" s="10"/>
      <c r="BU225" s="9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s="21" customFormat="1">
      <c r="A226" s="56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 s="9"/>
      <c r="BR226" s="10"/>
      <c r="BS226" s="9"/>
      <c r="BT226" s="10"/>
      <c r="BU226" s="9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s="21" customFormat="1">
      <c r="A227" s="56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 s="9"/>
      <c r="BR227" s="10"/>
      <c r="BS227" s="9"/>
      <c r="BT227" s="10"/>
      <c r="BU227" s="9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s="21" customFormat="1">
      <c r="A228" s="56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 s="9"/>
      <c r="BR228" s="10"/>
      <c r="BS228" s="9"/>
      <c r="BT228" s="10"/>
      <c r="BU228" s="9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s="21" customFormat="1">
      <c r="A229" s="56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 s="9"/>
      <c r="BR229" s="10"/>
      <c r="BS229" s="9"/>
      <c r="BT229" s="10"/>
      <c r="BU229" s="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s="21" customFormat="1">
      <c r="A230" s="56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 s="9"/>
      <c r="BR230" s="10"/>
      <c r="BS230" s="9"/>
      <c r="BT230" s="10"/>
      <c r="BU230" s="9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s="21" customFormat="1">
      <c r="A231" s="56"/>
      <c r="B231" s="31"/>
      <c r="J231" s="8"/>
      <c r="L231" s="143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 s="9"/>
      <c r="BR231" s="10"/>
      <c r="BS231" s="9"/>
      <c r="BT231" s="10"/>
      <c r="BU231" s="9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s="21" customFormat="1">
      <c r="A232" s="56"/>
      <c r="B232" s="31"/>
      <c r="J232" s="8"/>
      <c r="L232" s="143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 s="9"/>
      <c r="BR232" s="10"/>
      <c r="BS232" s="9"/>
      <c r="BT232" s="10"/>
      <c r="BU232" s="9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s="21" customFormat="1">
      <c r="A233" s="56"/>
      <c r="B233" s="31"/>
      <c r="J233" s="8"/>
      <c r="L233" s="143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 s="9"/>
      <c r="BR233" s="10"/>
      <c r="BS233" s="9"/>
      <c r="BT233" s="10"/>
      <c r="BU233" s="9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s="21" customFormat="1">
      <c r="A234" s="56"/>
      <c r="B234" s="31"/>
      <c r="J234" s="8"/>
      <c r="L234" s="143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 s="9"/>
      <c r="BR234" s="10"/>
      <c r="BS234" s="9"/>
      <c r="BT234" s="10"/>
      <c r="BU234" s="9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s="21" customFormat="1">
      <c r="A235" s="56"/>
      <c r="B235" s="31"/>
      <c r="J235" s="8"/>
      <c r="L235" s="143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 s="9"/>
      <c r="BR235" s="10"/>
      <c r="BS235" s="9"/>
      <c r="BT235" s="10"/>
      <c r="BU235" s="9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s="21" customFormat="1">
      <c r="A236" s="56"/>
      <c r="B236" s="31"/>
      <c r="J236" s="8"/>
      <c r="L236" s="143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 s="9"/>
      <c r="BR236" s="10"/>
      <c r="BS236" s="9"/>
      <c r="BT236" s="10"/>
      <c r="BU236" s="9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s="21" customFormat="1">
      <c r="A237" s="56"/>
      <c r="B237" s="31"/>
      <c r="J237" s="8"/>
      <c r="L237" s="143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 s="9"/>
      <c r="BR237" s="10"/>
      <c r="BS237" s="9"/>
      <c r="BT237" s="10"/>
      <c r="BU237" s="9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s="21" customFormat="1">
      <c r="A238" s="56"/>
      <c r="B238" s="31"/>
      <c r="J238" s="8"/>
      <c r="L238" s="143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 s="9"/>
      <c r="BR238" s="10"/>
      <c r="BS238" s="9"/>
      <c r="BT238" s="10"/>
      <c r="BU238" s="9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s="21" customFormat="1">
      <c r="A239" s="56"/>
      <c r="B239" s="31"/>
      <c r="J239" s="8"/>
      <c r="L239" s="143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 s="9"/>
      <c r="BR239" s="10"/>
      <c r="BS239" s="9"/>
      <c r="BT239" s="10"/>
      <c r="BU239" s="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s="21" customFormat="1" hidden="1">
      <c r="A240" s="58" t="s">
        <v>219</v>
      </c>
      <c r="B240" s="31"/>
      <c r="J240" s="8"/>
      <c r="L240" s="143" t="s">
        <v>202</v>
      </c>
      <c r="M240" s="9"/>
      <c r="N240" s="9">
        <v>0</v>
      </c>
      <c r="O240" s="9"/>
      <c r="P240" s="9">
        <f>21557+23365.91</f>
        <v>44922.91</v>
      </c>
      <c r="Q240" s="9"/>
      <c r="R240" s="9">
        <v>-6078</v>
      </c>
      <c r="S240" s="9"/>
      <c r="T240" s="9"/>
      <c r="U240" s="9"/>
      <c r="V240" s="9"/>
      <c r="W240" s="9"/>
      <c r="X240" s="9"/>
      <c r="Y240" s="9"/>
      <c r="Z240" s="9">
        <v>-21556.400000000001</v>
      </c>
      <c r="AA240" s="9"/>
      <c r="AB240" s="9">
        <f>43113+23365.91</f>
        <v>66478.91</v>
      </c>
      <c r="AC240" s="9"/>
      <c r="AD240" s="9">
        <v>-51000</v>
      </c>
      <c r="AE240" s="9"/>
      <c r="AF240" s="9"/>
      <c r="AG240" s="9"/>
      <c r="AH240" s="9"/>
      <c r="AI240"/>
      <c r="AJ240" s="9"/>
      <c r="AK240"/>
      <c r="AL240" s="9"/>
      <c r="AM240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/>
      <c r="BF240" s="9"/>
      <c r="BG240"/>
      <c r="BH240" s="9"/>
      <c r="BI240"/>
      <c r="BJ240" s="9"/>
      <c r="BK240"/>
      <c r="BL240" s="10">
        <f>SUM(T240:BK240)</f>
        <v>-6077.489999999998</v>
      </c>
      <c r="BM240"/>
      <c r="BN240" s="10">
        <v>0</v>
      </c>
      <c r="BO240"/>
      <c r="BP240" s="6">
        <f>IF(+R240-BL240+BN240&gt;0,R240-BL240+BN240,0)</f>
        <v>0</v>
      </c>
      <c r="BQ240" s="10"/>
      <c r="BR240" s="9">
        <f>+BL240+BP240</f>
        <v>-6077.489999999998</v>
      </c>
      <c r="BS240" s="10"/>
      <c r="BT240" s="9">
        <v>0</v>
      </c>
      <c r="BU240" s="9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s="21" customFormat="1" hidden="1">
      <c r="A241" s="56"/>
      <c r="B241" s="31"/>
      <c r="J241" s="8"/>
      <c r="L241" s="143"/>
      <c r="M241" s="9"/>
      <c r="N241" s="10"/>
      <c r="O241" s="9"/>
      <c r="P241" s="10"/>
      <c r="Q241" s="9"/>
      <c r="R241" s="10"/>
      <c r="S241" s="9"/>
      <c r="T241" s="10"/>
      <c r="U241" s="9"/>
      <c r="V241" s="10"/>
      <c r="W241" s="9"/>
      <c r="X241" s="10"/>
      <c r="Y241" s="9"/>
      <c r="Z241" s="10"/>
      <c r="AA241" s="9"/>
      <c r="AB241" s="10"/>
      <c r="AC241" s="9"/>
      <c r="AD241" s="10"/>
      <c r="AE241" s="9"/>
      <c r="AF241" s="10"/>
      <c r="AG241" s="9"/>
      <c r="AH241" s="10"/>
      <c r="AI241"/>
      <c r="AJ241" s="10"/>
      <c r="AK241"/>
      <c r="AL241" s="10"/>
      <c r="AM241"/>
      <c r="AN241" s="10"/>
      <c r="AO241" s="9"/>
      <c r="AP241" s="10"/>
      <c r="AQ241" s="9"/>
      <c r="AR241" s="10"/>
      <c r="AS241" s="9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/>
      <c r="BF241" s="10"/>
      <c r="BG241"/>
      <c r="BH241" s="10"/>
      <c r="BI241"/>
      <c r="BJ241" s="10"/>
      <c r="BK241"/>
      <c r="BL241" s="10"/>
      <c r="BM241"/>
      <c r="BN241" s="10"/>
      <c r="BO241"/>
      <c r="BP241" s="10"/>
      <c r="BQ241" s="9"/>
      <c r="BR241" s="10"/>
      <c r="BS241" s="9"/>
      <c r="BT241" s="10"/>
      <c r="BU241" s="9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s="21" customFormat="1" hidden="1">
      <c r="A242" s="56" t="s">
        <v>315</v>
      </c>
      <c r="B242" s="31"/>
      <c r="J242" s="8"/>
      <c r="L242" s="143"/>
      <c r="M242" s="9"/>
      <c r="N242" s="10"/>
      <c r="O242" s="9"/>
      <c r="P242" s="10"/>
      <c r="Q242" s="9"/>
      <c r="R242" s="10">
        <v>0</v>
      </c>
      <c r="S242" s="9"/>
      <c r="T242" s="10"/>
      <c r="U242" s="9"/>
      <c r="V242" s="10"/>
      <c r="W242" s="9"/>
      <c r="X242" s="10"/>
      <c r="Y242" s="9"/>
      <c r="Z242" s="10"/>
      <c r="AA242" s="9"/>
      <c r="AB242" s="10">
        <v>0</v>
      </c>
      <c r="AC242" s="9"/>
      <c r="AD242" s="10">
        <v>100</v>
      </c>
      <c r="AE242" s="9"/>
      <c r="AF242" s="10"/>
      <c r="AG242" s="9"/>
      <c r="AH242" s="10"/>
      <c r="AI242"/>
      <c r="AJ242" s="10">
        <f>220+59</f>
        <v>279</v>
      </c>
      <c r="AK242"/>
      <c r="AL242" s="10">
        <v>10</v>
      </c>
      <c r="AM242"/>
      <c r="AN242" s="10"/>
      <c r="AO242" s="9"/>
      <c r="AP242" s="10">
        <v>800</v>
      </c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>
        <v>100</v>
      </c>
      <c r="BC242" s="10"/>
      <c r="BD242" s="10"/>
      <c r="BE242"/>
      <c r="BF242" s="10"/>
      <c r="BG242"/>
      <c r="BH242" s="10"/>
      <c r="BI242"/>
      <c r="BJ242" s="10"/>
      <c r="BK242"/>
      <c r="BL242" s="10">
        <f>SUM(T242:BK242)</f>
        <v>1289</v>
      </c>
      <c r="BM242"/>
      <c r="BN242" s="10">
        <v>0</v>
      </c>
      <c r="BO242"/>
      <c r="BP242" s="6">
        <f>IF(+R242-BL242+BN242&gt;0,R242-BL242+BN242,0)</f>
        <v>0</v>
      </c>
      <c r="BQ242" s="9"/>
      <c r="BR242" s="9">
        <f>+BL242+BP242</f>
        <v>1289</v>
      </c>
      <c r="BS242" s="9"/>
      <c r="BT242" s="6"/>
      <c r="BU242" s="9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s="21" customFormat="1" hidden="1">
      <c r="A243" s="62" t="s">
        <v>409</v>
      </c>
      <c r="B243" s="58"/>
      <c r="J243" s="8" t="s">
        <v>0</v>
      </c>
      <c r="L243" s="143" t="s">
        <v>202</v>
      </c>
      <c r="M243" s="9"/>
      <c r="N243" s="9">
        <v>0</v>
      </c>
      <c r="O243" s="9"/>
      <c r="P243" s="9">
        <v>0</v>
      </c>
      <c r="Q243" s="9"/>
      <c r="R243" s="9">
        <v>0</v>
      </c>
      <c r="S243" s="9"/>
      <c r="T243" s="9">
        <v>0</v>
      </c>
      <c r="U243" s="9"/>
      <c r="V243" s="9">
        <v>0</v>
      </c>
      <c r="W243" s="9"/>
      <c r="X243" s="9">
        <v>0</v>
      </c>
      <c r="Y243" s="9"/>
      <c r="Z243" s="9">
        <v>0</v>
      </c>
      <c r="AA243" s="9"/>
      <c r="AB243" s="9">
        <v>0</v>
      </c>
      <c r="AC243" s="9"/>
      <c r="AD243" s="9">
        <v>0</v>
      </c>
      <c r="AE243" s="9"/>
      <c r="AF243" s="9">
        <v>0</v>
      </c>
      <c r="AG243" s="9"/>
      <c r="AH243" s="9">
        <v>0</v>
      </c>
      <c r="AI243"/>
      <c r="AJ243" s="9">
        <v>0</v>
      </c>
      <c r="AK243"/>
      <c r="AL243" s="9">
        <v>0</v>
      </c>
      <c r="AM243"/>
      <c r="AN243" s="9">
        <v>0</v>
      </c>
      <c r="AO243" s="9"/>
      <c r="AP243" s="9">
        <v>0</v>
      </c>
      <c r="AQ243" s="9"/>
      <c r="AR243" s="9">
        <v>0</v>
      </c>
      <c r="AS243" s="9"/>
      <c r="AT243" s="9">
        <v>0</v>
      </c>
      <c r="AU243" s="9"/>
      <c r="AV243" s="9">
        <v>0</v>
      </c>
      <c r="AW243" s="9"/>
      <c r="AX243" s="9">
        <v>0</v>
      </c>
      <c r="AY243" s="9"/>
      <c r="AZ243" s="9">
        <v>0</v>
      </c>
      <c r="BA243" s="9"/>
      <c r="BB243" s="9">
        <v>80000</v>
      </c>
      <c r="BC243" s="9"/>
      <c r="BD243" s="9">
        <v>0</v>
      </c>
      <c r="BE243"/>
      <c r="BF243" s="9">
        <v>0</v>
      </c>
      <c r="BG243"/>
      <c r="BH243" s="9">
        <v>0</v>
      </c>
      <c r="BI243"/>
      <c r="BJ243" s="9">
        <v>0</v>
      </c>
      <c r="BK243"/>
      <c r="BL243" s="16">
        <f>SUM(T243:BK243)</f>
        <v>80000</v>
      </c>
      <c r="BM243"/>
      <c r="BN243" s="9">
        <v>0</v>
      </c>
      <c r="BO243"/>
      <c r="BP243" s="6">
        <f>IF(+R243-BL243+BN243&gt;0,R243-BL243+BN243,0)</f>
        <v>0</v>
      </c>
      <c r="BQ243" s="9"/>
      <c r="BR243" s="9">
        <f>+BL243+BP243</f>
        <v>80000</v>
      </c>
      <c r="BS243" s="9"/>
      <c r="BT243" s="6"/>
      <c r="BU243" s="9"/>
    </row>
    <row r="244" spans="1:122" s="21" customFormat="1" hidden="1">
      <c r="A244" s="58" t="s">
        <v>266</v>
      </c>
      <c r="B244" s="31"/>
      <c r="J244" s="8"/>
      <c r="L244" s="143"/>
      <c r="M244" s="9"/>
      <c r="N244" s="10"/>
      <c r="O244" s="9"/>
      <c r="P244" s="10"/>
      <c r="Q244" s="9"/>
      <c r="R244" s="10">
        <v>-56499</v>
      </c>
      <c r="S244" s="9"/>
      <c r="T244" s="10"/>
      <c r="U244" s="9"/>
      <c r="V244" s="10"/>
      <c r="W244" s="9"/>
      <c r="X244" s="10"/>
      <c r="Y244" s="9"/>
      <c r="Z244" s="10"/>
      <c r="AA244" s="9"/>
      <c r="AB244" s="10">
        <v>-56500</v>
      </c>
      <c r="AC244" s="9"/>
      <c r="AD244" s="10">
        <f>1-35</f>
        <v>-34</v>
      </c>
      <c r="AE244" s="9"/>
      <c r="AF244" s="10">
        <v>-69954</v>
      </c>
      <c r="AG244" s="9"/>
      <c r="AH244" s="10">
        <v>-22011</v>
      </c>
      <c r="AI244"/>
      <c r="AJ244" s="10">
        <f>-861-98</f>
        <v>-959</v>
      </c>
      <c r="AK244"/>
      <c r="AL244" s="10">
        <v>-3</v>
      </c>
      <c r="AM244"/>
      <c r="AN244" s="10">
        <f>52264-47</f>
        <v>52217</v>
      </c>
      <c r="AO244" s="9"/>
      <c r="AP244" s="10">
        <f>-233-52264</f>
        <v>-52497</v>
      </c>
      <c r="AQ244" s="9"/>
      <c r="AR244" s="10"/>
      <c r="AS244" s="9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/>
      <c r="BF244" s="10"/>
      <c r="BG244"/>
      <c r="BH244" s="10"/>
      <c r="BI244"/>
      <c r="BJ244" s="10"/>
      <c r="BK244"/>
      <c r="BL244" s="10">
        <f>SUM(T244:BK244)</f>
        <v>-149741</v>
      </c>
      <c r="BM244"/>
      <c r="BN244" s="10"/>
      <c r="BO244"/>
      <c r="BP244" s="6">
        <v>0</v>
      </c>
      <c r="BQ244" s="9"/>
      <c r="BR244" s="9">
        <f>+BL244+BP244</f>
        <v>-149741</v>
      </c>
      <c r="BS244" s="9"/>
      <c r="BT244" s="6"/>
      <c r="BU244" s="9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s="21" customFormat="1" hidden="1">
      <c r="A245" s="58"/>
      <c r="B245" s="31"/>
      <c r="J245" s="8"/>
      <c r="L245" s="143"/>
      <c r="M245" s="9"/>
      <c r="N245" s="10"/>
      <c r="O245" s="9"/>
      <c r="P245" s="10"/>
      <c r="Q245" s="9"/>
      <c r="R245" s="10"/>
      <c r="S245" s="9"/>
      <c r="T245" s="10"/>
      <c r="U245" s="9"/>
      <c r="V245" s="10"/>
      <c r="W245" s="9"/>
      <c r="X245" s="10"/>
      <c r="Y245" s="9"/>
      <c r="Z245" s="10"/>
      <c r="AA245" s="9"/>
      <c r="AB245" s="10"/>
      <c r="AC245" s="9"/>
      <c r="AD245" s="10"/>
      <c r="AE245" s="9"/>
      <c r="AF245" s="10"/>
      <c r="AG245" s="9"/>
      <c r="AH245" s="10"/>
      <c r="AI245"/>
      <c r="AJ245" s="10"/>
      <c r="AK245"/>
      <c r="AL245" s="10"/>
      <c r="AM245"/>
      <c r="AN245" s="10"/>
      <c r="AO245" s="9"/>
      <c r="AP245" s="10"/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/>
      <c r="BO245"/>
      <c r="BP245" s="10"/>
      <c r="BQ245" s="9"/>
      <c r="BR245" s="10"/>
      <c r="BS245" s="9"/>
      <c r="BT245" s="10"/>
      <c r="BU245" s="9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s="21" customFormat="1" hidden="1">
      <c r="A246" s="58" t="s">
        <v>252</v>
      </c>
      <c r="B246" s="31"/>
      <c r="J246" s="8"/>
      <c r="L246" s="143"/>
      <c r="M246" s="9"/>
      <c r="N246" s="10"/>
      <c r="O246" s="9"/>
      <c r="P246" s="10"/>
      <c r="Q246" s="9"/>
      <c r="R246" s="10">
        <f t="shared" ref="R246:BJ246" si="40">R179+R240+R242+R244</f>
        <v>239612890.75</v>
      </c>
      <c r="S246" s="10">
        <f t="shared" si="40"/>
        <v>0</v>
      </c>
      <c r="T246" s="10">
        <f t="shared" si="40"/>
        <v>7140000</v>
      </c>
      <c r="U246" s="10">
        <f t="shared" si="40"/>
        <v>0</v>
      </c>
      <c r="V246" s="10">
        <f t="shared" si="40"/>
        <v>1297646</v>
      </c>
      <c r="W246" s="10">
        <f t="shared" si="40"/>
        <v>0</v>
      </c>
      <c r="X246" s="10">
        <f t="shared" si="40"/>
        <v>33103293</v>
      </c>
      <c r="Y246" s="10">
        <f t="shared" si="40"/>
        <v>0</v>
      </c>
      <c r="Z246" s="10">
        <f t="shared" si="40"/>
        <v>260702.6</v>
      </c>
      <c r="AA246" s="10">
        <f t="shared" si="40"/>
        <v>0</v>
      </c>
      <c r="AB246" s="10">
        <f t="shared" si="40"/>
        <v>1731995.91</v>
      </c>
      <c r="AC246" s="10">
        <f t="shared" si="40"/>
        <v>0</v>
      </c>
      <c r="AD246" s="10">
        <f t="shared" si="40"/>
        <v>18794262.829999998</v>
      </c>
      <c r="AE246" s="10"/>
      <c r="AF246" s="10">
        <f t="shared" si="40"/>
        <v>8167701.1408541668</v>
      </c>
      <c r="AG246" s="10"/>
      <c r="AH246" s="10">
        <f t="shared" si="40"/>
        <v>8849219.9374601822</v>
      </c>
      <c r="AI246"/>
      <c r="AJ246" s="10">
        <f>AJ179+AJ240+AJ242+AJ244</f>
        <v>6988530.1253887061</v>
      </c>
      <c r="AK246"/>
      <c r="AL246" s="10">
        <f t="shared" si="40"/>
        <v>7789238.1557027698</v>
      </c>
      <c r="AM246"/>
      <c r="AN246" s="10">
        <f t="shared" si="40"/>
        <v>11652992.180000002</v>
      </c>
      <c r="AO246" s="10">
        <f t="shared" si="40"/>
        <v>0</v>
      </c>
      <c r="AP246" s="10">
        <f t="shared" si="40"/>
        <v>17627423.913877048</v>
      </c>
      <c r="AQ246" s="10">
        <f t="shared" si="40"/>
        <v>0</v>
      </c>
      <c r="AR246" s="10">
        <f t="shared" si="40"/>
        <v>39304333.695295267</v>
      </c>
      <c r="AS246" s="10">
        <f t="shared" si="40"/>
        <v>0</v>
      </c>
      <c r="AT246" s="10">
        <f t="shared" si="40"/>
        <v>2943898.2559045074</v>
      </c>
      <c r="AU246" s="10">
        <f t="shared" si="40"/>
        <v>0</v>
      </c>
      <c r="AV246" s="10">
        <f t="shared" si="40"/>
        <v>29327061.258771211</v>
      </c>
      <c r="AW246" s="10">
        <f t="shared" si="40"/>
        <v>0</v>
      </c>
      <c r="AX246" s="10">
        <f t="shared" si="40"/>
        <v>23466763.284490943</v>
      </c>
      <c r="AY246" s="10">
        <f t="shared" si="40"/>
        <v>0</v>
      </c>
      <c r="AZ246" s="10">
        <f t="shared" si="40"/>
        <v>22126233.530000001</v>
      </c>
      <c r="BA246" s="10">
        <f t="shared" si="40"/>
        <v>0</v>
      </c>
      <c r="BB246" s="10">
        <f>BB179+BB240+BB242+BB244+BB243</f>
        <v>8493040.5109472163</v>
      </c>
      <c r="BC246" s="10"/>
      <c r="BD246" s="10">
        <f t="shared" si="40"/>
        <v>11834996.67</v>
      </c>
      <c r="BE246"/>
      <c r="BF246" s="10">
        <f t="shared" si="40"/>
        <v>1350600.65</v>
      </c>
      <c r="BG246"/>
      <c r="BH246" s="10">
        <f t="shared" si="40"/>
        <v>401728.88999999996</v>
      </c>
      <c r="BI246"/>
      <c r="BJ246" s="10">
        <f t="shared" si="40"/>
        <v>4364298</v>
      </c>
      <c r="BK246"/>
      <c r="BL246" s="10">
        <f>BL179+BL240+BL242+BL244+BL243</f>
        <v>267015960.53869203</v>
      </c>
      <c r="BM246"/>
      <c r="BN246" s="10">
        <f t="shared" ref="BN246:BT246" si="41">BN179+BN240+BN242+BN244+BN243</f>
        <v>31924382.490000002</v>
      </c>
      <c r="BO246"/>
      <c r="BP246" s="10">
        <f t="shared" si="41"/>
        <v>5366671.9561786531</v>
      </c>
      <c r="BQ246" s="10">
        <f t="shared" si="41"/>
        <v>2030320</v>
      </c>
      <c r="BR246" s="10">
        <f t="shared" si="41"/>
        <v>272560906.49487066</v>
      </c>
      <c r="BS246" s="10">
        <f t="shared" si="41"/>
        <v>2030320</v>
      </c>
      <c r="BT246" s="10">
        <f t="shared" si="41"/>
        <v>-32959968.234870672</v>
      </c>
      <c r="BU246" s="9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s="21" customFormat="1" hidden="1">
      <c r="A247" s="58"/>
      <c r="B247" s="31"/>
      <c r="J247" s="8"/>
      <c r="L247" s="143"/>
      <c r="M247" s="9"/>
      <c r="N247" s="10"/>
      <c r="O247" s="9"/>
      <c r="P247" s="10"/>
      <c r="Q247" s="9"/>
      <c r="R247" s="10"/>
      <c r="S247" s="9"/>
      <c r="T247" s="10"/>
      <c r="U247" s="9"/>
      <c r="V247" s="10"/>
      <c r="W247" s="9"/>
      <c r="X247" s="10"/>
      <c r="Y247" s="9"/>
      <c r="Z247" s="10"/>
      <c r="AA247" s="9"/>
      <c r="AB247" s="10"/>
      <c r="AC247" s="9"/>
      <c r="AD247" s="10"/>
      <c r="AE247" s="9"/>
      <c r="AF247" s="10"/>
      <c r="AG247" s="9"/>
      <c r="AH247" s="39"/>
      <c r="AI247"/>
      <c r="AJ247" s="10"/>
      <c r="AK247"/>
      <c r="AL247" s="10"/>
      <c r="AM247"/>
      <c r="AN247" s="10"/>
      <c r="AO247" s="9"/>
      <c r="AP247" s="10"/>
      <c r="AQ247" s="9"/>
      <c r="AR247" s="10"/>
      <c r="AS247" s="9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/>
      <c r="BF247" s="10"/>
      <c r="BG247"/>
      <c r="BH247" s="10"/>
      <c r="BI247"/>
      <c r="BJ247" s="10"/>
      <c r="BK247"/>
      <c r="BL247" s="10"/>
      <c r="BM247"/>
      <c r="BN247" s="10"/>
      <c r="BO247"/>
      <c r="BP247" s="10"/>
      <c r="BQ247" s="9"/>
      <c r="BR247" s="10"/>
      <c r="BS247" s="9"/>
      <c r="BT247" s="10"/>
      <c r="BU247" s="9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idden="1">
      <c r="C248"/>
      <c r="D248"/>
      <c r="E248"/>
      <c r="F248"/>
      <c r="G248"/>
      <c r="H248"/>
      <c r="I248"/>
      <c r="J248" s="49"/>
      <c r="K248"/>
      <c r="L248" s="134"/>
      <c r="M248" s="6"/>
      <c r="O248" s="6"/>
      <c r="Q248" s="6"/>
      <c r="S248" s="6"/>
      <c r="T248" s="6"/>
      <c r="U248" s="6"/>
      <c r="V248" s="6"/>
      <c r="X248" s="6"/>
      <c r="Z248" s="6"/>
      <c r="AB248" s="6"/>
      <c r="AD248" s="6"/>
      <c r="AH248" s="10"/>
      <c r="AI248"/>
      <c r="AJ248" s="10"/>
      <c r="BJ248" s="6"/>
      <c r="BN248" s="6"/>
      <c r="BU248" s="6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.6" hidden="1">
      <c r="A249" s="131" t="s">
        <v>196</v>
      </c>
      <c r="B249" s="132"/>
      <c r="C249" s="119"/>
      <c r="D249" s="119"/>
      <c r="E249" s="119"/>
      <c r="F249" s="119"/>
      <c r="G249" s="119"/>
      <c r="H249" s="119"/>
      <c r="I249" s="119"/>
      <c r="J249" s="161"/>
      <c r="K249" s="119"/>
      <c r="L249" s="148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/>
      <c r="AJ249" s="133"/>
      <c r="AL249" s="133"/>
      <c r="AN249" s="133"/>
      <c r="AO249" s="133"/>
      <c r="AP249" s="133"/>
      <c r="AQ249" s="133"/>
      <c r="AR249" s="133"/>
      <c r="AS249" s="133"/>
      <c r="AT249" s="133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F249" s="133"/>
      <c r="BH249" s="133"/>
      <c r="BJ249" s="133"/>
      <c r="BL249" s="133"/>
      <c r="BN249" s="133"/>
      <c r="BP249" s="133"/>
      <c r="BQ249" s="133"/>
      <c r="BR249" s="13"/>
      <c r="BS249" s="133"/>
      <c r="BT249" s="133"/>
      <c r="BU249" s="133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idden="1">
      <c r="A250" s="56" t="s">
        <v>32</v>
      </c>
      <c r="C250"/>
      <c r="D250"/>
      <c r="E250"/>
      <c r="F250"/>
      <c r="G250"/>
      <c r="H250"/>
      <c r="I250"/>
      <c r="J250" s="49"/>
      <c r="K250"/>
      <c r="L250" s="134" t="s">
        <v>203</v>
      </c>
      <c r="M250" s="6"/>
      <c r="N250" s="6">
        <v>0</v>
      </c>
      <c r="O250" s="6"/>
      <c r="P250" s="6">
        <v>220000</v>
      </c>
      <c r="Q250" s="6"/>
      <c r="R250" s="9"/>
      <c r="S250" s="6"/>
      <c r="T250" s="22"/>
      <c r="U250" s="6"/>
      <c r="V250" s="22"/>
      <c r="X250" s="22">
        <f>982.5+18746.43</f>
        <v>19728.93</v>
      </c>
      <c r="Z250" s="22">
        <v>0</v>
      </c>
      <c r="AB250" s="22"/>
      <c r="AD250" s="22">
        <v>12698.23</v>
      </c>
      <c r="AF250" s="22"/>
      <c r="AH250" s="22">
        <f>5134.27+591.18</f>
        <v>5725.4500000000007</v>
      </c>
      <c r="AI250"/>
      <c r="AJ250" s="22"/>
      <c r="AL250" s="22">
        <v>591.45000000000005</v>
      </c>
      <c r="AN250" s="22"/>
      <c r="AP250" s="22"/>
      <c r="AR250" s="22">
        <v>1242.3</v>
      </c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F250" s="22"/>
      <c r="BH250" s="22"/>
      <c r="BJ250" s="22"/>
      <c r="BL250" s="9">
        <f t="shared" ref="BL250:BL255" si="42">SUM(T250:BK250)</f>
        <v>39986.36</v>
      </c>
      <c r="BN250" s="22"/>
      <c r="BP250" s="6">
        <f>IF(+R250-BL250+BN250&gt;0,R250-BL250+BN250,0)</f>
        <v>0</v>
      </c>
      <c r="BR250" s="9">
        <f t="shared" ref="BR250:BR255" si="43">+BP250+BL250</f>
        <v>39986.36</v>
      </c>
      <c r="BT250" s="9">
        <v>0</v>
      </c>
      <c r="BU250" s="6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idden="1">
      <c r="A251" s="56" t="s">
        <v>33</v>
      </c>
      <c r="C251"/>
      <c r="D251"/>
      <c r="E251"/>
      <c r="F251"/>
      <c r="G251"/>
      <c r="H251"/>
      <c r="I251"/>
      <c r="J251" s="49"/>
      <c r="K251"/>
      <c r="L251" s="134" t="s">
        <v>203</v>
      </c>
      <c r="M251" s="6"/>
      <c r="N251" s="6">
        <v>0</v>
      </c>
      <c r="O251" s="6"/>
      <c r="P251" s="6">
        <v>30000</v>
      </c>
      <c r="Q251" s="6"/>
      <c r="R251" s="9"/>
      <c r="S251" s="6"/>
      <c r="T251" s="22"/>
      <c r="U251" s="6"/>
      <c r="V251" s="22">
        <v>1342.96</v>
      </c>
      <c r="X251" s="22">
        <f>24234.66+4681.29</f>
        <v>28915.95</v>
      </c>
      <c r="Z251" s="22">
        <f>18740.38+287.37+30.79+269.69</f>
        <v>19328.23</v>
      </c>
      <c r="AB251" s="22">
        <v>567.63</v>
      </c>
      <c r="AD251" s="22">
        <f>558.5+6000+11878.22+34085.81+15896.29</f>
        <v>68418.820000000007</v>
      </c>
      <c r="AF251" s="22"/>
      <c r="AH251" s="22"/>
      <c r="AI251"/>
      <c r="AJ251" s="22"/>
      <c r="AL251" s="22"/>
      <c r="AN251" s="22"/>
      <c r="AP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9">
        <f t="shared" si="42"/>
        <v>118573.59</v>
      </c>
      <c r="BN251" s="22"/>
      <c r="BP251" s="6">
        <f>IF(+R251-BL251+BN251&gt;0,R251-BL251+BN251,0)</f>
        <v>0</v>
      </c>
      <c r="BR251" s="9">
        <f t="shared" si="43"/>
        <v>118573.59</v>
      </c>
      <c r="BT251" s="9">
        <v>0</v>
      </c>
      <c r="BU251" s="6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idden="1">
      <c r="A252" s="56" t="s">
        <v>35</v>
      </c>
      <c r="C252"/>
      <c r="D252"/>
      <c r="E252"/>
      <c r="F252"/>
      <c r="G252"/>
      <c r="H252"/>
      <c r="I252"/>
      <c r="J252" s="49"/>
      <c r="K252"/>
      <c r="L252" s="134" t="s">
        <v>203</v>
      </c>
      <c r="M252" s="6"/>
      <c r="N252" s="6">
        <v>0</v>
      </c>
      <c r="O252" s="6"/>
      <c r="P252" s="6">
        <v>35000</v>
      </c>
      <c r="Q252" s="6"/>
      <c r="R252" s="9"/>
      <c r="S252" s="6"/>
      <c r="T252" s="22">
        <v>52133</v>
      </c>
      <c r="U252" s="6"/>
      <c r="V252" s="22"/>
      <c r="X252" s="22"/>
      <c r="Z252" s="22"/>
      <c r="AB252" s="22">
        <v>1331.32</v>
      </c>
      <c r="AD252" s="22"/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9">
        <f t="shared" si="42"/>
        <v>53464.32</v>
      </c>
      <c r="BN252" s="22"/>
      <c r="BP252" s="6">
        <f>IF(+R252-BL252+BN252&gt;0,R252-BL252+BN252,0)</f>
        <v>0</v>
      </c>
      <c r="BR252" s="9">
        <f t="shared" si="43"/>
        <v>53464.32</v>
      </c>
      <c r="BT252" s="9">
        <v>0</v>
      </c>
      <c r="BU252" s="6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idden="1">
      <c r="A253" s="21" t="s">
        <v>198</v>
      </c>
      <c r="C253"/>
      <c r="D253"/>
      <c r="E253"/>
      <c r="F253"/>
      <c r="G253"/>
      <c r="H253"/>
      <c r="I253"/>
      <c r="J253" s="49"/>
      <c r="K253"/>
      <c r="L253" s="134" t="s">
        <v>203</v>
      </c>
      <c r="M253" s="6"/>
      <c r="N253" s="6">
        <v>0</v>
      </c>
      <c r="O253" s="6"/>
      <c r="P253" s="6">
        <v>20000</v>
      </c>
      <c r="Q253" s="6"/>
      <c r="R253" s="9"/>
      <c r="S253" s="6"/>
      <c r="T253" s="22">
        <v>87500</v>
      </c>
      <c r="U253" s="6"/>
      <c r="V253" s="22"/>
      <c r="X253" s="22"/>
      <c r="Z253" s="22"/>
      <c r="AB253" s="22"/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>
        <v>15000</v>
      </c>
      <c r="AY253" s="22"/>
      <c r="AZ253" s="22"/>
      <c r="BA253" s="22"/>
      <c r="BB253" s="22"/>
      <c r="BC253" s="22"/>
      <c r="BD253" s="22"/>
      <c r="BF253" s="22"/>
      <c r="BH253" s="22"/>
      <c r="BJ253" s="22"/>
      <c r="BL253" s="9">
        <f t="shared" si="42"/>
        <v>102500</v>
      </c>
      <c r="BN253" s="22"/>
      <c r="BP253" s="6">
        <f>IF(+R253-BL253+BN253&gt;0,R253-BL253+BN253,0)</f>
        <v>0</v>
      </c>
      <c r="BR253" s="9">
        <f t="shared" si="43"/>
        <v>102500</v>
      </c>
      <c r="BT253" s="9">
        <v>0</v>
      </c>
      <c r="BU253" s="6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customFormat="1" hidden="1">
      <c r="BP254" s="6">
        <f>IF(+R254-BL254+BN254&gt;0,R254-BL254+BN254,0)</f>
        <v>0</v>
      </c>
    </row>
    <row r="255" spans="1:122" s="105" customFormat="1" ht="13.8" hidden="1" thickBot="1">
      <c r="A255" s="128" t="s">
        <v>197</v>
      </c>
      <c r="B255" s="54"/>
      <c r="J255" s="158"/>
      <c r="L255" s="144"/>
      <c r="M255" s="13"/>
      <c r="N255" s="121">
        <f>SUM(N250:N254)</f>
        <v>0</v>
      </c>
      <c r="O255" s="13"/>
      <c r="P255" s="121">
        <f>SUM(P250:P254)</f>
        <v>305000</v>
      </c>
      <c r="Q255" s="13"/>
      <c r="R255" s="121">
        <f>SUM(R250:R254)</f>
        <v>0</v>
      </c>
      <c r="S255" s="13"/>
      <c r="T255" s="121">
        <f>SUM(T250:T254)</f>
        <v>139633</v>
      </c>
      <c r="U255" s="120"/>
      <c r="V255" s="121">
        <f>SUM(V250:V254)</f>
        <v>1342.96</v>
      </c>
      <c r="W255" s="120"/>
      <c r="X255" s="121">
        <f>SUM(X250:X254)</f>
        <v>48644.880000000005</v>
      </c>
      <c r="Y255" s="120"/>
      <c r="Z255" s="121">
        <f>SUM(Z250:Z254)</f>
        <v>19328.23</v>
      </c>
      <c r="AA255" s="121">
        <f>SUM(AA250:AA254)</f>
        <v>0</v>
      </c>
      <c r="AB255" s="121">
        <f>SUM(AB250:AB254)</f>
        <v>1898.9499999999998</v>
      </c>
      <c r="AC255" s="121">
        <f>SUM(AC250:AC254)</f>
        <v>0</v>
      </c>
      <c r="AD255" s="121">
        <f>SUM(AD250:AD254)</f>
        <v>81117.05</v>
      </c>
      <c r="AE255" s="121"/>
      <c r="AF255" s="121">
        <f t="shared" ref="AF255:BJ255" si="44">SUM(AF250:AF254)</f>
        <v>0</v>
      </c>
      <c r="AG255" s="121"/>
      <c r="AH255" s="121">
        <f t="shared" si="44"/>
        <v>5725.4500000000007</v>
      </c>
      <c r="AI255" s="121"/>
      <c r="AJ255" s="121">
        <f t="shared" si="44"/>
        <v>0</v>
      </c>
      <c r="AK255"/>
      <c r="AL255" s="121">
        <f t="shared" si="44"/>
        <v>591.45000000000005</v>
      </c>
      <c r="AM255"/>
      <c r="AN255" s="121">
        <f t="shared" si="44"/>
        <v>0</v>
      </c>
      <c r="AO255" s="121">
        <f t="shared" si="44"/>
        <v>0</v>
      </c>
      <c r="AP255" s="121">
        <f t="shared" si="44"/>
        <v>0</v>
      </c>
      <c r="AQ255" s="121">
        <f t="shared" si="44"/>
        <v>0</v>
      </c>
      <c r="AR255" s="121">
        <f t="shared" si="44"/>
        <v>1242.3</v>
      </c>
      <c r="AS255" s="121">
        <f t="shared" si="44"/>
        <v>0</v>
      </c>
      <c r="AT255" s="121">
        <f t="shared" si="44"/>
        <v>0</v>
      </c>
      <c r="AU255" s="121">
        <f t="shared" si="44"/>
        <v>0</v>
      </c>
      <c r="AV255" s="121">
        <f t="shared" si="44"/>
        <v>0</v>
      </c>
      <c r="AW255" s="121">
        <f t="shared" si="44"/>
        <v>0</v>
      </c>
      <c r="AX255" s="121">
        <f t="shared" si="44"/>
        <v>15000</v>
      </c>
      <c r="AY255" s="121">
        <f t="shared" si="44"/>
        <v>0</v>
      </c>
      <c r="AZ255" s="121">
        <f t="shared" si="44"/>
        <v>0</v>
      </c>
      <c r="BA255" s="121">
        <f t="shared" si="44"/>
        <v>0</v>
      </c>
      <c r="BB255" s="121">
        <f t="shared" si="44"/>
        <v>0</v>
      </c>
      <c r="BC255" s="121"/>
      <c r="BD255" s="121">
        <f t="shared" si="44"/>
        <v>0</v>
      </c>
      <c r="BE255"/>
      <c r="BF255" s="121">
        <f t="shared" si="44"/>
        <v>0</v>
      </c>
      <c r="BG255"/>
      <c r="BH255" s="121">
        <f t="shared" si="44"/>
        <v>0</v>
      </c>
      <c r="BI255"/>
      <c r="BJ255" s="121">
        <f t="shared" si="44"/>
        <v>0</v>
      </c>
      <c r="BK255"/>
      <c r="BL255" s="121">
        <f t="shared" si="42"/>
        <v>314524.27</v>
      </c>
      <c r="BM255"/>
      <c r="BN255" s="121"/>
      <c r="BO255"/>
      <c r="BP255" s="121">
        <f>SUM(BP249:BP254)</f>
        <v>0</v>
      </c>
      <c r="BQ255" s="13"/>
      <c r="BR255" s="121">
        <f t="shared" si="43"/>
        <v>314524.27</v>
      </c>
      <c r="BS255" s="13"/>
      <c r="BT255" s="121">
        <v>0</v>
      </c>
      <c r="BU255" s="120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3.8" hidden="1" thickTop="1">
      <c r="C256"/>
      <c r="D256"/>
      <c r="E256"/>
      <c r="F256"/>
      <c r="G256"/>
      <c r="H256"/>
      <c r="I256"/>
      <c r="J256" s="49"/>
      <c r="K256"/>
      <c r="L256" s="134"/>
      <c r="M256" s="6"/>
      <c r="O256" s="6"/>
      <c r="Q256" s="6"/>
      <c r="S256" s="6"/>
      <c r="T256" s="22"/>
      <c r="U256" s="6"/>
      <c r="V256" s="22"/>
      <c r="X256" s="22"/>
      <c r="Z256" s="22"/>
      <c r="AB256" s="22"/>
      <c r="AD256" s="22"/>
      <c r="AF256" s="22"/>
      <c r="AH256" s="22"/>
      <c r="AJ256" s="22"/>
      <c r="AL256" s="22"/>
      <c r="AN256" s="22"/>
      <c r="AP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F256" s="22"/>
      <c r="BH256" s="22"/>
      <c r="BJ256" s="22"/>
      <c r="BL256" s="22"/>
      <c r="BN256" s="22"/>
      <c r="BR256" s="58"/>
      <c r="BU256" s="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idden="1">
      <c r="C257"/>
      <c r="D257"/>
      <c r="E257"/>
      <c r="F257"/>
      <c r="G257"/>
      <c r="H257"/>
      <c r="I257"/>
      <c r="J257" s="49"/>
      <c r="K257"/>
      <c r="L257" s="134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R257" s="9"/>
      <c r="BU257" s="6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  <row r="258" spans="1:122" hidden="1">
      <c r="C258"/>
      <c r="D258"/>
      <c r="E258"/>
      <c r="F258"/>
      <c r="G258"/>
      <c r="H258"/>
      <c r="I258"/>
      <c r="J258" s="49"/>
      <c r="K258"/>
      <c r="L258" s="134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R258" s="22"/>
      <c r="BU258" s="6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</row>
    <row r="259" spans="1:122" hidden="1">
      <c r="C259"/>
      <c r="D259"/>
      <c r="E259"/>
      <c r="F259"/>
      <c r="G259"/>
      <c r="H259"/>
      <c r="I259"/>
      <c r="J259" s="49"/>
      <c r="K259"/>
      <c r="L259" s="134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U259" s="6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</row>
    <row r="260" spans="1:122" s="132" customFormat="1" ht="16.2" hidden="1" thickBot="1">
      <c r="A260" s="131" t="s">
        <v>381</v>
      </c>
      <c r="C260" s="119"/>
      <c r="D260" s="119"/>
      <c r="E260" s="119"/>
      <c r="F260" s="119"/>
      <c r="G260" s="119"/>
      <c r="H260" s="119"/>
      <c r="I260" s="119"/>
      <c r="J260" s="161"/>
      <c r="K260" s="119"/>
      <c r="L260" s="148"/>
      <c r="M260" s="133"/>
      <c r="N260" s="121" t="e">
        <f>#REF!+N257</f>
        <v>#REF!</v>
      </c>
      <c r="O260" s="121"/>
      <c r="P260" s="121" t="e">
        <f>#REF!+P257</f>
        <v>#REF!</v>
      </c>
      <c r="Q260" s="121"/>
      <c r="R260" s="121">
        <f>R246+R255</f>
        <v>239612890.75</v>
      </c>
      <c r="S260" s="121">
        <f t="shared" ref="S260:BT260" si="45">S246+S255</f>
        <v>0</v>
      </c>
      <c r="T260" s="121">
        <f t="shared" si="45"/>
        <v>7279633</v>
      </c>
      <c r="U260" s="121">
        <f t="shared" si="45"/>
        <v>0</v>
      </c>
      <c r="V260" s="121">
        <f t="shared" si="45"/>
        <v>1298988.96</v>
      </c>
      <c r="W260" s="121">
        <f t="shared" si="45"/>
        <v>0</v>
      </c>
      <c r="X260" s="121">
        <f t="shared" si="45"/>
        <v>33151937.879999999</v>
      </c>
      <c r="Y260" s="121">
        <f t="shared" si="45"/>
        <v>0</v>
      </c>
      <c r="Z260" s="121">
        <f t="shared" si="45"/>
        <v>280030.83</v>
      </c>
      <c r="AA260" s="121">
        <f t="shared" si="45"/>
        <v>0</v>
      </c>
      <c r="AB260" s="121">
        <f t="shared" si="45"/>
        <v>1733894.8599999999</v>
      </c>
      <c r="AC260" s="121">
        <f t="shared" si="45"/>
        <v>0</v>
      </c>
      <c r="AD260" s="121">
        <f t="shared" si="45"/>
        <v>18875379.879999999</v>
      </c>
      <c r="AE260" s="121"/>
      <c r="AF260" s="121">
        <f t="shared" si="45"/>
        <v>8167701.1408541668</v>
      </c>
      <c r="AG260" s="121"/>
      <c r="AH260" s="121">
        <f t="shared" si="45"/>
        <v>8854945.3874601815</v>
      </c>
      <c r="AI260" s="121"/>
      <c r="AJ260" s="121">
        <f t="shared" si="45"/>
        <v>6988530.1253887061</v>
      </c>
      <c r="AK260"/>
      <c r="AL260" s="121">
        <f t="shared" si="45"/>
        <v>7789829.6057027699</v>
      </c>
      <c r="AM260"/>
      <c r="AN260" s="121">
        <f t="shared" si="45"/>
        <v>11652992.180000002</v>
      </c>
      <c r="AO260" s="121">
        <f t="shared" si="45"/>
        <v>0</v>
      </c>
      <c r="AP260" s="121">
        <f t="shared" si="45"/>
        <v>17627423.913877048</v>
      </c>
      <c r="AQ260" s="121">
        <f t="shared" si="45"/>
        <v>0</v>
      </c>
      <c r="AR260" s="121">
        <f t="shared" si="45"/>
        <v>39305575.995295264</v>
      </c>
      <c r="AS260" s="121">
        <f t="shared" si="45"/>
        <v>0</v>
      </c>
      <c r="AT260" s="121">
        <f t="shared" si="45"/>
        <v>2943898.2559045074</v>
      </c>
      <c r="AU260" s="121">
        <f t="shared" si="45"/>
        <v>0</v>
      </c>
      <c r="AV260" s="121">
        <f t="shared" si="45"/>
        <v>29327061.258771211</v>
      </c>
      <c r="AW260" s="121">
        <f t="shared" si="45"/>
        <v>0</v>
      </c>
      <c r="AX260" s="121">
        <f t="shared" si="45"/>
        <v>23481763.284490943</v>
      </c>
      <c r="AY260" s="121">
        <f t="shared" si="45"/>
        <v>0</v>
      </c>
      <c r="AZ260" s="121">
        <f t="shared" si="45"/>
        <v>22126233.530000001</v>
      </c>
      <c r="BA260" s="121">
        <f t="shared" si="45"/>
        <v>0</v>
      </c>
      <c r="BB260" s="121">
        <f t="shared" si="45"/>
        <v>8493040.5109472163</v>
      </c>
      <c r="BC260" s="121"/>
      <c r="BD260" s="121">
        <f t="shared" si="45"/>
        <v>11834996.67</v>
      </c>
      <c r="BE260"/>
      <c r="BF260" s="121">
        <f t="shared" si="45"/>
        <v>1350600.65</v>
      </c>
      <c r="BG260"/>
      <c r="BH260" s="121">
        <f t="shared" si="45"/>
        <v>401728.88999999996</v>
      </c>
      <c r="BI260"/>
      <c r="BJ260" s="121">
        <f t="shared" si="45"/>
        <v>4364298</v>
      </c>
      <c r="BK260"/>
      <c r="BL260" s="121">
        <f t="shared" si="45"/>
        <v>267330484.80869204</v>
      </c>
      <c r="BM260"/>
      <c r="BN260" s="121">
        <f t="shared" si="45"/>
        <v>31924382.490000002</v>
      </c>
      <c r="BO260"/>
      <c r="BP260" s="121">
        <f t="shared" si="45"/>
        <v>5366671.9561786531</v>
      </c>
      <c r="BQ260" s="121">
        <f t="shared" si="45"/>
        <v>2030320</v>
      </c>
      <c r="BR260" s="121">
        <f t="shared" si="45"/>
        <v>272875430.76487064</v>
      </c>
      <c r="BS260" s="121">
        <f t="shared" si="45"/>
        <v>2030320</v>
      </c>
      <c r="BT260" s="121">
        <f t="shared" si="45"/>
        <v>-32959968.234870672</v>
      </c>
      <c r="BU260" s="133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</row>
    <row r="261" spans="1:122" customFormat="1" ht="13.8" hidden="1" thickTop="1"/>
    <row r="262" spans="1:122" hidden="1">
      <c r="C262"/>
      <c r="D262"/>
      <c r="E262"/>
      <c r="F262"/>
      <c r="G262"/>
      <c r="H262"/>
      <c r="I262"/>
      <c r="J262" s="49"/>
      <c r="K262"/>
      <c r="L262" s="134"/>
      <c r="M262" s="6"/>
      <c r="O262" s="6"/>
      <c r="Q262" s="6"/>
      <c r="S262" s="6"/>
      <c r="T262" s="22"/>
      <c r="U262" s="6"/>
      <c r="V262" s="22"/>
      <c r="X262" s="22"/>
      <c r="Z262" s="22"/>
      <c r="AB262" s="22"/>
      <c r="AD262" s="22"/>
      <c r="AF262" s="22"/>
      <c r="AH262" s="22"/>
      <c r="AJ262" s="22"/>
      <c r="AL262" s="22"/>
      <c r="AN262" s="22"/>
      <c r="AP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F262" s="22"/>
      <c r="BH262" s="22"/>
      <c r="BJ262" s="22"/>
      <c r="BL262" s="22"/>
      <c r="BN262" s="22"/>
      <c r="BU262" s="6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</row>
    <row r="263" spans="1:122" hidden="1">
      <c r="C263"/>
      <c r="D263"/>
      <c r="E263"/>
      <c r="F263"/>
      <c r="G263"/>
      <c r="H263"/>
      <c r="I263"/>
      <c r="J263" s="49"/>
      <c r="K263"/>
      <c r="L263" s="134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U263" s="6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</row>
    <row r="264" spans="1:122" hidden="1">
      <c r="K264" s="5"/>
      <c r="L264" s="149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U264" s="6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</row>
    <row r="265" spans="1:122" hidden="1">
      <c r="K265" s="5"/>
      <c r="L265" s="149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U265" s="6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</row>
    <row r="266" spans="1:122" hidden="1">
      <c r="K266" s="5"/>
      <c r="L266" s="149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U266" s="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</row>
    <row r="267" spans="1:122" hidden="1">
      <c r="K267" s="5"/>
      <c r="L267" s="149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U267" s="6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</row>
    <row r="268" spans="1:122" hidden="1">
      <c r="K268" s="5"/>
      <c r="L268" s="149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M268" s="33"/>
      <c r="BN268" s="22"/>
      <c r="BU268" s="6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</row>
    <row r="269" spans="1:122" hidden="1">
      <c r="K269" s="5"/>
      <c r="L269" s="149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413</v>
      </c>
      <c r="BF269" s="22"/>
      <c r="BH269" s="22"/>
      <c r="BJ269" s="22"/>
      <c r="BL269" s="22">
        <v>166466044</v>
      </c>
      <c r="BM269" s="33"/>
      <c r="BN269" s="22"/>
      <c r="BU269" s="6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</row>
    <row r="270" spans="1:122" hidden="1">
      <c r="K270" s="5"/>
      <c r="L270" s="149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414</v>
      </c>
      <c r="BF270" s="22"/>
      <c r="BH270" s="22"/>
      <c r="BJ270" s="22"/>
      <c r="BL270" s="22">
        <f>93413104.03</f>
        <v>93413104.030000001</v>
      </c>
      <c r="BM270" s="33"/>
      <c r="BN270" s="22"/>
      <c r="BU270" s="6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</row>
    <row r="271" spans="1:122" hidden="1">
      <c r="K271" s="5"/>
      <c r="L271" s="149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415</v>
      </c>
      <c r="BF271" s="22"/>
      <c r="BH271" s="22"/>
      <c r="BJ271" s="22"/>
      <c r="BL271" s="22">
        <v>755906.13</v>
      </c>
      <c r="BM271" s="33"/>
      <c r="BN271" s="22"/>
      <c r="BU271" s="6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</row>
    <row r="272" spans="1:122" hidden="1">
      <c r="K272" s="5"/>
      <c r="L272" s="149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428</v>
      </c>
      <c r="BF272" s="22"/>
      <c r="BH272" s="22"/>
      <c r="BJ272" s="22"/>
      <c r="BL272" s="22">
        <v>-6077</v>
      </c>
      <c r="BM272" s="33"/>
      <c r="BN272" s="22"/>
      <c r="BU272" s="6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</row>
    <row r="273" spans="11:122" hidden="1">
      <c r="K273" s="5"/>
      <c r="L273" s="149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416</v>
      </c>
      <c r="BF273" s="22"/>
      <c r="BH273" s="22"/>
      <c r="BJ273" s="22"/>
      <c r="BL273" s="22">
        <v>80000</v>
      </c>
      <c r="BM273" s="33"/>
      <c r="BN273" s="22"/>
      <c r="BU273" s="6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</row>
    <row r="274" spans="11:122" hidden="1">
      <c r="K274" s="5"/>
      <c r="L274" s="149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417</v>
      </c>
      <c r="BF274" s="22"/>
      <c r="BH274" s="22"/>
      <c r="BJ274" s="22"/>
      <c r="BL274" s="22">
        <v>100</v>
      </c>
      <c r="BM274" s="33"/>
      <c r="BN274" s="22"/>
      <c r="BU274" s="6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</row>
    <row r="275" spans="11:122" hidden="1">
      <c r="K275" s="5"/>
      <c r="L275" s="149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418</v>
      </c>
      <c r="BF275" s="22"/>
      <c r="BH275" s="22"/>
      <c r="BJ275" s="22"/>
      <c r="BL275" s="22">
        <v>278090.26</v>
      </c>
      <c r="BN275" s="22"/>
      <c r="BU275" s="6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</row>
    <row r="276" spans="11:122" hidden="1">
      <c r="K276" s="5"/>
      <c r="L276" s="149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430</v>
      </c>
      <c r="BF276" s="22"/>
      <c r="BH276" s="22"/>
      <c r="BJ276" s="22"/>
      <c r="BL276" s="22">
        <f>BD148</f>
        <v>-127637.5</v>
      </c>
      <c r="BN276" s="22"/>
      <c r="BU276" s="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</row>
    <row r="277" spans="11:122" hidden="1">
      <c r="K277" s="5"/>
      <c r="L277" s="149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BD277" s="22"/>
      <c r="BJ277" s="22"/>
      <c r="BL277" s="22">
        <f>SUM(BL269:BL276)</f>
        <v>260859529.91999999</v>
      </c>
      <c r="BN277" s="22"/>
      <c r="BU277" s="6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</row>
    <row r="278" spans="11:122" hidden="1">
      <c r="K278" s="5"/>
      <c r="L278" s="149"/>
      <c r="BL278" s="22"/>
    </row>
    <row r="279" spans="11:122" hidden="1">
      <c r="K279" s="5"/>
      <c r="L279" s="149"/>
      <c r="BD279" s="6" t="s">
        <v>420</v>
      </c>
      <c r="BL279" s="22">
        <f>BL246-BL277</f>
        <v>6156430.6186920404</v>
      </c>
    </row>
    <row r="280" spans="11:122" hidden="1">
      <c r="K280" s="5"/>
      <c r="L280" s="149"/>
      <c r="BL280" s="22"/>
    </row>
    <row r="281" spans="11:122" hidden="1">
      <c r="K281" s="5"/>
      <c r="L281" s="149"/>
      <c r="BL281" s="22"/>
    </row>
    <row r="282" spans="11:122" hidden="1">
      <c r="K282" s="5"/>
      <c r="L282" s="149"/>
      <c r="BL282" s="22"/>
    </row>
    <row r="283" spans="11:122" hidden="1">
      <c r="K283" s="5"/>
      <c r="L283" s="149"/>
      <c r="BL283" s="22"/>
    </row>
    <row r="284" spans="11:122" hidden="1">
      <c r="K284" s="5"/>
      <c r="L284" s="149"/>
      <c r="BL284" s="22"/>
    </row>
    <row r="285" spans="11:122" hidden="1">
      <c r="K285" s="5"/>
      <c r="L285" s="149"/>
      <c r="BL285" s="22"/>
    </row>
    <row r="286" spans="11:122" hidden="1">
      <c r="L286" s="134"/>
      <c r="BL286" s="22"/>
    </row>
    <row r="287" spans="11:122" hidden="1">
      <c r="BL287" s="22"/>
    </row>
    <row r="288" spans="11:122" hidden="1">
      <c r="BL288" s="22"/>
    </row>
    <row r="289" spans="64:64" hidden="1">
      <c r="BL289" s="22"/>
    </row>
    <row r="290" spans="64:64">
      <c r="BL290" s="22"/>
    </row>
    <row r="291" spans="64:64">
      <c r="BL291" s="22"/>
    </row>
    <row r="292" spans="64:64">
      <c r="BL292" s="22"/>
    </row>
    <row r="293" spans="64:64">
      <c r="BL293" s="22"/>
    </row>
    <row r="294" spans="64:64">
      <c r="BL294" s="22"/>
    </row>
    <row r="295" spans="64:64">
      <c r="BL295" s="22"/>
    </row>
    <row r="296" spans="64:64">
      <c r="BL296" s="22"/>
    </row>
    <row r="297" spans="64:64">
      <c r="BL297" s="22"/>
    </row>
    <row r="298" spans="64:64">
      <c r="BL298" s="22"/>
    </row>
    <row r="299" spans="64:64">
      <c r="BL299" s="22"/>
    </row>
    <row r="300" spans="64:64">
      <c r="BL300" s="22"/>
    </row>
    <row r="301" spans="64:64">
      <c r="BL301" s="22"/>
    </row>
    <row r="302" spans="64:64">
      <c r="BL302" s="22"/>
    </row>
    <row r="303" spans="64:64">
      <c r="BL303" s="22"/>
    </row>
    <row r="304" spans="64:64">
      <c r="BL304" s="22"/>
    </row>
    <row r="305" spans="64:64">
      <c r="BL305" s="22"/>
    </row>
    <row r="306" spans="64:64">
      <c r="BL306" s="22"/>
    </row>
    <row r="307" spans="64:64">
      <c r="BL307" s="22"/>
    </row>
    <row r="308" spans="64:64">
      <c r="BL308" s="22"/>
    </row>
    <row r="309" spans="64:64">
      <c r="BL309" s="22"/>
    </row>
    <row r="310" spans="64:64">
      <c r="BL310" s="22"/>
    </row>
    <row r="311" spans="64:64">
      <c r="BL311" s="22"/>
    </row>
    <row r="312" spans="64:64">
      <c r="BL312" s="22"/>
    </row>
    <row r="313" spans="64:64">
      <c r="BL313" s="22"/>
    </row>
    <row r="314" spans="64:64">
      <c r="BL314" s="22"/>
    </row>
    <row r="315" spans="64:64">
      <c r="BL315" s="22"/>
    </row>
  </sheetData>
  <printOptions horizontalCentered="1"/>
  <pageMargins left="0" right="0" top="0.51" bottom="0.25" header="0" footer="0"/>
  <pageSetup scale="40" fitToWidth="2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BQ70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N78" sqref="BN78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.33203125" style="150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.109375" style="6" customWidth="1"/>
    <col min="19" max="19" width="2.44140625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0.1093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0.109375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2" style="6" hidden="1" customWidth="1"/>
    <col min="36" max="36" width="17.88671875" style="6" hidden="1" customWidth="1"/>
    <col min="37" max="37" width="0.88671875" style="6" hidden="1" customWidth="1"/>
    <col min="38" max="38" width="17.88671875" style="6" hidden="1" customWidth="1"/>
    <col min="39" max="39" width="0.88671875" style="6" hidden="1" customWidth="1"/>
    <col min="40" max="40" width="17.88671875" style="6" hidden="1" customWidth="1"/>
    <col min="41" max="41" width="0.88671875" style="6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0.1093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hidden="1" customWidth="1"/>
    <col min="64" max="64" width="16" style="65" hidden="1" customWidth="1"/>
    <col min="65" max="65" width="2.109375" style="4" hidden="1" customWidth="1"/>
    <col min="66" max="66" width="20.88671875" style="6" customWidth="1"/>
    <col min="67" max="67" width="0.88671875" style="4" hidden="1" customWidth="1"/>
    <col min="68" max="68" width="19.109375" style="65" customWidth="1"/>
    <col min="69" max="69" width="0.88671875" style="4" customWidth="1"/>
    <col min="70" max="70" width="24.10937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- 0912.xls]Wheatland</v>
      </c>
    </row>
    <row r="3" spans="1:76" s="18" customFormat="1" ht="15.6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36782.625787268516</v>
      </c>
      <c r="BT3" s="23"/>
      <c r="BV3" s="78" t="str">
        <f>Summary!A5</f>
        <v>Revision # 63</v>
      </c>
    </row>
    <row r="4" spans="1:76" s="18" customFormat="1" ht="15.6">
      <c r="A4" s="94"/>
      <c r="B4" s="19">
        <f>Summary!C13</f>
        <v>509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/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69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+Summary!$O$4</f>
        <v xml:space="preserve"> As of 09/11/00</v>
      </c>
      <c r="BC7" s="82"/>
      <c r="BD7" s="82" t="str">
        <f>+Summary!$O$4</f>
        <v xml:space="preserve"> As of 09/11/00</v>
      </c>
      <c r="BE7" s="82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K7" s="82"/>
      <c r="BL7" s="82" t="str">
        <f>+Summary!$O$4</f>
        <v xml:space="preserve"> As of 09/11/00</v>
      </c>
      <c r="BN7" s="71" t="str">
        <f>+Summary!$O$4</f>
        <v xml:space="preserve"> As of 09/11/00</v>
      </c>
      <c r="BP7" s="64" t="str">
        <f>+Summary!$O$4</f>
        <v xml:space="preserve"> As of 09/11/00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4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4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4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4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4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4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4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4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4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4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4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4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4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4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4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4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4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4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4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4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6"/>
      <c r="K69" s="30"/>
      <c r="L69" s="14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3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4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4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4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4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4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4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6" t="s">
        <v>236</v>
      </c>
      <c r="K77" s="30"/>
      <c r="L77" s="134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4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4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7"/>
      <c r="L80" s="142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4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4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4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4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6"/>
      <c r="K86" s="30"/>
      <c r="L86" s="134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4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4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3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4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4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4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4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4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4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4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4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4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4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4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4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4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4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4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4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4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6"/>
      <c r="K115" s="30"/>
      <c r="L115" s="134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4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3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2" t="s">
        <v>246</v>
      </c>
      <c r="B118" s="63"/>
      <c r="J118" s="158"/>
      <c r="L118" s="14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4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4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4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4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6"/>
      <c r="K128" s="30"/>
      <c r="L128" s="134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6"/>
      <c r="K129" s="30"/>
      <c r="L129" s="134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6"/>
      <c r="K130" s="30"/>
      <c r="L130" s="14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3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4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4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4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4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3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3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3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3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4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9" t="s">
        <v>0</v>
      </c>
      <c r="L144" s="145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4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4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4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4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4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4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4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4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3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4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4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7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4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7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4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7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4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7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4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7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4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7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7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3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4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4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4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4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4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3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3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4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4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4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4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3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3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9"/>
      <c r="L180" s="145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9"/>
      <c r="L182" s="145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4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60"/>
      <c r="L185" s="146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60"/>
      <c r="L186" s="146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60"/>
      <c r="L187" s="146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60"/>
      <c r="L188" s="146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60"/>
      <c r="L189" s="146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3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4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60"/>
      <c r="L193" s="146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60"/>
      <c r="L194" s="146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60"/>
      <c r="L195" s="146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3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3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9"/>
      <c r="L198" s="145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8"/>
      <c r="L200" s="144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3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70" customFormat="1">
      <c r="A205" s="169" t="s">
        <v>253</v>
      </c>
      <c r="J205" s="171"/>
      <c r="L205" s="172"/>
      <c r="M205" s="173"/>
      <c r="N205" s="173"/>
      <c r="O205" s="173"/>
      <c r="P205" s="173"/>
      <c r="Q205" s="173"/>
      <c r="R205" s="168">
        <f>R202+R200+R80+R70+R37</f>
        <v>0</v>
      </c>
      <c r="S205" s="168">
        <f t="shared" ref="S205:BV205" si="36">S37+S80+S70+S170+S89+S200+S202</f>
        <v>0</v>
      </c>
      <c r="T205" s="168">
        <f t="shared" si="36"/>
        <v>30080814</v>
      </c>
      <c r="U205" s="168">
        <f t="shared" si="36"/>
        <v>0</v>
      </c>
      <c r="V205" s="168">
        <f t="shared" si="36"/>
        <v>44071359</v>
      </c>
      <c r="W205" s="168">
        <f t="shared" si="36"/>
        <v>0</v>
      </c>
      <c r="X205" s="168">
        <f t="shared" si="36"/>
        <v>3684291.61</v>
      </c>
      <c r="Y205" s="168">
        <f t="shared" si="36"/>
        <v>0</v>
      </c>
      <c r="Z205" s="168">
        <f t="shared" si="36"/>
        <v>475448.42</v>
      </c>
      <c r="AA205" s="168">
        <f t="shared" si="36"/>
        <v>0</v>
      </c>
      <c r="AB205" s="168">
        <f t="shared" si="36"/>
        <v>3575429.56</v>
      </c>
      <c r="AC205" s="168">
        <f t="shared" si="36"/>
        <v>0</v>
      </c>
      <c r="AD205" s="168">
        <f t="shared" si="36"/>
        <v>7136491.0300000003</v>
      </c>
      <c r="AE205" s="168">
        <f t="shared" si="36"/>
        <v>0</v>
      </c>
      <c r="AF205" s="168">
        <f t="shared" si="36"/>
        <v>666001.55496666674</v>
      </c>
      <c r="AG205" s="168"/>
      <c r="AH205" s="168">
        <f t="shared" si="36"/>
        <v>1386914.0565032915</v>
      </c>
      <c r="AI205" s="168"/>
      <c r="AJ205" s="168">
        <f t="shared" si="36"/>
        <v>2148326.5742301848</v>
      </c>
      <c r="AK205" s="168"/>
      <c r="AL205" s="168">
        <f t="shared" si="36"/>
        <v>-93106786.032366812</v>
      </c>
      <c r="AM205" s="168"/>
      <c r="AN205" s="168">
        <f t="shared" si="36"/>
        <v>692746.19</v>
      </c>
      <c r="AO205" s="168"/>
      <c r="AP205" s="168">
        <f t="shared" si="36"/>
        <v>323352.19</v>
      </c>
      <c r="AQ205" s="168"/>
      <c r="AR205" s="168">
        <f t="shared" si="36"/>
        <v>16697.29</v>
      </c>
      <c r="AS205" s="168"/>
      <c r="AT205" s="168">
        <f t="shared" si="36"/>
        <v>250000</v>
      </c>
      <c r="AU205" s="168">
        <f t="shared" si="36"/>
        <v>0</v>
      </c>
      <c r="AV205" s="168">
        <f t="shared" si="36"/>
        <v>0</v>
      </c>
      <c r="AW205" s="168">
        <f t="shared" si="36"/>
        <v>0</v>
      </c>
      <c r="AX205" s="168">
        <f t="shared" si="36"/>
        <v>0</v>
      </c>
      <c r="AY205" s="168">
        <f t="shared" si="36"/>
        <v>0</v>
      </c>
      <c r="AZ205" s="168">
        <f t="shared" si="36"/>
        <v>0</v>
      </c>
      <c r="BA205" s="168">
        <f t="shared" si="36"/>
        <v>0</v>
      </c>
      <c r="BB205" s="168">
        <f t="shared" si="36"/>
        <v>0</v>
      </c>
      <c r="BC205" s="168">
        <f t="shared" si="36"/>
        <v>0</v>
      </c>
      <c r="BD205" s="168">
        <f t="shared" si="36"/>
        <v>6000</v>
      </c>
      <c r="BE205" s="168">
        <f t="shared" si="36"/>
        <v>0</v>
      </c>
      <c r="BF205" s="168">
        <f t="shared" si="36"/>
        <v>0</v>
      </c>
      <c r="BG205" s="168">
        <f t="shared" si="36"/>
        <v>0</v>
      </c>
      <c r="BH205" s="168">
        <f t="shared" si="36"/>
        <v>0</v>
      </c>
      <c r="BI205" s="168">
        <f t="shared" si="36"/>
        <v>0</v>
      </c>
      <c r="BJ205" s="168">
        <f t="shared" si="36"/>
        <v>0</v>
      </c>
      <c r="BK205" s="168">
        <f t="shared" si="36"/>
        <v>0</v>
      </c>
      <c r="BL205" s="168">
        <f t="shared" si="36"/>
        <v>0</v>
      </c>
      <c r="BM205" s="168">
        <f t="shared" si="36"/>
        <v>0</v>
      </c>
      <c r="BN205" s="168">
        <f t="shared" si="36"/>
        <v>1407085.4433333327</v>
      </c>
      <c r="BO205" s="168">
        <f t="shared" si="36"/>
        <v>2030320</v>
      </c>
      <c r="BP205" s="168">
        <f t="shared" si="36"/>
        <v>0</v>
      </c>
      <c r="BQ205" s="168">
        <f t="shared" si="36"/>
        <v>2030320</v>
      </c>
      <c r="BR205" s="168">
        <f t="shared" si="36"/>
        <v>0.62000000059197191</v>
      </c>
      <c r="BS205" s="168">
        <f t="shared" si="36"/>
        <v>2030320</v>
      </c>
      <c r="BT205" s="168">
        <f t="shared" si="36"/>
        <v>1407086.0633333332</v>
      </c>
      <c r="BU205" s="168">
        <f t="shared" si="36"/>
        <v>2030320</v>
      </c>
      <c r="BV205" s="168">
        <f t="shared" si="36"/>
        <v>-1407086.0633333332</v>
      </c>
      <c r="BW205" s="173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3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3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3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8" thickBot="1">
      <c r="A216" s="63" t="s">
        <v>252</v>
      </c>
      <c r="B216" s="54"/>
      <c r="J216" s="158"/>
      <c r="L216" s="144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8" thickTop="1">
      <c r="A217" s="58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4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4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4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9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9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9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9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9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9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9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9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9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9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9"/>
      <c r="BN232" s="22"/>
    </row>
    <row r="233" spans="11:124">
      <c r="K233" s="5"/>
      <c r="L233" s="149"/>
      <c r="BN233" s="22"/>
    </row>
    <row r="234" spans="11:124">
      <c r="K234" s="5"/>
      <c r="L234" s="149"/>
      <c r="BN234" s="22"/>
    </row>
    <row r="235" spans="11:124">
      <c r="K235" s="5"/>
      <c r="L235" s="149"/>
      <c r="BN235" s="22"/>
    </row>
    <row r="236" spans="11:124">
      <c r="K236" s="5"/>
      <c r="L236" s="149"/>
      <c r="BN236" s="22"/>
    </row>
    <row r="237" spans="11:124">
      <c r="K237" s="5"/>
      <c r="L237" s="149"/>
      <c r="BN237" s="22"/>
    </row>
    <row r="238" spans="11:124">
      <c r="K238" s="5"/>
      <c r="L238" s="149"/>
      <c r="BN238" s="22"/>
    </row>
    <row r="239" spans="11:124">
      <c r="K239" s="5"/>
      <c r="L239" s="149"/>
      <c r="BN239" s="22"/>
    </row>
    <row r="240" spans="11:124">
      <c r="L240" s="134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98"/>
  <sheetViews>
    <sheetView zoomScale="80" zoomScaleNormal="80" workbookViewId="0">
      <pane xSplit="17" topLeftCell="S1" activePane="topRight" state="frozen"/>
      <selection pane="topRight" activeCell="S1" sqref="S1:S65536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.33203125" style="150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2.33203125" style="6" customWidth="1"/>
    <col min="19" max="19" width="1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0.6640625" style="6" hidden="1" customWidth="1"/>
    <col min="36" max="36" width="18.33203125" style="6" hidden="1" customWidth="1"/>
    <col min="37" max="37" width="0.88671875" style="6" hidden="1" customWidth="1"/>
    <col min="38" max="38" width="20.44140625" style="6" hidden="1" customWidth="1"/>
    <col min="39" max="39" width="0.88671875" style="6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554687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6640625" style="6" hidden="1" customWidth="1"/>
    <col min="55" max="55" width="0.88671875" hidden="1" customWidth="1"/>
    <col min="56" max="56" width="17.88671875" style="6" hidden="1" customWidth="1"/>
    <col min="57" max="57" width="0.88671875" hidden="1" customWidth="1"/>
    <col min="58" max="58" width="17.3320312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hidden="1" customWidth="1"/>
    <col min="64" max="64" width="17.33203125" style="65" hidden="1" customWidth="1"/>
    <col min="65" max="65" width="2.33203125" style="4" customWidth="1"/>
    <col min="66" max="66" width="20.88671875" style="6" customWidth="1"/>
    <col min="67" max="67" width="0.88671875" style="4" customWidth="1"/>
    <col min="68" max="68" width="19.109375" style="65" customWidth="1"/>
    <col min="69" max="69" width="0.88671875" style="4" customWidth="1"/>
    <col min="70" max="70" width="23.4414062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hidden="1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- 0912.xls]Wheatland</v>
      </c>
    </row>
    <row r="3" spans="1:76" s="18" customFormat="1" ht="15.6">
      <c r="A3" s="99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36782.625787268516</v>
      </c>
      <c r="BT3" s="23"/>
      <c r="BV3" s="78" t="str">
        <f>Summary!A5</f>
        <v>Revision # 63</v>
      </c>
    </row>
    <row r="4" spans="1:76" s="18" customFormat="1" ht="15.6">
      <c r="A4" s="94"/>
      <c r="B4" s="19">
        <f>Summary!C13</f>
        <v>509</v>
      </c>
      <c r="C4"/>
      <c r="G4" s="67"/>
      <c r="J4" s="67"/>
      <c r="L4" s="275" t="s">
        <v>47</v>
      </c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9"/>
      <c r="N7" s="82" t="e">
        <f>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69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BP7</f>
        <v xml:space="preserve"> As of 09/11/00</v>
      </c>
      <c r="BC7"/>
      <c r="BD7" s="82" t="str">
        <f>+Summary!$O$4</f>
        <v xml:space="preserve"> As of 09/11/00</v>
      </c>
      <c r="BE7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K7" s="82"/>
      <c r="BL7" s="82" t="str">
        <f>+Summary!$O$4</f>
        <v xml:space="preserve"> As of 09/11/00</v>
      </c>
      <c r="BN7" s="262" t="str">
        <f>+Summary!$O$4</f>
        <v xml:space="preserve"> As of 09/11/00</v>
      </c>
      <c r="BP7" s="64" t="str">
        <f>+Summary!$O$4</f>
        <v xml:space="preserve"> As of 09/11/00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63409990.049999997</v>
      </c>
      <c r="BO9" s="6"/>
      <c r="BP9" s="6">
        <f>62515521-R9</f>
        <v>370521</v>
      </c>
      <c r="BQ9" s="6"/>
      <c r="BR9" s="6">
        <f t="shared" ref="BR9:BR15" si="1">IF(+R9-BN9+BP9&gt;0,R9-BN9+BP9,0)</f>
        <v>0</v>
      </c>
      <c r="BT9" s="6">
        <f t="shared" ref="BT9:BT14" si="2">+BN9+BR9</f>
        <v>63409990.049999997</v>
      </c>
      <c r="BV9" s="6">
        <f t="shared" ref="BV9:BV15" si="3">+R9-BT9</f>
        <v>-1264990.049999997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 t="shared" si="0"/>
        <v>29625750</v>
      </c>
      <c r="BO10" s="6"/>
      <c r="BP10" s="6">
        <f>32649500-R10</f>
        <v>1464500</v>
      </c>
      <c r="BQ10" s="6"/>
      <c r="BR10" s="6">
        <f t="shared" si="1"/>
        <v>3023750</v>
      </c>
      <c r="BT10" s="6">
        <f t="shared" si="2"/>
        <v>32649500</v>
      </c>
      <c r="BV10" s="6">
        <f t="shared" si="3"/>
        <v>-1464500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1"/>
        <v>0</v>
      </c>
      <c r="BT11" s="6">
        <f t="shared" si="2"/>
        <v>0</v>
      </c>
      <c r="BV11" s="6">
        <f t="shared" si="3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1"/>
        <v>0</v>
      </c>
      <c r="BT12" s="6">
        <f t="shared" si="2"/>
        <v>0</v>
      </c>
      <c r="BV12" s="6">
        <f t="shared" si="3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1"/>
        <v>0</v>
      </c>
      <c r="BT13" s="6">
        <f t="shared" si="2"/>
        <v>0</v>
      </c>
      <c r="BV13" s="6">
        <f t="shared" si="3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f t="shared" si="0"/>
        <v>874426.2</v>
      </c>
      <c r="BO14" s="6"/>
      <c r="BP14" s="6">
        <f>59734+767227+46974+39315-250000</f>
        <v>663250</v>
      </c>
      <c r="BQ14" s="6"/>
      <c r="BR14" s="6">
        <f t="shared" si="1"/>
        <v>38823.800000000047</v>
      </c>
      <c r="BT14" s="6">
        <f t="shared" si="2"/>
        <v>913250</v>
      </c>
      <c r="BV14" s="6">
        <f t="shared" si="3"/>
        <v>-663250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1"/>
        <v>0</v>
      </c>
      <c r="BT15" s="12"/>
      <c r="BV15" s="6">
        <f t="shared" si="3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93910166.25</v>
      </c>
      <c r="BO16" s="6"/>
      <c r="BP16" s="101">
        <f>SUM(BP9:BP15)</f>
        <v>2498271</v>
      </c>
      <c r="BQ16" s="6"/>
      <c r="BR16" s="101">
        <f>SUM(BR9:BR15)</f>
        <v>3062573.8</v>
      </c>
      <c r="BT16" s="101">
        <f>SUM(BT9:BT15)</f>
        <v>96972740.049999997</v>
      </c>
      <c r="BV16" s="101">
        <f>SUM(BV9:BV15)</f>
        <v>-3392740.049999997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>SUM(T18:BM18)</f>
        <v>0</v>
      </c>
      <c r="BO18" s="6"/>
      <c r="BP18" s="6">
        <v>0</v>
      </c>
      <c r="BQ18" s="6"/>
      <c r="BR18" s="6">
        <f>+R18-BN18+BP18</f>
        <v>0</v>
      </c>
      <c r="BT18" s="6">
        <f t="shared" ref="BT18:BT34" si="4">+BN18+BR18</f>
        <v>0</v>
      </c>
      <c r="BV18" s="6">
        <f t="shared" ref="BV18:BV34" si="5"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>SUM(T19:BM19)</f>
        <v>6268160.6999999993</v>
      </c>
      <c r="BO19" s="6"/>
      <c r="BP19" s="6">
        <f>220650+161700</f>
        <v>382350</v>
      </c>
      <c r="BQ19" s="6"/>
      <c r="BR19" s="6">
        <f t="shared" ref="BR19:BR34" si="6">IF(+R19-BN19+BP19&gt;0,R19-BN19+BP19,0)</f>
        <v>0.30000000074505806</v>
      </c>
      <c r="BT19" s="6">
        <f t="shared" si="4"/>
        <v>6268161</v>
      </c>
      <c r="BV19" s="6">
        <f t="shared" si="5"/>
        <v>-382350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>
        <f t="shared" ref="BN20:BN33" si="7">SUM(T20:BM20)</f>
        <v>58500</v>
      </c>
      <c r="BO20" s="6"/>
      <c r="BP20" s="6"/>
      <c r="BQ20" s="6"/>
      <c r="BR20" s="6">
        <f t="shared" si="6"/>
        <v>0</v>
      </c>
      <c r="BT20" s="6">
        <f t="shared" si="4"/>
        <v>58500</v>
      </c>
      <c r="BV20" s="6">
        <f t="shared" si="5"/>
        <v>-58500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>
        <f t="shared" si="7"/>
        <v>0</v>
      </c>
      <c r="BO21" s="6"/>
      <c r="BP21" s="6"/>
      <c r="BQ21" s="6"/>
      <c r="BR21" s="6">
        <f t="shared" si="6"/>
        <v>0</v>
      </c>
      <c r="BT21" s="6">
        <f t="shared" si="4"/>
        <v>0</v>
      </c>
      <c r="BV21" s="6">
        <f t="shared" si="5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>
        <f t="shared" si="7"/>
        <v>0</v>
      </c>
      <c r="BO22" s="6"/>
      <c r="BP22" s="6"/>
      <c r="BQ22" s="6"/>
      <c r="BR22" s="6">
        <f t="shared" si="6"/>
        <v>0</v>
      </c>
      <c r="BT22" s="6">
        <f t="shared" si="4"/>
        <v>0</v>
      </c>
      <c r="BV22" s="6">
        <f t="shared" si="5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>
        <f t="shared" si="7"/>
        <v>0</v>
      </c>
      <c r="BO23" s="6"/>
      <c r="BP23" s="6"/>
      <c r="BQ23" s="6"/>
      <c r="BR23" s="6">
        <f t="shared" si="6"/>
        <v>0</v>
      </c>
      <c r="BT23" s="6">
        <f t="shared" si="4"/>
        <v>0</v>
      </c>
      <c r="BV23" s="6">
        <f t="shared" si="5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>
        <f t="shared" si="7"/>
        <v>0</v>
      </c>
      <c r="BO24" s="6"/>
      <c r="BP24" s="6"/>
      <c r="BQ24" s="6"/>
      <c r="BR24" s="6">
        <f t="shared" si="6"/>
        <v>0</v>
      </c>
      <c r="BT24" s="6">
        <f t="shared" si="4"/>
        <v>0</v>
      </c>
      <c r="BV24" s="6">
        <f t="shared" si="5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7"/>
        <v>0</v>
      </c>
      <c r="BO25" s="6"/>
      <c r="BP25" s="6">
        <v>0</v>
      </c>
      <c r="BQ25" s="6"/>
      <c r="BR25" s="6">
        <f t="shared" si="6"/>
        <v>0</v>
      </c>
      <c r="BT25" s="6">
        <f t="shared" si="4"/>
        <v>0</v>
      </c>
      <c r="BV25" s="6">
        <f t="shared" si="5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7"/>
        <v>0</v>
      </c>
      <c r="BO26" s="6"/>
      <c r="BP26" s="6">
        <v>0</v>
      </c>
      <c r="BQ26" s="6"/>
      <c r="BR26" s="6">
        <f t="shared" si="6"/>
        <v>0</v>
      </c>
      <c r="BT26" s="6">
        <f t="shared" si="4"/>
        <v>0</v>
      </c>
      <c r="BV26" s="6">
        <f t="shared" si="5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7"/>
        <v>0</v>
      </c>
      <c r="BO27" s="6"/>
      <c r="BP27" s="6">
        <v>0</v>
      </c>
      <c r="BQ27" s="6"/>
      <c r="BR27" s="6">
        <f t="shared" si="6"/>
        <v>0</v>
      </c>
      <c r="BT27" s="6">
        <f t="shared" si="4"/>
        <v>0</v>
      </c>
      <c r="BV27" s="6">
        <f t="shared" si="5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7"/>
        <v>0</v>
      </c>
      <c r="BO28" s="6"/>
      <c r="BP28" s="6">
        <v>0</v>
      </c>
      <c r="BQ28" s="6"/>
      <c r="BR28" s="6">
        <f t="shared" si="6"/>
        <v>0</v>
      </c>
      <c r="BT28" s="6">
        <f t="shared" si="4"/>
        <v>0</v>
      </c>
      <c r="BV28" s="6">
        <f t="shared" si="5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7"/>
        <v>0</v>
      </c>
      <c r="BO29" s="6"/>
      <c r="BP29" s="6">
        <v>0</v>
      </c>
      <c r="BQ29" s="6"/>
      <c r="BR29" s="6">
        <f t="shared" si="6"/>
        <v>0</v>
      </c>
      <c r="BT29" s="6">
        <f t="shared" si="4"/>
        <v>0</v>
      </c>
      <c r="BV29" s="6">
        <f t="shared" si="5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7"/>
        <v>0</v>
      </c>
      <c r="BO30" s="6"/>
      <c r="BP30" s="6">
        <v>0</v>
      </c>
      <c r="BQ30" s="6"/>
      <c r="BR30" s="6">
        <f t="shared" si="6"/>
        <v>0</v>
      </c>
      <c r="BT30" s="6">
        <f t="shared" si="4"/>
        <v>0</v>
      </c>
      <c r="BV30" s="6">
        <f t="shared" si="5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7"/>
        <v>0</v>
      </c>
      <c r="BO31" s="6"/>
      <c r="BP31" s="6">
        <v>0</v>
      </c>
      <c r="BQ31" s="6"/>
      <c r="BR31" s="6">
        <f t="shared" si="6"/>
        <v>0</v>
      </c>
      <c r="BT31" s="6">
        <f t="shared" si="4"/>
        <v>0</v>
      </c>
      <c r="BV31" s="6">
        <f t="shared" si="5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6">
        <f t="shared" si="7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4"/>
        <v>0</v>
      </c>
      <c r="BU32" s="12"/>
      <c r="BV32" s="6">
        <f t="shared" si="5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6">
        <f t="shared" si="7"/>
        <v>138800</v>
      </c>
      <c r="BO33" s="6"/>
      <c r="BP33" s="12">
        <v>0</v>
      </c>
      <c r="BQ33" s="6"/>
      <c r="BR33" s="6">
        <f t="shared" si="6"/>
        <v>0</v>
      </c>
      <c r="BT33" s="6">
        <f t="shared" si="4"/>
        <v>138800</v>
      </c>
      <c r="BV33" s="6">
        <f t="shared" si="5"/>
        <v>-138800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4"/>
        <v>0</v>
      </c>
      <c r="BV34" s="6">
        <f t="shared" si="5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6465460.6999999993</v>
      </c>
      <c r="BO35" s="6"/>
      <c r="BP35" s="101">
        <f>SUM(BP18:BP34)</f>
        <v>382350</v>
      </c>
      <c r="BQ35" s="6"/>
      <c r="BR35" s="101">
        <f>SUM(BR18:BR34)</f>
        <v>0.30000000074505806</v>
      </c>
      <c r="BT35" s="101">
        <f>SUM(BT18:BT34)</f>
        <v>6465461</v>
      </c>
      <c r="BV35" s="101">
        <f>SUM(BV18:BV34)</f>
        <v>-579650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100375626.95</v>
      </c>
      <c r="BO37" s="115"/>
      <c r="BP37" s="115">
        <f>+BP35+BP16</f>
        <v>2880621</v>
      </c>
      <c r="BQ37" s="115"/>
      <c r="BR37" s="115">
        <f>+BR35+BR16</f>
        <v>3062574.1000000006</v>
      </c>
      <c r="BS37" s="115"/>
      <c r="BT37" s="115">
        <f>+BT35+BT16</f>
        <v>103438201.05</v>
      </c>
      <c r="BU37" s="115"/>
      <c r="BV37" s="115">
        <f>+BV35+BV16</f>
        <v>-3972390.049999997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O40" s="6"/>
      <c r="BP40" s="6"/>
      <c r="BQ40" s="6"/>
      <c r="BV40" s="4"/>
    </row>
    <row r="41" spans="1:75">
      <c r="A41" s="57"/>
      <c r="B41" s="17"/>
      <c r="C41"/>
      <c r="D41"/>
      <c r="E41"/>
      <c r="F41"/>
      <c r="G41"/>
      <c r="H41"/>
      <c r="I41"/>
      <c r="J41" s="49"/>
      <c r="K41"/>
      <c r="L41" s="134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O41" s="6"/>
      <c r="BP41" s="6"/>
      <c r="BQ41" s="6"/>
      <c r="BV41" s="4"/>
    </row>
    <row r="42" spans="1:75">
      <c r="A42" s="57"/>
      <c r="B42" s="232" t="s">
        <v>295</v>
      </c>
      <c r="C42"/>
      <c r="D42"/>
      <c r="E42"/>
      <c r="F42"/>
      <c r="G42"/>
      <c r="H42"/>
      <c r="I42"/>
      <c r="J42" s="49"/>
      <c r="K42"/>
      <c r="L42" s="134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O42" s="6"/>
      <c r="BP42" s="6"/>
      <c r="BQ42" s="6"/>
      <c r="BV42" s="4"/>
    </row>
    <row r="43" spans="1:75">
      <c r="A43" s="57"/>
      <c r="B43" s="233" t="s">
        <v>293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235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 s="6">
        <f t="shared" ref="BN43:BN53" si="9">SUM(T43:BM43)</f>
        <v>1344184</v>
      </c>
      <c r="BO43" s="6"/>
      <c r="BP43" s="6">
        <f>1508635-1493645</f>
        <v>14990</v>
      </c>
      <c r="BQ43" s="6"/>
      <c r="BR43" s="6">
        <f>IF(+R43-AR43+BP43&gt;0,R43-AR43+BP43,0)</f>
        <v>1497183</v>
      </c>
      <c r="BT43" s="6">
        <f>+AR43+BR43</f>
        <v>1508635</v>
      </c>
      <c r="BV43" s="6">
        <f t="shared" ref="BV43:BV52" si="10">+R43-BT43</f>
        <v>-14990</v>
      </c>
    </row>
    <row r="44" spans="1:75">
      <c r="A44" s="57"/>
      <c r="B44" s="233" t="s">
        <v>382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235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 s="6">
        <f t="shared" si="9"/>
        <v>1597694</v>
      </c>
      <c r="BO44" s="6"/>
      <c r="BP44" s="6">
        <f>2075718-1564045</f>
        <v>511673</v>
      </c>
      <c r="BQ44" s="6"/>
      <c r="BR44" s="6">
        <f>IF(+R44-AR44+BP44&gt;0,R44-AR44+BP44,0)</f>
        <v>2020230</v>
      </c>
      <c r="BT44" s="6">
        <f>+AR44+BR44</f>
        <v>2075718</v>
      </c>
      <c r="BV44" s="6">
        <f t="shared" si="10"/>
        <v>-511673</v>
      </c>
    </row>
    <row r="45" spans="1:75">
      <c r="A45" s="57"/>
      <c r="B45" s="233" t="s">
        <v>383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235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3">
        <f>2452211-1506977</f>
        <v>945234</v>
      </c>
      <c r="BH45" s="6">
        <f>3634383-2452211</f>
        <v>1182172</v>
      </c>
      <c r="BL45"/>
      <c r="BM45" s="6"/>
      <c r="BN45" s="6">
        <f t="shared" si="9"/>
        <v>3634383</v>
      </c>
      <c r="BO45" s="6"/>
      <c r="BP45" s="6">
        <f>11814208-11021245</f>
        <v>792963</v>
      </c>
      <c r="BQ45" s="6"/>
      <c r="BR45" s="6">
        <f>IF(+R45-AR45+BP45&gt;0,R45-AR45+BP45,0)</f>
        <v>11530651</v>
      </c>
      <c r="BT45" s="6">
        <f>+AR45+BR45</f>
        <v>11814208</v>
      </c>
      <c r="BV45" s="6">
        <f t="shared" si="10"/>
        <v>-792963</v>
      </c>
    </row>
    <row r="46" spans="1:75">
      <c r="A46" s="57"/>
      <c r="B46" s="233" t="s">
        <v>22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 s="6">
        <f t="shared" si="9"/>
        <v>464879</v>
      </c>
      <c r="BO46" s="6"/>
      <c r="BP46" s="6">
        <f>592469-538785</f>
        <v>53684</v>
      </c>
      <c r="BQ46" s="6"/>
      <c r="BR46" s="6">
        <f>IF(+R46-AR46+BP46&gt;0,R46-AR46+BP46,0)</f>
        <v>533755</v>
      </c>
      <c r="BT46" s="6">
        <f>+AR46+BR46</f>
        <v>592469</v>
      </c>
      <c r="BV46" s="6">
        <f t="shared" si="10"/>
        <v>-53684</v>
      </c>
    </row>
    <row r="47" spans="1:75">
      <c r="A47" s="57"/>
      <c r="B47" s="233" t="s">
        <v>364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N47" s="6">
        <v>0</v>
      </c>
      <c r="O47" s="6"/>
      <c r="P47" s="6">
        <v>0</v>
      </c>
      <c r="Q47" s="6"/>
      <c r="R47" s="235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 s="6">
        <f t="shared" si="9"/>
        <v>137472</v>
      </c>
      <c r="BO47" s="6"/>
      <c r="BP47" s="6">
        <v>0</v>
      </c>
      <c r="BQ47" s="6"/>
      <c r="BR47" s="6">
        <f>IF(+R47-AR47+BP47&gt;0,R47-AR47+BP47,0)</f>
        <v>138393</v>
      </c>
      <c r="BT47" s="6">
        <f>+AR47+BR47</f>
        <v>150000</v>
      </c>
      <c r="BV47" s="6">
        <f t="shared" si="10"/>
        <v>0</v>
      </c>
    </row>
    <row r="48" spans="1:75">
      <c r="A48" s="57"/>
      <c r="B48" s="233" t="s">
        <v>190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N48" s="6">
        <v>0</v>
      </c>
      <c r="O48" s="6"/>
      <c r="P48" s="6">
        <v>0</v>
      </c>
      <c r="Q48" s="6"/>
      <c r="R48" s="235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>
        <f t="shared" si="9"/>
        <v>0</v>
      </c>
      <c r="BO48" s="6"/>
      <c r="BP48" s="6">
        <v>421112</v>
      </c>
      <c r="BQ48" s="6"/>
      <c r="BR48" s="6">
        <f t="shared" ref="BR48:BR53" si="11">IF(+R48-BN48+BP48&gt;0,R48-BN48+BP48,0)</f>
        <v>421112</v>
      </c>
      <c r="BT48" s="6">
        <f t="shared" ref="BT48:BT53" si="12">+BN48+BR48</f>
        <v>421112</v>
      </c>
      <c r="BV48" s="6">
        <f t="shared" si="10"/>
        <v>-421112</v>
      </c>
    </row>
    <row r="49" spans="1:74">
      <c r="A49" s="57"/>
      <c r="B49" s="233" t="s">
        <v>294</v>
      </c>
      <c r="C49"/>
      <c r="D49"/>
      <c r="E49"/>
      <c r="F49"/>
      <c r="G49"/>
      <c r="H49"/>
      <c r="I49"/>
      <c r="J49" s="49"/>
      <c r="K49"/>
      <c r="L49" s="134" t="s">
        <v>202</v>
      </c>
      <c r="M49" s="6"/>
      <c r="N49" s="6">
        <v>0</v>
      </c>
      <c r="O49" s="6"/>
      <c r="P49" s="6">
        <v>0</v>
      </c>
      <c r="Q49" s="6"/>
      <c r="R49" s="235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>
        <f t="shared" si="9"/>
        <v>0</v>
      </c>
      <c r="BO49" s="6"/>
      <c r="BP49" s="6"/>
      <c r="BQ49" s="6"/>
      <c r="BR49" s="6">
        <f t="shared" si="11"/>
        <v>0</v>
      </c>
      <c r="BT49" s="6">
        <f t="shared" si="12"/>
        <v>0</v>
      </c>
      <c r="BV49" s="6">
        <f t="shared" si="10"/>
        <v>-2832</v>
      </c>
    </row>
    <row r="50" spans="1:74">
      <c r="A50" s="57"/>
      <c r="B50" s="233" t="s">
        <v>369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R50" s="235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>
        <f t="shared" si="9"/>
        <v>138394</v>
      </c>
      <c r="BO50" s="6"/>
      <c r="BP50" s="6">
        <v>0</v>
      </c>
      <c r="BQ50" s="6"/>
      <c r="BR50" s="6">
        <f>IF(+R50-BN50+BP50&gt;0,R50-BN50+BP50,0)</f>
        <v>0</v>
      </c>
      <c r="BT50" s="6">
        <f>+BN50+BR50</f>
        <v>138394</v>
      </c>
      <c r="BV50" s="6">
        <f t="shared" si="10"/>
        <v>-138394</v>
      </c>
    </row>
    <row r="51" spans="1:74">
      <c r="A51" s="57"/>
      <c r="B51" s="233" t="s">
        <v>366</v>
      </c>
      <c r="C51"/>
      <c r="D51"/>
      <c r="E51"/>
      <c r="F51"/>
      <c r="G51"/>
      <c r="H51"/>
      <c r="I51"/>
      <c r="J51" s="49"/>
      <c r="K51"/>
      <c r="L51" s="134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>
        <f>SUM(T51:BM51)</f>
        <v>548026</v>
      </c>
      <c r="BO51" s="6"/>
      <c r="BP51" s="6">
        <v>0</v>
      </c>
      <c r="BQ51" s="6"/>
      <c r="BR51" s="6">
        <f t="shared" si="11"/>
        <v>0</v>
      </c>
      <c r="BT51" s="6">
        <f t="shared" si="12"/>
        <v>548026</v>
      </c>
      <c r="BV51" s="6">
        <f t="shared" si="10"/>
        <v>-548026</v>
      </c>
    </row>
    <row r="52" spans="1:74">
      <c r="A52" s="57"/>
      <c r="B52" s="233" t="s">
        <v>372</v>
      </c>
      <c r="C52"/>
      <c r="D52"/>
      <c r="E52"/>
      <c r="F52"/>
      <c r="G52"/>
      <c r="H52"/>
      <c r="I52"/>
      <c r="J52" s="49"/>
      <c r="K52"/>
      <c r="L52" s="134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>
        <f>SUM(T52:BM52)</f>
        <v>281729</v>
      </c>
      <c r="BO52" s="6"/>
      <c r="BP52" s="6">
        <v>263743</v>
      </c>
      <c r="BQ52" s="6"/>
      <c r="BR52" s="6">
        <f t="shared" si="11"/>
        <v>0</v>
      </c>
      <c r="BT52" s="6">
        <f t="shared" si="12"/>
        <v>281729</v>
      </c>
      <c r="BV52" s="6">
        <f t="shared" si="10"/>
        <v>-281729</v>
      </c>
    </row>
    <row r="53" spans="1:74">
      <c r="A53" s="57"/>
      <c r="B53" s="233"/>
      <c r="C53"/>
      <c r="D53"/>
      <c r="E53"/>
      <c r="F53"/>
      <c r="G53"/>
      <c r="H53"/>
      <c r="I53"/>
      <c r="J53" s="49"/>
      <c r="K53"/>
      <c r="L53" s="134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>
        <f t="shared" si="9"/>
        <v>0</v>
      </c>
      <c r="BO53" s="6"/>
      <c r="BP53" s="6"/>
      <c r="BQ53" s="6"/>
      <c r="BR53" s="6">
        <f t="shared" si="11"/>
        <v>0</v>
      </c>
      <c r="BT53" s="6">
        <f t="shared" si="12"/>
        <v>0</v>
      </c>
      <c r="BV53" s="6">
        <f>+R53-BT53</f>
        <v>0</v>
      </c>
    </row>
    <row r="54" spans="1:74" s="21" customFormat="1">
      <c r="A54" s="118"/>
      <c r="B54" s="236" t="s">
        <v>296</v>
      </c>
      <c r="J54" s="8"/>
      <c r="L54" s="143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T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8146761</v>
      </c>
      <c r="BO54" s="9">
        <f t="shared" si="14"/>
        <v>0</v>
      </c>
      <c r="BP54" s="9">
        <f t="shared" si="14"/>
        <v>2058165</v>
      </c>
      <c r="BQ54" s="9">
        <f t="shared" si="14"/>
        <v>0</v>
      </c>
      <c r="BR54" s="9">
        <f t="shared" si="14"/>
        <v>16141324</v>
      </c>
      <c r="BS54" s="9">
        <f t="shared" si="14"/>
        <v>0</v>
      </c>
      <c r="BT54" s="9">
        <f t="shared" si="14"/>
        <v>17530291</v>
      </c>
      <c r="BU54" s="9"/>
      <c r="BV54" s="9">
        <f>+R54-BT54</f>
        <v>-2765403</v>
      </c>
    </row>
    <row r="55" spans="1:74">
      <c r="A55" s="57"/>
      <c r="B55" s="234"/>
      <c r="C55"/>
      <c r="D55"/>
      <c r="E55"/>
      <c r="F55"/>
      <c r="G55"/>
      <c r="H55"/>
      <c r="I55"/>
      <c r="J55" s="49"/>
      <c r="K55"/>
      <c r="L55" s="134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O55" s="6"/>
      <c r="BP55" s="6"/>
      <c r="BQ55" s="6"/>
      <c r="BV55" s="4"/>
    </row>
    <row r="56" spans="1:74">
      <c r="B56" s="21" t="s">
        <v>297</v>
      </c>
      <c r="C56"/>
      <c r="D56"/>
      <c r="E56"/>
      <c r="F56"/>
      <c r="G56"/>
      <c r="H56"/>
      <c r="I56"/>
      <c r="J56" s="49"/>
      <c r="K56"/>
      <c r="L56" s="134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O56" s="6"/>
      <c r="BP56" s="6"/>
      <c r="BQ56" s="6"/>
      <c r="BV56" s="4"/>
    </row>
    <row r="57" spans="1:74">
      <c r="A57"/>
      <c r="B57" s="233" t="s">
        <v>384</v>
      </c>
      <c r="C57"/>
      <c r="D57"/>
      <c r="E57"/>
      <c r="F57"/>
      <c r="G57"/>
      <c r="H57"/>
      <c r="I57"/>
      <c r="J57" s="49" t="s">
        <v>229</v>
      </c>
      <c r="K57"/>
      <c r="L57" s="134"/>
      <c r="M57" s="6"/>
      <c r="O57" s="6"/>
      <c r="Q57" s="6"/>
      <c r="R57" s="235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>
        <f>SUM(T57:BM57)</f>
        <v>288544</v>
      </c>
      <c r="BO57" s="6"/>
      <c r="BP57" s="6"/>
      <c r="BQ57" s="6"/>
      <c r="BR57" s="6">
        <f>IF(+R57-BN57+BP57&gt;0,R57-BN57+BP57,0)</f>
        <v>0</v>
      </c>
      <c r="BT57" s="6">
        <f>+BN57+BR57</f>
        <v>288544</v>
      </c>
      <c r="BV57" s="6">
        <f>+R57-BT57</f>
        <v>-88059</v>
      </c>
    </row>
    <row r="58" spans="1:74">
      <c r="A58"/>
      <c r="B58" s="233" t="s">
        <v>385</v>
      </c>
      <c r="C58"/>
      <c r="D58"/>
      <c r="E58"/>
      <c r="F58"/>
      <c r="G58"/>
      <c r="H58"/>
      <c r="I58"/>
      <c r="J58" s="49" t="s">
        <v>229</v>
      </c>
      <c r="K58"/>
      <c r="L58" s="134"/>
      <c r="M58" s="6"/>
      <c r="O58" s="6"/>
      <c r="Q58" s="6"/>
      <c r="R58" s="235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>
        <f>SUM(T58:BM58)</f>
        <v>3204369</v>
      </c>
      <c r="BO58" s="6"/>
      <c r="BP58" s="6">
        <f>3006669-3824394</f>
        <v>-817725</v>
      </c>
      <c r="BQ58" s="6"/>
      <c r="BR58" s="6">
        <f>IF(+R58-BN58+BP58&gt;0,R58-BN58+BP58,0)</f>
        <v>0</v>
      </c>
      <c r="BT58" s="6">
        <f>+BN58+BR58</f>
        <v>3204369</v>
      </c>
      <c r="BV58" s="6">
        <f>+R58-BT58</f>
        <v>620025</v>
      </c>
    </row>
    <row r="59" spans="1:74">
      <c r="A59"/>
      <c r="B59" s="233" t="s">
        <v>19</v>
      </c>
      <c r="C59"/>
      <c r="D59"/>
      <c r="E59"/>
      <c r="F59"/>
      <c r="G59"/>
      <c r="H59"/>
      <c r="I59"/>
      <c r="J59" s="49" t="s">
        <v>229</v>
      </c>
      <c r="K59"/>
      <c r="L59" s="134"/>
      <c r="M59" s="6"/>
      <c r="O59" s="6"/>
      <c r="Q59" s="6"/>
      <c r="R59" s="235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>
        <f>SUM(T59:BM59)</f>
        <v>682994</v>
      </c>
      <c r="BO59" s="6"/>
      <c r="BP59" s="6">
        <v>0</v>
      </c>
      <c r="BQ59" s="6"/>
      <c r="BR59" s="6">
        <f>IF(+R59-BN59+BP59&gt;0,R59-BN59+BP59,0)</f>
        <v>106266</v>
      </c>
      <c r="BT59" s="6">
        <f>+BN59+BR59</f>
        <v>789260</v>
      </c>
      <c r="BV59" s="6">
        <f>+R59-BT59</f>
        <v>0</v>
      </c>
    </row>
    <row r="60" spans="1:74">
      <c r="A60"/>
      <c r="B60" s="233" t="s">
        <v>386</v>
      </c>
      <c r="C60"/>
      <c r="D60"/>
      <c r="E60"/>
      <c r="F60"/>
      <c r="G60"/>
      <c r="H60"/>
      <c r="I60"/>
      <c r="J60" s="49" t="s">
        <v>229</v>
      </c>
      <c r="K60"/>
      <c r="L60" s="134"/>
      <c r="M60" s="6"/>
      <c r="O60" s="6"/>
      <c r="Q60" s="6"/>
      <c r="R60" s="235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>
        <f>SUM(T60:BM60)</f>
        <v>406264</v>
      </c>
      <c r="BO60" s="6"/>
      <c r="BP60" s="6">
        <f>442495-482700</f>
        <v>-40205</v>
      </c>
      <c r="BQ60" s="6"/>
      <c r="BR60" s="6">
        <f>IF(+R60-BN60+BP60&gt;0,R60-BN60+BP60,0)</f>
        <v>36231</v>
      </c>
      <c r="BT60" s="6">
        <f>+BN60+BR60</f>
        <v>442495</v>
      </c>
      <c r="BV60" s="6">
        <f>+R60-BT60</f>
        <v>40205</v>
      </c>
    </row>
    <row r="61" spans="1:74">
      <c r="A61"/>
      <c r="B61" s="233" t="s">
        <v>159</v>
      </c>
      <c r="C61"/>
      <c r="D61"/>
      <c r="E61"/>
      <c r="F61"/>
      <c r="G61"/>
      <c r="H61"/>
      <c r="I61"/>
      <c r="J61" s="49" t="s">
        <v>229</v>
      </c>
      <c r="K61"/>
      <c r="L61" s="134"/>
      <c r="M61" s="6"/>
      <c r="O61" s="6"/>
      <c r="Q61" s="6"/>
      <c r="R61" s="235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>
        <f>SUM(T61:BM61)</f>
        <v>20421</v>
      </c>
      <c r="BO61" s="6"/>
      <c r="BP61" s="6">
        <v>0</v>
      </c>
      <c r="BQ61" s="6"/>
      <c r="BR61" s="6">
        <f>IF(+R61-BN61+BP61&gt;0,R61-BN61+BP61,0)</f>
        <v>0</v>
      </c>
      <c r="BT61" s="6">
        <f>+BN61+BR61</f>
        <v>20421</v>
      </c>
      <c r="BV61" s="6">
        <f>+R61-BT61</f>
        <v>-20421</v>
      </c>
    </row>
    <row r="62" spans="1:74">
      <c r="A62"/>
      <c r="B62" s="233"/>
      <c r="C62"/>
      <c r="D62"/>
      <c r="E62"/>
      <c r="F62"/>
      <c r="G62"/>
      <c r="H62"/>
      <c r="I62"/>
      <c r="J62" s="49"/>
      <c r="K62"/>
      <c r="L62" s="134"/>
      <c r="M62" s="6"/>
      <c r="O62" s="6"/>
      <c r="Q62" s="6"/>
      <c r="R62" s="235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O62" s="6"/>
      <c r="BP62" s="6"/>
      <c r="BQ62" s="6"/>
    </row>
    <row r="63" spans="1:74" s="21" customFormat="1">
      <c r="B63" s="236" t="s">
        <v>298</v>
      </c>
      <c r="J63" s="8"/>
      <c r="L63" s="143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T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 t="shared" si="16"/>
        <v>0</v>
      </c>
      <c r="BN63" s="9">
        <f t="shared" si="16"/>
        <v>4602592</v>
      </c>
      <c r="BO63" s="9">
        <f t="shared" si="16"/>
        <v>0</v>
      </c>
      <c r="BP63" s="9">
        <f t="shared" si="16"/>
        <v>-857930</v>
      </c>
      <c r="BQ63" s="9">
        <f t="shared" si="16"/>
        <v>0</v>
      </c>
      <c r="BR63" s="9">
        <f t="shared" si="16"/>
        <v>142497</v>
      </c>
      <c r="BS63" s="9">
        <f t="shared" si="16"/>
        <v>0</v>
      </c>
      <c r="BT63" s="9">
        <f t="shared" si="16"/>
        <v>4745089</v>
      </c>
      <c r="BU63" s="9"/>
      <c r="BV63" s="9">
        <f>+R63-BT63</f>
        <v>551750</v>
      </c>
    </row>
    <row r="64" spans="1:74" s="21" customFormat="1">
      <c r="B64" s="236"/>
      <c r="J64" s="8"/>
      <c r="L64" s="14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2:74" s="21" customFormat="1">
      <c r="B65" s="237" t="s">
        <v>310</v>
      </c>
      <c r="J65" s="8"/>
      <c r="L65" s="14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2:74" s="21" customFormat="1">
      <c r="B66" s="238" t="s">
        <v>299</v>
      </c>
      <c r="J66" s="8"/>
      <c r="L66" s="143"/>
      <c r="M66" s="9"/>
      <c r="N66" s="9"/>
      <c r="O66" s="9"/>
      <c r="P66" s="9"/>
      <c r="Q66" s="9"/>
      <c r="R66" s="235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6">
        <f t="shared" ref="BN66:BN84" si="17">SUM(T66:BM66)</f>
        <v>3098792</v>
      </c>
      <c r="BO66" s="9"/>
      <c r="BP66" s="6">
        <v>0</v>
      </c>
      <c r="BQ66" s="6"/>
      <c r="BR66" s="6">
        <f t="shared" ref="BR66:BR85" si="18">IF(+R66-BN66+BP66&gt;0,R66-BN66+BP66,0)</f>
        <v>0</v>
      </c>
      <c r="BS66" s="6"/>
      <c r="BT66" s="6">
        <f t="shared" ref="BT66:BT85" si="19">+BN66+BR66</f>
        <v>3098792</v>
      </c>
      <c r="BU66" s="9"/>
      <c r="BV66" s="6">
        <f t="shared" ref="BV66:BV84" si="20">+R66-BT66</f>
        <v>-877039</v>
      </c>
    </row>
    <row r="67" spans="2:74" s="21" customFormat="1">
      <c r="B67" s="238" t="s">
        <v>387</v>
      </c>
      <c r="J67" s="8"/>
      <c r="L67" s="143"/>
      <c r="M67" s="9"/>
      <c r="N67" s="9"/>
      <c r="O67" s="9"/>
      <c r="P67" s="9"/>
      <c r="Q67" s="9"/>
      <c r="R67" s="235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6">
        <f t="shared" si="17"/>
        <v>1007521</v>
      </c>
      <c r="BO67" s="9"/>
      <c r="BP67" s="6">
        <f>508478-363263</f>
        <v>145215</v>
      </c>
      <c r="BQ67" s="6"/>
      <c r="BR67" s="6">
        <f t="shared" si="18"/>
        <v>0</v>
      </c>
      <c r="BS67" s="6"/>
      <c r="BT67" s="6">
        <f t="shared" si="19"/>
        <v>1007521</v>
      </c>
      <c r="BU67" s="9"/>
      <c r="BV67" s="6">
        <f t="shared" si="20"/>
        <v>-644214</v>
      </c>
    </row>
    <row r="68" spans="2:74" s="21" customFormat="1">
      <c r="B68" s="238" t="s">
        <v>300</v>
      </c>
      <c r="J68" s="8"/>
      <c r="L68" s="143"/>
      <c r="M68" s="9"/>
      <c r="N68" s="9"/>
      <c r="O68" s="9"/>
      <c r="P68" s="9"/>
      <c r="Q68" s="9"/>
      <c r="R68" s="235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6">
        <f t="shared" si="17"/>
        <v>230143</v>
      </c>
      <c r="BO68" s="9"/>
      <c r="BP68" s="6"/>
      <c r="BQ68" s="6"/>
      <c r="BR68" s="6">
        <f t="shared" si="18"/>
        <v>42232</v>
      </c>
      <c r="BS68" s="6"/>
      <c r="BT68" s="6">
        <f t="shared" si="19"/>
        <v>272375</v>
      </c>
      <c r="BU68" s="9"/>
      <c r="BV68" s="6">
        <f t="shared" si="20"/>
        <v>0</v>
      </c>
    </row>
    <row r="69" spans="2:74" s="21" customFormat="1">
      <c r="B69" s="238" t="s">
        <v>388</v>
      </c>
      <c r="J69" s="8"/>
      <c r="L69" s="143"/>
      <c r="M69" s="9"/>
      <c r="N69" s="9"/>
      <c r="O69" s="9"/>
      <c r="P69" s="9"/>
      <c r="Q69" s="9"/>
      <c r="R69" s="235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6">
        <f t="shared" si="17"/>
        <v>599775</v>
      </c>
      <c r="BO69" s="9"/>
      <c r="BP69" s="6">
        <f>374050-294546</f>
        <v>79504</v>
      </c>
      <c r="BQ69" s="6"/>
      <c r="BR69" s="6">
        <f t="shared" si="18"/>
        <v>0</v>
      </c>
      <c r="BS69" s="6"/>
      <c r="BT69" s="6">
        <f t="shared" si="19"/>
        <v>599775</v>
      </c>
      <c r="BU69" s="9"/>
      <c r="BV69" s="6">
        <f t="shared" si="20"/>
        <v>-305229</v>
      </c>
    </row>
    <row r="70" spans="2:74" s="21" customFormat="1">
      <c r="B70" s="238" t="s">
        <v>301</v>
      </c>
      <c r="J70" s="8"/>
      <c r="L70" s="143"/>
      <c r="M70" s="9"/>
      <c r="N70" s="9"/>
      <c r="O70" s="9"/>
      <c r="P70" s="9"/>
      <c r="Q70" s="9"/>
      <c r="R70" s="235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6">
        <f t="shared" si="17"/>
        <v>266441</v>
      </c>
      <c r="BO70" s="9"/>
      <c r="BP70" s="6">
        <v>0</v>
      </c>
      <c r="BQ70" s="6"/>
      <c r="BR70" s="6">
        <f t="shared" si="18"/>
        <v>0</v>
      </c>
      <c r="BS70" s="6"/>
      <c r="BT70" s="6">
        <f t="shared" si="19"/>
        <v>266441</v>
      </c>
      <c r="BU70" s="9"/>
      <c r="BV70" s="6">
        <f t="shared" si="20"/>
        <v>-94210</v>
      </c>
    </row>
    <row r="71" spans="2:74" s="21" customFormat="1">
      <c r="B71" s="238" t="s">
        <v>394</v>
      </c>
      <c r="J71" s="8"/>
      <c r="L71" s="143"/>
      <c r="M71" s="9"/>
      <c r="N71" s="9"/>
      <c r="O71" s="9"/>
      <c r="P71" s="9"/>
      <c r="Q71" s="9"/>
      <c r="R71" s="235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6">
        <f t="shared" si="17"/>
        <v>1843466</v>
      </c>
      <c r="BO71" s="9"/>
      <c r="BP71" s="6">
        <f>1569522-1115136</f>
        <v>454386</v>
      </c>
      <c r="BQ71" s="6"/>
      <c r="BR71" s="6">
        <f t="shared" si="18"/>
        <v>0</v>
      </c>
      <c r="BS71" s="6"/>
      <c r="BT71" s="6">
        <f t="shared" si="19"/>
        <v>1843466</v>
      </c>
      <c r="BU71" s="9"/>
      <c r="BV71" s="6">
        <f t="shared" si="20"/>
        <v>-728330</v>
      </c>
    </row>
    <row r="72" spans="2:74" s="21" customFormat="1">
      <c r="B72" s="238" t="s">
        <v>302</v>
      </c>
      <c r="J72" s="8"/>
      <c r="L72" s="143"/>
      <c r="M72" s="9"/>
      <c r="N72" s="9"/>
      <c r="O72" s="9"/>
      <c r="P72" s="9"/>
      <c r="Q72" s="9"/>
      <c r="R72" s="235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6">
        <f t="shared" si="17"/>
        <v>645350</v>
      </c>
      <c r="BO72" s="9"/>
      <c r="BP72" s="6"/>
      <c r="BQ72" s="6"/>
      <c r="BR72" s="6">
        <f t="shared" si="18"/>
        <v>105760</v>
      </c>
      <c r="BS72" s="6"/>
      <c r="BT72" s="6">
        <f t="shared" si="19"/>
        <v>751110</v>
      </c>
      <c r="BU72" s="9"/>
      <c r="BV72" s="6">
        <f t="shared" si="20"/>
        <v>0</v>
      </c>
    </row>
    <row r="73" spans="2:74" s="21" customFormat="1">
      <c r="B73" s="238" t="s">
        <v>389</v>
      </c>
      <c r="J73" s="8"/>
      <c r="L73" s="143"/>
      <c r="M73" s="9"/>
      <c r="N73" s="9"/>
      <c r="O73" s="9"/>
      <c r="P73" s="9"/>
      <c r="Q73" s="9"/>
      <c r="R73" s="235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6">
        <f t="shared" si="17"/>
        <v>97281</v>
      </c>
      <c r="BO73" s="9"/>
      <c r="BP73" s="6">
        <f>108008-79049</f>
        <v>28959</v>
      </c>
      <c r="BQ73" s="6"/>
      <c r="BR73" s="6">
        <f t="shared" si="18"/>
        <v>10727</v>
      </c>
      <c r="BS73" s="6"/>
      <c r="BT73" s="6">
        <f t="shared" si="19"/>
        <v>108008</v>
      </c>
      <c r="BU73" s="9"/>
      <c r="BV73" s="6">
        <f t="shared" si="20"/>
        <v>-28959</v>
      </c>
    </row>
    <row r="74" spans="2:74" s="21" customFormat="1">
      <c r="B74" s="238" t="s">
        <v>393</v>
      </c>
      <c r="J74" s="8"/>
      <c r="L74" s="143"/>
      <c r="M74" s="9"/>
      <c r="N74" s="9"/>
      <c r="O74" s="9"/>
      <c r="P74" s="9"/>
      <c r="Q74" s="9"/>
      <c r="R74" s="235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6">
        <f t="shared" si="17"/>
        <v>27594</v>
      </c>
      <c r="BO74" s="9"/>
      <c r="BP74" s="6"/>
      <c r="BQ74" s="6"/>
      <c r="BR74" s="6">
        <f t="shared" si="18"/>
        <v>15906</v>
      </c>
      <c r="BS74" s="6"/>
      <c r="BT74" s="6">
        <f t="shared" si="19"/>
        <v>43500</v>
      </c>
      <c r="BU74" s="9"/>
      <c r="BV74" s="6">
        <f t="shared" si="20"/>
        <v>0</v>
      </c>
    </row>
    <row r="75" spans="2:74" s="21" customFormat="1">
      <c r="B75" s="238" t="s">
        <v>401</v>
      </c>
      <c r="J75" s="8"/>
      <c r="L75" s="143"/>
      <c r="M75" s="9"/>
      <c r="N75" s="9"/>
      <c r="O75" s="9"/>
      <c r="P75" s="9"/>
      <c r="Q75" s="9"/>
      <c r="R75" s="235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6">
        <f t="shared" si="17"/>
        <v>141341</v>
      </c>
      <c r="BO75" s="9"/>
      <c r="BP75" s="6">
        <f>101800-81956</f>
        <v>19844</v>
      </c>
      <c r="BQ75" s="6"/>
      <c r="BR75" s="6">
        <f t="shared" si="18"/>
        <v>0</v>
      </c>
      <c r="BS75" s="6"/>
      <c r="BT75" s="6">
        <f t="shared" si="19"/>
        <v>141341</v>
      </c>
      <c r="BU75" s="9"/>
      <c r="BV75" s="6">
        <f t="shared" si="20"/>
        <v>-59385</v>
      </c>
    </row>
    <row r="76" spans="2:74" s="21" customFormat="1">
      <c r="B76" s="238" t="s">
        <v>304</v>
      </c>
      <c r="J76" s="8"/>
      <c r="L76" s="143"/>
      <c r="M76" s="9"/>
      <c r="N76" s="9"/>
      <c r="O76" s="9"/>
      <c r="P76" s="9"/>
      <c r="Q76" s="9"/>
      <c r="R76" s="235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6">
        <f t="shared" si="17"/>
        <v>3351</v>
      </c>
      <c r="BO76" s="9"/>
      <c r="BP76" s="6"/>
      <c r="BQ76" s="6"/>
      <c r="BR76" s="6">
        <f t="shared" si="18"/>
        <v>213999</v>
      </c>
      <c r="BS76" s="6"/>
      <c r="BT76" s="6">
        <f t="shared" si="19"/>
        <v>217350</v>
      </c>
      <c r="BU76" s="9"/>
      <c r="BV76" s="6">
        <f t="shared" si="20"/>
        <v>0</v>
      </c>
    </row>
    <row r="77" spans="2:74" s="21" customFormat="1">
      <c r="B77" s="238" t="s">
        <v>305</v>
      </c>
      <c r="J77" s="8"/>
      <c r="L77" s="143"/>
      <c r="M77" s="9"/>
      <c r="N77" s="9"/>
      <c r="O77" s="9"/>
      <c r="P77" s="9"/>
      <c r="Q77" s="9"/>
      <c r="R77" s="235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6">
        <f t="shared" si="17"/>
        <v>658070</v>
      </c>
      <c r="BO77" s="9"/>
      <c r="BP77" s="6">
        <f>200656-199748</f>
        <v>908</v>
      </c>
      <c r="BQ77" s="6"/>
      <c r="BR77" s="6">
        <f t="shared" si="18"/>
        <v>0</v>
      </c>
      <c r="BS77" s="6"/>
      <c r="BT77" s="6">
        <f t="shared" si="19"/>
        <v>658070</v>
      </c>
      <c r="BU77" s="9"/>
      <c r="BV77" s="6">
        <f t="shared" si="20"/>
        <v>-458322</v>
      </c>
    </row>
    <row r="78" spans="2:74" s="21" customFormat="1">
      <c r="B78" s="238" t="s">
        <v>306</v>
      </c>
      <c r="J78" s="8"/>
      <c r="L78" s="143"/>
      <c r="M78" s="9"/>
      <c r="N78" s="9"/>
      <c r="O78" s="9"/>
      <c r="P78" s="9"/>
      <c r="Q78" s="9"/>
      <c r="R78" s="235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6">
        <f t="shared" si="17"/>
        <v>202295</v>
      </c>
      <c r="BO78" s="9"/>
      <c r="BP78" s="6"/>
      <c r="BQ78" s="6"/>
      <c r="BR78" s="6">
        <f t="shared" si="18"/>
        <v>187705</v>
      </c>
      <c r="BS78" s="6"/>
      <c r="BT78" s="6">
        <f t="shared" si="19"/>
        <v>390000</v>
      </c>
      <c r="BU78" s="9"/>
      <c r="BV78" s="6">
        <f t="shared" si="20"/>
        <v>0</v>
      </c>
    </row>
    <row r="79" spans="2:74" s="21" customFormat="1">
      <c r="B79" s="238" t="s">
        <v>391</v>
      </c>
      <c r="J79" s="8"/>
      <c r="L79" s="143"/>
      <c r="M79" s="9"/>
      <c r="N79" s="9"/>
      <c r="O79" s="9"/>
      <c r="P79" s="9"/>
      <c r="Q79" s="9"/>
      <c r="R79" s="235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6">
        <f t="shared" si="17"/>
        <v>267349</v>
      </c>
      <c r="BO79" s="9"/>
      <c r="BP79" s="6">
        <f>369817-290544</f>
        <v>79273</v>
      </c>
      <c r="BQ79" s="6"/>
      <c r="BR79" s="6">
        <f t="shared" si="18"/>
        <v>102468</v>
      </c>
      <c r="BS79" s="6"/>
      <c r="BT79" s="6">
        <f t="shared" si="19"/>
        <v>369817</v>
      </c>
      <c r="BU79" s="9"/>
      <c r="BV79" s="6">
        <f t="shared" si="20"/>
        <v>-79273</v>
      </c>
    </row>
    <row r="80" spans="2:74" s="21" customFormat="1">
      <c r="B80" s="238" t="s">
        <v>392</v>
      </c>
      <c r="J80" s="8"/>
      <c r="L80" s="143"/>
      <c r="M80" s="9"/>
      <c r="N80" s="9"/>
      <c r="O80" s="9"/>
      <c r="P80" s="9"/>
      <c r="Q80" s="9"/>
      <c r="R80" s="235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6">
        <f t="shared" si="17"/>
        <v>2254200</v>
      </c>
      <c r="BO80" s="9"/>
      <c r="BP80" s="6">
        <f>1887865-1025638</f>
        <v>862227</v>
      </c>
      <c r="BQ80" s="6"/>
      <c r="BR80" s="6">
        <f t="shared" si="18"/>
        <v>0</v>
      </c>
      <c r="BS80" s="6"/>
      <c r="BT80" s="6">
        <f t="shared" si="19"/>
        <v>2254200</v>
      </c>
      <c r="BU80" s="9"/>
      <c r="BV80" s="6">
        <f t="shared" si="20"/>
        <v>-1228562</v>
      </c>
    </row>
    <row r="81" spans="2:74" s="21" customFormat="1">
      <c r="B81" s="238" t="s">
        <v>397</v>
      </c>
      <c r="J81" s="8"/>
      <c r="L81" s="143"/>
      <c r="M81" s="9"/>
      <c r="N81" s="9"/>
      <c r="O81" s="9"/>
      <c r="P81" s="9"/>
      <c r="Q81" s="9"/>
      <c r="R81" s="235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6">
        <f t="shared" si="17"/>
        <v>70748</v>
      </c>
      <c r="BO81" s="9"/>
      <c r="BP81" s="6">
        <f>382731-347524</f>
        <v>35207</v>
      </c>
      <c r="BQ81" s="6"/>
      <c r="BR81" s="6">
        <f t="shared" si="18"/>
        <v>311983</v>
      </c>
      <c r="BS81" s="6"/>
      <c r="BT81" s="6">
        <f t="shared" si="19"/>
        <v>382731</v>
      </c>
      <c r="BU81" s="9"/>
      <c r="BV81" s="6">
        <f t="shared" si="20"/>
        <v>-35207</v>
      </c>
    </row>
    <row r="82" spans="2:74" s="21" customFormat="1">
      <c r="B82" s="238" t="s">
        <v>308</v>
      </c>
      <c r="J82" s="8"/>
      <c r="L82" s="143"/>
      <c r="M82" s="9"/>
      <c r="N82" s="9"/>
      <c r="O82" s="9"/>
      <c r="P82" s="9"/>
      <c r="Q82" s="9"/>
      <c r="R82" s="235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6">
        <f t="shared" si="17"/>
        <v>664653</v>
      </c>
      <c r="BO82" s="9"/>
      <c r="BP82" s="6">
        <v>0</v>
      </c>
      <c r="BQ82" s="6"/>
      <c r="BR82" s="6">
        <f t="shared" si="18"/>
        <v>0</v>
      </c>
      <c r="BS82" s="6"/>
      <c r="BT82" s="6">
        <f t="shared" si="19"/>
        <v>664653</v>
      </c>
      <c r="BU82" s="9"/>
      <c r="BV82" s="6">
        <f t="shared" si="20"/>
        <v>-99706</v>
      </c>
    </row>
    <row r="83" spans="2:74" s="21" customFormat="1">
      <c r="B83" s="238" t="s">
        <v>396</v>
      </c>
      <c r="J83" s="8"/>
      <c r="L83" s="143"/>
      <c r="M83" s="9"/>
      <c r="N83" s="9"/>
      <c r="O83" s="9"/>
      <c r="P83" s="9"/>
      <c r="Q83" s="9"/>
      <c r="R83" s="235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6">
        <f t="shared" si="17"/>
        <v>4758976</v>
      </c>
      <c r="BO83" s="9"/>
      <c r="BP83" s="6">
        <f>4361334-3436815</f>
        <v>924519</v>
      </c>
      <c r="BQ83" s="6"/>
      <c r="BR83" s="6">
        <f t="shared" si="18"/>
        <v>0</v>
      </c>
      <c r="BS83" s="6"/>
      <c r="BT83" s="6">
        <f t="shared" si="19"/>
        <v>4758976</v>
      </c>
      <c r="BU83" s="9"/>
      <c r="BV83" s="6">
        <f t="shared" si="20"/>
        <v>-1322161</v>
      </c>
    </row>
    <row r="84" spans="2:74" s="21" customFormat="1">
      <c r="B84" s="238" t="s">
        <v>398</v>
      </c>
      <c r="J84" s="8"/>
      <c r="L84" s="143"/>
      <c r="M84" s="9"/>
      <c r="N84" s="9"/>
      <c r="O84" s="9"/>
      <c r="P84" s="9"/>
      <c r="Q84" s="9"/>
      <c r="R84" s="235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6">
        <f t="shared" si="17"/>
        <v>786230</v>
      </c>
      <c r="BO84" s="9"/>
      <c r="BP84" s="6">
        <f>836221-582144</f>
        <v>254077</v>
      </c>
      <c r="BQ84" s="6"/>
      <c r="BR84" s="6">
        <f t="shared" si="18"/>
        <v>49991</v>
      </c>
      <c r="BS84" s="6"/>
      <c r="BT84" s="6">
        <f t="shared" si="19"/>
        <v>836221</v>
      </c>
      <c r="BU84" s="9"/>
      <c r="BV84" s="6">
        <f t="shared" si="20"/>
        <v>-254077</v>
      </c>
    </row>
    <row r="85" spans="2:74" s="21" customFormat="1">
      <c r="B85" s="239"/>
      <c r="J85" s="8"/>
      <c r="L85" s="143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6">
        <f t="shared" si="18"/>
        <v>0</v>
      </c>
      <c r="BS85" s="6"/>
      <c r="BT85" s="6">
        <f t="shared" si="19"/>
        <v>0</v>
      </c>
      <c r="BU85" s="9"/>
      <c r="BV85" s="6">
        <f>+R85-BT85</f>
        <v>0</v>
      </c>
    </row>
    <row r="86" spans="2:74" s="21" customFormat="1">
      <c r="B86" s="236" t="s">
        <v>311</v>
      </c>
      <c r="J86" s="8"/>
      <c r="L86" s="143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U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17623576</v>
      </c>
      <c r="BO86" s="9">
        <f t="shared" si="22"/>
        <v>0</v>
      </c>
      <c r="BP86" s="9">
        <f t="shared" si="22"/>
        <v>2884119</v>
      </c>
      <c r="BQ86" s="9">
        <f t="shared" si="22"/>
        <v>0</v>
      </c>
      <c r="BR86" s="9">
        <f t="shared" si="22"/>
        <v>1040771</v>
      </c>
      <c r="BS86" s="9">
        <f t="shared" si="22"/>
        <v>0</v>
      </c>
      <c r="BT86" s="9">
        <f t="shared" si="22"/>
        <v>18664347</v>
      </c>
      <c r="BU86" s="9">
        <f t="shared" si="22"/>
        <v>0</v>
      </c>
      <c r="BV86" s="9">
        <f>+R86-BT86</f>
        <v>-6214674</v>
      </c>
    </row>
    <row r="87" spans="2:74" s="21" customFormat="1">
      <c r="B87" s="236"/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2:74" s="21" customFormat="1">
      <c r="B88" s="241" t="s">
        <v>313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2:74" s="21" customFormat="1">
      <c r="B89" s="240" t="s">
        <v>67</v>
      </c>
      <c r="J89" s="8"/>
      <c r="L89" s="143"/>
      <c r="M89" s="9"/>
      <c r="N89" s="9"/>
      <c r="O89" s="9"/>
      <c r="P89" s="9"/>
      <c r="Q89" s="9"/>
      <c r="R89" s="235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6">
        <f>SUM(T89:BM89)</f>
        <v>12182028</v>
      </c>
      <c r="BO89" s="9"/>
      <c r="BP89" s="6">
        <f>12136758-9230000</f>
        <v>2906758</v>
      </c>
      <c r="BQ89" s="6"/>
      <c r="BR89" s="6">
        <f>IF(+R89-BN89+BP89&gt;0,R89-BN89+BP89,0)</f>
        <v>0</v>
      </c>
      <c r="BS89" s="6"/>
      <c r="BT89" s="6">
        <f>+BN89+BR89</f>
        <v>12182028</v>
      </c>
      <c r="BU89" s="9"/>
      <c r="BV89" s="6">
        <f>+R89-BT89</f>
        <v>-2952028</v>
      </c>
    </row>
    <row r="90" spans="2:74" s="21" customFormat="1">
      <c r="B90" s="233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2:74" s="21" customFormat="1">
      <c r="B91" s="234" t="s">
        <v>312</v>
      </c>
      <c r="J91" s="8"/>
      <c r="L91" s="143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T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12182028</v>
      </c>
      <c r="BO91" s="9">
        <f t="shared" si="24"/>
        <v>0</v>
      </c>
      <c r="BP91" s="9">
        <f t="shared" si="24"/>
        <v>2906758</v>
      </c>
      <c r="BQ91" s="9">
        <f t="shared" si="24"/>
        <v>0</v>
      </c>
      <c r="BR91" s="9">
        <f t="shared" si="24"/>
        <v>0</v>
      </c>
      <c r="BS91" s="9">
        <f t="shared" si="24"/>
        <v>0</v>
      </c>
      <c r="BT91" s="9">
        <f t="shared" si="24"/>
        <v>12182028</v>
      </c>
      <c r="BU91" s="9"/>
      <c r="BV91" s="9">
        <f>+R91-BT91</f>
        <v>-2952028</v>
      </c>
    </row>
    <row r="92" spans="2:74" s="21" customFormat="1">
      <c r="B92" s="234"/>
      <c r="J92" s="8"/>
      <c r="L92" s="143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2:74" s="21" customFormat="1">
      <c r="B93" s="17" t="s">
        <v>337</v>
      </c>
      <c r="J93" s="8"/>
      <c r="L93" s="143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6">
        <f>SUM(T93:BM93)</f>
        <v>-250000</v>
      </c>
      <c r="BO93" s="9"/>
      <c r="BP93" s="9">
        <v>0</v>
      </c>
      <c r="BQ93" s="9"/>
      <c r="BR93" s="6"/>
      <c r="BS93" s="9"/>
      <c r="BT93" s="6">
        <v>0</v>
      </c>
      <c r="BU93" s="9"/>
      <c r="BV93" s="6">
        <f>+R93-BT93</f>
        <v>0</v>
      </c>
    </row>
    <row r="94" spans="2:74" s="21" customFormat="1">
      <c r="B94" s="234"/>
      <c r="J94" s="8"/>
      <c r="L94" s="143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6"/>
    </row>
    <row r="95" spans="2:74" s="21" customFormat="1">
      <c r="B95" s="241" t="s">
        <v>314</v>
      </c>
      <c r="J95" s="8"/>
      <c r="L95" s="143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6">
        <f>SUM(T95:BM95)</f>
        <v>3367161.5599999987</v>
      </c>
      <c r="BO95" s="9"/>
      <c r="BP95" s="9">
        <f>-50096668+46735000</f>
        <v>-3361668</v>
      </c>
      <c r="BQ95" s="9"/>
      <c r="BR95" s="9"/>
      <c r="BS95" s="9"/>
      <c r="BT95" s="6">
        <f>-52871755+46735000</f>
        <v>-6136755</v>
      </c>
      <c r="BU95" s="9"/>
      <c r="BV95" s="6">
        <f>+R95-BT95</f>
        <v>6136755</v>
      </c>
    </row>
    <row r="96" spans="2:74" s="21" customFormat="1">
      <c r="B96" s="236"/>
      <c r="J96" s="8"/>
      <c r="L96" s="143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1:75" s="105" customFormat="1">
      <c r="A97" s="242"/>
      <c r="B97" s="243" t="s">
        <v>243</v>
      </c>
      <c r="J97" s="158"/>
      <c r="L97" s="144"/>
      <c r="M97" s="13"/>
      <c r="N97" s="244">
        <f>SUM(N41:N96)</f>
        <v>0</v>
      </c>
      <c r="O97" s="13"/>
      <c r="P97" s="244">
        <f>SUM(P41:P96)</f>
        <v>0</v>
      </c>
      <c r="Q97" s="13"/>
      <c r="R97" s="244">
        <f t="shared" ref="R97:AH97" si="25">R91+R86+R63+R54+R95</f>
        <v>41741400</v>
      </c>
      <c r="S97" s="244">
        <f t="shared" si="25"/>
        <v>0</v>
      </c>
      <c r="T97" s="244">
        <f t="shared" si="25"/>
        <v>0</v>
      </c>
      <c r="U97" s="244">
        <f t="shared" si="25"/>
        <v>0</v>
      </c>
      <c r="V97" s="244">
        <f t="shared" si="25"/>
        <v>0</v>
      </c>
      <c r="W97" s="244">
        <f t="shared" si="25"/>
        <v>0</v>
      </c>
      <c r="X97" s="244">
        <f t="shared" si="25"/>
        <v>0</v>
      </c>
      <c r="Y97" s="244">
        <f t="shared" si="25"/>
        <v>0</v>
      </c>
      <c r="Z97" s="244">
        <f t="shared" si="25"/>
        <v>0</v>
      </c>
      <c r="AA97" s="244">
        <f t="shared" si="25"/>
        <v>0</v>
      </c>
      <c r="AB97" s="244">
        <f t="shared" si="25"/>
        <v>0</v>
      </c>
      <c r="AC97" s="244">
        <f t="shared" si="25"/>
        <v>0</v>
      </c>
      <c r="AD97" s="244">
        <f t="shared" si="25"/>
        <v>0</v>
      </c>
      <c r="AE97" s="244">
        <f t="shared" si="25"/>
        <v>0</v>
      </c>
      <c r="AF97" s="244">
        <f t="shared" si="25"/>
        <v>0</v>
      </c>
      <c r="AG97" s="244">
        <f t="shared" si="25"/>
        <v>0</v>
      </c>
      <c r="AH97" s="244">
        <f t="shared" si="25"/>
        <v>0</v>
      </c>
      <c r="AI97" s="244"/>
      <c r="AJ97" s="244">
        <f>AJ91+AJ86+AJ63+AJ54+AJ95</f>
        <v>0</v>
      </c>
      <c r="AK97" s="244"/>
      <c r="AL97" s="244">
        <f>AL91+AL86+AL63+AL54+AL95</f>
        <v>0</v>
      </c>
      <c r="AM97" s="244"/>
      <c r="AN97" s="244">
        <f>AN91+AN86+AN63+AN54+AN95</f>
        <v>0</v>
      </c>
      <c r="AO97" s="244"/>
      <c r="AP97" s="244">
        <f>AP91+AP86+AP63+AP54+AP95</f>
        <v>0</v>
      </c>
      <c r="AQ97" s="244"/>
      <c r="AR97" s="244">
        <f>AR91+AR86+AR63+AR54+AR95</f>
        <v>6054031.5599999996</v>
      </c>
      <c r="AS97" s="244">
        <f>AS91+AS86+AS63+AS54+AS95</f>
        <v>0</v>
      </c>
      <c r="AT97" s="244">
        <f>AT91+AT86+AT63+AT54+AT95+AT93</f>
        <v>-250000</v>
      </c>
      <c r="AU97" s="244">
        <f t="shared" ref="AU97:BF97" si="26">AU91+AU86+AU63+AU54+AU95+AU93</f>
        <v>0</v>
      </c>
      <c r="AV97" s="244">
        <f t="shared" si="26"/>
        <v>5295206</v>
      </c>
      <c r="AW97" s="244">
        <f t="shared" si="26"/>
        <v>0</v>
      </c>
      <c r="AX97" s="244">
        <f t="shared" si="26"/>
        <v>6512226</v>
      </c>
      <c r="AY97" s="244">
        <f t="shared" si="26"/>
        <v>0</v>
      </c>
      <c r="AZ97" s="244">
        <f t="shared" si="26"/>
        <v>8178457</v>
      </c>
      <c r="BA97" s="244">
        <f t="shared" si="26"/>
        <v>0</v>
      </c>
      <c r="BB97" s="244">
        <f t="shared" si="26"/>
        <v>7581129</v>
      </c>
      <c r="BC97" s="244">
        <f t="shared" si="26"/>
        <v>0</v>
      </c>
      <c r="BD97" s="244">
        <f t="shared" si="26"/>
        <v>0</v>
      </c>
      <c r="BE97" s="244">
        <f t="shared" si="26"/>
        <v>0</v>
      </c>
      <c r="BF97" s="244">
        <f t="shared" si="26"/>
        <v>10998139</v>
      </c>
      <c r="BG97" s="244">
        <f t="shared" ref="BG97:BW97" si="27">BG91+BG86+BG63+BG54+BG95+BG93</f>
        <v>0</v>
      </c>
      <c r="BH97" s="244">
        <f t="shared" si="27"/>
        <v>1302930</v>
      </c>
      <c r="BI97" s="244">
        <f t="shared" si="27"/>
        <v>0</v>
      </c>
      <c r="BJ97" s="244">
        <f t="shared" si="27"/>
        <v>0</v>
      </c>
      <c r="BK97" s="244">
        <f t="shared" si="27"/>
        <v>0</v>
      </c>
      <c r="BL97" s="244">
        <f t="shared" si="27"/>
        <v>0</v>
      </c>
      <c r="BM97" s="244">
        <f t="shared" si="27"/>
        <v>0</v>
      </c>
      <c r="BN97" s="244">
        <f t="shared" si="27"/>
        <v>45672118.560000002</v>
      </c>
      <c r="BO97" s="244">
        <f t="shared" si="27"/>
        <v>0</v>
      </c>
      <c r="BP97" s="244">
        <f t="shared" si="27"/>
        <v>3629444</v>
      </c>
      <c r="BQ97" s="244">
        <f t="shared" si="27"/>
        <v>0</v>
      </c>
      <c r="BR97" s="244">
        <f>BT97-BN97</f>
        <v>1312881.4399999976</v>
      </c>
      <c r="BS97" s="244">
        <f t="shared" si="27"/>
        <v>0</v>
      </c>
      <c r="BT97" s="244">
        <f t="shared" si="27"/>
        <v>46985000</v>
      </c>
      <c r="BU97" s="244">
        <f t="shared" si="27"/>
        <v>0</v>
      </c>
      <c r="BV97" s="244">
        <f t="shared" si="27"/>
        <v>-5243600</v>
      </c>
      <c r="BW97" s="244">
        <f t="shared" si="27"/>
        <v>0</v>
      </c>
    </row>
    <row r="98" spans="1:75">
      <c r="A98" s="57"/>
      <c r="B98" s="17"/>
      <c r="C98"/>
      <c r="D98"/>
      <c r="E98"/>
      <c r="F98"/>
      <c r="G98"/>
      <c r="H98"/>
      <c r="I98"/>
      <c r="J98" s="49"/>
      <c r="K98"/>
      <c r="L98" s="134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>
        <f>BN97+250000</f>
        <v>45922118.560000002</v>
      </c>
      <c r="BO98" s="6"/>
      <c r="BP98" s="6"/>
      <c r="BQ98" s="6"/>
      <c r="BT98" s="6">
        <f>BT97+250000</f>
        <v>47235000</v>
      </c>
      <c r="BW98" s="6"/>
    </row>
    <row r="99" spans="1:75">
      <c r="A99" s="56" t="s">
        <v>227</v>
      </c>
      <c r="B99" s="11"/>
      <c r="C99"/>
      <c r="D99"/>
      <c r="E99"/>
      <c r="F99"/>
      <c r="G99"/>
      <c r="H99"/>
      <c r="I99"/>
      <c r="J99" s="49"/>
      <c r="K99"/>
      <c r="L99" s="134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O99" s="6"/>
      <c r="BP99" s="6"/>
      <c r="BQ99" s="6"/>
      <c r="BW99" s="6"/>
    </row>
    <row r="100" spans="1:75">
      <c r="A100" s="61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4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0</v>
      </c>
      <c r="BM100" s="6"/>
      <c r="BN100" s="6">
        <f t="shared" ref="BN100:BN105" si="28">SUM(T100:BM100)</f>
        <v>929799.66999999981</v>
      </c>
      <c r="BO100" s="6"/>
      <c r="BP100" s="6">
        <v>0</v>
      </c>
      <c r="BQ100" s="6"/>
      <c r="BR100" s="6">
        <f t="shared" ref="BR100:BR106" si="29">IF(+R100-BN100+BP100&gt;0,R100-BN100+BP100,0)</f>
        <v>0.33000000019092113</v>
      </c>
      <c r="BT100" s="6">
        <f t="shared" ref="BT100:BT105" si="30">+BN100+BR100</f>
        <v>929800</v>
      </c>
      <c r="BV100" s="6">
        <f t="shared" ref="BV100:BV105" si="31">+R100-BT100</f>
        <v>0</v>
      </c>
      <c r="BW100" s="6"/>
    </row>
    <row r="101" spans="1:75">
      <c r="A101" s="61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4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f t="shared" si="28"/>
        <v>2840670.66</v>
      </c>
      <c r="BO101" s="6"/>
      <c r="BP101" s="6">
        <v>-29</v>
      </c>
      <c r="BQ101" s="6"/>
      <c r="BR101" s="6">
        <f t="shared" si="29"/>
        <v>0.33999999985098839</v>
      </c>
      <c r="BT101" s="6">
        <f t="shared" si="30"/>
        <v>2840671</v>
      </c>
      <c r="BV101" s="6">
        <f t="shared" si="31"/>
        <v>29</v>
      </c>
      <c r="BW101" s="6"/>
    </row>
    <row r="102" spans="1:75">
      <c r="A102" s="61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4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f t="shared" si="28"/>
        <v>0</v>
      </c>
      <c r="BO102" s="6"/>
      <c r="BP102" s="6">
        <v>0</v>
      </c>
      <c r="BQ102" s="6"/>
      <c r="BR102" s="6">
        <f t="shared" si="29"/>
        <v>0</v>
      </c>
      <c r="BT102" s="6">
        <f t="shared" si="30"/>
        <v>0</v>
      </c>
      <c r="BV102" s="6">
        <f t="shared" si="31"/>
        <v>0</v>
      </c>
      <c r="BW102" s="6"/>
    </row>
    <row r="103" spans="1:75">
      <c r="A103" s="61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4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f t="shared" si="28"/>
        <v>0</v>
      </c>
      <c r="BO103" s="6"/>
      <c r="BP103" s="12">
        <v>0</v>
      </c>
      <c r="BQ103" s="6"/>
      <c r="BR103" s="6">
        <f t="shared" si="29"/>
        <v>0</v>
      </c>
      <c r="BS103" s="12"/>
      <c r="BT103" s="6">
        <f t="shared" si="30"/>
        <v>0</v>
      </c>
      <c r="BU103" s="12"/>
      <c r="BV103" s="6">
        <f t="shared" si="31"/>
        <v>0</v>
      </c>
      <c r="BW103" s="12"/>
    </row>
    <row r="104" spans="1:75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6" t="s">
        <v>236</v>
      </c>
      <c r="K104" s="30"/>
      <c r="L104" s="134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f t="shared" si="28"/>
        <v>0</v>
      </c>
      <c r="BO104" s="12"/>
      <c r="BP104" s="12">
        <v>0</v>
      </c>
      <c r="BQ104" s="12"/>
      <c r="BR104" s="6">
        <f t="shared" si="29"/>
        <v>0</v>
      </c>
      <c r="BS104" s="12"/>
      <c r="BT104" s="6">
        <f t="shared" si="30"/>
        <v>0</v>
      </c>
      <c r="BU104" s="12"/>
      <c r="BV104" s="6">
        <f t="shared" si="31"/>
        <v>0</v>
      </c>
      <c r="BW104" s="12"/>
    </row>
    <row r="105" spans="1:75">
      <c r="A105" s="61"/>
      <c r="C105"/>
      <c r="D105"/>
      <c r="E105"/>
      <c r="F105"/>
      <c r="G105"/>
      <c r="H105"/>
      <c r="I105"/>
      <c r="J105" s="49"/>
      <c r="K105"/>
      <c r="L105" s="134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f t="shared" si="28"/>
        <v>0</v>
      </c>
      <c r="BO105" s="6"/>
      <c r="BP105" s="12">
        <v>0</v>
      </c>
      <c r="BQ105" s="6"/>
      <c r="BR105" s="6">
        <v>0</v>
      </c>
      <c r="BS105" s="12"/>
      <c r="BT105" s="9">
        <f t="shared" si="30"/>
        <v>0</v>
      </c>
      <c r="BU105" s="12"/>
      <c r="BV105" s="6">
        <f t="shared" si="31"/>
        <v>0</v>
      </c>
      <c r="BW105" s="12"/>
    </row>
    <row r="106" spans="1:75">
      <c r="A106" s="61"/>
      <c r="B106" s="17"/>
      <c r="C106"/>
      <c r="D106"/>
      <c r="E106"/>
      <c r="F106"/>
      <c r="G106"/>
      <c r="H106"/>
      <c r="I106"/>
      <c r="J106" s="49"/>
      <c r="K106"/>
      <c r="L106" s="134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6"/>
      <c r="BP106" s="12"/>
      <c r="BQ106" s="6"/>
      <c r="BR106" s="6">
        <f t="shared" si="29"/>
        <v>0</v>
      </c>
      <c r="BS106" s="12"/>
      <c r="BT106" s="12"/>
      <c r="BU106" s="12"/>
      <c r="BV106" s="12"/>
      <c r="BW106" s="12"/>
    </row>
    <row r="107" spans="1:75" s="114" customFormat="1">
      <c r="A107" s="112"/>
      <c r="B107" s="113" t="s">
        <v>244</v>
      </c>
      <c r="J107" s="157"/>
      <c r="L107" s="142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0</v>
      </c>
      <c r="BM107" s="115"/>
      <c r="BN107" s="116">
        <f>SUM(BN100:BN106)</f>
        <v>3770470.33</v>
      </c>
      <c r="BO107" s="115"/>
      <c r="BP107" s="116">
        <f>SUM(BP100:BP106)</f>
        <v>-29</v>
      </c>
      <c r="BQ107" s="115"/>
      <c r="BR107" s="116">
        <f>SUM(BR100:BR106)</f>
        <v>0.67000000004190952</v>
      </c>
      <c r="BS107" s="115"/>
      <c r="BT107" s="116">
        <f>SUM(BT100:BT106)</f>
        <v>3770471</v>
      </c>
      <c r="BU107" s="115"/>
      <c r="BV107" s="116">
        <f>SUM(BV100:BV106)</f>
        <v>29</v>
      </c>
      <c r="BW107" s="117"/>
    </row>
    <row r="108" spans="1:75" customFormat="1"/>
    <row r="109" spans="1:75" s="15" customFormat="1">
      <c r="A109" s="62" t="s">
        <v>242</v>
      </c>
      <c r="B109" s="17"/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</row>
    <row r="110" spans="1:75" s="15" customFormat="1">
      <c r="A110" s="57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4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f>SUM(T110:BM110)</f>
        <v>0</v>
      </c>
      <c r="BO110" s="22"/>
      <c r="BP110" s="80">
        <v>0</v>
      </c>
      <c r="BQ110" s="22"/>
      <c r="BR110" s="6">
        <f>IF(+R110-BN110+BP110&gt;0,R110-BN110+BP110,0)</f>
        <v>0</v>
      </c>
      <c r="BS110" s="22"/>
      <c r="BT110" s="6">
        <f>+BN110+BR110</f>
        <v>0</v>
      </c>
      <c r="BU110" s="22"/>
      <c r="BV110" s="6">
        <f>+R110-BT110</f>
        <v>0</v>
      </c>
      <c r="BW110" s="80"/>
    </row>
    <row r="111" spans="1:75" s="15" customFormat="1">
      <c r="A111" s="57"/>
      <c r="B111" s="17"/>
      <c r="C111"/>
      <c r="D111"/>
      <c r="E111"/>
      <c r="F111"/>
      <c r="G111"/>
      <c r="H111"/>
      <c r="I111"/>
      <c r="J111" s="49"/>
      <c r="K111"/>
      <c r="L111" s="134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80"/>
    </row>
    <row r="112" spans="1:75" s="104" customFormat="1">
      <c r="A112" s="111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3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</row>
    <row r="113" spans="1:75" s="15" customFormat="1">
      <c r="A113" s="57"/>
      <c r="B113" s="17"/>
      <c r="C113"/>
      <c r="D113"/>
      <c r="E113"/>
      <c r="F113"/>
      <c r="G113"/>
      <c r="H113"/>
      <c r="I113"/>
      <c r="J113" s="49"/>
      <c r="K113"/>
      <c r="L113" s="13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</row>
    <row r="114" spans="1:75" s="105" customFormat="1">
      <c r="A114" s="162" t="s">
        <v>246</v>
      </c>
      <c r="B114" s="63"/>
      <c r="J114" s="158"/>
      <c r="L114" s="14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s="15" customFormat="1" hidden="1">
      <c r="A115" s="62" t="s">
        <v>22</v>
      </c>
      <c r="B115" s="17"/>
      <c r="C115"/>
      <c r="D115"/>
      <c r="E115"/>
      <c r="F115"/>
      <c r="G115"/>
      <c r="H115"/>
      <c r="I115"/>
      <c r="J115" s="49"/>
      <c r="K115"/>
      <c r="L115" s="13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</row>
    <row r="116" spans="1:75" s="15" customFormat="1" hidden="1">
      <c r="A116" s="62"/>
      <c r="B116" s="17" t="s">
        <v>163</v>
      </c>
      <c r="C116"/>
      <c r="D116"/>
      <c r="E116"/>
      <c r="F116"/>
      <c r="G116"/>
      <c r="H116"/>
      <c r="I116"/>
      <c r="J116" s="49"/>
      <c r="K116"/>
      <c r="L116" s="134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f t="shared" ref="BN116:BN125" si="33">SUM(T116:BM116)</f>
        <v>0</v>
      </c>
      <c r="BO116" s="22"/>
      <c r="BP116" s="22">
        <v>0</v>
      </c>
      <c r="BQ116" s="22"/>
      <c r="BR116" s="22">
        <f t="shared" ref="BR116:BR125" si="34">+R116-BN116+BP116</f>
        <v>0</v>
      </c>
      <c r="BS116" s="22"/>
      <c r="BT116" s="6">
        <f t="shared" ref="BT116:BT125" si="35">+BN116+BR116</f>
        <v>0</v>
      </c>
      <c r="BU116" s="22"/>
      <c r="BV116" s="6">
        <f t="shared" ref="BV116:BV125" si="36">+R116-BT116</f>
        <v>0</v>
      </c>
      <c r="BW116" s="22"/>
    </row>
    <row r="117" spans="1:75" s="15" customFormat="1" hidden="1">
      <c r="A117" s="62"/>
      <c r="B117" s="17" t="s">
        <v>164</v>
      </c>
      <c r="C117"/>
      <c r="D117"/>
      <c r="E117"/>
      <c r="F117"/>
      <c r="G117"/>
      <c r="H117"/>
      <c r="I117"/>
      <c r="J117" s="49"/>
      <c r="K117"/>
      <c r="L117" s="134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f t="shared" si="33"/>
        <v>0</v>
      </c>
      <c r="BO117" s="22"/>
      <c r="BP117" s="22">
        <v>0</v>
      </c>
      <c r="BQ117" s="22"/>
      <c r="BR117" s="22">
        <f t="shared" si="34"/>
        <v>0</v>
      </c>
      <c r="BS117" s="22"/>
      <c r="BT117" s="6">
        <f t="shared" si="35"/>
        <v>0</v>
      </c>
      <c r="BU117" s="22"/>
      <c r="BV117" s="6">
        <f t="shared" si="36"/>
        <v>0</v>
      </c>
      <c r="BW117" s="22"/>
    </row>
    <row r="118" spans="1:75" s="15" customFormat="1" hidden="1">
      <c r="A118" s="62"/>
      <c r="B118" s="17" t="s">
        <v>165</v>
      </c>
      <c r="C118"/>
      <c r="D118"/>
      <c r="E118"/>
      <c r="F118"/>
      <c r="G118"/>
      <c r="H118"/>
      <c r="I118"/>
      <c r="J118" s="49"/>
      <c r="K118"/>
      <c r="L118" s="134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f t="shared" si="33"/>
        <v>0</v>
      </c>
      <c r="BO118" s="22"/>
      <c r="BP118" s="22">
        <v>0</v>
      </c>
      <c r="BQ118" s="22"/>
      <c r="BR118" s="22">
        <f t="shared" si="34"/>
        <v>0</v>
      </c>
      <c r="BS118" s="22"/>
      <c r="BT118" s="6">
        <f t="shared" si="35"/>
        <v>0</v>
      </c>
      <c r="BU118" s="22"/>
      <c r="BV118" s="6">
        <f t="shared" si="36"/>
        <v>0</v>
      </c>
      <c r="BW118" s="22"/>
    </row>
    <row r="119" spans="1:75" s="15" customFormat="1" hidden="1">
      <c r="A119" s="62"/>
      <c r="B119" s="17" t="s">
        <v>166</v>
      </c>
      <c r="C119"/>
      <c r="D119"/>
      <c r="E119"/>
      <c r="F119"/>
      <c r="G119"/>
      <c r="H119"/>
      <c r="I119"/>
      <c r="J119" s="49"/>
      <c r="K119"/>
      <c r="L119" s="134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f t="shared" si="33"/>
        <v>0</v>
      </c>
      <c r="BO119" s="22"/>
      <c r="BP119" s="22">
        <v>0</v>
      </c>
      <c r="BQ119" s="22"/>
      <c r="BR119" s="22">
        <f t="shared" si="34"/>
        <v>0</v>
      </c>
      <c r="BS119" s="22"/>
      <c r="BT119" s="6">
        <f t="shared" si="35"/>
        <v>0</v>
      </c>
      <c r="BU119" s="22"/>
      <c r="BV119" s="6">
        <f t="shared" si="36"/>
        <v>0</v>
      </c>
      <c r="BW119" s="22"/>
    </row>
    <row r="120" spans="1:75" s="15" customFormat="1" hidden="1">
      <c r="A120" s="62"/>
      <c r="B120" s="17" t="s">
        <v>68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si="33"/>
        <v>0</v>
      </c>
      <c r="BO120" s="22"/>
      <c r="BP120" s="22">
        <v>0</v>
      </c>
      <c r="BQ120" s="22"/>
      <c r="BR120" s="22">
        <f t="shared" si="34"/>
        <v>0</v>
      </c>
      <c r="BS120" s="22"/>
      <c r="BT120" s="6">
        <f t="shared" si="35"/>
        <v>0</v>
      </c>
      <c r="BU120" s="22"/>
      <c r="BV120" s="6">
        <f t="shared" si="36"/>
        <v>0</v>
      </c>
      <c r="BW120" s="22"/>
    </row>
    <row r="121" spans="1:75" s="15" customFormat="1" hidden="1">
      <c r="A121" s="62"/>
      <c r="B121" s="17" t="s">
        <v>69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33"/>
        <v>0</v>
      </c>
      <c r="BO121" s="22"/>
      <c r="BP121" s="22">
        <v>0</v>
      </c>
      <c r="BQ121" s="22"/>
      <c r="BR121" s="22">
        <f t="shared" si="34"/>
        <v>0</v>
      </c>
      <c r="BS121" s="22"/>
      <c r="BT121" s="6">
        <f t="shared" si="35"/>
        <v>0</v>
      </c>
      <c r="BU121" s="22"/>
      <c r="BV121" s="6">
        <f t="shared" si="36"/>
        <v>0</v>
      </c>
      <c r="BW121" s="22"/>
    </row>
    <row r="122" spans="1:75" s="15" customFormat="1" hidden="1">
      <c r="A122" s="62"/>
      <c r="B122" s="17" t="s">
        <v>167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33"/>
        <v>0</v>
      </c>
      <c r="BO122" s="22"/>
      <c r="BP122" s="22">
        <v>0</v>
      </c>
      <c r="BQ122" s="22"/>
      <c r="BR122" s="22">
        <f t="shared" si="34"/>
        <v>0</v>
      </c>
      <c r="BS122" s="22"/>
      <c r="BT122" s="6">
        <f t="shared" si="35"/>
        <v>0</v>
      </c>
      <c r="BU122" s="22"/>
      <c r="BV122" s="6">
        <f t="shared" si="36"/>
        <v>0</v>
      </c>
      <c r="BW122" s="22"/>
    </row>
    <row r="123" spans="1:75" s="15" customFormat="1" hidden="1">
      <c r="A123" s="62"/>
      <c r="B123" s="17" t="s">
        <v>168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33"/>
        <v>0</v>
      </c>
      <c r="BO123" s="22"/>
      <c r="BP123" s="22">
        <v>0</v>
      </c>
      <c r="BQ123" s="22"/>
      <c r="BR123" s="22">
        <f t="shared" si="34"/>
        <v>0</v>
      </c>
      <c r="BS123" s="22"/>
      <c r="BT123" s="6">
        <f t="shared" si="35"/>
        <v>0</v>
      </c>
      <c r="BU123" s="22"/>
      <c r="BV123" s="6">
        <f t="shared" si="36"/>
        <v>0</v>
      </c>
      <c r="BW123" s="22"/>
    </row>
    <row r="124" spans="1:75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6"/>
      <c r="K124" s="30"/>
      <c r="L124" s="134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f t="shared" si="33"/>
        <v>0</v>
      </c>
      <c r="BO124" s="80"/>
      <c r="BP124" s="80">
        <v>0</v>
      </c>
      <c r="BQ124" s="80"/>
      <c r="BR124" s="80">
        <f t="shared" si="34"/>
        <v>0</v>
      </c>
      <c r="BS124" s="80"/>
      <c r="BT124" s="6">
        <f t="shared" si="35"/>
        <v>0</v>
      </c>
      <c r="BU124" s="80"/>
      <c r="BV124" s="6">
        <f t="shared" si="36"/>
        <v>0</v>
      </c>
      <c r="BW124" s="80"/>
    </row>
    <row r="125" spans="1:75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6"/>
      <c r="K125" s="30"/>
      <c r="L125" s="134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f t="shared" si="33"/>
        <v>0</v>
      </c>
      <c r="BO125" s="80"/>
      <c r="BP125" s="80">
        <v>0</v>
      </c>
      <c r="BQ125" s="80"/>
      <c r="BR125" s="80">
        <f t="shared" si="34"/>
        <v>0</v>
      </c>
      <c r="BS125" s="80"/>
      <c r="BT125" s="6">
        <f t="shared" si="35"/>
        <v>0</v>
      </c>
      <c r="BU125" s="80"/>
      <c r="BV125" s="6">
        <f t="shared" si="36"/>
        <v>0</v>
      </c>
      <c r="BW125" s="80"/>
    </row>
    <row r="126" spans="1:75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6"/>
      <c r="K126" s="30"/>
      <c r="L126" s="14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</row>
    <row r="127" spans="1:75" s="104" customFormat="1" hidden="1">
      <c r="A127" s="111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3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03"/>
    </row>
    <row r="128" spans="1:75" s="15" customFormat="1" hidden="1">
      <c r="A128" s="14"/>
      <c r="B128" s="60"/>
      <c r="C128"/>
      <c r="D128"/>
      <c r="E128"/>
      <c r="F128"/>
      <c r="G128"/>
      <c r="H128"/>
      <c r="I128"/>
      <c r="J128" s="49"/>
      <c r="K128"/>
      <c r="L128" s="13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</row>
    <row r="129" spans="1:75" s="15" customFormat="1">
      <c r="A129" s="14"/>
      <c r="B129" s="60"/>
      <c r="C129"/>
      <c r="D129"/>
      <c r="E129"/>
      <c r="F129"/>
      <c r="G129"/>
      <c r="H129"/>
      <c r="I129"/>
      <c r="J129" s="49"/>
      <c r="K129"/>
      <c r="L129" s="13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</row>
    <row r="130" spans="1:75">
      <c r="A130" s="56" t="s">
        <v>25</v>
      </c>
      <c r="B130" s="58"/>
      <c r="C130"/>
      <c r="D130"/>
      <c r="E130"/>
      <c r="F130"/>
      <c r="G130"/>
      <c r="H130"/>
      <c r="I130"/>
      <c r="J130" s="49"/>
      <c r="K130"/>
      <c r="L130" s="134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O130" s="6"/>
      <c r="BP130" s="6"/>
      <c r="BQ130" s="6"/>
      <c r="BS130" s="22"/>
      <c r="BU130" s="22"/>
      <c r="BW130" s="6"/>
    </row>
    <row r="131" spans="1:75">
      <c r="A131" s="61"/>
      <c r="B131" s="17" t="s">
        <v>377</v>
      </c>
      <c r="E131" s="4"/>
      <c r="G131" s="4"/>
      <c r="I131" s="4"/>
      <c r="J131" s="5" t="s">
        <v>0</v>
      </c>
      <c r="L131" s="134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f>SUM(T131:BM131)</f>
        <v>185000</v>
      </c>
      <c r="BO131" s="6"/>
      <c r="BP131" s="6">
        <v>0</v>
      </c>
      <c r="BQ131" s="6"/>
      <c r="BR131" s="6">
        <f>IF(+R131-BN131+BP131&gt;0,R131-BN131+BP131,0)</f>
        <v>0</v>
      </c>
      <c r="BS131" s="22"/>
      <c r="BT131" s="6">
        <f>+BN131+BR131</f>
        <v>185000</v>
      </c>
      <c r="BU131" s="22"/>
      <c r="BV131" s="6">
        <f>+R131-BT131</f>
        <v>0</v>
      </c>
      <c r="BW131" s="6"/>
    </row>
    <row r="132" spans="1:75">
      <c r="A132" s="61"/>
      <c r="B132" s="17" t="s">
        <v>379</v>
      </c>
      <c r="E132" s="4"/>
      <c r="G132" s="4"/>
      <c r="I132" s="4"/>
      <c r="L132" s="134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0</v>
      </c>
      <c r="BM132" s="6"/>
      <c r="BN132" s="6">
        <f>SUM(T132:BM132)</f>
        <v>791597.16</v>
      </c>
      <c r="BO132" s="6"/>
      <c r="BP132" s="6">
        <v>0</v>
      </c>
      <c r="BQ132" s="6"/>
      <c r="BR132" s="6">
        <f>IF(+R132-BN132+BP132&gt;0,R132-BN132+BP132,0)</f>
        <v>0</v>
      </c>
      <c r="BS132" s="22"/>
      <c r="BT132" s="6">
        <f>+BN132+BR132</f>
        <v>791597.16</v>
      </c>
      <c r="BU132" s="22"/>
      <c r="BV132" s="6">
        <f>+R132-BT132</f>
        <v>-67811.160000000033</v>
      </c>
      <c r="BW132" s="6"/>
    </row>
    <row r="133" spans="1:75" hidden="1">
      <c r="A133" s="61"/>
      <c r="B133" s="17" t="s">
        <v>121</v>
      </c>
      <c r="E133" s="4"/>
      <c r="G133" s="4"/>
      <c r="I133" s="4"/>
      <c r="L133" s="134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+R133-BN133+BP133</f>
        <v>0</v>
      </c>
      <c r="BS133" s="22"/>
      <c r="BT133" s="6">
        <f>+BN133+BR133</f>
        <v>0</v>
      </c>
      <c r="BU133" s="22"/>
      <c r="BV133" s="6">
        <f>+R133-BT133</f>
        <v>0</v>
      </c>
      <c r="BW133" s="6"/>
    </row>
    <row r="134" spans="1:75" s="21" customFormat="1">
      <c r="A134" s="56"/>
      <c r="B134" s="58" t="s">
        <v>247</v>
      </c>
      <c r="J134" s="8"/>
      <c r="L134" s="143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0</v>
      </c>
      <c r="BM134" s="9"/>
      <c r="BN134" s="102">
        <f>SUM(BN131:BN133)</f>
        <v>976597.16</v>
      </c>
      <c r="BO134" s="9"/>
      <c r="BP134" s="102">
        <f>SUM(BP131:BP133)</f>
        <v>0</v>
      </c>
      <c r="BQ134" s="9"/>
      <c r="BR134" s="102">
        <f>SUM(BR131:BR133)</f>
        <v>0</v>
      </c>
      <c r="BS134" s="16"/>
      <c r="BT134" s="102">
        <f>SUM(BT131:BT133)</f>
        <v>976597.16</v>
      </c>
      <c r="BU134" s="16"/>
      <c r="BV134" s="102">
        <f>SUM(BV131:BV133)</f>
        <v>-67811.160000000033</v>
      </c>
      <c r="BW134" s="9"/>
    </row>
    <row r="135" spans="1:75" s="21" customFormat="1">
      <c r="A135" s="56"/>
      <c r="B135" s="58"/>
      <c r="J135" s="8"/>
      <c r="L135" s="143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16"/>
      <c r="BT135" s="10"/>
      <c r="BU135" s="16"/>
      <c r="BV135" s="10"/>
      <c r="BW135" s="9"/>
    </row>
    <row r="136" spans="1:75" s="21" customFormat="1">
      <c r="A136" s="62" t="s">
        <v>408</v>
      </c>
      <c r="B136" s="58"/>
      <c r="J136" s="8" t="s">
        <v>0</v>
      </c>
      <c r="L136" s="143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16">
        <f>SUM(T136:BM136)</f>
        <v>112320.7</v>
      </c>
      <c r="BO136" s="9"/>
      <c r="BP136" s="9">
        <v>0</v>
      </c>
      <c r="BQ136" s="9"/>
      <c r="BR136" s="6">
        <f>IF(+R136-BN136+BP136&gt;0,R136-BN136+BP136,0)</f>
        <v>0</v>
      </c>
      <c r="BS136" s="9"/>
      <c r="BT136" s="9">
        <f>+BN136+BR136</f>
        <v>112320.7</v>
      </c>
      <c r="BU136" s="9"/>
      <c r="BV136" s="9">
        <f>+R136-BT136</f>
        <v>-112320.7</v>
      </c>
      <c r="BW136" s="9"/>
    </row>
    <row r="137" spans="1:75" s="21" customFormat="1">
      <c r="A137" s="62"/>
      <c r="B137" s="58"/>
      <c r="J137" s="8"/>
      <c r="L137" s="143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</row>
    <row r="138" spans="1:75" s="21" customFormat="1" hidden="1">
      <c r="A138" s="56" t="s">
        <v>216</v>
      </c>
      <c r="B138" s="31"/>
      <c r="J138" s="8" t="s">
        <v>0</v>
      </c>
      <c r="L138" s="134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f>SUM(T138:BM138)</f>
        <v>0</v>
      </c>
      <c r="BO138" s="9"/>
      <c r="BP138" s="9">
        <v>0</v>
      </c>
      <c r="BQ138" s="9"/>
      <c r="BR138" s="6">
        <f>IF(+R138-BN138+BP138&gt;0,R138-BN138+BP138,0)</f>
        <v>0</v>
      </c>
      <c r="BS138" s="9"/>
      <c r="BT138" s="9">
        <f>+BN138+BR138</f>
        <v>0</v>
      </c>
      <c r="BU138" s="9"/>
      <c r="BV138" s="9">
        <f>+R138-BT138</f>
        <v>0</v>
      </c>
      <c r="BW138" s="9"/>
    </row>
    <row r="139" spans="1:75" s="21" customFormat="1" hidden="1">
      <c r="A139" s="56"/>
      <c r="B139" s="31"/>
      <c r="J139" s="8"/>
      <c r="L139" s="134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</row>
    <row r="140" spans="1:75" s="31" customFormat="1">
      <c r="A140" s="58" t="s">
        <v>292</v>
      </c>
      <c r="J140" s="159" t="s">
        <v>0</v>
      </c>
      <c r="L140" s="145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f>SUM(T140:BM140)</f>
        <v>0</v>
      </c>
      <c r="BO140" s="10"/>
      <c r="BP140" s="10">
        <v>0</v>
      </c>
      <c r="BQ140" s="10"/>
      <c r="BR140" s="6">
        <f>IF(+R140-BN140+BP140&gt;0,R140-BN140+BP140,0)</f>
        <v>675000</v>
      </c>
      <c r="BS140" s="10"/>
      <c r="BT140" s="9">
        <f>+BN140+BR140</f>
        <v>675000</v>
      </c>
      <c r="BU140" s="10"/>
      <c r="BV140" s="6">
        <f>+R140-BT140</f>
        <v>0</v>
      </c>
      <c r="BW140" s="10"/>
    </row>
    <row r="141" spans="1:75" s="21" customFormat="1">
      <c r="A141" s="56"/>
      <c r="B141" s="31"/>
      <c r="J141" s="8"/>
      <c r="L141" s="134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26</v>
      </c>
      <c r="B142" s="58"/>
      <c r="J142" s="8" t="s">
        <v>0</v>
      </c>
      <c r="L142" s="134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v>0</v>
      </c>
      <c r="BM142" s="9"/>
      <c r="BN142" s="9">
        <f>SUM(T142:BM142)</f>
        <v>11745</v>
      </c>
      <c r="BO142" s="9"/>
      <c r="BP142" s="9">
        <v>0</v>
      </c>
      <c r="BQ142" s="9"/>
      <c r="BR142" s="6">
        <f>IF(+R142-BN142+BP142&gt;0,R142-BN142+BP142,0)</f>
        <v>1235262</v>
      </c>
      <c r="BS142" s="16"/>
      <c r="BT142" s="9">
        <f>+BN142+BR142</f>
        <v>1247007</v>
      </c>
      <c r="BU142" s="16"/>
      <c r="BV142" s="6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>
      <c r="A144" s="56" t="s">
        <v>27</v>
      </c>
      <c r="B144" s="11"/>
      <c r="C144"/>
      <c r="D144"/>
      <c r="E144"/>
      <c r="F144"/>
      <c r="G144"/>
      <c r="H144"/>
      <c r="I144"/>
      <c r="J144" s="49"/>
      <c r="K144"/>
      <c r="L144" s="134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O144" s="6"/>
      <c r="BP144" s="6"/>
      <c r="BQ144" s="6"/>
      <c r="BW144" s="6"/>
    </row>
    <row r="145" spans="1:75">
      <c r="A145" s="61"/>
      <c r="B145" s="11" t="s">
        <v>207</v>
      </c>
      <c r="E145" s="4"/>
      <c r="G145" s="4"/>
      <c r="I145" s="4"/>
      <c r="J145" s="5" t="s">
        <v>0</v>
      </c>
      <c r="L145" s="134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f>SUM(T145:BM145)</f>
        <v>45010</v>
      </c>
      <c r="BO145" s="6"/>
      <c r="BP145" s="6">
        <v>0</v>
      </c>
      <c r="BQ145" s="6"/>
      <c r="BR145" s="6">
        <f>IF(+R145-BN145+BP145&gt;0,R145-BN145+BP145,0)</f>
        <v>0</v>
      </c>
      <c r="BT145" s="6">
        <f>+BN145+BR145</f>
        <v>45010</v>
      </c>
      <c r="BV145" s="6">
        <f>+R145-BT145</f>
        <v>-45010</v>
      </c>
      <c r="BW145" s="6"/>
    </row>
    <row r="146" spans="1:75">
      <c r="A146" s="61"/>
      <c r="B146" s="11" t="s">
        <v>208</v>
      </c>
      <c r="E146" s="4"/>
      <c r="G146" s="4"/>
      <c r="I146" s="4"/>
      <c r="J146" s="5" t="s">
        <v>0</v>
      </c>
      <c r="L146" s="134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f>SUM(T146:BM146)</f>
        <v>0</v>
      </c>
      <c r="BO146" s="6"/>
      <c r="BP146" s="6">
        <v>0</v>
      </c>
      <c r="BQ146" s="6"/>
      <c r="BR146" s="6">
        <f>IF(+R146-BN146+BP146&gt;0,R146-BN146+BP146,0)</f>
        <v>0</v>
      </c>
      <c r="BT146" s="6">
        <f>+BN146+BR146</f>
        <v>0</v>
      </c>
      <c r="BV146" s="6">
        <f>+R146-BT146</f>
        <v>0</v>
      </c>
      <c r="BW146" s="6"/>
    </row>
    <row r="147" spans="1:75">
      <c r="A147" s="61"/>
      <c r="B147" s="11" t="s">
        <v>209</v>
      </c>
      <c r="E147" s="4"/>
      <c r="G147" s="4"/>
      <c r="I147" s="4"/>
      <c r="J147" s="5" t="s">
        <v>0</v>
      </c>
      <c r="L147" s="134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0</v>
      </c>
      <c r="BM147" s="6"/>
      <c r="BN147" s="6">
        <f>SUM(T147:BM147)</f>
        <v>383541</v>
      </c>
      <c r="BO147" s="6"/>
      <c r="BP147" s="6">
        <v>0</v>
      </c>
      <c r="BQ147" s="6"/>
      <c r="BR147" s="6">
        <f>IF(+R147-BN147+BP147&gt;0,R147-BN147+BP147,0)</f>
        <v>0</v>
      </c>
      <c r="BT147" s="6">
        <f>+BN147+BR147</f>
        <v>383541</v>
      </c>
      <c r="BV147" s="6">
        <f>+R147-BT147</f>
        <v>-14500</v>
      </c>
      <c r="BW147" s="6"/>
    </row>
    <row r="148" spans="1:75">
      <c r="A148" s="61"/>
      <c r="B148" s="11" t="s">
        <v>210</v>
      </c>
      <c r="E148" s="4"/>
      <c r="G148" s="4"/>
      <c r="I148" s="4"/>
      <c r="J148" s="5" t="s">
        <v>0</v>
      </c>
      <c r="L148" s="134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R148" s="6">
        <f>IF(+R148-BN148+BP148&gt;0,R148-BN148+BP148,0)</f>
        <v>0</v>
      </c>
      <c r="BT148" s="6">
        <f>+BN148+BR148</f>
        <v>0</v>
      </c>
      <c r="BV148" s="6">
        <f>+R148-BT148</f>
        <v>0</v>
      </c>
      <c r="BW148" s="6"/>
    </row>
    <row r="149" spans="1:75" s="21" customFormat="1">
      <c r="A149" s="56"/>
      <c r="B149" s="31" t="s">
        <v>182</v>
      </c>
      <c r="J149" s="8"/>
      <c r="L149" s="143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0</v>
      </c>
      <c r="BM149" s="9"/>
      <c r="BN149" s="102">
        <f>SUM(BN145:BN148)</f>
        <v>428551</v>
      </c>
      <c r="BO149" s="9"/>
      <c r="BP149" s="102">
        <f>SUM(BP145:BP148)</f>
        <v>0</v>
      </c>
      <c r="BQ149" s="9"/>
      <c r="BR149" s="102">
        <f>SUM(BR145:BR148)</f>
        <v>0</v>
      </c>
      <c r="BS149" s="9"/>
      <c r="BT149" s="102">
        <f>SUM(BT145:BT148)</f>
        <v>428551</v>
      </c>
      <c r="BU149" s="9"/>
      <c r="BV149" s="102">
        <f>SUM(BV145:BV148)</f>
        <v>-59510</v>
      </c>
      <c r="BW149" s="9"/>
    </row>
    <row r="150" spans="1:75" s="21" customFormat="1">
      <c r="A150" s="56"/>
      <c r="B150" s="31"/>
      <c r="J150" s="8"/>
      <c r="L150" s="134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</row>
    <row r="151" spans="1:75">
      <c r="A151" s="56" t="s">
        <v>28</v>
      </c>
      <c r="B151" s="11"/>
      <c r="C151"/>
      <c r="D151"/>
      <c r="E151"/>
      <c r="F151"/>
      <c r="G151"/>
      <c r="H151"/>
      <c r="I151"/>
      <c r="J151" s="49"/>
      <c r="K151"/>
      <c r="L151" s="134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O151" s="6"/>
      <c r="BP151" s="6"/>
      <c r="BQ151" s="6"/>
      <c r="BW151" s="6"/>
    </row>
    <row r="152" spans="1:75">
      <c r="A152" s="56"/>
      <c r="B152" s="11" t="s">
        <v>211</v>
      </c>
      <c r="C152"/>
      <c r="D152"/>
      <c r="E152"/>
      <c r="F152"/>
      <c r="G152"/>
      <c r="H152"/>
      <c r="I152"/>
      <c r="J152" s="49"/>
      <c r="K152"/>
      <c r="L152" s="134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f t="shared" ref="BN152:BN157" si="37">SUM(T152:BM152)</f>
        <v>69419</v>
      </c>
      <c r="BO152" s="6"/>
      <c r="BP152" s="227">
        <v>0</v>
      </c>
      <c r="BQ152" s="6"/>
      <c r="BR152" s="6">
        <f t="shared" ref="BR152:BR158" si="38">IF(+R152-BN152+BP152&gt;0,R152-BN152+BP152,0)</f>
        <v>0</v>
      </c>
      <c r="BT152" s="6">
        <f t="shared" ref="BT152:BT157" si="39">+BN152+BR152</f>
        <v>69419</v>
      </c>
      <c r="BV152" s="6">
        <f t="shared" ref="BV152:BV157" si="40">+R152-BT152</f>
        <v>0</v>
      </c>
      <c r="BW152" s="6"/>
    </row>
    <row r="153" spans="1:75">
      <c r="A153" s="57"/>
      <c r="B153" s="17" t="s">
        <v>212</v>
      </c>
      <c r="C153"/>
      <c r="D153"/>
      <c r="E153"/>
      <c r="F153"/>
      <c r="G153"/>
      <c r="H153"/>
      <c r="I153"/>
      <c r="J153" s="49"/>
      <c r="K153"/>
      <c r="L153" s="134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f t="shared" si="37"/>
        <v>0</v>
      </c>
      <c r="BO153" s="6"/>
      <c r="BP153" s="227">
        <v>0</v>
      </c>
      <c r="BQ153" s="6"/>
      <c r="BR153" s="6">
        <f t="shared" si="38"/>
        <v>0</v>
      </c>
      <c r="BT153" s="6">
        <f t="shared" si="39"/>
        <v>0</v>
      </c>
      <c r="BV153" s="6">
        <f t="shared" si="40"/>
        <v>0</v>
      </c>
      <c r="BW153" s="6"/>
    </row>
    <row r="154" spans="1:75">
      <c r="A154" s="57"/>
      <c r="B154" s="17" t="s">
        <v>213</v>
      </c>
      <c r="C154"/>
      <c r="D154"/>
      <c r="E154"/>
      <c r="F154"/>
      <c r="G154"/>
      <c r="H154"/>
      <c r="I154"/>
      <c r="J154" s="49"/>
      <c r="K154"/>
      <c r="L154" s="134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f t="shared" si="37"/>
        <v>501836.64</v>
      </c>
      <c r="BO154" s="6"/>
      <c r="BP154" s="227">
        <v>0</v>
      </c>
      <c r="BQ154" s="6"/>
      <c r="BR154" s="6">
        <f t="shared" si="38"/>
        <v>0</v>
      </c>
      <c r="BT154" s="6">
        <f t="shared" si="39"/>
        <v>501836.64</v>
      </c>
      <c r="BV154" s="6">
        <f t="shared" si="40"/>
        <v>-501836.64</v>
      </c>
      <c r="BW154" s="6"/>
    </row>
    <row r="155" spans="1:75">
      <c r="A155" s="57"/>
      <c r="B155" s="17" t="s">
        <v>214</v>
      </c>
      <c r="C155"/>
      <c r="D155"/>
      <c r="E155"/>
      <c r="F155"/>
      <c r="G155"/>
      <c r="H155"/>
      <c r="I155"/>
      <c r="J155" s="49"/>
      <c r="K155"/>
      <c r="L155" s="134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0</v>
      </c>
      <c r="BM155" s="6"/>
      <c r="BN155" s="6">
        <f t="shared" si="37"/>
        <v>16722.88</v>
      </c>
      <c r="BO155" s="6"/>
      <c r="BP155" s="227">
        <v>0</v>
      </c>
      <c r="BQ155" s="6"/>
      <c r="BR155" s="6">
        <f t="shared" si="38"/>
        <v>0</v>
      </c>
      <c r="BT155" s="6">
        <f t="shared" si="39"/>
        <v>16722.88</v>
      </c>
      <c r="BV155" s="6">
        <f t="shared" si="40"/>
        <v>-16722.88</v>
      </c>
      <c r="BW155" s="6"/>
    </row>
    <row r="156" spans="1:75">
      <c r="A156" s="57"/>
      <c r="B156" s="17" t="s">
        <v>215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si="37"/>
        <v>0</v>
      </c>
      <c r="BO156" s="6"/>
      <c r="BP156" s="227">
        <v>0</v>
      </c>
      <c r="BQ156" s="6"/>
      <c r="BR156" s="6">
        <f t="shared" si="38"/>
        <v>0</v>
      </c>
      <c r="BT156" s="6">
        <f t="shared" si="39"/>
        <v>0</v>
      </c>
      <c r="BV156" s="6">
        <f t="shared" si="40"/>
        <v>0</v>
      </c>
      <c r="BW156" s="6"/>
    </row>
    <row r="157" spans="1:75">
      <c r="A157" s="57"/>
      <c r="B157" s="17" t="s">
        <v>121</v>
      </c>
      <c r="C157"/>
      <c r="D157"/>
      <c r="E157"/>
      <c r="F157"/>
      <c r="G157"/>
      <c r="H157"/>
      <c r="I157"/>
      <c r="J157" s="49"/>
      <c r="K157"/>
      <c r="L157" s="134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/>
      <c r="BM157" s="6"/>
      <c r="BN157" s="6">
        <f t="shared" si="37"/>
        <v>609737.94999999995</v>
      </c>
      <c r="BO157" s="6"/>
      <c r="BP157" s="227">
        <v>0</v>
      </c>
      <c r="BQ157" s="6"/>
      <c r="BR157" s="6">
        <f t="shared" si="38"/>
        <v>0</v>
      </c>
      <c r="BT157" s="6">
        <f t="shared" si="39"/>
        <v>609737.94999999995</v>
      </c>
      <c r="BV157" s="6">
        <f t="shared" si="40"/>
        <v>-139156.94999999995</v>
      </c>
      <c r="BW157" s="6"/>
    </row>
    <row r="158" spans="1:75">
      <c r="A158" s="57"/>
      <c r="B158" s="17"/>
      <c r="C158"/>
      <c r="D158"/>
      <c r="E158"/>
      <c r="F158"/>
      <c r="G158"/>
      <c r="H158"/>
      <c r="I158"/>
      <c r="J158" s="49"/>
      <c r="K158"/>
      <c r="L158" s="134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O158" s="6"/>
      <c r="BP158" s="227"/>
      <c r="BQ158" s="6"/>
      <c r="BR158" s="6">
        <f t="shared" si="38"/>
        <v>0</v>
      </c>
      <c r="BW158" s="6"/>
    </row>
    <row r="159" spans="1:75" s="21" customFormat="1">
      <c r="A159" s="118"/>
      <c r="B159" s="58" t="s">
        <v>183</v>
      </c>
      <c r="J159" s="8"/>
      <c r="L159" s="143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0</v>
      </c>
      <c r="BM159" s="9"/>
      <c r="BN159" s="102">
        <f>SUM(BN152:BN158)</f>
        <v>1197716.47</v>
      </c>
      <c r="BO159" s="9"/>
      <c r="BP159" s="102">
        <f>SUM(BP152:BP158)</f>
        <v>0</v>
      </c>
      <c r="BQ159" s="9"/>
      <c r="BR159" s="102">
        <f>SUM(BR152:BR158)</f>
        <v>0</v>
      </c>
      <c r="BS159" s="9"/>
      <c r="BT159" s="102">
        <f>SUM(BT152:BT158)</f>
        <v>1197716.47</v>
      </c>
      <c r="BU159" s="9"/>
      <c r="BV159" s="102">
        <f>SUM(BV152:BV158)</f>
        <v>-657716.47</v>
      </c>
      <c r="BW159" s="9"/>
    </row>
    <row r="160" spans="1:75" s="21" customFormat="1">
      <c r="A160" s="118"/>
      <c r="B160" s="58"/>
      <c r="J160" s="8"/>
      <c r="L160" s="143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</row>
    <row r="161" spans="1:74">
      <c r="A161" s="56" t="s">
        <v>284</v>
      </c>
      <c r="B161" s="11"/>
      <c r="C161"/>
      <c r="D161"/>
      <c r="E161"/>
      <c r="F161"/>
      <c r="G161"/>
      <c r="H161"/>
      <c r="I161"/>
      <c r="J161"/>
      <c r="K161" s="134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O161" s="6"/>
      <c r="BP161" s="6"/>
      <c r="BQ161" s="6"/>
      <c r="BV161" s="4"/>
    </row>
    <row r="162" spans="1:74">
      <c r="A162" s="56"/>
      <c r="B162" s="11" t="s">
        <v>270</v>
      </c>
      <c r="C162"/>
      <c r="D162"/>
      <c r="E162"/>
      <c r="F162"/>
      <c r="G162"/>
      <c r="H162"/>
      <c r="I162"/>
      <c r="J162"/>
      <c r="K162" s="134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>
        <v>0</v>
      </c>
      <c r="BM162" s="6"/>
      <c r="BN162" s="6">
        <f>SUM(T162:BM162)</f>
        <v>145668.99</v>
      </c>
      <c r="BO162" s="6"/>
      <c r="BP162" s="6">
        <v>0</v>
      </c>
      <c r="BQ162" s="6"/>
      <c r="BR162" s="6">
        <v>225000</v>
      </c>
      <c r="BT162" s="6">
        <f>+BN162+BR162</f>
        <v>370668.99</v>
      </c>
      <c r="BV162" s="6">
        <f t="shared" ref="BV162:BV181" si="41">+R162-BT162</f>
        <v>-310668.99</v>
      </c>
    </row>
    <row r="163" spans="1:74">
      <c r="A163" s="56"/>
      <c r="B163" s="11" t="s">
        <v>271</v>
      </c>
      <c r="C163"/>
      <c r="D163"/>
      <c r="E163"/>
      <c r="F163"/>
      <c r="G163"/>
      <c r="H163"/>
      <c r="I163"/>
      <c r="J163"/>
      <c r="K163" s="134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f>SUM(T163:BM163)</f>
        <v>58683.839999999997</v>
      </c>
      <c r="BO163" s="6"/>
      <c r="BP163" s="6">
        <v>0</v>
      </c>
      <c r="BQ163" s="6"/>
      <c r="BR163" s="6">
        <f>IF(+R163-BN163+BP163&gt;0,R163-BN163+BP163,0)</f>
        <v>0</v>
      </c>
      <c r="BT163" s="6">
        <f>+BN163+BR163</f>
        <v>58683.839999999997</v>
      </c>
      <c r="BV163" s="6">
        <f t="shared" si="41"/>
        <v>-23683.839999999997</v>
      </c>
    </row>
    <row r="164" spans="1:74">
      <c r="A164" s="56"/>
      <c r="B164" s="11" t="s">
        <v>343</v>
      </c>
      <c r="C164"/>
      <c r="D164"/>
      <c r="E164"/>
      <c r="F164"/>
      <c r="G164"/>
      <c r="H164"/>
      <c r="I164"/>
      <c r="J164"/>
      <c r="K164" s="134" t="s">
        <v>202</v>
      </c>
      <c r="L164" s="255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50">
        <f>4233+9786+3968+65917+481221+352403-1</f>
        <v>917527</v>
      </c>
      <c r="BD164" s="6">
        <v>0</v>
      </c>
      <c r="BF164" s="6">
        <v>0</v>
      </c>
      <c r="BL164" s="6">
        <v>0</v>
      </c>
      <c r="BM164" s="6"/>
      <c r="BN164" s="6">
        <f>SUM(T164:BM164)</f>
        <v>917527</v>
      </c>
      <c r="BO164" s="6"/>
      <c r="BP164" s="6"/>
      <c r="BQ164" s="6"/>
      <c r="BR164" s="6">
        <f>IF(+R164-BN164+BP164&gt;0,R164-BN164+BP164,0)</f>
        <v>686786</v>
      </c>
      <c r="BT164" s="6">
        <f>+BN164+BR164</f>
        <v>1604313</v>
      </c>
      <c r="BV164" s="6">
        <f t="shared" si="41"/>
        <v>0</v>
      </c>
    </row>
    <row r="165" spans="1:74">
      <c r="A165" s="56"/>
      <c r="B165" s="11" t="s">
        <v>344</v>
      </c>
      <c r="C165"/>
      <c r="D165"/>
      <c r="E165"/>
      <c r="F165"/>
      <c r="G165"/>
      <c r="H165"/>
      <c r="I165"/>
      <c r="J165"/>
      <c r="K165" s="134"/>
      <c r="L165" s="255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/>
      <c r="BM165" s="6"/>
      <c r="BN165" s="6">
        <f t="shared" ref="BN165:BN181" si="42">SUM(T165:BM165)</f>
        <v>351211</v>
      </c>
      <c r="BO165" s="6"/>
      <c r="BP165" s="6"/>
      <c r="BQ165" s="6"/>
      <c r="BR165" s="6">
        <f t="shared" ref="BR165:BR176" si="43">IF(+R165-BN165+BP165&gt;0,R165-BN165+BP165,0)</f>
        <v>405152</v>
      </c>
      <c r="BT165" s="6">
        <f t="shared" ref="BT165:BT181" si="44">+BN165+BR165</f>
        <v>756363</v>
      </c>
      <c r="BV165" s="6">
        <f t="shared" si="41"/>
        <v>0</v>
      </c>
    </row>
    <row r="166" spans="1:74">
      <c r="A166" s="56"/>
      <c r="B166" s="11" t="s">
        <v>345</v>
      </c>
      <c r="C166"/>
      <c r="D166"/>
      <c r="E166"/>
      <c r="F166"/>
      <c r="G166"/>
      <c r="H166"/>
      <c r="I166"/>
      <c r="J166"/>
      <c r="K166" s="134"/>
      <c r="L166" s="255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/>
      <c r="BM166" s="6"/>
      <c r="BN166" s="6">
        <f t="shared" si="42"/>
        <v>0</v>
      </c>
      <c r="BO166" s="6"/>
      <c r="BP166" s="6"/>
      <c r="BQ166" s="6"/>
      <c r="BR166" s="6">
        <f t="shared" si="43"/>
        <v>21072</v>
      </c>
      <c r="BT166" s="6">
        <f t="shared" si="44"/>
        <v>21072</v>
      </c>
      <c r="BV166" s="6">
        <f t="shared" si="41"/>
        <v>0</v>
      </c>
    </row>
    <row r="167" spans="1:74">
      <c r="A167" s="56"/>
      <c r="B167" s="11" t="s">
        <v>346</v>
      </c>
      <c r="C167"/>
      <c r="D167"/>
      <c r="E167"/>
      <c r="F167"/>
      <c r="G167"/>
      <c r="H167"/>
      <c r="I167"/>
      <c r="J167"/>
      <c r="K167" s="134"/>
      <c r="L167" s="255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/>
      <c r="BM167" s="6"/>
      <c r="BN167" s="6">
        <f t="shared" si="42"/>
        <v>81598</v>
      </c>
      <c r="BO167" s="6"/>
      <c r="BP167" s="6"/>
      <c r="BQ167" s="6"/>
      <c r="BR167" s="6">
        <f t="shared" si="43"/>
        <v>55118</v>
      </c>
      <c r="BT167" s="6">
        <f t="shared" si="44"/>
        <v>136716</v>
      </c>
      <c r="BV167" s="6">
        <f t="shared" si="41"/>
        <v>0</v>
      </c>
    </row>
    <row r="168" spans="1:74">
      <c r="A168" s="56"/>
      <c r="B168" s="11" t="s">
        <v>347</v>
      </c>
      <c r="C168"/>
      <c r="D168"/>
      <c r="E168"/>
      <c r="F168"/>
      <c r="G168"/>
      <c r="H168"/>
      <c r="I168"/>
      <c r="J168"/>
      <c r="K168" s="134"/>
      <c r="L168" s="255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/>
      <c r="BM168" s="6"/>
      <c r="BN168" s="6">
        <f t="shared" si="42"/>
        <v>252072</v>
      </c>
      <c r="BO168" s="6"/>
      <c r="BP168" s="6"/>
      <c r="BQ168" s="6"/>
      <c r="BR168" s="6">
        <f t="shared" si="43"/>
        <v>166834</v>
      </c>
      <c r="BT168" s="6">
        <f t="shared" si="44"/>
        <v>418906</v>
      </c>
      <c r="BV168" s="6">
        <f t="shared" si="41"/>
        <v>0</v>
      </c>
    </row>
    <row r="169" spans="1:74">
      <c r="A169" s="56"/>
      <c r="B169" s="11" t="s">
        <v>348</v>
      </c>
      <c r="C169"/>
      <c r="D169"/>
      <c r="E169"/>
      <c r="F169"/>
      <c r="G169"/>
      <c r="H169"/>
      <c r="I169"/>
      <c r="J169"/>
      <c r="K169" s="134"/>
      <c r="L169" s="255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/>
      <c r="BM169" s="6"/>
      <c r="BN169" s="6">
        <f t="shared" si="42"/>
        <v>51071</v>
      </c>
      <c r="BO169" s="6"/>
      <c r="BP169" s="6"/>
      <c r="BQ169" s="6"/>
      <c r="BR169" s="6">
        <f t="shared" si="43"/>
        <v>28947</v>
      </c>
      <c r="BT169" s="6">
        <f t="shared" si="44"/>
        <v>80018</v>
      </c>
      <c r="BV169" s="6">
        <f t="shared" si="41"/>
        <v>0</v>
      </c>
    </row>
    <row r="170" spans="1:74">
      <c r="A170" s="56"/>
      <c r="B170" s="11" t="s">
        <v>349</v>
      </c>
      <c r="C170"/>
      <c r="D170"/>
      <c r="E170"/>
      <c r="F170"/>
      <c r="G170"/>
      <c r="H170"/>
      <c r="I170"/>
      <c r="J170"/>
      <c r="K170" s="134"/>
      <c r="L170" s="255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/>
      <c r="BM170" s="6"/>
      <c r="BN170" s="6">
        <f t="shared" si="42"/>
        <v>37032</v>
      </c>
      <c r="BO170" s="6"/>
      <c r="BP170" s="6"/>
      <c r="BQ170" s="6"/>
      <c r="BR170" s="6">
        <f t="shared" si="43"/>
        <v>12997</v>
      </c>
      <c r="BT170" s="6">
        <f t="shared" si="44"/>
        <v>50029</v>
      </c>
      <c r="BV170" s="6">
        <f t="shared" si="41"/>
        <v>0</v>
      </c>
    </row>
    <row r="171" spans="1:74">
      <c r="A171" s="56"/>
      <c r="B171" s="11" t="s">
        <v>350</v>
      </c>
      <c r="C171"/>
      <c r="D171"/>
      <c r="E171"/>
      <c r="F171"/>
      <c r="G171"/>
      <c r="H171"/>
      <c r="I171"/>
      <c r="J171"/>
      <c r="K171" s="134"/>
      <c r="L171" s="255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/>
      <c r="BM171" s="6"/>
      <c r="BN171" s="6">
        <f t="shared" si="42"/>
        <v>31121</v>
      </c>
      <c r="BO171" s="6"/>
      <c r="BP171" s="6"/>
      <c r="BQ171" s="6"/>
      <c r="BR171" s="6">
        <f t="shared" si="43"/>
        <v>30636</v>
      </c>
      <c r="BT171" s="6">
        <f t="shared" si="44"/>
        <v>61757</v>
      </c>
      <c r="BV171" s="6">
        <f t="shared" si="41"/>
        <v>0</v>
      </c>
    </row>
    <row r="172" spans="1:74">
      <c r="A172" s="56"/>
      <c r="B172" s="11" t="s">
        <v>351</v>
      </c>
      <c r="C172"/>
      <c r="D172"/>
      <c r="E172"/>
      <c r="F172"/>
      <c r="G172"/>
      <c r="H172"/>
      <c r="I172"/>
      <c r="J172"/>
      <c r="K172" s="134"/>
      <c r="L172" s="255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/>
      <c r="BM172" s="6"/>
      <c r="BN172" s="6">
        <f t="shared" si="42"/>
        <v>2847</v>
      </c>
      <c r="BO172" s="6"/>
      <c r="BP172" s="6"/>
      <c r="BQ172" s="6"/>
      <c r="BR172" s="6">
        <f t="shared" si="43"/>
        <v>19115</v>
      </c>
      <c r="BT172" s="6">
        <f t="shared" si="44"/>
        <v>21962</v>
      </c>
      <c r="BV172" s="6">
        <f t="shared" si="41"/>
        <v>0</v>
      </c>
    </row>
    <row r="173" spans="1:74">
      <c r="A173" s="56"/>
      <c r="B173" s="11" t="s">
        <v>352</v>
      </c>
      <c r="C173"/>
      <c r="D173"/>
      <c r="E173"/>
      <c r="F173"/>
      <c r="G173"/>
      <c r="H173"/>
      <c r="I173"/>
      <c r="J173"/>
      <c r="K173" s="134"/>
      <c r="L173" s="255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/>
      <c r="BM173" s="6"/>
      <c r="BN173" s="6">
        <f t="shared" si="42"/>
        <v>47960</v>
      </c>
      <c r="BO173" s="6"/>
      <c r="BP173" s="6"/>
      <c r="BQ173" s="6"/>
      <c r="BR173" s="6">
        <f t="shared" si="43"/>
        <v>77553</v>
      </c>
      <c r="BT173" s="6">
        <f t="shared" si="44"/>
        <v>125513</v>
      </c>
      <c r="BV173" s="6">
        <f t="shared" si="41"/>
        <v>0</v>
      </c>
    </row>
    <row r="174" spans="1:74">
      <c r="A174" s="56"/>
      <c r="B174" s="11" t="s">
        <v>353</v>
      </c>
      <c r="C174"/>
      <c r="D174"/>
      <c r="E174"/>
      <c r="F174"/>
      <c r="G174"/>
      <c r="H174"/>
      <c r="I174"/>
      <c r="J174"/>
      <c r="K174" s="134"/>
      <c r="L174" s="255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/>
      <c r="BM174" s="6"/>
      <c r="BN174" s="6">
        <f t="shared" si="42"/>
        <v>117954</v>
      </c>
      <c r="BO174" s="6"/>
      <c r="BP174" s="6"/>
      <c r="BQ174" s="6"/>
      <c r="BR174" s="6">
        <f t="shared" si="43"/>
        <v>141176</v>
      </c>
      <c r="BT174" s="6">
        <f t="shared" si="44"/>
        <v>259130</v>
      </c>
      <c r="BV174" s="6">
        <f t="shared" si="41"/>
        <v>0</v>
      </c>
    </row>
    <row r="175" spans="1:74">
      <c r="A175" s="56"/>
      <c r="B175" s="11" t="s">
        <v>354</v>
      </c>
      <c r="C175"/>
      <c r="D175"/>
      <c r="E175"/>
      <c r="F175"/>
      <c r="G175"/>
      <c r="H175"/>
      <c r="I175"/>
      <c r="J175"/>
      <c r="K175" s="134"/>
      <c r="L175" s="255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/>
      <c r="BM175" s="6"/>
      <c r="BN175" s="6">
        <f t="shared" si="42"/>
        <v>5812</v>
      </c>
      <c r="BO175" s="6"/>
      <c r="BP175" s="6"/>
      <c r="BQ175" s="6"/>
      <c r="BR175" s="6">
        <f t="shared" si="43"/>
        <v>24690</v>
      </c>
      <c r="BT175" s="6">
        <f t="shared" si="44"/>
        <v>30502</v>
      </c>
      <c r="BV175" s="6">
        <f t="shared" si="41"/>
        <v>0</v>
      </c>
    </row>
    <row r="176" spans="1:74">
      <c r="A176" s="56"/>
      <c r="B176" s="11" t="s">
        <v>355</v>
      </c>
      <c r="C176"/>
      <c r="D176"/>
      <c r="E176"/>
      <c r="F176"/>
      <c r="G176"/>
      <c r="H176"/>
      <c r="I176"/>
      <c r="J176"/>
      <c r="K176" s="134"/>
      <c r="L176" s="255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/>
      <c r="BM176" s="6"/>
      <c r="BN176" s="6">
        <f t="shared" si="42"/>
        <v>2067</v>
      </c>
      <c r="BO176" s="6"/>
      <c r="BP176" s="6"/>
      <c r="BQ176" s="6"/>
      <c r="BR176" s="6">
        <f t="shared" si="43"/>
        <v>10856</v>
      </c>
      <c r="BT176" s="6">
        <f t="shared" si="44"/>
        <v>12923</v>
      </c>
      <c r="BV176" s="6">
        <f t="shared" si="41"/>
        <v>0</v>
      </c>
    </row>
    <row r="177" spans="1:75">
      <c r="A177" s="56"/>
      <c r="B177" s="11" t="s">
        <v>356</v>
      </c>
      <c r="C177"/>
      <c r="D177"/>
      <c r="E177"/>
      <c r="F177"/>
      <c r="G177"/>
      <c r="H177"/>
      <c r="I177"/>
      <c r="J177"/>
      <c r="K177" s="134"/>
      <c r="L177" s="255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/>
      <c r="BM177" s="6"/>
      <c r="BN177" s="6">
        <f t="shared" si="42"/>
        <v>11684</v>
      </c>
      <c r="BO177" s="6"/>
      <c r="BP177" s="6"/>
      <c r="BQ177" s="6"/>
      <c r="BR177" s="6">
        <f>IF(+R177-BN177+BP177&gt;0,R177-BN177+BP177,0)</f>
        <v>17859</v>
      </c>
      <c r="BT177" s="6">
        <f t="shared" si="44"/>
        <v>29543</v>
      </c>
      <c r="BV177" s="6">
        <f t="shared" si="41"/>
        <v>0</v>
      </c>
    </row>
    <row r="178" spans="1:75">
      <c r="A178" s="56"/>
      <c r="B178" s="11" t="s">
        <v>357</v>
      </c>
      <c r="C178"/>
      <c r="D178"/>
      <c r="E178"/>
      <c r="F178"/>
      <c r="G178"/>
      <c r="H178"/>
      <c r="I178"/>
      <c r="J178"/>
      <c r="K178" s="134"/>
      <c r="L178" s="255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/>
      <c r="BM178" s="6"/>
      <c r="BN178" s="6">
        <f t="shared" si="42"/>
        <v>21959</v>
      </c>
      <c r="BO178" s="6"/>
      <c r="BP178" s="6"/>
      <c r="BQ178" s="6"/>
      <c r="BR178" s="6">
        <f>IF(+R178-BN178+BP178&gt;0,R178-BN178+BP178,0)</f>
        <v>9432</v>
      </c>
      <c r="BT178" s="6">
        <f t="shared" si="44"/>
        <v>31391</v>
      </c>
      <c r="BV178" s="6">
        <f t="shared" si="41"/>
        <v>0</v>
      </c>
    </row>
    <row r="179" spans="1:75">
      <c r="A179" s="56"/>
      <c r="B179" s="11" t="s">
        <v>358</v>
      </c>
      <c r="C179"/>
      <c r="D179"/>
      <c r="E179"/>
      <c r="F179"/>
      <c r="G179"/>
      <c r="H179"/>
      <c r="I179"/>
      <c r="J179"/>
      <c r="K179" s="134"/>
      <c r="L179" s="255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/>
      <c r="BM179" s="6"/>
      <c r="BN179" s="6">
        <f t="shared" si="42"/>
        <v>14054</v>
      </c>
      <c r="BO179" s="6"/>
      <c r="BP179" s="6"/>
      <c r="BQ179" s="6"/>
      <c r="BR179" s="6">
        <f>IF(+R179-BN179+BP179&gt;0,R179-BN179+BP179,0)</f>
        <v>8183</v>
      </c>
      <c r="BT179" s="6">
        <f t="shared" si="44"/>
        <v>22237</v>
      </c>
      <c r="BV179" s="6">
        <f t="shared" si="41"/>
        <v>0</v>
      </c>
    </row>
    <row r="180" spans="1:75">
      <c r="A180" s="56"/>
      <c r="B180" s="11" t="s">
        <v>79</v>
      </c>
      <c r="C180"/>
      <c r="D180"/>
      <c r="E180"/>
      <c r="F180"/>
      <c r="G180"/>
      <c r="H180"/>
      <c r="I180"/>
      <c r="J180"/>
      <c r="K180" s="134"/>
      <c r="L180" s="255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L180" s="6"/>
      <c r="BM180" s="6"/>
      <c r="BN180" s="6">
        <f t="shared" si="42"/>
        <v>837000</v>
      </c>
      <c r="BO180" s="6"/>
      <c r="BP180" s="6"/>
      <c r="BQ180" s="6"/>
      <c r="BR180" s="6">
        <v>-837000</v>
      </c>
      <c r="BT180" s="6">
        <f t="shared" si="44"/>
        <v>0</v>
      </c>
      <c r="BV180" s="6">
        <f t="shared" si="41"/>
        <v>0</v>
      </c>
    </row>
    <row r="181" spans="1:75">
      <c r="A181" s="56"/>
      <c r="B181" s="11" t="s">
        <v>360</v>
      </c>
      <c r="C181"/>
      <c r="D181"/>
      <c r="E181"/>
      <c r="F181"/>
      <c r="G181"/>
      <c r="H181"/>
      <c r="I181"/>
      <c r="J181"/>
      <c r="K181" s="134"/>
      <c r="L181" s="255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>
        <f t="shared" si="42"/>
        <v>0</v>
      </c>
      <c r="BO181" s="6"/>
      <c r="BP181" s="6">
        <v>1690117</v>
      </c>
      <c r="BQ181" s="6"/>
      <c r="BR181" s="6">
        <f>IF(+R181-BN181+BP181&gt;0,R181-BN181+BP181,0)</f>
        <v>132742</v>
      </c>
      <c r="BT181" s="6">
        <f t="shared" si="44"/>
        <v>132742</v>
      </c>
      <c r="BV181" s="6">
        <f t="shared" si="41"/>
        <v>-1690117</v>
      </c>
    </row>
    <row r="182" spans="1:75" s="21" customFormat="1">
      <c r="A182" s="56"/>
      <c r="B182" s="31" t="s">
        <v>273</v>
      </c>
      <c r="K182" s="143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W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0</v>
      </c>
      <c r="BM182" s="102">
        <f t="shared" si="45"/>
        <v>0</v>
      </c>
      <c r="BN182" s="102">
        <f t="shared" si="45"/>
        <v>2987321.83</v>
      </c>
      <c r="BO182" s="102">
        <f t="shared" si="45"/>
        <v>0</v>
      </c>
      <c r="BP182" s="102">
        <f t="shared" si="45"/>
        <v>1690117</v>
      </c>
      <c r="BQ182" s="102">
        <f t="shared" si="45"/>
        <v>0</v>
      </c>
      <c r="BR182" s="102">
        <f t="shared" si="45"/>
        <v>1237148</v>
      </c>
      <c r="BS182" s="102">
        <f t="shared" si="45"/>
        <v>0</v>
      </c>
      <c r="BT182" s="102">
        <f t="shared" si="45"/>
        <v>4224469.83</v>
      </c>
      <c r="BU182" s="102">
        <f t="shared" si="45"/>
        <v>0</v>
      </c>
      <c r="BV182" s="102">
        <f t="shared" si="45"/>
        <v>-2024469.83</v>
      </c>
      <c r="BW182" s="102">
        <f t="shared" si="45"/>
        <v>0</v>
      </c>
    </row>
    <row r="183" spans="1:75" s="21" customFormat="1">
      <c r="A183" s="56"/>
      <c r="B183" s="31"/>
      <c r="K183" s="143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</row>
    <row r="184" spans="1:75" s="21" customFormat="1">
      <c r="A184" s="56" t="s">
        <v>29</v>
      </c>
      <c r="B184" s="31"/>
      <c r="J184" s="8" t="s">
        <v>0</v>
      </c>
      <c r="L184" s="134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v>0</v>
      </c>
      <c r="BM184" s="9"/>
      <c r="BN184" s="9">
        <f>SUM(T184:BM184)</f>
        <v>709845.77</v>
      </c>
      <c r="BO184" s="9"/>
      <c r="BP184" s="9">
        <v>0</v>
      </c>
      <c r="BQ184" s="9"/>
      <c r="BR184" s="6">
        <f>IF(+R184-BN184+BP184&gt;0,R184-BN184+BP184,0)</f>
        <v>390154.23</v>
      </c>
      <c r="BS184" s="9"/>
      <c r="BT184" s="9">
        <f>+BN184+BR184</f>
        <v>1100000</v>
      </c>
      <c r="BU184" s="9"/>
      <c r="BV184" s="9">
        <f>+R184-BT184</f>
        <v>0</v>
      </c>
      <c r="BW184" s="9"/>
    </row>
    <row r="185" spans="1:75" s="21" customFormat="1">
      <c r="A185" s="118"/>
      <c r="B185" s="58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</row>
    <row r="186" spans="1:75" s="15" customFormat="1">
      <c r="A186" s="111" t="s">
        <v>285</v>
      </c>
      <c r="B186" s="60"/>
      <c r="C186"/>
      <c r="D186"/>
      <c r="E186"/>
      <c r="F186"/>
      <c r="G186"/>
      <c r="H186"/>
      <c r="I186"/>
      <c r="J186" s="49"/>
      <c r="K186"/>
      <c r="L186" s="13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</row>
    <row r="187" spans="1:75" s="15" customFormat="1" hidden="1">
      <c r="A187" s="14"/>
      <c r="B187" s="60" t="s">
        <v>179</v>
      </c>
      <c r="C187"/>
      <c r="D187"/>
      <c r="E187"/>
      <c r="F187"/>
      <c r="G187"/>
      <c r="H187"/>
      <c r="I187"/>
      <c r="J187" s="49"/>
      <c r="K187"/>
      <c r="L187" s="134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f>SUM(T187:BM187)</f>
        <v>0</v>
      </c>
      <c r="BO187" s="22"/>
      <c r="BP187" s="22">
        <v>0</v>
      </c>
      <c r="BQ187" s="22"/>
      <c r="BR187" s="22">
        <f>+R187-BN187+BP187</f>
        <v>0</v>
      </c>
      <c r="BS187" s="22"/>
      <c r="BT187" s="6">
        <f>+BN187+BR187</f>
        <v>0</v>
      </c>
      <c r="BU187" s="22"/>
      <c r="BV187" s="6">
        <f>+R187-BT187</f>
        <v>0</v>
      </c>
      <c r="BW187" s="22"/>
    </row>
    <row r="188" spans="1:75" s="15" customFormat="1">
      <c r="A188" s="14"/>
      <c r="B188" s="60" t="s">
        <v>286</v>
      </c>
      <c r="C188"/>
      <c r="D188"/>
      <c r="E188"/>
      <c r="F188"/>
      <c r="G188"/>
      <c r="H188"/>
      <c r="I188"/>
      <c r="J188" s="49"/>
      <c r="K188"/>
      <c r="L188" s="134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f>SUM(T188:BM188)</f>
        <v>1097879.92</v>
      </c>
      <c r="BO188" s="22"/>
      <c r="BP188" s="22">
        <v>0</v>
      </c>
      <c r="BQ188" s="22"/>
      <c r="BR188" s="6">
        <f>IF(+R188-BN188+BP188&gt;0,R188-BN188+BP188,0)</f>
        <v>0</v>
      </c>
      <c r="BS188" s="22"/>
      <c r="BT188" s="6">
        <f>+BN188+BR188</f>
        <v>1097879.92</v>
      </c>
      <c r="BU188" s="22"/>
      <c r="BV188" s="6">
        <f>+R188-BT188</f>
        <v>-597879.91999999993</v>
      </c>
      <c r="BW188" s="22"/>
    </row>
    <row r="189" spans="1:75" s="15" customFormat="1" hidden="1">
      <c r="A189" s="14"/>
      <c r="B189" s="60" t="s">
        <v>121</v>
      </c>
      <c r="C189"/>
      <c r="D189"/>
      <c r="E189"/>
      <c r="F189"/>
      <c r="G189"/>
      <c r="H189"/>
      <c r="I189"/>
      <c r="J189" s="49"/>
      <c r="K189"/>
      <c r="L189" s="134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f>SUM(T189:BM189)</f>
        <v>0</v>
      </c>
      <c r="BO189" s="22"/>
      <c r="BP189" s="22">
        <v>0</v>
      </c>
      <c r="BQ189" s="22"/>
      <c r="BR189" s="22">
        <f>+R189-BN189+BP189</f>
        <v>0</v>
      </c>
      <c r="BS189" s="22"/>
      <c r="BT189" s="6">
        <f>+BN189+BR189</f>
        <v>0</v>
      </c>
      <c r="BU189" s="22"/>
      <c r="BV189" s="6">
        <f>+R189-BT189</f>
        <v>0</v>
      </c>
      <c r="BW189" s="22"/>
    </row>
    <row r="190" spans="1:75" s="104" customFormat="1">
      <c r="A190" s="111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3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1097879.92</v>
      </c>
      <c r="BO190" s="16"/>
      <c r="BP190" s="108">
        <f>SUM(BP187:BP189)</f>
        <v>0</v>
      </c>
      <c r="BQ190" s="16"/>
      <c r="BR190" s="108">
        <f>SUM(BR187:BR189)</f>
        <v>0</v>
      </c>
      <c r="BS190" s="16"/>
      <c r="BT190" s="108">
        <f>SUM(BT187:BT189)</f>
        <v>1097879.92</v>
      </c>
      <c r="BU190" s="16"/>
      <c r="BV190" s="108">
        <f>SUM(BV187:BV189)</f>
        <v>-597879.91999999993</v>
      </c>
      <c r="BW190" s="16"/>
    </row>
    <row r="191" spans="1:75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3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</row>
    <row r="192" spans="1:75" s="31" customFormat="1">
      <c r="A192" s="58" t="s">
        <v>31</v>
      </c>
      <c r="J192" s="159"/>
      <c r="L192" s="145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f>SUM(T192:BM192)</f>
        <v>200935.25</v>
      </c>
      <c r="BO192" s="10"/>
      <c r="BP192" s="10">
        <v>0</v>
      </c>
      <c r="BQ192" s="10"/>
      <c r="BR192" s="6">
        <f>IF(+R192-BN192+BP192&gt;0,R192-BN192+BP192,0)</f>
        <v>0</v>
      </c>
      <c r="BS192" s="10"/>
      <c r="BT192" s="9">
        <f>+BN192+BR192</f>
        <v>200935.25</v>
      </c>
      <c r="BU192" s="10"/>
      <c r="BV192" s="9">
        <f>+R192-BT192</f>
        <v>-935.25</v>
      </c>
      <c r="BW192" s="10"/>
    </row>
    <row r="193" spans="1:124" s="15" customFormat="1">
      <c r="A193" s="14"/>
      <c r="B193" s="60"/>
      <c r="C193"/>
      <c r="D193"/>
      <c r="E193"/>
      <c r="F193"/>
      <c r="G193"/>
      <c r="H193"/>
      <c r="I193"/>
      <c r="J193" s="49"/>
      <c r="K193"/>
      <c r="L193" s="13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</row>
    <row r="194" spans="1:124" s="31" customFormat="1">
      <c r="A194" s="58" t="s">
        <v>32</v>
      </c>
      <c r="J194" s="159"/>
      <c r="L194" s="145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>
        <v>0</v>
      </c>
      <c r="BM194" s="10"/>
      <c r="BN194" s="10">
        <f>SUM(T194:BM194)</f>
        <v>112115.35</v>
      </c>
      <c r="BO194" s="10"/>
      <c r="BP194" s="10">
        <v>-87885</v>
      </c>
      <c r="BQ194" s="10"/>
      <c r="BR194" s="6">
        <f>IF(+R194-BN194+BP194&gt;0,R194-BN194+BP194,0)</f>
        <v>0</v>
      </c>
      <c r="BS194" s="10"/>
      <c r="BT194" s="9">
        <f>+BN194+BR194</f>
        <v>112115.35</v>
      </c>
      <c r="BU194" s="10"/>
      <c r="BV194" s="9">
        <f>+R194-BT194</f>
        <v>87884.65</v>
      </c>
      <c r="BW194" s="10"/>
    </row>
    <row r="195" spans="1:124" s="15" customFormat="1">
      <c r="A195" s="14"/>
      <c r="B195" s="60"/>
      <c r="C195"/>
      <c r="D195"/>
      <c r="E195"/>
      <c r="F195"/>
      <c r="G195"/>
      <c r="H195"/>
      <c r="I195"/>
      <c r="J195" s="49"/>
      <c r="K195"/>
      <c r="L195" s="13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</row>
    <row r="196" spans="1:124">
      <c r="A196" s="56" t="s">
        <v>33</v>
      </c>
      <c r="B196" s="11"/>
      <c r="C196"/>
      <c r="D196"/>
      <c r="E196"/>
      <c r="F196"/>
      <c r="G196"/>
      <c r="H196"/>
      <c r="I196"/>
      <c r="J196" s="49"/>
      <c r="K196"/>
      <c r="L196" s="134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O196" s="6"/>
      <c r="BP196" s="6"/>
      <c r="BQ196" s="6"/>
      <c r="BW196" s="6"/>
    </row>
    <row r="197" spans="1:124" s="11" customFormat="1">
      <c r="A197" s="17"/>
      <c r="B197" s="11" t="s">
        <v>184</v>
      </c>
      <c r="J197" s="160"/>
      <c r="L197" s="146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f t="shared" ref="BN197:BN202" si="46">SUM(T197:BM197)</f>
        <v>13179.81</v>
      </c>
      <c r="BO197" s="12"/>
      <c r="BP197" s="12">
        <v>0</v>
      </c>
      <c r="BQ197" s="12"/>
      <c r="BR197" s="6">
        <f>IF(+R197-BN197+BP197&gt;0,R197-BN197+BP197,0)</f>
        <v>86820.19</v>
      </c>
      <c r="BS197" s="12"/>
      <c r="BT197" s="6">
        <f t="shared" ref="BT197:BT202" si="47">+BN197+BR197</f>
        <v>100000</v>
      </c>
      <c r="BU197" s="12"/>
      <c r="BV197" s="6">
        <f t="shared" ref="BV197:BV202" si="48">+R197-BT197</f>
        <v>0</v>
      </c>
      <c r="BW197" s="12"/>
    </row>
    <row r="198" spans="1:124" s="11" customFormat="1">
      <c r="A198" s="17"/>
      <c r="B198" s="11" t="s">
        <v>34</v>
      </c>
      <c r="J198" s="160"/>
      <c r="L198" s="146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f t="shared" si="46"/>
        <v>100904.54</v>
      </c>
      <c r="BO198" s="12"/>
      <c r="BP198" s="12">
        <v>0</v>
      </c>
      <c r="BQ198" s="12"/>
      <c r="BR198" s="6">
        <f>IF(+R198-BN198+BP198&gt;0,R198-BN198+BP198,0)</f>
        <v>49095.460000000006</v>
      </c>
      <c r="BS198" s="12"/>
      <c r="BT198" s="6">
        <f t="shared" si="47"/>
        <v>150000</v>
      </c>
      <c r="BU198" s="12"/>
      <c r="BV198" s="6">
        <f t="shared" si="48"/>
        <v>0</v>
      </c>
      <c r="BW198" s="12"/>
    </row>
    <row r="199" spans="1:124" s="11" customFormat="1">
      <c r="A199" s="17"/>
      <c r="B199" s="11" t="s">
        <v>217</v>
      </c>
      <c r="J199" s="160"/>
      <c r="L199" s="146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f t="shared" si="46"/>
        <v>17043.53</v>
      </c>
      <c r="BO199" s="12"/>
      <c r="BP199" s="12">
        <v>0</v>
      </c>
      <c r="BQ199" s="12"/>
      <c r="BR199" s="6">
        <f>IF(+R199-BN199+BP199&gt;0,R199-BN199+BP199,0)</f>
        <v>7191.4700000000012</v>
      </c>
      <c r="BS199" s="12"/>
      <c r="BT199" s="6">
        <f t="shared" si="47"/>
        <v>24235</v>
      </c>
      <c r="BU199" s="12"/>
      <c r="BV199" s="6">
        <f t="shared" si="48"/>
        <v>0</v>
      </c>
      <c r="BW199" s="12"/>
    </row>
    <row r="200" spans="1:124" s="11" customFormat="1">
      <c r="A200" s="17"/>
      <c r="B200" s="11" t="s">
        <v>121</v>
      </c>
      <c r="J200" s="160"/>
      <c r="L200" s="146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v>8834</v>
      </c>
      <c r="BM200" s="12"/>
      <c r="BN200" s="12">
        <f t="shared" si="46"/>
        <v>736939.99</v>
      </c>
      <c r="BO200" s="12"/>
      <c r="BP200" s="12">
        <v>0</v>
      </c>
      <c r="BQ200" s="12"/>
      <c r="BR200" s="6">
        <f>IF(+R200-BN200+BP200&gt;0,R200-BN200+BP200,0)</f>
        <v>0</v>
      </c>
      <c r="BS200" s="12"/>
      <c r="BT200" s="6">
        <f t="shared" si="47"/>
        <v>736939.99</v>
      </c>
      <c r="BU200" s="12"/>
      <c r="BV200" s="6">
        <f t="shared" si="48"/>
        <v>-611174.99</v>
      </c>
      <c r="BW200" s="12"/>
    </row>
    <row r="201" spans="1:124" s="11" customFormat="1">
      <c r="A201" s="17"/>
      <c r="B201" s="11" t="s">
        <v>333</v>
      </c>
      <c r="J201" s="160"/>
      <c r="L201" s="146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>
        <f t="shared" si="46"/>
        <v>191012.90000000002</v>
      </c>
      <c r="BO201" s="12"/>
      <c r="BP201" s="12"/>
      <c r="BQ201" s="12"/>
      <c r="BR201" s="6">
        <f>IF(+R201-BN201+BP201&gt;0,R201-BN201+BP201,0)</f>
        <v>0</v>
      </c>
      <c r="BS201" s="12"/>
      <c r="BT201" s="6">
        <f t="shared" si="47"/>
        <v>191012.90000000002</v>
      </c>
      <c r="BU201" s="12"/>
      <c r="BV201" s="6">
        <f t="shared" si="48"/>
        <v>-191012.90000000002</v>
      </c>
      <c r="BW201" s="12"/>
    </row>
    <row r="202" spans="1:124" s="11" customFormat="1">
      <c r="A202" s="17"/>
      <c r="B202" s="11" t="s">
        <v>278</v>
      </c>
      <c r="J202" s="160"/>
      <c r="L202" s="146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>
        <f t="shared" si="46"/>
        <v>32203.279999999999</v>
      </c>
      <c r="BO202" s="12"/>
      <c r="BP202" s="12"/>
      <c r="BQ202" s="12"/>
      <c r="BR202" s="6"/>
      <c r="BS202" s="12"/>
      <c r="BT202" s="6">
        <f t="shared" si="47"/>
        <v>32203.279999999999</v>
      </c>
      <c r="BU202" s="12"/>
      <c r="BV202" s="6">
        <f t="shared" si="48"/>
        <v>-32203.279999999999</v>
      </c>
      <c r="BW202" s="12"/>
    </row>
    <row r="203" spans="1:124" s="21" customFormat="1">
      <c r="A203" s="56"/>
      <c r="B203" s="31" t="s">
        <v>40</v>
      </c>
      <c r="J203" s="8"/>
      <c r="L203" s="143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W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8834</v>
      </c>
      <c r="BM203" s="102">
        <f t="shared" si="49"/>
        <v>0</v>
      </c>
      <c r="BN203" s="108">
        <f t="shared" si="49"/>
        <v>1091284.05</v>
      </c>
      <c r="BO203" s="102">
        <f t="shared" si="49"/>
        <v>0</v>
      </c>
      <c r="BP203" s="102">
        <f t="shared" si="49"/>
        <v>0</v>
      </c>
      <c r="BQ203" s="102">
        <f t="shared" si="49"/>
        <v>0</v>
      </c>
      <c r="BR203" s="102">
        <f t="shared" si="49"/>
        <v>143107.12000000002</v>
      </c>
      <c r="BS203" s="102">
        <f t="shared" si="49"/>
        <v>0</v>
      </c>
      <c r="BT203" s="102">
        <f t="shared" si="49"/>
        <v>1234391.1700000002</v>
      </c>
      <c r="BU203" s="102">
        <f t="shared" si="49"/>
        <v>0</v>
      </c>
      <c r="BV203" s="102">
        <f t="shared" si="49"/>
        <v>-834391.17</v>
      </c>
      <c r="BW203" s="102">
        <f t="shared" si="49"/>
        <v>0</v>
      </c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>
      <c r="A205" s="56" t="s">
        <v>35</v>
      </c>
      <c r="B205" s="11"/>
      <c r="C205"/>
      <c r="D205"/>
      <c r="E205"/>
      <c r="F205"/>
      <c r="G205"/>
      <c r="H205"/>
      <c r="I205"/>
      <c r="J205" s="49"/>
      <c r="K205"/>
      <c r="L205" s="134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O205" s="6"/>
      <c r="BP205" s="6"/>
      <c r="BQ205" s="6"/>
      <c r="BW205" s="12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11" customFormat="1">
      <c r="A206" s="17"/>
      <c r="B206" s="11" t="s">
        <v>291</v>
      </c>
      <c r="J206" s="160"/>
      <c r="L206" s="146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81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81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f>SUM(T206:BM206)</f>
        <v>307065.39999999997</v>
      </c>
      <c r="BO206" s="12"/>
      <c r="BP206" s="12">
        <v>0</v>
      </c>
      <c r="BQ206" s="12"/>
      <c r="BR206" s="6">
        <f>IF(+R206-BN206+BP206&gt;0,R206-BN206+BP206,0)</f>
        <v>192934.60000000003</v>
      </c>
      <c r="BS206" s="12"/>
      <c r="BT206" s="6">
        <f>+BN206+BR206</f>
        <v>500000</v>
      </c>
      <c r="BU206" s="12"/>
      <c r="BV206" s="6">
        <f>+R206-BT206</f>
        <v>0</v>
      </c>
      <c r="BW206" s="12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11" customFormat="1">
      <c r="A207" s="17"/>
      <c r="B207" s="11" t="s">
        <v>341</v>
      </c>
      <c r="J207" s="160"/>
      <c r="L207" s="146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f>SUM(T207:BM207)</f>
        <v>252208.46000000002</v>
      </c>
      <c r="BO207" s="12"/>
      <c r="BP207" s="12">
        <v>0</v>
      </c>
      <c r="BQ207" s="12"/>
      <c r="BR207" s="6">
        <f>IF(+R207-BN207+BP207&gt;0,R207-BN207+BP207,0)</f>
        <v>0</v>
      </c>
      <c r="BS207" s="12"/>
      <c r="BT207" s="6">
        <f>+BN207+BR207</f>
        <v>252208.46000000002</v>
      </c>
      <c r="BU207" s="12"/>
      <c r="BV207" s="6">
        <f>+R207-BT207</f>
        <v>-252208.46000000002</v>
      </c>
      <c r="BW207" s="12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11" customFormat="1">
      <c r="A208" s="17"/>
      <c r="J208" s="160"/>
      <c r="L208" s="146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>
        <f>SUM(T208:BM208)</f>
        <v>0</v>
      </c>
      <c r="BO208" s="12"/>
      <c r="BP208" s="12">
        <v>0</v>
      </c>
      <c r="BQ208" s="12"/>
      <c r="BR208" s="6">
        <f>IF(+R208-BN208+BP208&gt;0,R208-BN208+BP208,0)</f>
        <v>0</v>
      </c>
      <c r="BS208" s="12"/>
      <c r="BT208" s="6">
        <f>+BN208+BR208</f>
        <v>0</v>
      </c>
      <c r="BU208" s="12"/>
      <c r="BV208" s="6">
        <f>+R208-BT208</f>
        <v>0</v>
      </c>
      <c r="BW208" s="12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 t="s">
        <v>41</v>
      </c>
      <c r="J209" s="8"/>
      <c r="L209" s="143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8">
        <f>SUM(BN206:BN208)</f>
        <v>559273.86</v>
      </c>
      <c r="BO209" s="9"/>
      <c r="BP209" s="102">
        <f>SUM(BP206:BP208)</f>
        <v>0</v>
      </c>
      <c r="BQ209" s="9"/>
      <c r="BR209" s="102">
        <f>SUM(BR206:BR208)</f>
        <v>192934.60000000003</v>
      </c>
      <c r="BS209" s="9"/>
      <c r="BT209" s="102">
        <f>SUM(BT206:BT208)</f>
        <v>752208.46</v>
      </c>
      <c r="BU209" s="9"/>
      <c r="BV209" s="102">
        <f>SUM(BV206:BV208)</f>
        <v>-252208.46000000002</v>
      </c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8"/>
      <c r="B210" s="31"/>
      <c r="J210" s="8"/>
      <c r="L210" s="143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31" customFormat="1">
      <c r="A211" s="58" t="s">
        <v>249</v>
      </c>
      <c r="J211" s="159"/>
      <c r="L211" s="145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f>SUM(T211:BM211)</f>
        <v>10658456.153667485</v>
      </c>
      <c r="BO211" s="10"/>
      <c r="BP211" s="10"/>
      <c r="BQ211" s="10"/>
      <c r="BR211" s="6"/>
      <c r="BS211" s="10"/>
      <c r="BT211" s="9">
        <f>+BN211+BR211</f>
        <v>10658456.153667485</v>
      </c>
      <c r="BU211" s="10"/>
      <c r="BV211" s="9">
        <f>+R211-BT211</f>
        <v>681587.84633251466</v>
      </c>
      <c r="BW211" s="10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105" customFormat="1">
      <c r="A213" s="84" t="s">
        <v>248</v>
      </c>
      <c r="B213" s="54"/>
      <c r="J213" s="158"/>
      <c r="L213" s="144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V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8834</v>
      </c>
      <c r="BM213" s="120">
        <f t="shared" si="51"/>
        <v>0</v>
      </c>
      <c r="BN213" s="120">
        <f t="shared" si="51"/>
        <v>17156720.683667485</v>
      </c>
      <c r="BO213" s="120">
        <f t="shared" si="51"/>
        <v>0</v>
      </c>
      <c r="BP213" s="120">
        <f t="shared" si="51"/>
        <v>-87885</v>
      </c>
      <c r="BQ213" s="120">
        <f t="shared" si="51"/>
        <v>0</v>
      </c>
      <c r="BR213" s="120">
        <f>BR211+BR203+BR194+BR192+BR190+BR184+BR159+BR149+BR142+BR140+BR138+BR136+BR134+BR209</f>
        <v>2636457.9500000002</v>
      </c>
      <c r="BS213" s="120">
        <f t="shared" si="51"/>
        <v>0</v>
      </c>
      <c r="BT213" s="120">
        <f t="shared" si="51"/>
        <v>19793178.633667484</v>
      </c>
      <c r="BU213" s="120">
        <f t="shared" si="51"/>
        <v>0</v>
      </c>
      <c r="BV213" s="120">
        <f t="shared" si="51"/>
        <v>-1813300.6336674853</v>
      </c>
      <c r="BW213" s="120">
        <f>BW211+BW203+BW194+BW192+BW190+BW184+BW159+BW149+BW142+BW140+BW138+BW136+BW134+BW209</f>
        <v>0</v>
      </c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6" t="s">
        <v>190</v>
      </c>
      <c r="B215" s="31"/>
      <c r="J215" s="8"/>
      <c r="L215" s="143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10">
        <f>SUM(T215:BM215)</f>
        <v>0</v>
      </c>
      <c r="BO215" s="9"/>
      <c r="BP215" s="9">
        <v>-5423498</v>
      </c>
      <c r="BQ215" s="9">
        <v>2030320</v>
      </c>
      <c r="BR215" s="6">
        <f>IF(+R215-BN215+BP215&gt;0,R215-BN215+BP215,0)</f>
        <v>0</v>
      </c>
      <c r="BS215" s="9">
        <v>2030320</v>
      </c>
      <c r="BT215" s="9">
        <f>+BN215+BR215</f>
        <v>0</v>
      </c>
      <c r="BU215" s="9">
        <v>2030320</v>
      </c>
      <c r="BV215" s="6">
        <f>+R215-BT215</f>
        <v>5423498</v>
      </c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3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10"/>
      <c r="BO216" s="9"/>
      <c r="BP216" s="9"/>
      <c r="BQ216" s="9"/>
      <c r="BR216" s="6"/>
      <c r="BS216" s="9"/>
      <c r="BT216" s="9"/>
      <c r="BU216" s="9"/>
      <c r="BV216" s="6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 hidden="1">
      <c r="A217" s="58" t="s">
        <v>287</v>
      </c>
      <c r="B217" s="31"/>
      <c r="J217" s="8"/>
      <c r="L217" s="143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>
        <f>SUM(T217:BM217)</f>
        <v>0</v>
      </c>
      <c r="BO217" s="9"/>
      <c r="BP217" s="10"/>
      <c r="BQ217" s="9"/>
      <c r="BR217" s="10"/>
      <c r="BS217" s="9"/>
      <c r="BT217" s="9">
        <f>+BN217+BR217</f>
        <v>0</v>
      </c>
      <c r="BU217" s="9"/>
      <c r="BV217" s="6">
        <f>+R217-BT217</f>
        <v>-6077</v>
      </c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170" customFormat="1">
      <c r="A219" s="169" t="s">
        <v>253</v>
      </c>
      <c r="J219" s="171"/>
      <c r="L219" s="172"/>
      <c r="M219" s="173"/>
      <c r="N219" s="173"/>
      <c r="O219" s="173"/>
      <c r="P219" s="173"/>
      <c r="Q219" s="173"/>
      <c r="R219" s="168">
        <f t="shared" ref="R219:AH219" si="52">R37+R107+R97+R182+R112+R213+R215+R217</f>
        <v>170575010</v>
      </c>
      <c r="S219" s="168">
        <f t="shared" si="52"/>
        <v>0</v>
      </c>
      <c r="T219" s="168">
        <f t="shared" si="52"/>
        <v>0</v>
      </c>
      <c r="U219" s="168">
        <f t="shared" si="52"/>
        <v>0</v>
      </c>
      <c r="V219" s="168">
        <f t="shared" si="52"/>
        <v>0</v>
      </c>
      <c r="W219" s="168">
        <f t="shared" si="52"/>
        <v>0</v>
      </c>
      <c r="X219" s="168">
        <f t="shared" si="52"/>
        <v>0</v>
      </c>
      <c r="Y219" s="168">
        <f t="shared" si="52"/>
        <v>0</v>
      </c>
      <c r="Z219" s="168">
        <f t="shared" si="52"/>
        <v>0</v>
      </c>
      <c r="AA219" s="168">
        <f t="shared" si="52"/>
        <v>0</v>
      </c>
      <c r="AB219" s="168">
        <f t="shared" si="52"/>
        <v>0</v>
      </c>
      <c r="AC219" s="168">
        <f t="shared" si="52"/>
        <v>0</v>
      </c>
      <c r="AD219" s="168">
        <f t="shared" si="52"/>
        <v>0</v>
      </c>
      <c r="AE219" s="168">
        <f t="shared" si="52"/>
        <v>0</v>
      </c>
      <c r="AF219" s="168">
        <f t="shared" si="52"/>
        <v>0</v>
      </c>
      <c r="AG219" s="168">
        <f t="shared" si="52"/>
        <v>0</v>
      </c>
      <c r="AH219" s="168">
        <f t="shared" si="52"/>
        <v>0</v>
      </c>
      <c r="AI219" s="168"/>
      <c r="AJ219" s="168">
        <f>AJ37+AJ107+AJ97+AJ182+AJ112+AJ213+AJ215+AJ217</f>
        <v>13005.809999999998</v>
      </c>
      <c r="AK219" s="168"/>
      <c r="AL219" s="168">
        <f>AL37+AL107+AL97+AL182+AL112+AL213+AL215+AL217</f>
        <v>93158714.489999995</v>
      </c>
      <c r="AM219" s="168"/>
      <c r="AN219" s="168">
        <f>AN37+AN107+AN97+AN182+AN112+AN213+AN215+AN217</f>
        <v>715387.53999999992</v>
      </c>
      <c r="AO219" s="168"/>
      <c r="AP219" s="168">
        <f>AP37+AP107+AP97+AP182+AP112+AP213+AP215+AP217</f>
        <v>2178269.8126763888</v>
      </c>
      <c r="AQ219" s="168"/>
      <c r="AR219" s="168">
        <f t="shared" ref="AR219:BB219" si="53">AR37+AR107+AR97+AR182+AR112+AR213+AR215+AR217</f>
        <v>7520808.7532297745</v>
      </c>
      <c r="AS219" s="168">
        <f t="shared" si="53"/>
        <v>0</v>
      </c>
      <c r="AT219" s="168">
        <f t="shared" si="53"/>
        <v>3026267.3252736586</v>
      </c>
      <c r="AU219" s="168">
        <f t="shared" si="53"/>
        <v>0</v>
      </c>
      <c r="AV219" s="168">
        <f t="shared" si="53"/>
        <v>8287387.2469411138</v>
      </c>
      <c r="AW219" s="168">
        <f t="shared" si="53"/>
        <v>0</v>
      </c>
      <c r="AX219" s="168">
        <f t="shared" si="53"/>
        <v>7624290.748063433</v>
      </c>
      <c r="AY219" s="168">
        <f t="shared" si="53"/>
        <v>0</v>
      </c>
      <c r="AZ219" s="168">
        <f t="shared" si="53"/>
        <v>11403531.526154332</v>
      </c>
      <c r="BA219" s="168">
        <f t="shared" si="53"/>
        <v>0</v>
      </c>
      <c r="BB219" s="168">
        <f t="shared" si="53"/>
        <v>12239663.540035931</v>
      </c>
      <c r="BC219"/>
      <c r="BD219" s="168">
        <f>BD37+BD107+BD97+BD182+BD112+BD213+BD215+BD217</f>
        <v>4338594.6500000004</v>
      </c>
      <c r="BE219"/>
      <c r="BF219" s="168">
        <f t="shared" ref="BF219:BV219" si="54">BF37+BF107+BF97+BF182+BF112+BF213+BF215+BF217</f>
        <v>17362054.581292856</v>
      </c>
      <c r="BG219" s="168">
        <f t="shared" si="54"/>
        <v>0</v>
      </c>
      <c r="BH219" s="168">
        <f t="shared" si="54"/>
        <v>2172208.6</v>
      </c>
      <c r="BI219" s="168">
        <f t="shared" si="54"/>
        <v>0</v>
      </c>
      <c r="BJ219" s="168">
        <f t="shared" si="54"/>
        <v>-86760.26999999999</v>
      </c>
      <c r="BK219" s="168">
        <f t="shared" si="54"/>
        <v>0</v>
      </c>
      <c r="BL219" s="168">
        <f t="shared" si="54"/>
        <v>8834</v>
      </c>
      <c r="BM219" s="168">
        <f t="shared" si="54"/>
        <v>0</v>
      </c>
      <c r="BN219" s="168">
        <f t="shared" si="54"/>
        <v>169962258.3536675</v>
      </c>
      <c r="BO219" s="168">
        <f t="shared" si="54"/>
        <v>0</v>
      </c>
      <c r="BP219" s="168">
        <f t="shared" si="54"/>
        <v>2688770</v>
      </c>
      <c r="BQ219" s="168">
        <f t="shared" si="54"/>
        <v>2030320</v>
      </c>
      <c r="BR219" s="168">
        <f t="shared" si="54"/>
        <v>8249062.1599999983</v>
      </c>
      <c r="BS219" s="168">
        <f t="shared" si="54"/>
        <v>2030320</v>
      </c>
      <c r="BT219" s="168">
        <f t="shared" si="54"/>
        <v>178211320.51366752</v>
      </c>
      <c r="BU219" s="168">
        <f t="shared" si="54"/>
        <v>2030320</v>
      </c>
      <c r="BV219" s="168">
        <f t="shared" si="54"/>
        <v>-7636310.5136674829</v>
      </c>
      <c r="BW219" s="173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>
      <c r="A220" s="56" t="s">
        <v>251</v>
      </c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28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>
        <f>-BN142</f>
        <v>-11745</v>
      </c>
      <c r="BO222" s="9"/>
      <c r="BP222" s="10"/>
      <c r="BQ222" s="9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>
        <f>-BN134</f>
        <v>-976597.16</v>
      </c>
      <c r="BO223" s="9"/>
      <c r="BP223" s="10"/>
      <c r="BQ223" s="9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>
        <f>-BN140</f>
        <v>0</v>
      </c>
      <c r="BO224" s="9"/>
      <c r="BP224" s="10"/>
      <c r="BQ224" s="9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>
        <v>-22627</v>
      </c>
      <c r="BO225" s="9"/>
      <c r="BP225" s="10"/>
      <c r="BQ225" s="9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>
        <f>SUM(BN219:BN225)</f>
        <v>168951289.1936675</v>
      </c>
      <c r="BO226" s="9"/>
      <c r="BP226" s="10"/>
      <c r="BQ226" s="9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>
        <v>168942454.84</v>
      </c>
      <c r="BO228" s="9"/>
      <c r="BP228" s="10"/>
      <c r="BQ228" s="9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>
        <f>BN226-BN228</f>
        <v>8834.3536674976349</v>
      </c>
      <c r="BO229" s="9"/>
      <c r="BP229" s="10"/>
      <c r="BQ229" s="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>
      <c r="A230" s="58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>
      <c r="C231"/>
      <c r="D231"/>
      <c r="E231"/>
      <c r="F231"/>
      <c r="G231"/>
      <c r="H231"/>
      <c r="I231"/>
      <c r="J231" s="49"/>
      <c r="K231"/>
      <c r="L231" s="134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O231" s="6"/>
      <c r="BP231" s="6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customFormat="1" ht="13.8">
      <c r="A232" s="264" t="s">
        <v>403</v>
      </c>
      <c r="BN232" s="253"/>
    </row>
    <row r="233" spans="1:124" customFormat="1">
      <c r="A233" s="56" t="s">
        <v>284</v>
      </c>
      <c r="BN233" s="253"/>
    </row>
    <row r="234" spans="1:124" customFormat="1">
      <c r="A234" s="58"/>
      <c r="B234" t="s">
        <v>79</v>
      </c>
      <c r="BB234" s="35">
        <v>200000</v>
      </c>
      <c r="BD234">
        <v>685000</v>
      </c>
      <c r="BH234">
        <f>-885000</f>
        <v>-885000</v>
      </c>
      <c r="BJ234" s="6"/>
      <c r="BL234" s="6">
        <v>1831733.47</v>
      </c>
      <c r="BN234" s="10">
        <f>SUM(T234:BM234)</f>
        <v>1831733.47</v>
      </c>
    </row>
    <row r="235" spans="1:124" customFormat="1"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>
        <f>369553.61-73057</f>
        <v>296496.61</v>
      </c>
      <c r="BI235" s="35"/>
      <c r="BJ235" s="6"/>
      <c r="BK235" s="35"/>
      <c r="BL235" s="35"/>
      <c r="BM235" s="35"/>
      <c r="BN235" s="10">
        <f>SUM(S235:BL235)</f>
        <v>369553.8</v>
      </c>
      <c r="BO235" s="9"/>
      <c r="BP235" s="10">
        <v>0</v>
      </c>
      <c r="BQ235" s="9"/>
      <c r="BR235" s="6">
        <f>IF(+R235-BN235+BP235&gt;0,R235-BN235+BP235,0)</f>
        <v>25148991.199999999</v>
      </c>
      <c r="BS235" s="9"/>
      <c r="BT235" s="9">
        <f>+BN235+BR235</f>
        <v>25518545</v>
      </c>
      <c r="BU235" s="9"/>
      <c r="BV235" s="6">
        <f>+R235-BT235</f>
        <v>0</v>
      </c>
      <c r="BW235" s="9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</row>
    <row r="236" spans="1:124" customFormat="1"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>
        <f>1641.57-629</f>
        <v>1012.5699999999999</v>
      </c>
      <c r="BI236" s="35"/>
      <c r="BJ236" s="6"/>
      <c r="BK236" s="35"/>
      <c r="BL236" s="35"/>
      <c r="BM236" s="35"/>
      <c r="BN236" s="10">
        <f>SUM(T236:BM236)</f>
        <v>1641.57</v>
      </c>
      <c r="BO236" s="9"/>
      <c r="BP236" s="10">
        <v>0</v>
      </c>
      <c r="BQ236" s="9"/>
      <c r="BR236" s="6">
        <f>IF(+R236-BN236+BP236&gt;0,R236-BN236+BP236,0)</f>
        <v>973714.43</v>
      </c>
      <c r="BS236" s="9"/>
      <c r="BT236" s="9">
        <f>+BN236+BR236</f>
        <v>975356</v>
      </c>
      <c r="BU236" s="9"/>
      <c r="BV236" s="6">
        <f>+R236-BT236</f>
        <v>0</v>
      </c>
      <c r="BW236" s="9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</row>
    <row r="237" spans="1:124" customFormat="1"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>
        <f>142808.53-24827</f>
        <v>117981.53</v>
      </c>
      <c r="BI237" s="35"/>
      <c r="BJ237" s="266"/>
      <c r="BK237" s="35"/>
      <c r="BL237" s="35"/>
      <c r="BM237" s="35"/>
      <c r="BN237" s="265">
        <f>SUM(T237:BM237)</f>
        <v>142808.73000000001</v>
      </c>
      <c r="BO237" s="9"/>
      <c r="BP237" s="10">
        <v>0</v>
      </c>
      <c r="BQ237" s="9"/>
      <c r="BR237" s="6">
        <f>IF(+R237-BN237+BP237&gt;0,R237-BN237+BP237,0)</f>
        <v>0</v>
      </c>
      <c r="BS237" s="9"/>
      <c r="BT237" s="265">
        <f>+BN237+BR237</f>
        <v>142808.73000000001</v>
      </c>
      <c r="BU237" s="9"/>
      <c r="BV237" s="266">
        <f>+R237-BT237</f>
        <v>-10066.73000000001</v>
      </c>
      <c r="BW237" s="9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</row>
    <row r="238" spans="1:124" customFormat="1">
      <c r="L238" s="49"/>
      <c r="R238" s="35">
        <f>SUM(R235:R237)</f>
        <v>26626643</v>
      </c>
      <c r="BB238" s="35">
        <f>SUM(BB234:BB237)</f>
        <v>298513.39</v>
      </c>
      <c r="BD238" s="35">
        <f t="shared" ref="BD238:BW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-469509.29000000004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1831733.47</v>
      </c>
      <c r="BM238" s="35">
        <f t="shared" si="55"/>
        <v>0</v>
      </c>
      <c r="BN238" s="35">
        <f t="shared" si="55"/>
        <v>2345737.5699999998</v>
      </c>
      <c r="BO238" s="35">
        <f t="shared" si="55"/>
        <v>0</v>
      </c>
      <c r="BP238" s="35">
        <f t="shared" si="55"/>
        <v>0</v>
      </c>
      <c r="BQ238" s="35">
        <f t="shared" si="55"/>
        <v>0</v>
      </c>
      <c r="BR238" s="35">
        <f t="shared" si="55"/>
        <v>26122705.629999999</v>
      </c>
      <c r="BS238" s="35">
        <f t="shared" si="55"/>
        <v>0</v>
      </c>
      <c r="BT238" s="35">
        <f t="shared" si="55"/>
        <v>26636709.73</v>
      </c>
      <c r="BU238" s="35">
        <f t="shared" si="55"/>
        <v>0</v>
      </c>
      <c r="BV238" s="35">
        <f t="shared" si="55"/>
        <v>-10066.73000000001</v>
      </c>
      <c r="BW238" s="35">
        <f t="shared" si="55"/>
        <v>0</v>
      </c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</row>
    <row r="239" spans="1:124" customFormat="1">
      <c r="A239" s="4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</row>
    <row r="240" spans="1:124" customFormat="1">
      <c r="A24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</row>
    <row r="241" spans="1:124" s="105" customFormat="1" ht="14.4" thickBot="1">
      <c r="A241" s="267" t="s">
        <v>404</v>
      </c>
      <c r="B241" s="268"/>
      <c r="C241" s="269"/>
      <c r="D241" s="269"/>
      <c r="E241" s="269"/>
      <c r="F241" s="269"/>
      <c r="G241" s="269"/>
      <c r="H241" s="269"/>
      <c r="I241" s="269"/>
      <c r="J241" s="270"/>
      <c r="K241" s="269"/>
      <c r="L241" s="271"/>
      <c r="M241" s="272"/>
      <c r="N241" s="273"/>
      <c r="O241" s="272"/>
      <c r="P241" s="273"/>
      <c r="Q241" s="272"/>
      <c r="R241" s="274">
        <f t="shared" ref="R241:BI241" si="56">R219+R238</f>
        <v>197201653</v>
      </c>
      <c r="S241" s="274">
        <f t="shared" si="56"/>
        <v>0</v>
      </c>
      <c r="T241" s="274">
        <f t="shared" si="56"/>
        <v>0</v>
      </c>
      <c r="U241" s="274">
        <f t="shared" si="56"/>
        <v>0</v>
      </c>
      <c r="V241" s="274">
        <f t="shared" si="56"/>
        <v>0</v>
      </c>
      <c r="W241" s="274">
        <f t="shared" si="56"/>
        <v>0</v>
      </c>
      <c r="X241" s="274">
        <f t="shared" si="56"/>
        <v>0</v>
      </c>
      <c r="Y241" s="274">
        <f t="shared" si="56"/>
        <v>0</v>
      </c>
      <c r="Z241" s="274">
        <f t="shared" si="56"/>
        <v>0</v>
      </c>
      <c r="AA241" s="274">
        <f t="shared" si="56"/>
        <v>0</v>
      </c>
      <c r="AB241" s="274">
        <f t="shared" si="56"/>
        <v>0</v>
      </c>
      <c r="AC241" s="274">
        <f t="shared" si="56"/>
        <v>0</v>
      </c>
      <c r="AD241" s="274">
        <f t="shared" si="56"/>
        <v>0</v>
      </c>
      <c r="AE241" s="274">
        <f t="shared" si="56"/>
        <v>0</v>
      </c>
      <c r="AF241" s="274">
        <f t="shared" si="56"/>
        <v>0</v>
      </c>
      <c r="AG241" s="274">
        <f t="shared" si="56"/>
        <v>0</v>
      </c>
      <c r="AH241" s="274">
        <f t="shared" si="56"/>
        <v>0</v>
      </c>
      <c r="AI241" s="274">
        <f t="shared" si="56"/>
        <v>0</v>
      </c>
      <c r="AJ241" s="274">
        <f t="shared" si="56"/>
        <v>13005.809999999998</v>
      </c>
      <c r="AK241" s="274">
        <f t="shared" si="56"/>
        <v>0</v>
      </c>
      <c r="AL241" s="274">
        <f t="shared" si="56"/>
        <v>93158714.489999995</v>
      </c>
      <c r="AM241" s="274">
        <f t="shared" si="56"/>
        <v>0</v>
      </c>
      <c r="AN241" s="274">
        <f t="shared" si="56"/>
        <v>715387.53999999992</v>
      </c>
      <c r="AO241" s="274">
        <f t="shared" si="56"/>
        <v>0</v>
      </c>
      <c r="AP241" s="274">
        <f t="shared" si="56"/>
        <v>2178269.8126763888</v>
      </c>
      <c r="AQ241" s="274">
        <f t="shared" si="56"/>
        <v>0</v>
      </c>
      <c r="AR241" s="274">
        <f t="shared" si="56"/>
        <v>7520808.7532297745</v>
      </c>
      <c r="AS241" s="274">
        <f t="shared" si="56"/>
        <v>0</v>
      </c>
      <c r="AT241" s="274">
        <f t="shared" si="56"/>
        <v>3026267.3252736586</v>
      </c>
      <c r="AU241" s="274">
        <f t="shared" si="56"/>
        <v>0</v>
      </c>
      <c r="AV241" s="274">
        <f t="shared" si="56"/>
        <v>8287387.2469411138</v>
      </c>
      <c r="AW241" s="274">
        <f t="shared" si="56"/>
        <v>0</v>
      </c>
      <c r="AX241" s="274">
        <f t="shared" si="56"/>
        <v>7624290.748063433</v>
      </c>
      <c r="AY241" s="274">
        <f t="shared" si="56"/>
        <v>0</v>
      </c>
      <c r="AZ241" s="274">
        <f t="shared" si="56"/>
        <v>11403531.526154332</v>
      </c>
      <c r="BA241" s="274">
        <f t="shared" si="56"/>
        <v>0</v>
      </c>
      <c r="BB241" s="274">
        <f t="shared" si="56"/>
        <v>12538176.930035932</v>
      </c>
      <c r="BC241" s="274">
        <f t="shared" si="56"/>
        <v>0</v>
      </c>
      <c r="BD241" s="274">
        <f t="shared" si="56"/>
        <v>5023594.6500000004</v>
      </c>
      <c r="BE241" s="274">
        <f t="shared" si="56"/>
        <v>0</v>
      </c>
      <c r="BF241" s="274">
        <f t="shared" si="56"/>
        <v>17362054.581292856</v>
      </c>
      <c r="BG241" s="274">
        <f t="shared" si="56"/>
        <v>0</v>
      </c>
      <c r="BH241" s="274">
        <f t="shared" si="56"/>
        <v>1702699.31</v>
      </c>
      <c r="BI241" s="274">
        <f t="shared" si="56"/>
        <v>0</v>
      </c>
      <c r="BJ241" s="274">
        <f>BJ219+BJ238</f>
        <v>-86760.26999999999</v>
      </c>
      <c r="BK241" s="274">
        <f t="shared" ref="BK241:BV241" si="57">BK219+BK238</f>
        <v>0</v>
      </c>
      <c r="BL241" s="274">
        <f t="shared" si="57"/>
        <v>1840567.47</v>
      </c>
      <c r="BM241" s="274">
        <f t="shared" si="57"/>
        <v>0</v>
      </c>
      <c r="BN241" s="274">
        <f t="shared" si="57"/>
        <v>172307995.92366749</v>
      </c>
      <c r="BO241" s="274">
        <f t="shared" si="57"/>
        <v>0</v>
      </c>
      <c r="BP241" s="274">
        <f t="shared" si="57"/>
        <v>2688770</v>
      </c>
      <c r="BQ241" s="274">
        <f t="shared" si="57"/>
        <v>2030320</v>
      </c>
      <c r="BR241" s="274">
        <f t="shared" si="57"/>
        <v>34371767.789999999</v>
      </c>
      <c r="BS241" s="274">
        <f t="shared" si="57"/>
        <v>2030320</v>
      </c>
      <c r="BT241" s="274">
        <f t="shared" si="57"/>
        <v>204848030.24366751</v>
      </c>
      <c r="BU241" s="274">
        <f t="shared" si="57"/>
        <v>2030320</v>
      </c>
      <c r="BV241" s="274">
        <f t="shared" si="57"/>
        <v>-7646377.2436674833</v>
      </c>
      <c r="BW241" s="274">
        <f>BW235+BW238</f>
        <v>0</v>
      </c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customFormat="1" ht="13.8" thickTop="1">
      <c r="L242" s="49"/>
      <c r="BB242" s="35"/>
      <c r="BN242" s="253"/>
    </row>
    <row r="243" spans="1:124" customFormat="1">
      <c r="L243" s="49"/>
      <c r="BB243" s="35"/>
      <c r="BN243" s="253"/>
    </row>
    <row r="244" spans="1:124" customFormat="1">
      <c r="L244" s="49"/>
      <c r="BB244" s="35"/>
      <c r="BN244" s="253"/>
    </row>
    <row r="245" spans="1:124" customFormat="1" hidden="1">
      <c r="L245" s="49"/>
      <c r="BB245" s="35"/>
      <c r="BF245" t="s">
        <v>421</v>
      </c>
      <c r="BN245" s="253">
        <v>165343590.96000001</v>
      </c>
    </row>
    <row r="246" spans="1:124" customFormat="1" hidden="1">
      <c r="L246" s="49"/>
      <c r="AT246" s="252"/>
      <c r="BB246" s="35"/>
      <c r="BF246" t="s">
        <v>422</v>
      </c>
      <c r="BN246" s="253">
        <v>677253.63</v>
      </c>
    </row>
    <row r="247" spans="1:124" customFormat="1" hidden="1">
      <c r="AT247" s="252"/>
      <c r="BB247" s="35"/>
      <c r="BF247" t="s">
        <v>423</v>
      </c>
      <c r="BN247" s="253">
        <f>BF211</f>
        <v>590762.34129285498</v>
      </c>
    </row>
    <row r="248" spans="1:124" customFormat="1" hidden="1">
      <c r="AT248" s="252"/>
      <c r="BB248" s="35"/>
      <c r="BF248" t="s">
        <v>423</v>
      </c>
      <c r="BN248" s="253"/>
      <c r="BP248" s="254">
        <f>SUM(BN247:BN248)</f>
        <v>590762.34129285498</v>
      </c>
    </row>
    <row r="249" spans="1:124" customFormat="1" hidden="1">
      <c r="AT249" s="252"/>
      <c r="BB249" s="35"/>
      <c r="BF249" t="s">
        <v>424</v>
      </c>
      <c r="BN249" s="252">
        <v>198.51</v>
      </c>
    </row>
    <row r="250" spans="1:124" customFormat="1" hidden="1">
      <c r="BB250" s="35"/>
      <c r="BF250" t="s">
        <v>425</v>
      </c>
      <c r="BN250" s="252">
        <v>35</v>
      </c>
    </row>
    <row r="251" spans="1:124" customFormat="1" hidden="1">
      <c r="BF251" t="s">
        <v>266</v>
      </c>
      <c r="BN251" s="252" t="e">
        <f>#REF!-#REF!-#REF!</f>
        <v>#REF!</v>
      </c>
    </row>
    <row r="252" spans="1:124" customFormat="1" hidden="1">
      <c r="BF252" t="s">
        <v>429</v>
      </c>
      <c r="BN252" s="252">
        <v>1233742</v>
      </c>
    </row>
    <row r="253" spans="1:124" customFormat="1" hidden="1">
      <c r="BF253" t="s">
        <v>426</v>
      </c>
      <c r="BN253" s="252"/>
    </row>
    <row r="254" spans="1:124" customFormat="1" hidden="1">
      <c r="BF254" t="s">
        <v>427</v>
      </c>
      <c r="BN254" s="252"/>
    </row>
    <row r="255" spans="1:124" customFormat="1" hidden="1">
      <c r="BN255" s="252"/>
    </row>
    <row r="256" spans="1:124" customFormat="1" hidden="1">
      <c r="BN256" s="254" t="e">
        <f>SUM(BN245:BN254)</f>
        <v>#REF!</v>
      </c>
    </row>
    <row r="257" spans="58:66" customFormat="1" hidden="1">
      <c r="BF257" t="s">
        <v>420</v>
      </c>
      <c r="BN257" s="38" t="e">
        <f>#REF!-BN256</f>
        <v>#REF!</v>
      </c>
    </row>
    <row r="258" spans="58:66" customFormat="1" hidden="1"/>
    <row r="259" spans="58:66" customFormat="1"/>
    <row r="260" spans="58:66" customFormat="1"/>
    <row r="261" spans="58:66" customFormat="1"/>
    <row r="262" spans="58:66" customFormat="1"/>
    <row r="263" spans="58:66" customFormat="1"/>
    <row r="264" spans="58:66" customFormat="1"/>
    <row r="265" spans="58:66" customFormat="1"/>
    <row r="266" spans="58:66" customFormat="1"/>
    <row r="267" spans="58:66" customFormat="1"/>
    <row r="268" spans="58:66" customFormat="1"/>
    <row r="269" spans="58:66" customFormat="1"/>
    <row r="270" spans="58:66" customFormat="1"/>
    <row r="271" spans="58:66" customFormat="1"/>
    <row r="272" spans="58:66" customFormat="1"/>
    <row r="273" spans="66:66" customFormat="1"/>
    <row r="274" spans="66:66" customFormat="1"/>
    <row r="275" spans="66:66" customFormat="1"/>
    <row r="276" spans="66:66" customFormat="1"/>
    <row r="277" spans="66:66" customFormat="1"/>
    <row r="278" spans="66:66" customFormat="1"/>
    <row r="279" spans="66:66">
      <c r="BN279" s="22"/>
    </row>
    <row r="280" spans="66:66">
      <c r="BN280" s="22"/>
    </row>
    <row r="281" spans="66:66">
      <c r="BN281" s="22"/>
    </row>
    <row r="282" spans="66:66">
      <c r="BN282" s="22"/>
    </row>
    <row r="283" spans="66:66">
      <c r="BN283" s="22"/>
    </row>
    <row r="284" spans="66:66">
      <c r="BN284" s="22"/>
    </row>
    <row r="285" spans="66:66">
      <c r="BN285" s="22"/>
    </row>
    <row r="286" spans="66:66">
      <c r="BN286" s="22"/>
    </row>
    <row r="287" spans="66:66">
      <c r="BN287" s="22"/>
    </row>
    <row r="288" spans="66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</sheetData>
  <printOptions horizontalCentered="1"/>
  <pageMargins left="0.18" right="0" top="0.25" bottom="0.19" header="0.25" footer="0.19"/>
  <pageSetup scale="40" fitToHeight="2" orientation="portrait" horizontalDpi="300" verticalDpi="300" r:id="rId1"/>
  <headerFooter alignWithMargins="0"/>
  <rowBreaks count="1" manualBreakCount="1">
    <brk id="113" max="7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R188"/>
  <sheetViews>
    <sheetView zoomScale="80" zoomScaleNormal="66" workbookViewId="0">
      <pane xSplit="19" ySplit="7" topLeftCell="BC8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C8" sqref="BC8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" style="150" bestFit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" style="6" customWidth="1"/>
    <col min="19" max="19" width="1.5546875" style="4" customWidth="1"/>
    <col min="20" max="20" width="19.55468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88671875" style="6" hidden="1" customWidth="1"/>
    <col min="34" max="34" width="17.33203125" style="6" hidden="1" customWidth="1"/>
    <col min="35" max="35" width="1" style="6" hidden="1" customWidth="1"/>
    <col min="36" max="36" width="17.88671875" style="6" hidden="1" customWidth="1"/>
    <col min="37" max="37" width="1.44140625" style="6" hidden="1" customWidth="1"/>
    <col min="38" max="38" width="16" style="6" hidden="1" customWidth="1"/>
    <col min="39" max="39" width="1.44140625" style="6" hidden="1" customWidth="1"/>
    <col min="40" max="40" width="0.109375" style="6" hidden="1" customWidth="1"/>
    <col min="41" max="41" width="1.109375" style="6" hidden="1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33203125" style="6" hidden="1" customWidth="1"/>
    <col min="49" max="49" width="0.88671875" style="6" hidden="1" customWidth="1"/>
    <col min="50" max="50" width="17.3320312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customWidth="1"/>
    <col min="56" max="56" width="17.88671875" style="6" customWidth="1"/>
    <col min="57" max="57" width="0.88671875" style="6" customWidth="1"/>
    <col min="58" max="58" width="17.8867187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6" style="65" hidden="1" customWidth="1"/>
    <col min="63" max="63" width="2.109375" style="4" hidden="1" customWidth="1"/>
    <col min="64" max="64" width="20.88671875" style="6" customWidth="1"/>
    <col min="65" max="65" width="0.88671875" style="4" customWidth="1"/>
    <col min="66" max="66" width="19.109375" style="65" customWidth="1"/>
    <col min="67" max="67" width="0.88671875" style="4" customWidth="1"/>
    <col min="68" max="68" width="24.6640625" style="6" bestFit="1" customWidth="1"/>
    <col min="69" max="69" width="1.6640625" style="6" customWidth="1"/>
    <col min="70" max="70" width="20.88671875" style="6" customWidth="1"/>
    <col min="71" max="71" width="1.6640625" style="6" customWidth="1"/>
    <col min="72" max="72" width="15.88671875" style="6" customWidth="1"/>
    <col min="73" max="73" width="0.88671875" style="4" customWidth="1"/>
    <col min="74" max="74" width="75.88671875" style="4" customWidth="1"/>
    <col min="75" max="16384" width="9.109375" style="4"/>
  </cols>
  <sheetData>
    <row r="1" spans="1:74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L1" s="78"/>
      <c r="BN1" s="81"/>
      <c r="BP1" s="78"/>
      <c r="BQ1" s="78"/>
      <c r="BR1" s="78"/>
      <c r="BS1" s="78"/>
      <c r="BT1" s="68"/>
    </row>
    <row r="2" spans="1:74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L2" s="68"/>
      <c r="BN2" s="81"/>
      <c r="BP2" s="68"/>
      <c r="BQ2" s="68"/>
      <c r="BR2" s="68"/>
      <c r="BS2" s="68"/>
      <c r="BT2" s="106" t="str">
        <f ca="1">CELL("filename")</f>
        <v>O:\Fin_Ops\Engysvc\PowerPlants\2000 Plants\Weekly Report\[2000 Weekly Report - 0912.xls]Wheatland</v>
      </c>
    </row>
    <row r="3" spans="1:74" s="18" customFormat="1" ht="15.6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L3" s="23"/>
      <c r="BN3" s="81"/>
      <c r="BP3" s="23">
        <f ca="1">NOW()</f>
        <v>36782.625787268516</v>
      </c>
      <c r="BR3" s="23"/>
      <c r="BT3" s="78" t="str">
        <f>Summary!A5</f>
        <v>Revision # 63</v>
      </c>
      <c r="BV3" s="18" t="str">
        <f>Summary!A5</f>
        <v>Revision # 63</v>
      </c>
    </row>
    <row r="4" spans="1:74" s="18" customFormat="1" ht="15.6">
      <c r="A4" s="94"/>
      <c r="B4" s="19">
        <f>Summary!C15</f>
        <v>470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L4" s="71"/>
      <c r="BN4" s="70" t="s">
        <v>129</v>
      </c>
      <c r="BP4" s="71"/>
      <c r="BR4" s="71"/>
      <c r="BT4" s="71"/>
    </row>
    <row r="5" spans="1:74" s="18" customFormat="1" ht="15.6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L5" s="71" t="s">
        <v>44</v>
      </c>
      <c r="BN5" s="70" t="s">
        <v>130</v>
      </c>
      <c r="BP5" s="71" t="s">
        <v>42</v>
      </c>
      <c r="BR5" s="71" t="s">
        <v>144</v>
      </c>
      <c r="BT5" s="71"/>
    </row>
    <row r="6" spans="1:74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L6" s="75" t="s">
        <v>126</v>
      </c>
      <c r="BN6" s="73" t="s">
        <v>131</v>
      </c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6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82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+Summary!$O$4</f>
        <v xml:space="preserve"> As of 09/11/00</v>
      </c>
      <c r="BC7" s="82"/>
      <c r="BD7" s="82" t="str">
        <f>+Summary!$O$4</f>
        <v xml:space="preserve"> As of 09/11/00</v>
      </c>
      <c r="BE7" s="82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L7" s="71" t="str">
        <f>+Summary!$O$4</f>
        <v xml:space="preserve"> As of 09/11/00</v>
      </c>
      <c r="BN7" s="64" t="str">
        <f>+Summary!$O$4</f>
        <v xml:space="preserve"> As of 09/11/00</v>
      </c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6"/>
      <c r="BM8" s="6"/>
      <c r="BN8" s="22"/>
      <c r="BO8" s="6"/>
      <c r="BU8" s="6"/>
    </row>
    <row r="9" spans="1:74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K9" s="6"/>
      <c r="BL9" s="6">
        <f>SUM(T9:BK9)</f>
        <v>85719300.840000018</v>
      </c>
      <c r="BM9" s="6"/>
      <c r="BN9" s="6">
        <f>353801-22200+66200</f>
        <v>397801</v>
      </c>
      <c r="BO9" s="6"/>
      <c r="BP9" s="6">
        <f>IF(+R9-BL9+BN9&gt;0,R9-BL9+BN9,0)</f>
        <v>500000.15999998152</v>
      </c>
      <c r="BR9" s="6">
        <f>+BL9+BP9</f>
        <v>86219301</v>
      </c>
      <c r="BT9" s="6">
        <f>+R9-BR9</f>
        <v>-397801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K10" s="6"/>
      <c r="BL10" s="6">
        <f>SUM(T10:BK10)</f>
        <v>668688</v>
      </c>
      <c r="BM10" s="6"/>
      <c r="BN10" s="6">
        <f>35517+533171</f>
        <v>568688</v>
      </c>
      <c r="BO10" s="6"/>
      <c r="BP10" s="6">
        <f>IF(+R10-BL10+BN10&gt;0,R10-BL10+BN10,0)</f>
        <v>0</v>
      </c>
      <c r="BR10" s="6">
        <f>+BL10+BP10</f>
        <v>668688</v>
      </c>
      <c r="BT10" s="6">
        <f>+R10-BR10</f>
        <v>-568688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6"/>
      <c r="BL11" s="12"/>
      <c r="BM11" s="6"/>
      <c r="BN11" s="12"/>
      <c r="BO11" s="6"/>
      <c r="BP11" s="12"/>
      <c r="BR11" s="12"/>
      <c r="BT11" s="6">
        <f>+R11-BR11</f>
        <v>0</v>
      </c>
      <c r="BU11" s="6"/>
    </row>
    <row r="12" spans="1:74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6"/>
      <c r="BL12" s="101">
        <f>SUM(BL9:BL11)</f>
        <v>86387988.840000018</v>
      </c>
      <c r="BM12" s="6"/>
      <c r="BN12" s="101">
        <f>SUM(BN9:BN11)</f>
        <v>966489</v>
      </c>
      <c r="BO12" s="6"/>
      <c r="BP12" s="101">
        <f>SUM(BP9:BP11)</f>
        <v>500000.15999998152</v>
      </c>
      <c r="BR12" s="101">
        <f>SUM(BR9:BR11)</f>
        <v>86887989</v>
      </c>
      <c r="BT12" s="101">
        <f>SUM(BT9:BT11)</f>
        <v>-966489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K13" s="6"/>
      <c r="BM13" s="6"/>
      <c r="BN13" s="6"/>
      <c r="BO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K14" s="6"/>
      <c r="BL14" s="6">
        <f>SUM(T14:BK14)</f>
        <v>0</v>
      </c>
      <c r="BM14" s="6"/>
      <c r="BN14" s="6">
        <v>0</v>
      </c>
      <c r="BO14" s="6"/>
      <c r="BP14" s="6">
        <f>+R14-BL14+BN14</f>
        <v>0</v>
      </c>
      <c r="BR14" s="6">
        <f t="shared" ref="BR14:BR31" si="0">+BL14+BP14</f>
        <v>0</v>
      </c>
      <c r="BT14" s="6">
        <f t="shared" ref="BT14:BT31" si="1"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K15" s="6"/>
      <c r="BL15" s="6">
        <f>SUM(T15:BK15)</f>
        <v>4318354.6000000006</v>
      </c>
      <c r="BM15" s="6"/>
      <c r="BN15" s="6">
        <f>3968354-3949654+215500</f>
        <v>234200</v>
      </c>
      <c r="BO15" s="6"/>
      <c r="BP15" s="6">
        <f t="shared" ref="BP15:BP31" si="2">IF(+R15-BL15+BN15&gt;0,R15-BL15+BN15,0)</f>
        <v>0</v>
      </c>
      <c r="BR15" s="6">
        <f t="shared" si="0"/>
        <v>4318354.6000000006</v>
      </c>
      <c r="BT15" s="6">
        <f t="shared" si="1"/>
        <v>-368700.60000000056</v>
      </c>
      <c r="BU15" s="6"/>
    </row>
    <row r="16" spans="1:74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4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K16" s="6"/>
      <c r="BL16" s="6">
        <f>SUM(T16:BK16)</f>
        <v>337680</v>
      </c>
      <c r="BM16" s="6"/>
      <c r="BN16" s="6">
        <v>59780</v>
      </c>
      <c r="BO16" s="6"/>
      <c r="BP16" s="6">
        <f t="shared" si="2"/>
        <v>134500</v>
      </c>
      <c r="BR16" s="6">
        <f t="shared" si="0"/>
        <v>472180</v>
      </c>
      <c r="BT16" s="6">
        <f t="shared" si="1"/>
        <v>-59780</v>
      </c>
      <c r="BU16" s="6"/>
    </row>
    <row r="17" spans="1:73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K17" s="6"/>
      <c r="BL17" s="6">
        <f t="shared" ref="BL17:BL30" si="3">SUM(T17:BK17)</f>
        <v>0</v>
      </c>
      <c r="BM17" s="6"/>
      <c r="BN17" s="6"/>
      <c r="BO17" s="6"/>
      <c r="BP17" s="6">
        <f t="shared" si="2"/>
        <v>0</v>
      </c>
      <c r="BR17" s="6">
        <f t="shared" si="0"/>
        <v>0</v>
      </c>
      <c r="BT17" s="6">
        <f t="shared" si="1"/>
        <v>0</v>
      </c>
      <c r="BU17" s="6"/>
    </row>
    <row r="18" spans="1:73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K18" s="6"/>
      <c r="BL18" s="6">
        <f t="shared" si="3"/>
        <v>0</v>
      </c>
      <c r="BM18" s="6"/>
      <c r="BN18" s="6"/>
      <c r="BO18" s="6"/>
      <c r="BP18" s="6">
        <f t="shared" si="2"/>
        <v>0</v>
      </c>
      <c r="BR18" s="6">
        <f t="shared" si="0"/>
        <v>0</v>
      </c>
      <c r="BT18" s="6">
        <f t="shared" si="1"/>
        <v>0</v>
      </c>
      <c r="BU18" s="6"/>
    </row>
    <row r="19" spans="1:73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K19" s="6"/>
      <c r="BL19" s="6">
        <f t="shared" si="3"/>
        <v>0</v>
      </c>
      <c r="BM19" s="6"/>
      <c r="BN19" s="6"/>
      <c r="BO19" s="6"/>
      <c r="BP19" s="6">
        <f t="shared" si="2"/>
        <v>0</v>
      </c>
      <c r="BR19" s="6">
        <f t="shared" si="0"/>
        <v>0</v>
      </c>
      <c r="BT19" s="6">
        <f t="shared" si="1"/>
        <v>0</v>
      </c>
      <c r="BU19" s="6"/>
    </row>
    <row r="20" spans="1:73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K20" s="6"/>
      <c r="BL20" s="6">
        <f t="shared" si="3"/>
        <v>0</v>
      </c>
      <c r="BM20" s="6"/>
      <c r="BN20" s="6"/>
      <c r="BO20" s="6"/>
      <c r="BP20" s="6">
        <f t="shared" si="2"/>
        <v>0</v>
      </c>
      <c r="BR20" s="6">
        <f t="shared" si="0"/>
        <v>0</v>
      </c>
      <c r="BT20" s="6">
        <f t="shared" si="1"/>
        <v>0</v>
      </c>
      <c r="BU20" s="6"/>
    </row>
    <row r="21" spans="1:73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4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K21" s="6"/>
      <c r="BL21" s="6">
        <f t="shared" si="3"/>
        <v>0</v>
      </c>
      <c r="BM21" s="6"/>
      <c r="BN21" s="6"/>
      <c r="BO21" s="6"/>
      <c r="BP21" s="6">
        <f t="shared" si="2"/>
        <v>0</v>
      </c>
      <c r="BR21" s="6">
        <f t="shared" si="0"/>
        <v>0</v>
      </c>
      <c r="BT21" s="6">
        <f t="shared" si="1"/>
        <v>0</v>
      </c>
      <c r="BU21" s="6"/>
    </row>
    <row r="22" spans="1:73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K22" s="6"/>
      <c r="BL22" s="6">
        <f t="shared" si="3"/>
        <v>0</v>
      </c>
      <c r="BM22" s="6"/>
      <c r="BN22" s="6">
        <v>0</v>
      </c>
      <c r="BO22" s="6"/>
      <c r="BP22" s="6">
        <f t="shared" si="2"/>
        <v>0</v>
      </c>
      <c r="BR22" s="6">
        <f t="shared" si="0"/>
        <v>0</v>
      </c>
      <c r="BT22" s="6">
        <f t="shared" si="1"/>
        <v>0</v>
      </c>
      <c r="BU22" s="6"/>
    </row>
    <row r="23" spans="1:73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K23" s="6"/>
      <c r="BL23" s="6">
        <f t="shared" si="3"/>
        <v>0</v>
      </c>
      <c r="BM23" s="6"/>
      <c r="BN23" s="6">
        <v>0</v>
      </c>
      <c r="BO23" s="6"/>
      <c r="BP23" s="6">
        <f t="shared" si="2"/>
        <v>0</v>
      </c>
      <c r="BR23" s="6">
        <f t="shared" si="0"/>
        <v>0</v>
      </c>
      <c r="BT23" s="6">
        <f t="shared" si="1"/>
        <v>0</v>
      </c>
      <c r="BU23" s="6"/>
    </row>
    <row r="24" spans="1:73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K24" s="6"/>
      <c r="BL24" s="6">
        <f t="shared" si="3"/>
        <v>0</v>
      </c>
      <c r="BM24" s="6"/>
      <c r="BN24" s="6">
        <v>0</v>
      </c>
      <c r="BO24" s="6"/>
      <c r="BP24" s="6">
        <f t="shared" si="2"/>
        <v>0</v>
      </c>
      <c r="BR24" s="6">
        <f t="shared" si="0"/>
        <v>0</v>
      </c>
      <c r="BT24" s="6">
        <f t="shared" si="1"/>
        <v>0</v>
      </c>
      <c r="BU24" s="6"/>
    </row>
    <row r="25" spans="1:73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K25" s="6"/>
      <c r="BL25" s="6">
        <f t="shared" si="3"/>
        <v>0</v>
      </c>
      <c r="BM25" s="6"/>
      <c r="BN25" s="6">
        <v>0</v>
      </c>
      <c r="BO25" s="6"/>
      <c r="BP25" s="6">
        <f t="shared" si="2"/>
        <v>0</v>
      </c>
      <c r="BR25" s="6">
        <f t="shared" si="0"/>
        <v>0</v>
      </c>
      <c r="BT25" s="6">
        <f t="shared" si="1"/>
        <v>0</v>
      </c>
      <c r="BU25" s="6"/>
    </row>
    <row r="26" spans="1:73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K26" s="6"/>
      <c r="BL26" s="6">
        <f t="shared" si="3"/>
        <v>0</v>
      </c>
      <c r="BM26" s="6"/>
      <c r="BN26" s="6">
        <v>0</v>
      </c>
      <c r="BO26" s="6"/>
      <c r="BP26" s="6">
        <f t="shared" si="2"/>
        <v>0</v>
      </c>
      <c r="BR26" s="6">
        <f t="shared" si="0"/>
        <v>0</v>
      </c>
      <c r="BT26" s="6">
        <f t="shared" si="1"/>
        <v>0</v>
      </c>
      <c r="BU26" s="6"/>
    </row>
    <row r="27" spans="1:73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K27" s="6"/>
      <c r="BL27" s="6">
        <f t="shared" si="3"/>
        <v>0</v>
      </c>
      <c r="BM27" s="6"/>
      <c r="BN27" s="6">
        <v>0</v>
      </c>
      <c r="BO27" s="6"/>
      <c r="BP27" s="6">
        <f t="shared" si="2"/>
        <v>0</v>
      </c>
      <c r="BR27" s="6">
        <f t="shared" si="0"/>
        <v>0</v>
      </c>
      <c r="BT27" s="6">
        <f t="shared" si="1"/>
        <v>0</v>
      </c>
      <c r="BU27" s="6"/>
    </row>
    <row r="28" spans="1:73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K28" s="6"/>
      <c r="BL28" s="6">
        <f t="shared" si="3"/>
        <v>0</v>
      </c>
      <c r="BM28" s="6"/>
      <c r="BN28" s="6">
        <v>0</v>
      </c>
      <c r="BO28" s="6"/>
      <c r="BP28" s="6">
        <f t="shared" si="2"/>
        <v>0</v>
      </c>
      <c r="BR28" s="6">
        <f t="shared" si="0"/>
        <v>0</v>
      </c>
      <c r="BT28" s="6">
        <f t="shared" si="1"/>
        <v>0</v>
      </c>
      <c r="BU28" s="6"/>
    </row>
    <row r="29" spans="1:73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4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6">
        <f t="shared" si="3"/>
        <v>0</v>
      </c>
      <c r="BM29" s="12"/>
      <c r="BN29" s="12">
        <v>0</v>
      </c>
      <c r="BO29" s="12"/>
      <c r="BP29" s="6">
        <f t="shared" si="2"/>
        <v>0</v>
      </c>
      <c r="BQ29" s="12"/>
      <c r="BR29" s="6">
        <f t="shared" si="0"/>
        <v>0</v>
      </c>
      <c r="BS29" s="12"/>
      <c r="BT29" s="6">
        <f t="shared" si="1"/>
        <v>0</v>
      </c>
      <c r="BU29" s="12"/>
    </row>
    <row r="30" spans="1:73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6"/>
      <c r="BL30" s="6">
        <f t="shared" si="3"/>
        <v>0</v>
      </c>
      <c r="BM30" s="6"/>
      <c r="BN30" s="12">
        <v>0</v>
      </c>
      <c r="BO30" s="6"/>
      <c r="BP30" s="6">
        <f t="shared" si="2"/>
        <v>0</v>
      </c>
      <c r="BR30" s="6">
        <f t="shared" si="0"/>
        <v>0</v>
      </c>
      <c r="BT30" s="6">
        <f t="shared" si="1"/>
        <v>0</v>
      </c>
      <c r="BU30" s="12"/>
    </row>
    <row r="31" spans="1:73">
      <c r="A31" s="57"/>
      <c r="B31" s="17"/>
      <c r="C31"/>
      <c r="D31"/>
      <c r="E31"/>
      <c r="F31"/>
      <c r="G31"/>
      <c r="H31"/>
      <c r="I31"/>
      <c r="J31" s="49"/>
      <c r="K31"/>
      <c r="L31" s="134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6"/>
      <c r="BL31" s="12"/>
      <c r="BM31" s="6"/>
      <c r="BN31" s="12"/>
      <c r="BO31" s="6"/>
      <c r="BP31" s="6">
        <f t="shared" si="2"/>
        <v>0</v>
      </c>
      <c r="BR31" s="6">
        <f t="shared" si="0"/>
        <v>0</v>
      </c>
      <c r="BT31" s="6">
        <f t="shared" si="1"/>
        <v>0</v>
      </c>
      <c r="BU31" s="12"/>
    </row>
    <row r="32" spans="1:73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4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6"/>
      <c r="BL32" s="101">
        <f>SUM(BL14:BL31)</f>
        <v>4656034.6000000006</v>
      </c>
      <c r="BM32" s="6"/>
      <c r="BN32" s="101">
        <f>SUM(BN14:BN31)</f>
        <v>293980</v>
      </c>
      <c r="BO32" s="6"/>
      <c r="BP32" s="101">
        <f>SUM(BP14:BP31)</f>
        <v>134500</v>
      </c>
      <c r="BR32" s="101">
        <f>SUM(BR14:BR31)</f>
        <v>4790534.6000000006</v>
      </c>
      <c r="BT32" s="101">
        <f>SUM(BT14:BT31)</f>
        <v>-428480.60000000056</v>
      </c>
      <c r="BU32" s="12"/>
    </row>
    <row r="33" spans="1:73">
      <c r="A33" s="57"/>
      <c r="B33" s="17"/>
      <c r="C33"/>
      <c r="D33"/>
      <c r="E33"/>
      <c r="F33"/>
      <c r="G33"/>
      <c r="H33"/>
      <c r="I33"/>
      <c r="J33" s="49"/>
      <c r="K33"/>
      <c r="L33" s="134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6"/>
      <c r="BL33" s="12"/>
      <c r="BM33" s="6"/>
      <c r="BN33" s="12"/>
      <c r="BO33" s="6"/>
      <c r="BP33" s="12"/>
      <c r="BR33" s="12"/>
      <c r="BT33" s="12"/>
      <c r="BU33" s="12"/>
    </row>
    <row r="34" spans="1:73" s="114" customFormat="1">
      <c r="A34" s="112"/>
      <c r="B34" s="113" t="s">
        <v>15</v>
      </c>
      <c r="J34" s="157"/>
      <c r="L34" s="142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91044023.440000013</v>
      </c>
      <c r="BM34" s="115"/>
      <c r="BN34" s="115">
        <f>+BN32+BN12</f>
        <v>1260469</v>
      </c>
      <c r="BO34" s="115"/>
      <c r="BP34" s="115">
        <f>+BP32+BP12</f>
        <v>634500.15999998152</v>
      </c>
      <c r="BQ34" s="115"/>
      <c r="BR34" s="115">
        <f>+BR32+BR12</f>
        <v>91678523.599999994</v>
      </c>
      <c r="BS34" s="115"/>
      <c r="BT34" s="115">
        <f>+BT32+BT12</f>
        <v>-1394969.6000000006</v>
      </c>
      <c r="BU34" s="115"/>
    </row>
    <row r="35" spans="1:73">
      <c r="A35" s="57"/>
      <c r="B35" s="79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K35" s="6"/>
      <c r="BM35" s="6"/>
      <c r="BN35" s="6"/>
      <c r="BO35" s="6"/>
      <c r="BU35" s="6"/>
    </row>
    <row r="36" spans="1:73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K36" s="6"/>
      <c r="BM36" s="6"/>
      <c r="BN36" s="6"/>
      <c r="BO36" s="6"/>
      <c r="BU36" s="6"/>
    </row>
    <row r="37" spans="1:73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K37" s="6"/>
      <c r="BM37" s="6"/>
      <c r="BN37" s="6"/>
      <c r="BO37" s="6"/>
      <c r="BU37" s="6"/>
    </row>
    <row r="38" spans="1:73">
      <c r="A38" s="57"/>
      <c r="B38" s="17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K38" s="6"/>
      <c r="BM38" s="6"/>
      <c r="BN38" s="6"/>
      <c r="BO38" s="6"/>
      <c r="BU38" s="6"/>
    </row>
    <row r="39" spans="1:73">
      <c r="A39" s="57"/>
      <c r="B39" s="232" t="s">
        <v>295</v>
      </c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K39" s="6"/>
      <c r="BM39" s="6"/>
      <c r="BN39" s="6"/>
      <c r="BO39" s="6"/>
      <c r="BU39" s="6"/>
    </row>
    <row r="40" spans="1:73">
      <c r="A40" s="57"/>
      <c r="B40" s="233" t="s">
        <v>293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K40" s="6"/>
      <c r="BL40" s="6">
        <f t="shared" ref="BL40:BL47" si="5">SUM(T40:BK40)</f>
        <v>434961</v>
      </c>
      <c r="BM40" s="6"/>
      <c r="BN40" s="6">
        <f>1164271-1132835</f>
        <v>31436</v>
      </c>
      <c r="BO40" s="6"/>
      <c r="BP40" s="6">
        <f t="shared" ref="BP40:BP47" si="6">IF(+R40-BL40+BN40&gt;0,R40-BL40+BN40,0)</f>
        <v>729329</v>
      </c>
      <c r="BR40" s="6">
        <f t="shared" ref="BR40:BR47" si="7">+BL40+BP40</f>
        <v>1164290</v>
      </c>
      <c r="BT40" s="6">
        <f>+R40-BR40</f>
        <v>-31436</v>
      </c>
      <c r="BU40" s="6"/>
    </row>
    <row r="41" spans="1:73">
      <c r="A41" s="57"/>
      <c r="B41" s="233" t="s">
        <v>382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K41" s="6"/>
      <c r="BL41" s="6">
        <f t="shared" si="5"/>
        <v>717041</v>
      </c>
      <c r="BM41" s="6"/>
      <c r="BN41" s="6">
        <f>2003210-1580972</f>
        <v>422238</v>
      </c>
      <c r="BO41" s="6"/>
      <c r="BP41" s="6">
        <f t="shared" si="6"/>
        <v>1286169</v>
      </c>
      <c r="BR41" s="6">
        <f t="shared" si="7"/>
        <v>2003210</v>
      </c>
      <c r="BT41" s="6">
        <f t="shared" ref="BT41:BT46" si="8">+R41-BR41</f>
        <v>-422238</v>
      </c>
      <c r="BU41" s="6"/>
    </row>
    <row r="42" spans="1:73">
      <c r="A42" s="57"/>
      <c r="B42" s="233" t="s">
        <v>383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235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K42" s="6"/>
      <c r="BL42" s="6">
        <f t="shared" si="5"/>
        <v>3988889</v>
      </c>
      <c r="BM42" s="6"/>
      <c r="BN42" s="6">
        <f>9627760-8636947</f>
        <v>990813</v>
      </c>
      <c r="BO42" s="6"/>
      <c r="BP42" s="6">
        <f t="shared" si="6"/>
        <v>5638872</v>
      </c>
      <c r="BR42" s="6">
        <f t="shared" si="7"/>
        <v>9627761</v>
      </c>
      <c r="BT42" s="6">
        <f t="shared" si="8"/>
        <v>-990813</v>
      </c>
      <c r="BU42" s="6"/>
    </row>
    <row r="43" spans="1:73">
      <c r="A43" s="57"/>
      <c r="B43" s="233" t="s">
        <v>22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K43" s="6"/>
      <c r="BL43" s="6">
        <f t="shared" si="5"/>
        <v>421749</v>
      </c>
      <c r="BM43" s="6"/>
      <c r="BN43" s="6">
        <f>465690-384721</f>
        <v>80969</v>
      </c>
      <c r="BO43" s="6"/>
      <c r="BP43" s="6">
        <f t="shared" si="6"/>
        <v>43941</v>
      </c>
      <c r="BR43" s="6">
        <f t="shared" si="7"/>
        <v>465690</v>
      </c>
      <c r="BT43" s="6">
        <f t="shared" si="8"/>
        <v>-80969</v>
      </c>
      <c r="BU43" s="6"/>
    </row>
    <row r="44" spans="1:73">
      <c r="A44" s="57"/>
      <c r="B44" s="233" t="s">
        <v>364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K44" s="6"/>
      <c r="BL44" s="6">
        <f t="shared" si="5"/>
        <v>33294</v>
      </c>
      <c r="BM44" s="6"/>
      <c r="BN44" s="6">
        <v>0</v>
      </c>
      <c r="BO44" s="6"/>
      <c r="BP44" s="6">
        <f t="shared" si="6"/>
        <v>116706</v>
      </c>
      <c r="BR44" s="6">
        <f t="shared" si="7"/>
        <v>150000</v>
      </c>
      <c r="BT44" s="6">
        <f t="shared" si="8"/>
        <v>0</v>
      </c>
      <c r="BU44" s="6"/>
    </row>
    <row r="45" spans="1:73">
      <c r="A45" s="57"/>
      <c r="B45" s="233" t="s">
        <v>190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K45" s="6"/>
      <c r="BL45" s="6">
        <f t="shared" si="5"/>
        <v>0</v>
      </c>
      <c r="BM45" s="6"/>
      <c r="BN45" s="6">
        <v>-547484</v>
      </c>
      <c r="BO45" s="6"/>
      <c r="BP45" s="6">
        <f t="shared" si="6"/>
        <v>0</v>
      </c>
      <c r="BR45" s="6">
        <f t="shared" si="7"/>
        <v>0</v>
      </c>
      <c r="BT45" s="6">
        <f t="shared" si="8"/>
        <v>547484</v>
      </c>
      <c r="BU45" s="6"/>
    </row>
    <row r="46" spans="1:73">
      <c r="A46" s="57"/>
      <c r="B46" s="233" t="s">
        <v>294</v>
      </c>
      <c r="C46"/>
      <c r="D46"/>
      <c r="E46"/>
      <c r="F46"/>
      <c r="G46"/>
      <c r="H46"/>
      <c r="I46"/>
      <c r="J46" s="49"/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K46" s="6"/>
      <c r="BL46" s="6">
        <f t="shared" si="5"/>
        <v>0</v>
      </c>
      <c r="BM46" s="6"/>
      <c r="BN46" s="6">
        <v>-485</v>
      </c>
      <c r="BO46" s="6"/>
      <c r="BP46" s="6">
        <f t="shared" si="6"/>
        <v>0</v>
      </c>
      <c r="BR46" s="6">
        <f t="shared" si="7"/>
        <v>0</v>
      </c>
      <c r="BT46" s="6">
        <f t="shared" si="8"/>
        <v>-231</v>
      </c>
      <c r="BU46" s="6"/>
    </row>
    <row r="47" spans="1:73">
      <c r="A47" s="57"/>
      <c r="B47" s="233"/>
      <c r="C47"/>
      <c r="D47"/>
      <c r="E47"/>
      <c r="F47"/>
      <c r="G47"/>
      <c r="H47"/>
      <c r="I47"/>
      <c r="J47" s="49"/>
      <c r="K47"/>
      <c r="L47" s="134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K47" s="6"/>
      <c r="BL47" s="6">
        <f t="shared" si="5"/>
        <v>0</v>
      </c>
      <c r="BM47" s="6"/>
      <c r="BN47" s="6">
        <v>0</v>
      </c>
      <c r="BO47" s="6"/>
      <c r="BP47" s="6">
        <f t="shared" si="6"/>
        <v>0</v>
      </c>
      <c r="BR47" s="6">
        <f t="shared" si="7"/>
        <v>0</v>
      </c>
      <c r="BU47" s="6"/>
    </row>
    <row r="48" spans="1:73" s="21" customFormat="1">
      <c r="A48" s="118"/>
      <c r="B48" s="236" t="s">
        <v>296</v>
      </c>
      <c r="J48" s="8"/>
      <c r="L48" s="143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>
        <f t="shared" si="9"/>
        <v>0</v>
      </c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T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 t="shared" si="10"/>
        <v>0</v>
      </c>
      <c r="BL48" s="9">
        <f t="shared" si="10"/>
        <v>5595934</v>
      </c>
      <c r="BM48" s="9">
        <f t="shared" si="10"/>
        <v>0</v>
      </c>
      <c r="BN48" s="9">
        <f t="shared" si="10"/>
        <v>977487</v>
      </c>
      <c r="BO48" s="9">
        <f t="shared" si="10"/>
        <v>0</v>
      </c>
      <c r="BP48" s="9">
        <f t="shared" si="10"/>
        <v>7815017</v>
      </c>
      <c r="BQ48" s="9">
        <f t="shared" si="10"/>
        <v>0</v>
      </c>
      <c r="BR48" s="9">
        <f t="shared" si="10"/>
        <v>13410951</v>
      </c>
      <c r="BS48" s="9">
        <f t="shared" si="10"/>
        <v>0</v>
      </c>
      <c r="BT48" s="9">
        <f t="shared" si="10"/>
        <v>-978203</v>
      </c>
      <c r="BU48" s="9"/>
    </row>
    <row r="49" spans="1:73">
      <c r="A49" s="57"/>
      <c r="B49" s="234"/>
      <c r="C49"/>
      <c r="D49"/>
      <c r="E49"/>
      <c r="F49"/>
      <c r="G49"/>
      <c r="H49"/>
      <c r="I49"/>
      <c r="J49" s="49"/>
      <c r="K49"/>
      <c r="L49" s="134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K49" s="6"/>
      <c r="BM49" s="6"/>
      <c r="BN49" s="6"/>
      <c r="BO49" s="6"/>
      <c r="BU49" s="6"/>
    </row>
    <row r="50" spans="1:73">
      <c r="B50" s="21" t="s">
        <v>297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K50" s="6"/>
      <c r="BL50" s="6">
        <f>SUM(T50:BK50)</f>
        <v>0</v>
      </c>
      <c r="BM50" s="6"/>
      <c r="BN50" s="6"/>
      <c r="BO50" s="6"/>
      <c r="BU50" s="6"/>
    </row>
    <row r="51" spans="1:73">
      <c r="A51"/>
      <c r="B51" s="233" t="s">
        <v>384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K51" s="6"/>
      <c r="BL51" s="6">
        <f>SUM(T51:BK51)</f>
        <v>124742</v>
      </c>
      <c r="BM51" s="6"/>
      <c r="BN51" s="6"/>
      <c r="BO51" s="6"/>
      <c r="BP51" s="6">
        <f>IF(+R51-BL51+BN51&gt;0,R51-BL51+BN51,0)</f>
        <v>212418</v>
      </c>
      <c r="BR51" s="6">
        <f>+BL51+BP51</f>
        <v>337160</v>
      </c>
      <c r="BT51" s="6">
        <f>+R51-BR51</f>
        <v>0</v>
      </c>
      <c r="BU51" s="6"/>
    </row>
    <row r="52" spans="1:73">
      <c r="A52"/>
      <c r="B52" s="233" t="s">
        <v>385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K52" s="6"/>
      <c r="BL52" s="6">
        <f>SUM(T52:BK52)</f>
        <v>1125407</v>
      </c>
      <c r="BM52" s="6"/>
      <c r="BN52" s="6">
        <f>3268613-3526570</f>
        <v>-257957</v>
      </c>
      <c r="BO52" s="6"/>
      <c r="BP52" s="6">
        <f>IF(+R52-BL52+BN52&gt;0,R52-BL52+BN52,0)</f>
        <v>2143206</v>
      </c>
      <c r="BR52" s="6">
        <f>+BL52+BP52</f>
        <v>3268613</v>
      </c>
      <c r="BT52" s="6">
        <f>+R52-BR52</f>
        <v>257957</v>
      </c>
      <c r="BU52" s="6"/>
    </row>
    <row r="53" spans="1:73">
      <c r="A53"/>
      <c r="B53" s="233" t="s">
        <v>19</v>
      </c>
      <c r="C53"/>
      <c r="D53"/>
      <c r="E53"/>
      <c r="F53"/>
      <c r="G53"/>
      <c r="H53"/>
      <c r="I53"/>
      <c r="J53" s="49" t="s">
        <v>229</v>
      </c>
      <c r="K53"/>
      <c r="L53" s="134"/>
      <c r="M53" s="6"/>
      <c r="O53" s="6"/>
      <c r="Q53" s="6"/>
      <c r="R53" s="235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K53" s="6"/>
      <c r="BL53" s="6">
        <f>SUM(T53:BK53)</f>
        <v>7369</v>
      </c>
      <c r="BM53" s="6"/>
      <c r="BN53" s="6">
        <f>877394-967394</f>
        <v>-90000</v>
      </c>
      <c r="BO53" s="6"/>
      <c r="BP53" s="6">
        <f>IF(+R53-BL53+BN53&gt;0,R53-BL53+BN53,0)</f>
        <v>870025</v>
      </c>
      <c r="BR53" s="6">
        <f>+BL53+BP53</f>
        <v>877394</v>
      </c>
      <c r="BT53" s="6">
        <f>+R53-BR53</f>
        <v>90000</v>
      </c>
      <c r="BU53" s="6"/>
    </row>
    <row r="54" spans="1:73">
      <c r="A54"/>
      <c r="B54" s="233" t="s">
        <v>386</v>
      </c>
      <c r="C54"/>
      <c r="D54"/>
      <c r="E54"/>
      <c r="F54"/>
      <c r="G54"/>
      <c r="H54"/>
      <c r="I54"/>
      <c r="J54" s="49" t="s">
        <v>229</v>
      </c>
      <c r="K54"/>
      <c r="L54" s="134"/>
      <c r="M54" s="6"/>
      <c r="O54" s="6"/>
      <c r="Q54" s="6"/>
      <c r="R54" s="235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K54" s="6"/>
      <c r="BL54" s="6">
        <f>SUM(T54:BK54)</f>
        <v>4953</v>
      </c>
      <c r="BM54" s="6"/>
      <c r="BN54" s="6">
        <f>466609-577625</f>
        <v>-111016</v>
      </c>
      <c r="BO54" s="6"/>
      <c r="BP54" s="6">
        <f>IF(+R54-BL54+BN54&gt;0,R54-BL54+BN54,0)</f>
        <v>461656</v>
      </c>
      <c r="BR54" s="6">
        <f>+BL54+BP54</f>
        <v>466609</v>
      </c>
      <c r="BT54" s="6">
        <f>+R54-BR54</f>
        <v>111016</v>
      </c>
      <c r="BU54" s="6"/>
    </row>
    <row r="55" spans="1:73" s="21" customFormat="1">
      <c r="B55" s="236" t="s">
        <v>298</v>
      </c>
      <c r="J55" s="8"/>
      <c r="L55" s="143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>
        <f t="shared" si="11"/>
        <v>0</v>
      </c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T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 t="shared" si="12"/>
        <v>0</v>
      </c>
      <c r="BL55" s="9">
        <f t="shared" si="12"/>
        <v>1262471</v>
      </c>
      <c r="BM55" s="9">
        <f t="shared" si="12"/>
        <v>0</v>
      </c>
      <c r="BN55" s="9">
        <f t="shared" si="12"/>
        <v>-458973</v>
      </c>
      <c r="BO55" s="9">
        <f t="shared" si="12"/>
        <v>0</v>
      </c>
      <c r="BP55" s="9">
        <f t="shared" si="12"/>
        <v>3687305</v>
      </c>
      <c r="BQ55" s="9">
        <f t="shared" si="12"/>
        <v>0</v>
      </c>
      <c r="BR55" s="9">
        <f t="shared" si="12"/>
        <v>4949776</v>
      </c>
      <c r="BS55" s="9">
        <f t="shared" si="12"/>
        <v>0</v>
      </c>
      <c r="BT55" s="9">
        <f t="shared" si="12"/>
        <v>458973</v>
      </c>
      <c r="BU55" s="9"/>
    </row>
    <row r="56" spans="1:73" s="21" customFormat="1">
      <c r="B56" s="236"/>
      <c r="J56" s="8"/>
      <c r="L56" s="14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1:73" s="21" customFormat="1">
      <c r="B57" s="237" t="s">
        <v>310</v>
      </c>
      <c r="J57" s="8"/>
      <c r="L57" s="14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1:73" s="21" customFormat="1">
      <c r="B58" s="238" t="s">
        <v>299</v>
      </c>
      <c r="J58" s="8"/>
      <c r="L58" s="143"/>
      <c r="M58" s="9"/>
      <c r="N58" s="9"/>
      <c r="O58" s="9"/>
      <c r="P58" s="9"/>
      <c r="Q58" s="9"/>
      <c r="R58" s="235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6">
        <f t="shared" ref="BL58:BL78" si="13">SUM(T58:BK58)</f>
        <v>708372</v>
      </c>
      <c r="BM58" s="9"/>
      <c r="BN58" s="6">
        <f>431043+930942-1021325</f>
        <v>340660</v>
      </c>
      <c r="BO58" s="9"/>
      <c r="BP58" s="6">
        <f>IF(+R58-BL58+BN58&gt;0,R58-BL58+BN58,0)</f>
        <v>653613</v>
      </c>
      <c r="BQ58" s="6"/>
      <c r="BR58" s="6">
        <f>+BL58+BP58</f>
        <v>1361985</v>
      </c>
      <c r="BS58" s="6"/>
      <c r="BT58" s="6">
        <f>+R58-BR58</f>
        <v>-340660</v>
      </c>
      <c r="BU58" s="9"/>
    </row>
    <row r="59" spans="1:73" s="21" customFormat="1">
      <c r="B59" s="238" t="s">
        <v>365</v>
      </c>
      <c r="J59" s="8"/>
      <c r="L59" s="143"/>
      <c r="M59" s="9"/>
      <c r="N59" s="9"/>
      <c r="O59" s="9"/>
      <c r="P59" s="9"/>
      <c r="Q59" s="9"/>
      <c r="R59" s="235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6">
        <f>SUM(T59:BK59)</f>
        <v>56319</v>
      </c>
      <c r="BM59" s="6">
        <f>SUM(U59:BL59)</f>
        <v>112638</v>
      </c>
      <c r="BN59" s="6">
        <v>2535</v>
      </c>
      <c r="BO59" s="6">
        <f>SUM(W59:BN59)</f>
        <v>227811</v>
      </c>
      <c r="BP59" s="6">
        <f>IF(+R59-BL59+BN59&gt;0,R59-BL59+BN59,0)</f>
        <v>0</v>
      </c>
      <c r="BQ59" s="6">
        <f>SUM(Y59:BP59)</f>
        <v>455622</v>
      </c>
      <c r="BR59" s="6">
        <f>+BL59+BP59</f>
        <v>56319</v>
      </c>
      <c r="BS59" s="6">
        <f>SUM(AA59:BR59)</f>
        <v>967563</v>
      </c>
      <c r="BT59" s="6">
        <f>+R59-BR59</f>
        <v>-56319</v>
      </c>
      <c r="BU59" s="9"/>
    </row>
    <row r="60" spans="1:73" s="21" customFormat="1">
      <c r="B60" s="238" t="s">
        <v>387</v>
      </c>
      <c r="J60" s="8"/>
      <c r="L60" s="143"/>
      <c r="M60" s="9"/>
      <c r="N60" s="9"/>
      <c r="O60" s="9"/>
      <c r="P60" s="9"/>
      <c r="Q60" s="9"/>
      <c r="R60" s="235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6">
        <f t="shared" si="13"/>
        <v>518815</v>
      </c>
      <c r="BM60" s="6">
        <f>SUM(U60:BL60)</f>
        <v>1037630</v>
      </c>
      <c r="BN60" s="6">
        <f>763505-520119</f>
        <v>243386</v>
      </c>
      <c r="BO60" s="6">
        <f>SUM(W60:BN60)</f>
        <v>2318646</v>
      </c>
      <c r="BP60" s="6">
        <f>IF(+R60-BL60+BN60&gt;0,R60-BL60+BN60,0)</f>
        <v>244690</v>
      </c>
      <c r="BQ60" s="6">
        <f>SUM(Y60:BP60)</f>
        <v>4881982</v>
      </c>
      <c r="BR60" s="6">
        <f>+BL60+BP60</f>
        <v>763505</v>
      </c>
      <c r="BS60" s="6">
        <f>SUM(AA60:BR60)</f>
        <v>10527469</v>
      </c>
      <c r="BT60" s="6">
        <f>+R60-BR60</f>
        <v>-243386</v>
      </c>
      <c r="BU60" s="9"/>
    </row>
    <row r="61" spans="1:73" s="21" customFormat="1">
      <c r="B61" s="238" t="s">
        <v>300</v>
      </c>
      <c r="J61" s="8"/>
      <c r="L61" s="143"/>
      <c r="M61" s="9"/>
      <c r="N61" s="9"/>
      <c r="O61" s="9"/>
      <c r="P61" s="9"/>
      <c r="Q61" s="9"/>
      <c r="R61" s="235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6">
        <f t="shared" si="13"/>
        <v>146856</v>
      </c>
      <c r="BM61" s="9"/>
      <c r="BN61" s="9"/>
      <c r="BO61" s="9"/>
      <c r="BP61" s="6">
        <f t="shared" ref="BP61:BP77" si="14">IF(+R61-BL61+BN61&gt;0,R61-BL61+BN61,0)</f>
        <v>228272</v>
      </c>
      <c r="BQ61" s="6"/>
      <c r="BR61" s="6">
        <f t="shared" ref="BR61:BR78" si="15">+BL61+BP61</f>
        <v>375128</v>
      </c>
      <c r="BS61" s="6"/>
      <c r="BT61" s="6">
        <f t="shared" ref="BT61:BT78" si="16">+R61-BR61</f>
        <v>0</v>
      </c>
      <c r="BU61" s="9"/>
    </row>
    <row r="62" spans="1:73" s="21" customFormat="1">
      <c r="B62" s="238" t="s">
        <v>388</v>
      </c>
      <c r="J62" s="8"/>
      <c r="L62" s="143"/>
      <c r="M62" s="9"/>
      <c r="N62" s="9"/>
      <c r="O62" s="9"/>
      <c r="P62" s="9"/>
      <c r="Q62" s="9"/>
      <c r="R62" s="235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6">
        <f t="shared" si="13"/>
        <v>362820</v>
      </c>
      <c r="BM62" s="9"/>
      <c r="BN62" s="6">
        <f>678416-460629</f>
        <v>217787</v>
      </c>
      <c r="BO62" s="9"/>
      <c r="BP62" s="6">
        <f t="shared" si="14"/>
        <v>315596</v>
      </c>
      <c r="BQ62" s="6"/>
      <c r="BR62" s="6">
        <f t="shared" si="15"/>
        <v>678416</v>
      </c>
      <c r="BS62" s="6"/>
      <c r="BT62" s="6">
        <f t="shared" si="16"/>
        <v>-217787</v>
      </c>
      <c r="BU62" s="9"/>
    </row>
    <row r="63" spans="1:73" s="21" customFormat="1">
      <c r="B63" s="238" t="s">
        <v>301</v>
      </c>
      <c r="J63" s="8"/>
      <c r="L63" s="143"/>
      <c r="M63" s="9"/>
      <c r="N63" s="9"/>
      <c r="O63" s="9"/>
      <c r="P63" s="9"/>
      <c r="Q63" s="9"/>
      <c r="R63" s="235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6">
        <f t="shared" si="13"/>
        <v>123436</v>
      </c>
      <c r="BM63" s="9"/>
      <c r="BN63" s="9"/>
      <c r="BO63" s="9"/>
      <c r="BP63" s="6">
        <f t="shared" si="14"/>
        <v>69714</v>
      </c>
      <c r="BQ63" s="6"/>
      <c r="BR63" s="6">
        <f t="shared" si="15"/>
        <v>193150</v>
      </c>
      <c r="BS63" s="6"/>
      <c r="BT63" s="6">
        <f t="shared" si="16"/>
        <v>0</v>
      </c>
      <c r="BU63" s="9"/>
    </row>
    <row r="64" spans="1:73" s="21" customFormat="1">
      <c r="B64" s="238" t="s">
        <v>394</v>
      </c>
      <c r="J64" s="8"/>
      <c r="L64" s="143"/>
      <c r="M64" s="9"/>
      <c r="N64" s="9"/>
      <c r="O64" s="9"/>
      <c r="P64" s="9"/>
      <c r="Q64" s="9"/>
      <c r="R64" s="235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6">
        <f t="shared" si="13"/>
        <v>796722</v>
      </c>
      <c r="BM64" s="9"/>
      <c r="BN64" s="6">
        <f>1395362-896017</f>
        <v>499345</v>
      </c>
      <c r="BO64" s="9"/>
      <c r="BP64" s="6">
        <f t="shared" si="14"/>
        <v>598640</v>
      </c>
      <c r="BQ64" s="6"/>
      <c r="BR64" s="6">
        <f t="shared" si="15"/>
        <v>1395362</v>
      </c>
      <c r="BS64" s="6"/>
      <c r="BT64" s="6">
        <f t="shared" si="16"/>
        <v>-499345</v>
      </c>
      <c r="BU64" s="9"/>
    </row>
    <row r="65" spans="2:75" s="21" customFormat="1">
      <c r="B65" s="238" t="s">
        <v>302</v>
      </c>
      <c r="J65" s="8"/>
      <c r="L65" s="143"/>
      <c r="M65" s="9"/>
      <c r="N65" s="9"/>
      <c r="O65" s="9"/>
      <c r="P65" s="9"/>
      <c r="Q65" s="9"/>
      <c r="R65" s="235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6">
        <f t="shared" si="13"/>
        <v>520612</v>
      </c>
      <c r="BM65" s="9"/>
      <c r="BN65" s="9"/>
      <c r="BO65" s="9"/>
      <c r="BP65" s="6">
        <f t="shared" si="14"/>
        <v>144254</v>
      </c>
      <c r="BQ65" s="6"/>
      <c r="BR65" s="6">
        <f t="shared" si="15"/>
        <v>664866</v>
      </c>
      <c r="BS65" s="6"/>
      <c r="BT65" s="6">
        <f t="shared" si="16"/>
        <v>0</v>
      </c>
      <c r="BU65" s="9"/>
    </row>
    <row r="66" spans="2:75" s="21" customFormat="1">
      <c r="B66" s="238" t="s">
        <v>399</v>
      </c>
      <c r="J66" s="8"/>
      <c r="L66" s="143"/>
      <c r="M66" s="9"/>
      <c r="N66" s="9"/>
      <c r="O66" s="9"/>
      <c r="P66" s="9"/>
      <c r="Q66" s="9"/>
      <c r="R66" s="235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6">
        <f t="shared" si="13"/>
        <v>10758</v>
      </c>
      <c r="BM66" s="6">
        <f>SUM(U66:BL66)</f>
        <v>21516</v>
      </c>
      <c r="BN66" s="6">
        <f>148255-94449</f>
        <v>53806</v>
      </c>
      <c r="BO66" s="6">
        <f>SUM(W66:BN66)</f>
        <v>96838</v>
      </c>
      <c r="BP66" s="6">
        <f t="shared" si="14"/>
        <v>137497</v>
      </c>
      <c r="BQ66" s="6">
        <f>SUM(Y66:BP66)</f>
        <v>331173</v>
      </c>
      <c r="BR66" s="6">
        <f t="shared" si="15"/>
        <v>148255</v>
      </c>
      <c r="BS66" s="6">
        <f>SUM(AA66:BR66)</f>
        <v>810601</v>
      </c>
      <c r="BT66" s="6">
        <f t="shared" si="16"/>
        <v>-53806</v>
      </c>
      <c r="BU66" s="6">
        <f>SUM(AC66:BT66)</f>
        <v>1567396</v>
      </c>
      <c r="BV66" s="6">
        <f>SUM(AD66:BU66)</f>
        <v>3134792</v>
      </c>
      <c r="BW66" s="6">
        <f>SUM(AE66:BV66)</f>
        <v>6269584</v>
      </c>
    </row>
    <row r="67" spans="2:75" s="21" customFormat="1">
      <c r="B67" s="238" t="s">
        <v>393</v>
      </c>
      <c r="J67" s="8"/>
      <c r="L67" s="143"/>
      <c r="M67" s="9"/>
      <c r="N67" s="9"/>
      <c r="O67" s="9"/>
      <c r="P67" s="9"/>
      <c r="Q67" s="9"/>
      <c r="R67" s="235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6">
        <f t="shared" si="13"/>
        <v>7700</v>
      </c>
      <c r="BM67" s="9"/>
      <c r="BN67" s="9"/>
      <c r="BO67" s="9"/>
      <c r="BP67" s="6">
        <f t="shared" si="14"/>
        <v>39181</v>
      </c>
      <c r="BQ67" s="6"/>
      <c r="BR67" s="6">
        <f t="shared" si="15"/>
        <v>46881</v>
      </c>
      <c r="BS67" s="6"/>
      <c r="BT67" s="6">
        <f t="shared" si="16"/>
        <v>0</v>
      </c>
      <c r="BU67" s="9"/>
    </row>
    <row r="68" spans="2:75" s="21" customFormat="1">
      <c r="B68" s="238" t="s">
        <v>303</v>
      </c>
      <c r="J68" s="8"/>
      <c r="L68" s="143"/>
      <c r="M68" s="9"/>
      <c r="N68" s="9"/>
      <c r="O68" s="9"/>
      <c r="P68" s="9"/>
      <c r="Q68" s="9"/>
      <c r="R68" s="235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6">
        <f t="shared" si="13"/>
        <v>2197</v>
      </c>
      <c r="BM68" s="9"/>
      <c r="BN68" s="6">
        <f>41160-26528</f>
        <v>14632</v>
      </c>
      <c r="BO68" s="9"/>
      <c r="BP68" s="6">
        <f t="shared" si="14"/>
        <v>38963</v>
      </c>
      <c r="BQ68" s="6"/>
      <c r="BR68" s="6">
        <f t="shared" si="15"/>
        <v>41160</v>
      </c>
      <c r="BS68" s="6"/>
      <c r="BT68" s="6">
        <f t="shared" si="16"/>
        <v>-14632</v>
      </c>
      <c r="BU68" s="9"/>
    </row>
    <row r="69" spans="2:75" s="21" customFormat="1">
      <c r="B69" s="238" t="s">
        <v>304</v>
      </c>
      <c r="J69" s="8"/>
      <c r="L69" s="143"/>
      <c r="M69" s="9"/>
      <c r="N69" s="9"/>
      <c r="O69" s="9"/>
      <c r="P69" s="9"/>
      <c r="Q69" s="9"/>
      <c r="R69" s="235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6">
        <f t="shared" si="13"/>
        <v>41858</v>
      </c>
      <c r="BM69" s="9"/>
      <c r="BN69" s="9"/>
      <c r="BO69" s="9"/>
      <c r="BP69" s="6">
        <f t="shared" si="14"/>
        <v>52842</v>
      </c>
      <c r="BQ69" s="6"/>
      <c r="BR69" s="6">
        <f t="shared" si="15"/>
        <v>94700</v>
      </c>
      <c r="BS69" s="6"/>
      <c r="BT69" s="6">
        <f t="shared" si="16"/>
        <v>0</v>
      </c>
      <c r="BU69" s="9"/>
    </row>
    <row r="70" spans="2:75" s="21" customFormat="1">
      <c r="B70" s="238" t="s">
        <v>305</v>
      </c>
      <c r="J70" s="8"/>
      <c r="L70" s="143"/>
      <c r="M70" s="9"/>
      <c r="N70" s="9"/>
      <c r="O70" s="9"/>
      <c r="P70" s="9"/>
      <c r="Q70" s="9"/>
      <c r="R70" s="235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6">
        <f t="shared" si="13"/>
        <v>6824</v>
      </c>
      <c r="BM70" s="9"/>
      <c r="BN70" s="9">
        <v>0</v>
      </c>
      <c r="BO70" s="9"/>
      <c r="BP70" s="6">
        <f t="shared" si="14"/>
        <v>64104</v>
      </c>
      <c r="BQ70" s="6"/>
      <c r="BR70" s="6">
        <f t="shared" si="15"/>
        <v>70928</v>
      </c>
      <c r="BS70" s="6"/>
      <c r="BT70" s="6">
        <f t="shared" si="16"/>
        <v>0</v>
      </c>
      <c r="BU70" s="9"/>
    </row>
    <row r="71" spans="2:75" s="21" customFormat="1">
      <c r="B71" s="238" t="s">
        <v>306</v>
      </c>
      <c r="J71" s="8"/>
      <c r="L71" s="143"/>
      <c r="M71" s="9"/>
      <c r="N71" s="9"/>
      <c r="O71" s="9"/>
      <c r="P71" s="9"/>
      <c r="Q71" s="9"/>
      <c r="R71" s="235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6">
        <f t="shared" si="13"/>
        <v>130320</v>
      </c>
      <c r="BM71" s="9"/>
      <c r="BN71" s="9"/>
      <c r="BO71" s="9"/>
      <c r="BP71" s="6">
        <f t="shared" si="14"/>
        <v>494898</v>
      </c>
      <c r="BQ71" s="6"/>
      <c r="BR71" s="6">
        <f t="shared" si="15"/>
        <v>625218</v>
      </c>
      <c r="BS71" s="6"/>
      <c r="BT71" s="6">
        <f t="shared" si="16"/>
        <v>0</v>
      </c>
      <c r="BU71" s="9"/>
    </row>
    <row r="72" spans="2:75" s="21" customFormat="1">
      <c r="B72" s="238" t="s">
        <v>391</v>
      </c>
      <c r="J72" s="8"/>
      <c r="L72" s="143"/>
      <c r="M72" s="9"/>
      <c r="N72" s="9"/>
      <c r="O72" s="9"/>
      <c r="P72" s="9"/>
      <c r="Q72" s="9"/>
      <c r="R72" s="235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6">
        <f t="shared" si="13"/>
        <v>4374</v>
      </c>
      <c r="BM72" s="9"/>
      <c r="BN72" s="6">
        <f>521832-351660</f>
        <v>170172</v>
      </c>
      <c r="BO72" s="9"/>
      <c r="BP72" s="6">
        <f t="shared" si="14"/>
        <v>517458</v>
      </c>
      <c r="BQ72" s="6"/>
      <c r="BR72" s="6">
        <f t="shared" si="15"/>
        <v>521832</v>
      </c>
      <c r="BS72" s="6"/>
      <c r="BT72" s="6">
        <f t="shared" si="16"/>
        <v>-170172</v>
      </c>
      <c r="BU72" s="9"/>
    </row>
    <row r="73" spans="2:75" s="21" customFormat="1">
      <c r="B73" s="238" t="s">
        <v>392</v>
      </c>
      <c r="J73" s="8"/>
      <c r="L73" s="143"/>
      <c r="M73" s="9"/>
      <c r="N73" s="9"/>
      <c r="O73" s="9"/>
      <c r="P73" s="9"/>
      <c r="Q73" s="9"/>
      <c r="R73" s="235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6">
        <f t="shared" si="13"/>
        <v>48259</v>
      </c>
      <c r="BM73" s="9"/>
      <c r="BN73" s="6">
        <f>2693778-1672316</f>
        <v>1021462</v>
      </c>
      <c r="BO73" s="9"/>
      <c r="BP73" s="6">
        <f t="shared" si="14"/>
        <v>2645519</v>
      </c>
      <c r="BQ73" s="6"/>
      <c r="BR73" s="6">
        <f t="shared" si="15"/>
        <v>2693778</v>
      </c>
      <c r="BS73" s="6"/>
      <c r="BT73" s="6">
        <f t="shared" si="16"/>
        <v>-1021462</v>
      </c>
      <c r="BU73" s="9"/>
    </row>
    <row r="74" spans="2:75" s="21" customFormat="1">
      <c r="B74" s="238" t="s">
        <v>397</v>
      </c>
      <c r="J74" s="8"/>
      <c r="L74" s="143"/>
      <c r="M74" s="9"/>
      <c r="N74" s="9"/>
      <c r="O74" s="9"/>
      <c r="P74" s="9"/>
      <c r="Q74" s="9"/>
      <c r="R74" s="235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6">
        <f t="shared" si="13"/>
        <v>15157</v>
      </c>
      <c r="BM74" s="9"/>
      <c r="BN74" s="6">
        <f>510525-373497</f>
        <v>137028</v>
      </c>
      <c r="BO74" s="9"/>
      <c r="BP74" s="6">
        <f t="shared" si="14"/>
        <v>495368</v>
      </c>
      <c r="BQ74" s="6"/>
      <c r="BR74" s="6">
        <f t="shared" si="15"/>
        <v>510525</v>
      </c>
      <c r="BS74" s="6"/>
      <c r="BT74" s="6">
        <f t="shared" si="16"/>
        <v>-137028</v>
      </c>
      <c r="BU74" s="9"/>
    </row>
    <row r="75" spans="2:75" s="21" customFormat="1">
      <c r="B75" s="238" t="s">
        <v>308</v>
      </c>
      <c r="J75" s="8"/>
      <c r="L75" s="143"/>
      <c r="M75" s="9"/>
      <c r="N75" s="9"/>
      <c r="O75" s="9"/>
      <c r="P75" s="9"/>
      <c r="Q75" s="9"/>
      <c r="R75" s="235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6">
        <f t="shared" si="13"/>
        <v>0</v>
      </c>
      <c r="BM75" s="9"/>
      <c r="BN75" s="9"/>
      <c r="BO75" s="9"/>
      <c r="BP75" s="6">
        <f t="shared" si="14"/>
        <v>587792</v>
      </c>
      <c r="BQ75" s="6"/>
      <c r="BR75" s="6">
        <f t="shared" si="15"/>
        <v>587792</v>
      </c>
      <c r="BS75" s="6"/>
      <c r="BT75" s="6">
        <f t="shared" si="16"/>
        <v>0</v>
      </c>
      <c r="BU75" s="9"/>
    </row>
    <row r="76" spans="2:75" s="21" customFormat="1">
      <c r="B76" s="238" t="s">
        <v>396</v>
      </c>
      <c r="J76" s="8"/>
      <c r="L76" s="143"/>
      <c r="M76" s="9"/>
      <c r="N76" s="9"/>
      <c r="O76" s="9"/>
      <c r="P76" s="9"/>
      <c r="Q76" s="9"/>
      <c r="R76" s="235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6">
        <f t="shared" si="13"/>
        <v>519279</v>
      </c>
      <c r="BM76" s="9"/>
      <c r="BN76" s="6">
        <f>4266355-3449390</f>
        <v>816965</v>
      </c>
      <c r="BO76" s="9"/>
      <c r="BP76" s="6">
        <f t="shared" si="14"/>
        <v>3747076</v>
      </c>
      <c r="BQ76" s="6"/>
      <c r="BR76" s="6">
        <f t="shared" si="15"/>
        <v>4266355</v>
      </c>
      <c r="BS76" s="6"/>
      <c r="BT76" s="6">
        <f t="shared" si="16"/>
        <v>-816965</v>
      </c>
      <c r="BU76" s="9"/>
    </row>
    <row r="77" spans="2:75" s="21" customFormat="1">
      <c r="B77" s="238" t="s">
        <v>398</v>
      </c>
      <c r="J77" s="8"/>
      <c r="L77" s="143"/>
      <c r="M77" s="9"/>
      <c r="N77" s="9"/>
      <c r="O77" s="9"/>
      <c r="P77" s="9"/>
      <c r="Q77" s="9"/>
      <c r="R77" s="235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6">
        <f t="shared" si="13"/>
        <v>46182</v>
      </c>
      <c r="BM77" s="9"/>
      <c r="BN77" s="6">
        <f>1011805-752310</f>
        <v>259495</v>
      </c>
      <c r="BO77" s="9"/>
      <c r="BP77" s="6">
        <f t="shared" si="14"/>
        <v>965623</v>
      </c>
      <c r="BQ77" s="6"/>
      <c r="BR77" s="6">
        <f t="shared" si="15"/>
        <v>1011805</v>
      </c>
      <c r="BS77" s="6"/>
      <c r="BT77" s="6">
        <f t="shared" si="16"/>
        <v>-259495</v>
      </c>
      <c r="BU77" s="9"/>
    </row>
    <row r="78" spans="2:75" s="21" customFormat="1">
      <c r="B78" s="238" t="s">
        <v>366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6">
        <f t="shared" si="13"/>
        <v>1551987</v>
      </c>
      <c r="BM78" s="9"/>
      <c r="BN78" s="6">
        <v>0</v>
      </c>
      <c r="BO78" s="9"/>
      <c r="BP78" s="6">
        <f>IF(+R78-BL78+BN78&gt;0,R78-BL78+BN78,0)</f>
        <v>0</v>
      </c>
      <c r="BQ78" s="6"/>
      <c r="BR78" s="6">
        <f t="shared" si="15"/>
        <v>1551987</v>
      </c>
      <c r="BS78" s="6"/>
      <c r="BT78" s="6">
        <f t="shared" si="16"/>
        <v>-1551987</v>
      </c>
      <c r="BU78" s="9"/>
    </row>
    <row r="79" spans="2:75" s="21" customFormat="1">
      <c r="B79" s="239"/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2:75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SUM(R58:R79)</f>
        <v>12276903</v>
      </c>
      <c r="S80" s="9">
        <f t="shared" ref="S80:BU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>
        <f t="shared" si="17"/>
        <v>0</v>
      </c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 t="shared" si="17"/>
        <v>0</v>
      </c>
      <c r="BL80" s="9">
        <f t="shared" si="17"/>
        <v>5618847</v>
      </c>
      <c r="BM80" s="9">
        <f t="shared" si="17"/>
        <v>1171784</v>
      </c>
      <c r="BN80" s="9">
        <f t="shared" si="17"/>
        <v>3777273</v>
      </c>
      <c r="BO80" s="9">
        <f t="shared" si="17"/>
        <v>2643295</v>
      </c>
      <c r="BP80" s="9">
        <f t="shared" si="17"/>
        <v>12041100</v>
      </c>
      <c r="BQ80" s="9">
        <f t="shared" si="17"/>
        <v>5668777</v>
      </c>
      <c r="BR80" s="9">
        <f t="shared" si="17"/>
        <v>17659947</v>
      </c>
      <c r="BS80" s="9">
        <f t="shared" si="17"/>
        <v>12305633</v>
      </c>
      <c r="BT80" s="9">
        <f t="shared" si="17"/>
        <v>-5383044</v>
      </c>
      <c r="BU80" s="9">
        <f t="shared" si="17"/>
        <v>1567396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6">
        <f>SUM(T83:BK83)</f>
        <v>2255645</v>
      </c>
      <c r="BM83" s="9"/>
      <c r="BN83" s="6">
        <f>10145929-7824800</f>
        <v>2321129</v>
      </c>
      <c r="BO83" s="9"/>
      <c r="BP83" s="6">
        <f>IF(+R83-BL83+BN83&gt;0,R83-BL83+BN83,0)</f>
        <v>7890284</v>
      </c>
      <c r="BQ83" s="6"/>
      <c r="BR83" s="6">
        <f>+BL83+BP83</f>
        <v>10145929</v>
      </c>
      <c r="BS83" s="6"/>
      <c r="BT83" s="6">
        <f>+R83-BR83</f>
        <v>-2321129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>
        <f t="shared" si="18"/>
        <v>0</v>
      </c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T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 t="shared" si="19"/>
        <v>0</v>
      </c>
      <c r="BL85" s="9">
        <f t="shared" si="19"/>
        <v>2255645</v>
      </c>
      <c r="BM85" s="9">
        <f t="shared" si="19"/>
        <v>0</v>
      </c>
      <c r="BN85" s="9">
        <f t="shared" si="19"/>
        <v>2321129</v>
      </c>
      <c r="BO85" s="9">
        <f t="shared" si="19"/>
        <v>0</v>
      </c>
      <c r="BP85" s="9">
        <f t="shared" si="19"/>
        <v>7890284</v>
      </c>
      <c r="BQ85" s="9">
        <f t="shared" si="19"/>
        <v>0</v>
      </c>
      <c r="BR85" s="9">
        <f t="shared" si="19"/>
        <v>10145929</v>
      </c>
      <c r="BS85" s="9">
        <f t="shared" si="19"/>
        <v>0</v>
      </c>
      <c r="BT85" s="9">
        <f t="shared" si="19"/>
        <v>-2321129</v>
      </c>
      <c r="BU85" s="9"/>
    </row>
    <row r="86" spans="1:73" s="21" customFormat="1">
      <c r="B86" s="234"/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1:73" s="21" customFormat="1">
      <c r="B87" s="241" t="s">
        <v>368</v>
      </c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6">
        <f>SUM(T87:BK87)</f>
        <v>-943865</v>
      </c>
      <c r="BM87" s="9"/>
      <c r="BN87" s="9"/>
      <c r="BO87" s="9"/>
      <c r="BP87" s="9">
        <v>0</v>
      </c>
      <c r="BQ87" s="9"/>
      <c r="BR87" s="6"/>
      <c r="BS87" s="9"/>
      <c r="BT87" s="6">
        <f>+R87-BR87</f>
        <v>0</v>
      </c>
      <c r="BU87" s="9"/>
    </row>
    <row r="88" spans="1:73" s="21" customFormat="1">
      <c r="B88" s="234"/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1:73" s="21" customFormat="1">
      <c r="B89" s="241" t="s">
        <v>314</v>
      </c>
      <c r="J89" s="8"/>
      <c r="L89" s="143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6">
        <f>SUM(T89:BK89)</f>
        <v>28604967.620000001</v>
      </c>
      <c r="BM89" s="9"/>
      <c r="BN89" s="9">
        <f>43494000-40678250</f>
        <v>2815750</v>
      </c>
      <c r="BO89" s="9"/>
      <c r="BP89" s="6">
        <f>-31433706+2634960.45</f>
        <v>-28798745.550000001</v>
      </c>
      <c r="BQ89" s="9"/>
      <c r="BR89" s="6">
        <f>-46166603+43494000</f>
        <v>-2672603</v>
      </c>
      <c r="BS89" s="6"/>
      <c r="BT89" s="6">
        <f>+R89-BR89</f>
        <v>2672603</v>
      </c>
      <c r="BU89" s="9"/>
    </row>
    <row r="90" spans="1:73" s="21" customFormat="1">
      <c r="B90" s="236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1:73" s="105" customFormat="1">
      <c r="A91" s="242"/>
      <c r="B91" s="243" t="s">
        <v>243</v>
      </c>
      <c r="J91" s="158"/>
      <c r="L91" s="144"/>
      <c r="M91" s="13"/>
      <c r="N91" s="244">
        <f>SUM(N38:N90)</f>
        <v>0</v>
      </c>
      <c r="O91" s="13"/>
      <c r="P91" s="244">
        <f>SUM(P38:P90)</f>
        <v>0</v>
      </c>
      <c r="Q91" s="13"/>
      <c r="R91" s="244">
        <f t="shared" ref="R91:AS91" si="20">R85+R80+R55+R48+R89</f>
        <v>37943200</v>
      </c>
      <c r="S91" s="244">
        <f t="shared" si="20"/>
        <v>0</v>
      </c>
      <c r="T91" s="244">
        <f t="shared" si="20"/>
        <v>0</v>
      </c>
      <c r="U91" s="244">
        <f t="shared" si="20"/>
        <v>0</v>
      </c>
      <c r="V91" s="244">
        <f t="shared" si="20"/>
        <v>0</v>
      </c>
      <c r="W91" s="244">
        <f t="shared" si="20"/>
        <v>0</v>
      </c>
      <c r="X91" s="244">
        <f t="shared" si="20"/>
        <v>0</v>
      </c>
      <c r="Y91" s="244">
        <f t="shared" si="20"/>
        <v>0</v>
      </c>
      <c r="Z91" s="244">
        <f t="shared" si="20"/>
        <v>0</v>
      </c>
      <c r="AA91" s="244">
        <f t="shared" si="20"/>
        <v>0</v>
      </c>
      <c r="AB91" s="244">
        <f t="shared" si="20"/>
        <v>0</v>
      </c>
      <c r="AC91" s="244">
        <f t="shared" si="20"/>
        <v>0</v>
      </c>
      <c r="AD91" s="244">
        <f t="shared" si="20"/>
        <v>0</v>
      </c>
      <c r="AE91" s="244">
        <f t="shared" si="20"/>
        <v>0</v>
      </c>
      <c r="AF91" s="244">
        <f t="shared" si="20"/>
        <v>0</v>
      </c>
      <c r="AG91" s="244">
        <f t="shared" si="20"/>
        <v>0</v>
      </c>
      <c r="AH91" s="244">
        <f t="shared" si="20"/>
        <v>0</v>
      </c>
      <c r="AI91" s="244">
        <f t="shared" si="20"/>
        <v>0</v>
      </c>
      <c r="AJ91" s="244">
        <f t="shared" si="20"/>
        <v>0</v>
      </c>
      <c r="AK91" s="244">
        <f t="shared" si="20"/>
        <v>0</v>
      </c>
      <c r="AL91" s="244">
        <f t="shared" si="20"/>
        <v>0</v>
      </c>
      <c r="AM91" s="244">
        <f t="shared" si="20"/>
        <v>0</v>
      </c>
      <c r="AN91" s="244">
        <f t="shared" si="20"/>
        <v>0</v>
      </c>
      <c r="AO91" s="244">
        <f t="shared" si="20"/>
        <v>0</v>
      </c>
      <c r="AP91" s="244">
        <f t="shared" si="20"/>
        <v>4455378.55</v>
      </c>
      <c r="AQ91" s="244">
        <f t="shared" si="20"/>
        <v>0</v>
      </c>
      <c r="AR91" s="244">
        <f t="shared" si="20"/>
        <v>0</v>
      </c>
      <c r="AS91" s="244">
        <f t="shared" si="20"/>
        <v>0</v>
      </c>
      <c r="AT91" s="244">
        <f t="shared" ref="AT91:BT91" si="21">AT85+AT80+AT55+AT48+AT89+AT87</f>
        <v>5237440.57</v>
      </c>
      <c r="AU91" s="244">
        <f t="shared" si="21"/>
        <v>0</v>
      </c>
      <c r="AV91" s="244">
        <f t="shared" si="21"/>
        <v>5993551</v>
      </c>
      <c r="AW91" s="244">
        <f t="shared" si="21"/>
        <v>0</v>
      </c>
      <c r="AX91" s="244">
        <f t="shared" si="21"/>
        <v>7520360</v>
      </c>
      <c r="AY91" s="244">
        <f t="shared" si="21"/>
        <v>0</v>
      </c>
      <c r="AZ91" s="244">
        <f t="shared" si="21"/>
        <v>6627016.5</v>
      </c>
      <c r="BA91" s="244">
        <f t="shared" si="21"/>
        <v>0</v>
      </c>
      <c r="BB91" s="244">
        <f t="shared" si="21"/>
        <v>0</v>
      </c>
      <c r="BC91" s="244">
        <f t="shared" si="21"/>
        <v>0</v>
      </c>
      <c r="BD91" s="244">
        <f t="shared" si="21"/>
        <v>11025293</v>
      </c>
      <c r="BE91" s="244">
        <f t="shared" si="21"/>
        <v>0</v>
      </c>
      <c r="BF91" s="244">
        <f t="shared" si="21"/>
        <v>1534960</v>
      </c>
      <c r="BG91" s="244">
        <f t="shared" si="21"/>
        <v>0</v>
      </c>
      <c r="BH91" s="244">
        <f t="shared" si="21"/>
        <v>0</v>
      </c>
      <c r="BI91" s="244">
        <f t="shared" si="21"/>
        <v>0</v>
      </c>
      <c r="BJ91" s="244">
        <f t="shared" si="21"/>
        <v>0</v>
      </c>
      <c r="BK91" s="244">
        <f t="shared" si="21"/>
        <v>0</v>
      </c>
      <c r="BL91" s="244">
        <f t="shared" si="21"/>
        <v>42393999.620000005</v>
      </c>
      <c r="BM91" s="244">
        <f t="shared" si="21"/>
        <v>1171784</v>
      </c>
      <c r="BN91" s="244">
        <f t="shared" si="21"/>
        <v>9432666</v>
      </c>
      <c r="BO91" s="244">
        <f t="shared" si="21"/>
        <v>2643295</v>
      </c>
      <c r="BP91" s="244">
        <f t="shared" si="21"/>
        <v>2634960.4499999993</v>
      </c>
      <c r="BQ91" s="244">
        <f t="shared" si="21"/>
        <v>5668777</v>
      </c>
      <c r="BR91" s="244">
        <f t="shared" si="21"/>
        <v>43494000</v>
      </c>
      <c r="BS91" s="244">
        <f t="shared" si="21"/>
        <v>12305633</v>
      </c>
      <c r="BT91" s="244">
        <f t="shared" si="21"/>
        <v>-5550800</v>
      </c>
      <c r="BU91" s="244">
        <f>BU85+BU80+BU55+BU48+BU89</f>
        <v>1567396</v>
      </c>
    </row>
    <row r="92" spans="1:73">
      <c r="A92" s="57"/>
      <c r="B92" s="17"/>
      <c r="C92"/>
      <c r="D92"/>
      <c r="E92"/>
      <c r="F92"/>
      <c r="G92"/>
      <c r="H92"/>
      <c r="I92"/>
      <c r="J92" s="49"/>
      <c r="K92"/>
      <c r="L92" s="134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K92" s="6"/>
      <c r="BM92" s="6"/>
      <c r="BN92" s="6"/>
      <c r="BO92" s="6"/>
      <c r="BU92" s="6"/>
    </row>
    <row r="93" spans="1:73">
      <c r="A93" s="57"/>
      <c r="B93" s="17"/>
      <c r="C93"/>
      <c r="D93"/>
      <c r="E93"/>
      <c r="F93"/>
      <c r="G93"/>
      <c r="H93"/>
      <c r="I93"/>
      <c r="J93" s="49"/>
      <c r="K93"/>
      <c r="L93" s="134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K93" s="6"/>
      <c r="BM93" s="6"/>
      <c r="BN93" s="6"/>
      <c r="BO93" s="6"/>
      <c r="BU93" s="6"/>
    </row>
    <row r="94" spans="1:73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4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K94" s="6"/>
      <c r="BM94" s="6"/>
      <c r="BN94" s="6"/>
      <c r="BO94" s="6"/>
      <c r="BU94" s="6"/>
    </row>
    <row r="95" spans="1:73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0</v>
      </c>
      <c r="BK95" s="6"/>
      <c r="BL95" s="6">
        <f t="shared" ref="BL95:BL100" si="22">SUM(T95:BK95)</f>
        <v>929799.66333333321</v>
      </c>
      <c r="BM95" s="6"/>
      <c r="BN95" s="6">
        <v>0</v>
      </c>
      <c r="BO95" s="6"/>
      <c r="BP95" s="6">
        <f t="shared" ref="BP95:BP101" si="23">IF(+R95-BL95+BN95&gt;0,R95-BL95+BN95,0)</f>
        <v>0.3366666667861864</v>
      </c>
      <c r="BR95" s="6">
        <f t="shared" ref="BR95:BR100" si="24">+BL95+BP95</f>
        <v>929800</v>
      </c>
      <c r="BT95" s="6">
        <f t="shared" ref="BT95:BT101" si="25">+R95-BR95</f>
        <v>0</v>
      </c>
      <c r="BU95" s="6"/>
    </row>
    <row r="96" spans="1:73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4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K96" s="6"/>
      <c r="BL96" s="6">
        <f t="shared" si="22"/>
        <v>2386682.3466666667</v>
      </c>
      <c r="BM96" s="6"/>
      <c r="BN96" s="6">
        <v>0</v>
      </c>
      <c r="BO96" s="6"/>
      <c r="BP96" s="6">
        <f t="shared" si="23"/>
        <v>17.653333333320916</v>
      </c>
      <c r="BR96" s="6">
        <f t="shared" si="24"/>
        <v>2386700</v>
      </c>
      <c r="BT96" s="6">
        <f t="shared" si="25"/>
        <v>0</v>
      </c>
      <c r="BU96" s="6"/>
    </row>
    <row r="97" spans="1:73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4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K97" s="6"/>
      <c r="BL97" s="6">
        <f t="shared" si="22"/>
        <v>0</v>
      </c>
      <c r="BM97" s="6"/>
      <c r="BN97" s="6">
        <v>0</v>
      </c>
      <c r="BO97" s="6"/>
      <c r="BP97" s="6">
        <f t="shared" si="23"/>
        <v>0</v>
      </c>
      <c r="BR97" s="6">
        <f t="shared" si="24"/>
        <v>0</v>
      </c>
      <c r="BT97" s="6">
        <f t="shared" si="25"/>
        <v>0</v>
      </c>
      <c r="BU97" s="6"/>
    </row>
    <row r="98" spans="1:73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4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f t="shared" si="22"/>
        <v>0</v>
      </c>
      <c r="BM98" s="6"/>
      <c r="BN98" s="12">
        <v>0</v>
      </c>
      <c r="BO98" s="6"/>
      <c r="BP98" s="6">
        <f t="shared" si="23"/>
        <v>0</v>
      </c>
      <c r="BQ98" s="12"/>
      <c r="BR98" s="6">
        <f t="shared" si="24"/>
        <v>0</v>
      </c>
      <c r="BS98" s="12"/>
      <c r="BT98" s="6">
        <f t="shared" si="25"/>
        <v>0</v>
      </c>
      <c r="BU98" s="12"/>
    </row>
    <row r="99" spans="1:73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6" t="s">
        <v>236</v>
      </c>
      <c r="K99" s="30"/>
      <c r="L99" s="134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f t="shared" si="22"/>
        <v>0</v>
      </c>
      <c r="BM99" s="12"/>
      <c r="BN99" s="12">
        <v>0</v>
      </c>
      <c r="BO99" s="12"/>
      <c r="BP99" s="6">
        <f t="shared" si="23"/>
        <v>0</v>
      </c>
      <c r="BQ99" s="12"/>
      <c r="BR99" s="6">
        <f t="shared" si="24"/>
        <v>0</v>
      </c>
      <c r="BS99" s="12"/>
      <c r="BT99" s="6">
        <f t="shared" si="25"/>
        <v>0</v>
      </c>
      <c r="BU99" s="12"/>
    </row>
    <row r="100" spans="1:73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f t="shared" si="22"/>
        <v>0</v>
      </c>
      <c r="BM100" s="6"/>
      <c r="BN100" s="12">
        <v>0</v>
      </c>
      <c r="BO100" s="6"/>
      <c r="BP100" s="6">
        <f t="shared" si="23"/>
        <v>0</v>
      </c>
      <c r="BQ100" s="12"/>
      <c r="BR100" s="6">
        <f t="shared" si="24"/>
        <v>0</v>
      </c>
      <c r="BS100" s="12"/>
      <c r="BT100" s="6">
        <f t="shared" si="25"/>
        <v>0</v>
      </c>
      <c r="BU100" s="12"/>
    </row>
    <row r="101" spans="1:73">
      <c r="A101" s="61"/>
      <c r="B101" s="17"/>
      <c r="C101"/>
      <c r="D101"/>
      <c r="E101"/>
      <c r="F101"/>
      <c r="G101"/>
      <c r="H101"/>
      <c r="I101"/>
      <c r="J101" s="49"/>
      <c r="K101"/>
      <c r="L101" s="134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6"/>
      <c r="BN101" s="12"/>
      <c r="BO101" s="6"/>
      <c r="BP101" s="6">
        <f t="shared" si="23"/>
        <v>0</v>
      </c>
      <c r="BQ101" s="12"/>
      <c r="BR101" s="12"/>
      <c r="BS101" s="12"/>
      <c r="BT101" s="6">
        <f t="shared" si="25"/>
        <v>0</v>
      </c>
      <c r="BU101" s="12"/>
    </row>
    <row r="102" spans="1:73" s="114" customFormat="1">
      <c r="A102" s="112"/>
      <c r="B102" s="113" t="s">
        <v>244</v>
      </c>
      <c r="J102" s="157"/>
      <c r="L102" s="142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0</v>
      </c>
      <c r="BK102" s="115"/>
      <c r="BL102" s="116">
        <f>SUM(BL95:BL101)</f>
        <v>3316482.01</v>
      </c>
      <c r="BM102" s="115"/>
      <c r="BN102" s="116">
        <f>SUM(BN95:BN101)</f>
        <v>0</v>
      </c>
      <c r="BO102" s="115"/>
      <c r="BP102" s="116">
        <f>SUM(BP95:BP101)</f>
        <v>17.990000000107102</v>
      </c>
      <c r="BQ102" s="115"/>
      <c r="BR102" s="116">
        <f>SUM(BR95:BR101)</f>
        <v>3316500</v>
      </c>
      <c r="BS102" s="115"/>
      <c r="BT102" s="116">
        <f>SUM(BT95:BT101)</f>
        <v>0</v>
      </c>
      <c r="BU102" s="117"/>
    </row>
    <row r="103" spans="1:73" customFormat="1"/>
    <row r="104" spans="1:73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</row>
    <row r="105" spans="1:73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4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f>SUM(T105:BK105)</f>
        <v>0</v>
      </c>
      <c r="BM105" s="22"/>
      <c r="BN105" s="22">
        <v>0</v>
      </c>
      <c r="BO105" s="22"/>
      <c r="BP105" s="6">
        <f>IF(+R105-BL105+BN105&gt;0,R105-BL105+BN105,0)</f>
        <v>0</v>
      </c>
      <c r="BQ105" s="22"/>
      <c r="BR105" s="6">
        <f>+BL105+BP105</f>
        <v>0</v>
      </c>
      <c r="BS105" s="22"/>
      <c r="BT105" s="6">
        <f>+R105-BR105</f>
        <v>0</v>
      </c>
      <c r="BU105" s="22"/>
    </row>
    <row r="106" spans="1:73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4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22"/>
      <c r="BL106" s="80"/>
      <c r="BM106" s="22"/>
      <c r="BN106" s="80"/>
      <c r="BO106" s="22"/>
      <c r="BP106" s="80"/>
      <c r="BQ106" s="22"/>
      <c r="BR106" s="80"/>
      <c r="BS106" s="22"/>
      <c r="BT106" s="6">
        <f>+R106-BR106</f>
        <v>0</v>
      </c>
      <c r="BU106" s="80"/>
    </row>
    <row r="107" spans="1:73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3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6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</row>
    <row r="108" spans="1:73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</row>
    <row r="109" spans="1:73" s="105" customFormat="1">
      <c r="A109" s="162" t="s">
        <v>246</v>
      </c>
      <c r="B109" s="63"/>
      <c r="J109" s="158"/>
      <c r="L109" s="14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</row>
    <row r="111" spans="1:73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4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K111" s="6"/>
      <c r="BM111" s="6"/>
      <c r="BN111" s="6"/>
      <c r="BO111" s="6"/>
      <c r="BQ111" s="22"/>
      <c r="BS111" s="22"/>
      <c r="BU111" s="6"/>
    </row>
    <row r="112" spans="1:73">
      <c r="A112" s="61"/>
      <c r="B112" s="17" t="s">
        <v>377</v>
      </c>
      <c r="E112" s="4"/>
      <c r="G112" s="4"/>
      <c r="I112" s="4"/>
      <c r="J112" s="5" t="s">
        <v>0</v>
      </c>
      <c r="L112" s="134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K112" s="6"/>
      <c r="BL112" s="6">
        <f>SUM(T112:BK112)</f>
        <v>185000</v>
      </c>
      <c r="BM112" s="6"/>
      <c r="BN112" s="6">
        <v>0</v>
      </c>
      <c r="BO112" s="6"/>
      <c r="BP112" s="6">
        <f>IF(+R112-BL112+BN112&gt;0,R112-BL112+BN112,0)</f>
        <v>0</v>
      </c>
      <c r="BQ112" s="22"/>
      <c r="BR112" s="6">
        <f>+BL112+BP112</f>
        <v>185000</v>
      </c>
      <c r="BS112" s="22"/>
      <c r="BT112" s="6">
        <f>+R112-BR112</f>
        <v>0</v>
      </c>
      <c r="BU112" s="6"/>
    </row>
    <row r="113" spans="1:73">
      <c r="A113" s="61"/>
      <c r="B113" s="17" t="s">
        <v>380</v>
      </c>
      <c r="E113" s="4"/>
      <c r="G113" s="4"/>
      <c r="I113" s="4"/>
      <c r="L113" s="134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0</v>
      </c>
      <c r="BK113" s="6"/>
      <c r="BL113" s="6">
        <f>SUM(T113:BK113)</f>
        <v>874721.13</v>
      </c>
      <c r="BM113" s="6"/>
      <c r="BN113" s="6">
        <v>0</v>
      </c>
      <c r="BO113" s="6"/>
      <c r="BP113" s="6">
        <f>IF(+R113-BL113+BN113&gt;0,R113-BL113+BN113,0)</f>
        <v>0</v>
      </c>
      <c r="BQ113" s="22"/>
      <c r="BR113" s="6">
        <f>+BL113+BP113</f>
        <v>874721.13</v>
      </c>
      <c r="BS113" s="22"/>
      <c r="BT113" s="6">
        <f>+R113-BR113</f>
        <v>-150935.13</v>
      </c>
      <c r="BU113" s="6"/>
    </row>
    <row r="114" spans="1:73" hidden="1">
      <c r="A114" s="61"/>
      <c r="B114" s="17" t="s">
        <v>121</v>
      </c>
      <c r="E114" s="4"/>
      <c r="G114" s="4"/>
      <c r="I114" s="4"/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K114" s="6"/>
      <c r="BL114" s="6">
        <f>SUM(T114:BK114)</f>
        <v>0</v>
      </c>
      <c r="BM114" s="6"/>
      <c r="BN114" s="6">
        <v>0</v>
      </c>
      <c r="BO114" s="6"/>
      <c r="BP114" s="6">
        <f>+R114-BL114+BN114</f>
        <v>0</v>
      </c>
      <c r="BQ114" s="22"/>
      <c r="BR114" s="6">
        <f>+BL114+BP114</f>
        <v>0</v>
      </c>
      <c r="BS114" s="22"/>
      <c r="BT114" s="6">
        <f>+R114-BR114</f>
        <v>0</v>
      </c>
      <c r="BU114" s="6"/>
    </row>
    <row r="115" spans="1:73" s="21" customFormat="1">
      <c r="A115" s="56"/>
      <c r="B115" s="58" t="s">
        <v>247</v>
      </c>
      <c r="J115" s="8"/>
      <c r="L115" s="143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0</v>
      </c>
      <c r="BK115" s="9"/>
      <c r="BL115" s="102">
        <f>SUM(BL112:BL114)</f>
        <v>1059721.1299999999</v>
      </c>
      <c r="BM115" s="9"/>
      <c r="BN115" s="102">
        <f>SUM(BN112:BN114)</f>
        <v>0</v>
      </c>
      <c r="BO115" s="9"/>
      <c r="BP115" s="102">
        <f>SUM(BP112:BP114)</f>
        <v>0</v>
      </c>
      <c r="BQ115" s="16"/>
      <c r="BR115" s="102">
        <f>SUM(BR112:BR114)</f>
        <v>1059721.1299999999</v>
      </c>
      <c r="BS115" s="16"/>
      <c r="BT115" s="102">
        <f>SUM(BT112:BT114)</f>
        <v>-150935.13</v>
      </c>
      <c r="BU115" s="9"/>
    </row>
    <row r="116" spans="1:73" s="21" customFormat="1">
      <c r="A116" s="56"/>
      <c r="B116" s="58"/>
      <c r="J116" s="8"/>
      <c r="L116" s="143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9"/>
      <c r="BL116" s="10"/>
      <c r="BM116" s="9"/>
      <c r="BN116" s="10"/>
      <c r="BO116" s="9"/>
      <c r="BP116" s="10"/>
      <c r="BQ116" s="16"/>
      <c r="BR116" s="10"/>
      <c r="BS116" s="16"/>
      <c r="BT116" s="10"/>
      <c r="BU116" s="9"/>
    </row>
    <row r="117" spans="1:73" s="21" customFormat="1">
      <c r="A117" s="62" t="s">
        <v>120</v>
      </c>
      <c r="B117" s="58"/>
      <c r="J117" s="8" t="s">
        <v>0</v>
      </c>
      <c r="L117" s="143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f>SUM(T117:BK117)</f>
        <v>0</v>
      </c>
      <c r="BM117" s="9"/>
      <c r="BN117" s="9">
        <v>0</v>
      </c>
      <c r="BO117" s="9"/>
      <c r="BP117" s="6">
        <f>IF(+R117-BL117+BN117&gt;0,R117-BL117+BN117,0)</f>
        <v>0</v>
      </c>
      <c r="BQ117" s="9"/>
      <c r="BR117" s="9">
        <f>+BL117+BP117</f>
        <v>0</v>
      </c>
      <c r="BS117" s="9"/>
      <c r="BT117" s="9">
        <f>+R117-BR117</f>
        <v>0</v>
      </c>
      <c r="BU117" s="9"/>
    </row>
    <row r="118" spans="1:73" s="21" customFormat="1">
      <c r="A118" s="62"/>
      <c r="B118" s="58"/>
      <c r="J118" s="8"/>
      <c r="L118" s="143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</row>
    <row r="119" spans="1:73" s="21" customFormat="1">
      <c r="A119" s="56" t="s">
        <v>216</v>
      </c>
      <c r="B119" s="31"/>
      <c r="J119" s="8" t="s">
        <v>0</v>
      </c>
      <c r="L119" s="134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f>SUM(T119:BK119)</f>
        <v>99110</v>
      </c>
      <c r="BM119" s="9"/>
      <c r="BN119" s="9">
        <v>0</v>
      </c>
      <c r="BO119" s="9"/>
      <c r="BP119" s="6">
        <f>IF(+R119-BL119+BN119&gt;0,R119-BL119+BN119,0)</f>
        <v>1400890</v>
      </c>
      <c r="BQ119" s="9"/>
      <c r="BR119" s="9">
        <f>+BL119+BP119</f>
        <v>1500000</v>
      </c>
      <c r="BS119" s="9"/>
      <c r="BT119" s="9">
        <f>+R119-BR119</f>
        <v>0</v>
      </c>
      <c r="BU119" s="9"/>
    </row>
    <row r="120" spans="1:73" s="21" customFormat="1">
      <c r="A120" s="56"/>
      <c r="B120" s="31"/>
      <c r="J120" s="8"/>
      <c r="L120" s="134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</row>
    <row r="121" spans="1:73" s="31" customFormat="1">
      <c r="A121" s="58" t="s">
        <v>30</v>
      </c>
      <c r="J121" s="159" t="s">
        <v>0</v>
      </c>
      <c r="L121" s="145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f>SUM(T121:BK121)</f>
        <v>13668.55</v>
      </c>
      <c r="BM121" s="10"/>
      <c r="BN121" s="10">
        <v>0</v>
      </c>
      <c r="BO121" s="10"/>
      <c r="BP121" s="6">
        <f>IF(+R121-BL121+BN121&gt;0,R121-BL121+BN121,0)</f>
        <v>36331.449999999997</v>
      </c>
      <c r="BQ121" s="10"/>
      <c r="BR121" s="9">
        <f>+BL121+BP121</f>
        <v>50000</v>
      </c>
      <c r="BS121" s="10"/>
      <c r="BT121" s="9">
        <f>+R121-BR121</f>
        <v>0</v>
      </c>
      <c r="BU121" s="10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</row>
    <row r="123" spans="1:73" s="21" customFormat="1">
      <c r="A123" s="56" t="s">
        <v>26</v>
      </c>
      <c r="B123" s="58"/>
      <c r="J123" s="8" t="s">
        <v>0</v>
      </c>
      <c r="L123" s="134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v>0</v>
      </c>
      <c r="BK123" s="9"/>
      <c r="BL123" s="9">
        <f>SUM(T123:BK123)</f>
        <v>35636.879999999997</v>
      </c>
      <c r="BM123" s="9"/>
      <c r="BN123" s="9">
        <v>0</v>
      </c>
      <c r="BO123" s="9"/>
      <c r="BP123" s="6">
        <f>IF(+R123-BL123+BN123&gt;0,R123-BL123+BN123,0)</f>
        <v>1137094.1200000001</v>
      </c>
      <c r="BQ123" s="16"/>
      <c r="BR123" s="9">
        <f>+BL123+BP123</f>
        <v>1172731</v>
      </c>
      <c r="BS123" s="16"/>
      <c r="BT123" s="9">
        <f>+R123-BR123</f>
        <v>0</v>
      </c>
      <c r="BU123" s="9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</row>
    <row r="125" spans="1:73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4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K125" s="6"/>
      <c r="BM125" s="6"/>
      <c r="BN125" s="6"/>
      <c r="BO125" s="6"/>
      <c r="BU125" s="6"/>
    </row>
    <row r="126" spans="1:73">
      <c r="A126" s="61"/>
      <c r="B126" s="11" t="s">
        <v>207</v>
      </c>
      <c r="E126" s="4"/>
      <c r="G126" s="4"/>
      <c r="I126" s="4"/>
      <c r="J126" s="5" t="s">
        <v>0</v>
      </c>
      <c r="L126" s="134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K126" s="6"/>
      <c r="BL126" s="6">
        <f>SUM(T126:BK126)</f>
        <v>75420.61</v>
      </c>
      <c r="BM126" s="6"/>
      <c r="BN126" s="6">
        <v>1000</v>
      </c>
      <c r="BO126" s="6"/>
      <c r="BP126" s="6">
        <f>IF(+R126-BL126+BN126&gt;0,R126-BL126+BN126,0)</f>
        <v>0</v>
      </c>
      <c r="BR126" s="6">
        <f>+BL126+BP126</f>
        <v>75420.61</v>
      </c>
      <c r="BT126" s="6">
        <f>+R126-BR126</f>
        <v>-32920.61</v>
      </c>
      <c r="BU126" s="6"/>
    </row>
    <row r="127" spans="1:73">
      <c r="A127" s="61"/>
      <c r="B127" s="11" t="s">
        <v>208</v>
      </c>
      <c r="E127" s="4"/>
      <c r="G127" s="4"/>
      <c r="I127" s="4"/>
      <c r="J127" s="5" t="s">
        <v>0</v>
      </c>
      <c r="L127" s="134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K127" s="6"/>
      <c r="BL127" s="6">
        <f>SUM(T127:BK127)</f>
        <v>0</v>
      </c>
      <c r="BM127" s="6"/>
      <c r="BN127" s="6">
        <v>0</v>
      </c>
      <c r="BO127" s="6"/>
      <c r="BP127" s="6">
        <f>IF(+R127-BL127+BN127&gt;0,R127-BL127+BN127,0)</f>
        <v>0</v>
      </c>
      <c r="BR127" s="6">
        <f>+BL127+BP127</f>
        <v>0</v>
      </c>
      <c r="BT127" s="6">
        <f>+R127-BR127</f>
        <v>0</v>
      </c>
      <c r="BU127" s="6"/>
    </row>
    <row r="128" spans="1:73">
      <c r="A128" s="61"/>
      <c r="B128" s="11" t="s">
        <v>209</v>
      </c>
      <c r="E128" s="4"/>
      <c r="G128" s="4"/>
      <c r="I128" s="4"/>
      <c r="J128" s="5" t="s">
        <v>0</v>
      </c>
      <c r="L128" s="134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K128" s="6"/>
      <c r="BL128" s="6">
        <f>SUM(T128:BK128)</f>
        <v>1837381.96</v>
      </c>
      <c r="BM128" s="6"/>
      <c r="BN128" s="6">
        <v>341944</v>
      </c>
      <c r="BO128" s="6"/>
      <c r="BP128" s="6">
        <f>IF(+R128-BL128+BN128&gt;0,R128-BL128+BN128,0)</f>
        <v>0</v>
      </c>
      <c r="BR128" s="6">
        <f>+BL128+BP128</f>
        <v>1837381.96</v>
      </c>
      <c r="BT128" s="6">
        <f>+R128-BR128</f>
        <v>-1109881.96</v>
      </c>
      <c r="BU128" s="6"/>
    </row>
    <row r="129" spans="1:73">
      <c r="A129" s="61"/>
      <c r="B129" s="11" t="s">
        <v>210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K129" s="6"/>
      <c r="BM129" s="6"/>
      <c r="BN129" s="6"/>
      <c r="BO129" s="6"/>
      <c r="BP129" s="6">
        <f>IF(+R129-BL129+BN129&gt;0,R129-BL129+BN129,0)</f>
        <v>0</v>
      </c>
      <c r="BR129" s="6">
        <f>+BL129+BP129</f>
        <v>0</v>
      </c>
      <c r="BT129" s="6">
        <f>+R129-BR129</f>
        <v>0</v>
      </c>
      <c r="BU129" s="6"/>
    </row>
    <row r="130" spans="1:73" s="21" customFormat="1">
      <c r="A130" s="56"/>
      <c r="B130" s="31" t="s">
        <v>182</v>
      </c>
      <c r="J130" s="8"/>
      <c r="L130" s="143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0</v>
      </c>
      <c r="BK130" s="9"/>
      <c r="BL130" s="102">
        <f>SUM(BL126:BL129)</f>
        <v>1912802.57</v>
      </c>
      <c r="BM130" s="9"/>
      <c r="BN130" s="102">
        <f>SUM(BN126:BN129)</f>
        <v>342944</v>
      </c>
      <c r="BO130" s="9"/>
      <c r="BP130" s="102">
        <f>SUM(BP126:BP129)</f>
        <v>0</v>
      </c>
      <c r="BQ130" s="9"/>
      <c r="BR130" s="102">
        <f>SUM(BR126:BR129)</f>
        <v>1912802.57</v>
      </c>
      <c r="BS130" s="9"/>
      <c r="BT130" s="102">
        <f>SUM(BT126:BT129)</f>
        <v>-1142802.57</v>
      </c>
      <c r="BU130" s="9"/>
    </row>
    <row r="131" spans="1:73" s="21" customFormat="1">
      <c r="A131" s="56"/>
      <c r="B131" s="31"/>
      <c r="J131" s="8"/>
      <c r="L131" s="134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</row>
    <row r="132" spans="1:73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4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K132" s="6"/>
      <c r="BM132" s="6"/>
      <c r="BN132" s="6"/>
      <c r="BO132" s="6"/>
      <c r="BU132" s="6"/>
    </row>
    <row r="133" spans="1:73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4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K133" s="6"/>
      <c r="BL133" s="6">
        <f>SUM(T133:BK133)</f>
        <v>0</v>
      </c>
      <c r="BM133" s="6"/>
      <c r="BN133" s="6">
        <v>0</v>
      </c>
      <c r="BO133" s="6"/>
      <c r="BP133" s="6">
        <f>IF(+R133-BL133+BN133&gt;0,R133-BL133+BN133,0)</f>
        <v>0</v>
      </c>
      <c r="BR133" s="6">
        <f>+BL133+BP133</f>
        <v>0</v>
      </c>
      <c r="BT133" s="6">
        <f>+R133-BR133</f>
        <v>0</v>
      </c>
      <c r="BU133" s="6"/>
    </row>
    <row r="134" spans="1:73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4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K134" s="6"/>
      <c r="BL134" s="6">
        <f>SUM(T134:BK134)</f>
        <v>0</v>
      </c>
      <c r="BM134" s="6"/>
      <c r="BN134" s="6">
        <v>0</v>
      </c>
      <c r="BO134" s="6"/>
      <c r="BP134" s="6">
        <f>IF(+R134-BL134+BN134&gt;0,R134-BL134+BN134,0)</f>
        <v>0</v>
      </c>
      <c r="BR134" s="6">
        <f>+BL134+BP134</f>
        <v>0</v>
      </c>
      <c r="BT134" s="6">
        <f>+R134-BR134</f>
        <v>0</v>
      </c>
      <c r="BU134" s="6"/>
    </row>
    <row r="135" spans="1:73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0</v>
      </c>
      <c r="BK135" s="6"/>
      <c r="BL135" s="6">
        <f>SUM(T135:BK135)</f>
        <v>464559.27999999991</v>
      </c>
      <c r="BM135" s="6"/>
      <c r="BN135" s="6">
        <v>0</v>
      </c>
      <c r="BO135" s="6"/>
      <c r="BP135" s="6">
        <f>IF(+R135-BL135+BN135&gt;0,R135-BL135+BN135,0)</f>
        <v>0</v>
      </c>
      <c r="BR135" s="6">
        <f>+BL135+BP135</f>
        <v>464559.27999999991</v>
      </c>
      <c r="BT135" s="6">
        <f>+R135-BR135</f>
        <v>-14559.279999999912</v>
      </c>
      <c r="BU135" s="6"/>
    </row>
    <row r="136" spans="1:73">
      <c r="A136" s="57"/>
      <c r="B136" s="17"/>
      <c r="C136"/>
      <c r="D136"/>
      <c r="E136"/>
      <c r="F136"/>
      <c r="G136"/>
      <c r="H136"/>
      <c r="I136"/>
      <c r="J136" s="49"/>
      <c r="K136"/>
      <c r="L136" s="134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K136" s="6"/>
      <c r="BM136" s="6"/>
      <c r="BN136" s="6"/>
      <c r="BO136" s="6"/>
      <c r="BU136" s="6"/>
    </row>
    <row r="137" spans="1:73" s="21" customFormat="1">
      <c r="A137" s="118"/>
      <c r="B137" s="58" t="s">
        <v>183</v>
      </c>
      <c r="J137" s="8"/>
      <c r="L137" s="143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0</v>
      </c>
      <c r="BK137" s="9"/>
      <c r="BL137" s="102">
        <f>SUM(BL133:BL136)</f>
        <v>464559.27999999991</v>
      </c>
      <c r="BM137" s="9"/>
      <c r="BN137" s="102">
        <f>SUM(BN133:BN136)</f>
        <v>0</v>
      </c>
      <c r="BO137" s="9"/>
      <c r="BP137" s="102">
        <f>SUM(BP133:BP136)</f>
        <v>0</v>
      </c>
      <c r="BQ137" s="9"/>
      <c r="BR137" s="102">
        <f>SUM(BR133:BR136)</f>
        <v>464559.27999999991</v>
      </c>
      <c r="BS137" s="9"/>
      <c r="BT137" s="102">
        <f>SUM(BT133:BT136)</f>
        <v>-14559.279999999912</v>
      </c>
      <c r="BU137" s="9"/>
    </row>
    <row r="138" spans="1:73" s="21" customFormat="1">
      <c r="A138" s="118"/>
      <c r="B138" s="58"/>
      <c r="J138" s="8"/>
      <c r="L138" s="143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9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</row>
    <row r="139" spans="1:73" s="21" customFormat="1">
      <c r="A139" s="56" t="s">
        <v>274</v>
      </c>
      <c r="B139" s="31"/>
      <c r="J139" s="8" t="s">
        <v>0</v>
      </c>
      <c r="L139" s="134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v>0</v>
      </c>
      <c r="BK139" s="9"/>
      <c r="BL139" s="9">
        <f>SUM(T139:BK139)</f>
        <v>405557.79</v>
      </c>
      <c r="BM139" s="9"/>
      <c r="BN139" s="9">
        <v>0</v>
      </c>
      <c r="BO139" s="9"/>
      <c r="BP139" s="6">
        <f>IF(+R139-BL139+BN139&gt;0,R139-BL139+BN139,0)</f>
        <v>4594442.21</v>
      </c>
      <c r="BQ139" s="9"/>
      <c r="BR139" s="9">
        <f>+BL139+BP139</f>
        <v>5000000</v>
      </c>
      <c r="BS139" s="9"/>
      <c r="BT139" s="9">
        <f>+R139-BR139</f>
        <v>0</v>
      </c>
      <c r="BU139" s="9"/>
    </row>
    <row r="140" spans="1:73" s="21" customFormat="1">
      <c r="A140" s="118"/>
      <c r="B140" s="58"/>
      <c r="J140" s="8"/>
      <c r="L140" s="143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9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</row>
    <row r="141" spans="1:73" s="21" customFormat="1">
      <c r="A141" s="56" t="s">
        <v>29</v>
      </c>
      <c r="B141" s="31"/>
      <c r="J141" s="8" t="s">
        <v>0</v>
      </c>
      <c r="L141" s="134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f>SUM(T141:BK141)</f>
        <v>1331500</v>
      </c>
      <c r="BM141" s="9"/>
      <c r="BN141" s="9">
        <v>0</v>
      </c>
      <c r="BO141" s="9"/>
      <c r="BP141" s="6">
        <f>IF(+R141-BL141+BN141&gt;0,R141-BL141+BN141,0)</f>
        <v>168500</v>
      </c>
      <c r="BQ141" s="9"/>
      <c r="BR141" s="9">
        <f>+BL141+BP141</f>
        <v>1500000</v>
      </c>
      <c r="BS141" s="9"/>
      <c r="BT141" s="9">
        <f>+R141-BR141</f>
        <v>0</v>
      </c>
      <c r="BU141" s="9"/>
    </row>
    <row r="142" spans="1:73" s="21" customFormat="1">
      <c r="A142" s="118"/>
      <c r="B142" s="58"/>
      <c r="J142" s="8"/>
      <c r="L142" s="143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9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</row>
    <row r="143" spans="1:73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</row>
    <row r="144" spans="1:73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4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f>SUM(T144:BK144)</f>
        <v>0</v>
      </c>
      <c r="BM144" s="22"/>
      <c r="BN144" s="22">
        <v>0</v>
      </c>
      <c r="BO144" s="22"/>
      <c r="BP144" s="22">
        <f>+R144-BL144+BN144</f>
        <v>0</v>
      </c>
      <c r="BQ144" s="22"/>
      <c r="BR144" s="6">
        <f>+BL144+BP144</f>
        <v>0</v>
      </c>
      <c r="BS144" s="22"/>
      <c r="BT144" s="6">
        <f>+R144-BR144</f>
        <v>0</v>
      </c>
      <c r="BU144" s="22"/>
    </row>
    <row r="145" spans="1:122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4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f>SUM(T145:BK145)</f>
        <v>793190.69</v>
      </c>
      <c r="BM145" s="22"/>
      <c r="BN145" s="22">
        <v>0</v>
      </c>
      <c r="BO145" s="22"/>
      <c r="BP145" s="6">
        <f>IF(+R145-BL145+BN145&gt;0,R145-BL145+BN145,0)</f>
        <v>206809.31000000006</v>
      </c>
      <c r="BQ145" s="22"/>
      <c r="BR145" s="6">
        <f>+BL145+BP145</f>
        <v>1000000</v>
      </c>
      <c r="BS145" s="22"/>
      <c r="BT145" s="6">
        <f>+R145-BR145</f>
        <v>0</v>
      </c>
      <c r="BU145" s="22"/>
    </row>
    <row r="146" spans="1:122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4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f>SUM(T146:BK146)</f>
        <v>0</v>
      </c>
      <c r="BM146" s="22"/>
      <c r="BN146" s="22">
        <v>0</v>
      </c>
      <c r="BO146" s="22"/>
      <c r="BP146" s="22">
        <f>+R146-BL146+BN146</f>
        <v>0</v>
      </c>
      <c r="BQ146" s="22"/>
      <c r="BR146" s="6">
        <f>+BL146+BP146</f>
        <v>0</v>
      </c>
      <c r="BS146" s="22"/>
      <c r="BT146" s="6">
        <f>+R146-BR146</f>
        <v>0</v>
      </c>
      <c r="BU146" s="22"/>
    </row>
    <row r="147" spans="1:122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3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6"/>
      <c r="BL147" s="108">
        <f>SUM(BL144:BL146)</f>
        <v>793190.69</v>
      </c>
      <c r="BM147" s="16"/>
      <c r="BN147" s="108">
        <f>SUM(BN144:BN146)</f>
        <v>0</v>
      </c>
      <c r="BO147" s="16"/>
      <c r="BP147" s="108">
        <f>SUM(BP144:BP146)</f>
        <v>206809.31000000006</v>
      </c>
      <c r="BQ147" s="16"/>
      <c r="BR147" s="108">
        <f>SUM(BR144:BR146)</f>
        <v>1000000</v>
      </c>
      <c r="BS147" s="16"/>
      <c r="BT147" s="108">
        <f>SUM(BT144:BT146)</f>
        <v>0</v>
      </c>
      <c r="BU147" s="16"/>
    </row>
    <row r="148" spans="1:122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3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6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</row>
    <row r="149" spans="1:122" s="31" customFormat="1">
      <c r="A149" s="58" t="s">
        <v>31</v>
      </c>
      <c r="J149" s="159"/>
      <c r="L149" s="145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f>SUM(T149:BK149)</f>
        <v>175875</v>
      </c>
      <c r="BM149" s="10"/>
      <c r="BN149" s="10">
        <v>0</v>
      </c>
      <c r="BO149" s="10"/>
      <c r="BP149" s="6">
        <f>IF(+R149-BL149+BN149&gt;0,R149-BL149+BN149,0)</f>
        <v>24125</v>
      </c>
      <c r="BQ149" s="10"/>
      <c r="BR149" s="9">
        <f>+BL149+BP149</f>
        <v>200000</v>
      </c>
      <c r="BS149" s="10"/>
      <c r="BT149" s="9">
        <f>+R149-BR149</f>
        <v>0</v>
      </c>
      <c r="BU149" s="10"/>
    </row>
    <row r="150" spans="1:122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</row>
    <row r="151" spans="1:122" s="31" customFormat="1">
      <c r="A151" s="58" t="s">
        <v>32</v>
      </c>
      <c r="J151" s="159"/>
      <c r="L151" s="145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f>SUM(T151:BK151)</f>
        <v>115431.41</v>
      </c>
      <c r="BM151" s="10"/>
      <c r="BN151" s="10">
        <v>-84569</v>
      </c>
      <c r="BO151" s="10"/>
      <c r="BP151" s="6">
        <f>IF(+R151-BL151+BN151&gt;0,R151-BL151+BN151,0)</f>
        <v>0</v>
      </c>
      <c r="BQ151" s="10"/>
      <c r="BR151" s="9">
        <f>+BL151+BP151</f>
        <v>115431.41</v>
      </c>
      <c r="BS151" s="10"/>
      <c r="BT151" s="9">
        <f>+R151-BR151</f>
        <v>84568.59</v>
      </c>
      <c r="BU151" s="10"/>
    </row>
    <row r="152" spans="1:122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</row>
    <row r="153" spans="1:122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4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K153" s="6"/>
      <c r="BM153" s="6"/>
      <c r="BN153" s="6"/>
      <c r="BO153" s="6"/>
      <c r="BU153" s="6"/>
    </row>
    <row r="154" spans="1:122" s="11" customFormat="1">
      <c r="A154" s="17"/>
      <c r="B154" s="11" t="s">
        <v>184</v>
      </c>
      <c r="J154" s="160"/>
      <c r="L154" s="146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f>992.29+80.64+872.74+179.46</f>
        <v>2125.13</v>
      </c>
      <c r="BK154" s="12"/>
      <c r="BL154" s="12">
        <f t="shared" ref="BL154:BL159" si="26">SUM(T154:BK154)</f>
        <v>16622.310000000001</v>
      </c>
      <c r="BM154" s="12"/>
      <c r="BN154" s="12">
        <v>0</v>
      </c>
      <c r="BO154" s="12"/>
      <c r="BP154" s="6">
        <f t="shared" ref="BP154:BP159" si="27">IF(+R154-BL154+BN154&gt;0,R154-BL154+BN154,0)</f>
        <v>13377.689999999999</v>
      </c>
      <c r="BQ154" s="12"/>
      <c r="BR154" s="6">
        <f t="shared" ref="BR154:BR159" si="28">+BL154+BP154</f>
        <v>30000</v>
      </c>
      <c r="BS154" s="12"/>
      <c r="BT154" s="6">
        <f t="shared" ref="BT154:BT159" si="29">+R154-BR154</f>
        <v>0</v>
      </c>
      <c r="BU154" s="12"/>
    </row>
    <row r="155" spans="1:122" s="11" customFormat="1">
      <c r="A155" s="17"/>
      <c r="B155" s="11" t="s">
        <v>34</v>
      </c>
      <c r="J155" s="160"/>
      <c r="L155" s="146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0</v>
      </c>
      <c r="BK155" s="12"/>
      <c r="BL155" s="12">
        <f t="shared" si="26"/>
        <v>77038.12</v>
      </c>
      <c r="BM155" s="12"/>
      <c r="BN155" s="12">
        <v>0</v>
      </c>
      <c r="BO155" s="12"/>
      <c r="BP155" s="6">
        <f t="shared" si="27"/>
        <v>72961.88</v>
      </c>
      <c r="BQ155" s="12"/>
      <c r="BR155" s="6">
        <f t="shared" si="28"/>
        <v>150000</v>
      </c>
      <c r="BS155" s="12"/>
      <c r="BT155" s="6">
        <f t="shared" si="29"/>
        <v>0</v>
      </c>
      <c r="BU155" s="12"/>
    </row>
    <row r="156" spans="1:122" s="11" customFormat="1">
      <c r="A156" s="17"/>
      <c r="B156" s="11" t="s">
        <v>217</v>
      </c>
      <c r="J156" s="160"/>
      <c r="L156" s="146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f t="shared" si="26"/>
        <v>0</v>
      </c>
      <c r="BM156" s="12"/>
      <c r="BN156" s="12">
        <v>0</v>
      </c>
      <c r="BO156" s="12"/>
      <c r="BP156" s="6">
        <f t="shared" si="27"/>
        <v>0</v>
      </c>
      <c r="BQ156" s="12"/>
      <c r="BR156" s="6">
        <f t="shared" si="28"/>
        <v>0</v>
      </c>
      <c r="BS156" s="12"/>
      <c r="BT156" s="6">
        <f t="shared" si="29"/>
        <v>0</v>
      </c>
      <c r="BU156" s="12"/>
    </row>
    <row r="157" spans="1:122" s="11" customFormat="1">
      <c r="A157" s="17"/>
      <c r="B157" s="11" t="s">
        <v>121</v>
      </c>
      <c r="J157" s="160"/>
      <c r="L157" s="146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v>12325</v>
      </c>
      <c r="BK157" s="12"/>
      <c r="BL157" s="12">
        <f t="shared" si="26"/>
        <v>524246.17999999993</v>
      </c>
      <c r="BM157" s="12"/>
      <c r="BN157" s="12">
        <v>0</v>
      </c>
      <c r="BO157" s="12"/>
      <c r="BP157" s="6">
        <f t="shared" si="27"/>
        <v>0</v>
      </c>
      <c r="BQ157" s="12"/>
      <c r="BR157" s="6">
        <f t="shared" si="28"/>
        <v>524246.17999999993</v>
      </c>
      <c r="BS157" s="12"/>
      <c r="BT157" s="6">
        <f t="shared" si="29"/>
        <v>-304246.17999999993</v>
      </c>
      <c r="BU157" s="12"/>
    </row>
    <row r="158" spans="1:122" s="11" customFormat="1">
      <c r="A158" s="17"/>
      <c r="B158" s="11" t="s">
        <v>333</v>
      </c>
      <c r="J158" s="160"/>
      <c r="L158" s="146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>
        <f t="shared" si="26"/>
        <v>195040.81</v>
      </c>
      <c r="BM158" s="12"/>
      <c r="BN158" s="12">
        <v>0</v>
      </c>
      <c r="BO158" s="12"/>
      <c r="BP158" s="6">
        <f t="shared" si="27"/>
        <v>0</v>
      </c>
      <c r="BQ158" s="12"/>
      <c r="BR158" s="6">
        <f t="shared" si="28"/>
        <v>195040.81</v>
      </c>
      <c r="BS158" s="12"/>
      <c r="BT158" s="6">
        <f t="shared" si="29"/>
        <v>-195040.81</v>
      </c>
      <c r="BU158" s="12"/>
    </row>
    <row r="159" spans="1:122" s="11" customFormat="1">
      <c r="A159" s="17"/>
      <c r="B159" s="11" t="s">
        <v>278</v>
      </c>
      <c r="J159" s="160"/>
      <c r="L159" s="146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>
        <f t="shared" si="26"/>
        <v>168356.08</v>
      </c>
      <c r="BM159" s="12"/>
      <c r="BN159" s="12">
        <v>159233</v>
      </c>
      <c r="BO159" s="12"/>
      <c r="BP159" s="6">
        <f t="shared" si="27"/>
        <v>0</v>
      </c>
      <c r="BQ159" s="12"/>
      <c r="BR159" s="6">
        <f t="shared" si="28"/>
        <v>168356.08</v>
      </c>
      <c r="BS159" s="12"/>
      <c r="BT159" s="6">
        <f t="shared" si="29"/>
        <v>-168356.08</v>
      </c>
      <c r="BU159" s="12"/>
    </row>
    <row r="160" spans="1:122" s="21" customFormat="1">
      <c r="A160" s="56"/>
      <c r="B160" s="31" t="s">
        <v>40</v>
      </c>
      <c r="J160" s="8"/>
      <c r="L160" s="143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T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>
        <f t="shared" si="30"/>
        <v>0</v>
      </c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14450.130000000001</v>
      </c>
      <c r="BK160" s="102">
        <f t="shared" si="30"/>
        <v>0</v>
      </c>
      <c r="BL160" s="102">
        <f t="shared" si="30"/>
        <v>981303.49999999988</v>
      </c>
      <c r="BM160" s="102">
        <f t="shared" si="30"/>
        <v>0</v>
      </c>
      <c r="BN160" s="102">
        <f t="shared" si="30"/>
        <v>159233</v>
      </c>
      <c r="BO160" s="102">
        <f t="shared" si="30"/>
        <v>0</v>
      </c>
      <c r="BP160" s="102">
        <f t="shared" si="30"/>
        <v>86339.57</v>
      </c>
      <c r="BQ160" s="102">
        <f t="shared" si="30"/>
        <v>0</v>
      </c>
      <c r="BR160" s="102">
        <f t="shared" si="30"/>
        <v>1067643.07</v>
      </c>
      <c r="BS160" s="102">
        <f t="shared" si="30"/>
        <v>0</v>
      </c>
      <c r="BT160" s="102">
        <f t="shared" si="30"/>
        <v>-667643.06999999995</v>
      </c>
      <c r="BU160" s="9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s="21" customFormat="1">
      <c r="A161" s="56"/>
      <c r="B161" s="31"/>
      <c r="J161" s="8"/>
      <c r="L161" s="143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9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K162" s="6"/>
      <c r="BM162" s="6"/>
      <c r="BN162" s="6"/>
      <c r="BO162" s="6"/>
      <c r="BU162" s="1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s="11" customFormat="1">
      <c r="A163" s="17"/>
      <c r="B163" s="11" t="s">
        <v>37</v>
      </c>
      <c r="J163" s="160"/>
      <c r="L163" s="146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f>SUM(T163:BK163)</f>
        <v>0</v>
      </c>
      <c r="BM163" s="12"/>
      <c r="BN163" s="12">
        <v>0</v>
      </c>
      <c r="BO163" s="12"/>
      <c r="BP163" s="6">
        <f>IF(+R163-BL163+BN163&gt;0,R163-BL163+BN163,0)</f>
        <v>0</v>
      </c>
      <c r="BQ163" s="12"/>
      <c r="BR163" s="6">
        <f>+BL163+BP163</f>
        <v>0</v>
      </c>
      <c r="BS163" s="12"/>
      <c r="BT163" s="6">
        <f>+R163-BR163</f>
        <v>0</v>
      </c>
      <c r="BU163" s="12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11" customFormat="1">
      <c r="A164" s="17"/>
      <c r="B164" s="11" t="s">
        <v>341</v>
      </c>
      <c r="J164" s="160"/>
      <c r="L164" s="146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>
        <f>SUM(T164:BK164)</f>
        <v>301672.13</v>
      </c>
      <c r="BM164" s="12"/>
      <c r="BN164" s="12">
        <v>0</v>
      </c>
      <c r="BO164" s="12"/>
      <c r="BP164" s="6">
        <f>IF(+R164-BL164+BN164&gt;0,R164-BL164+BN164,0)</f>
        <v>0</v>
      </c>
      <c r="BQ164" s="12"/>
      <c r="BR164" s="6">
        <f>+BL164+BP164</f>
        <v>301672.13</v>
      </c>
      <c r="BS164" s="12"/>
      <c r="BT164" s="6">
        <f>+R164-BR164</f>
        <v>-301672.13</v>
      </c>
      <c r="BU164" s="12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s="11" customFormat="1">
      <c r="A165" s="17"/>
      <c r="B165" s="11" t="s">
        <v>121</v>
      </c>
      <c r="J165" s="160"/>
      <c r="L165" s="146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f>SUM(T165:BK165)</f>
        <v>353562.9</v>
      </c>
      <c r="BM165" s="12"/>
      <c r="BN165" s="12"/>
      <c r="BO165" s="12"/>
      <c r="BP165" s="6">
        <f>IF(+R165-BL165+BN165&gt;0,R165-BL165+BN165,0)</f>
        <v>46437.099999999977</v>
      </c>
      <c r="BQ165" s="12"/>
      <c r="BR165" s="6">
        <f>+BL165+BP165</f>
        <v>400000</v>
      </c>
      <c r="BS165" s="12"/>
      <c r="BT165" s="6">
        <f>+R165-BR165</f>
        <v>0</v>
      </c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J166" s="160"/>
      <c r="L166" s="146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>
        <f>SUM(T166:BK166)</f>
        <v>0</v>
      </c>
      <c r="BM166" s="12"/>
      <c r="BN166" s="12">
        <v>0</v>
      </c>
      <c r="BO166" s="12"/>
      <c r="BP166" s="6">
        <f>IF(+R166-BL166+BN166&gt;0,R166-BL166+BN166,0)</f>
        <v>0</v>
      </c>
      <c r="BQ166" s="12"/>
      <c r="BR166" s="6">
        <f>+BL166+BP166</f>
        <v>0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21" customFormat="1">
      <c r="A167" s="56"/>
      <c r="B167" s="31" t="s">
        <v>41</v>
      </c>
      <c r="J167" s="8"/>
      <c r="L167" s="143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9"/>
      <c r="BL167" s="102">
        <f>SUM(BL163:BL166)</f>
        <v>655235.03</v>
      </c>
      <c r="BM167" s="9"/>
      <c r="BN167" s="102">
        <f>SUM(BN163:BN166)</f>
        <v>0</v>
      </c>
      <c r="BO167" s="9"/>
      <c r="BP167" s="102">
        <f>SUM(BP163:BP166)</f>
        <v>46437.099999999977</v>
      </c>
      <c r="BQ167" s="9"/>
      <c r="BR167" s="102">
        <f>SUM(BR163:BR166)</f>
        <v>701672.13</v>
      </c>
      <c r="BS167" s="9"/>
      <c r="BT167" s="102">
        <f>SUM(BT163:BT166)</f>
        <v>-301672.13</v>
      </c>
      <c r="BU167" s="9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21" customFormat="1">
      <c r="A168" s="58"/>
      <c r="B168" s="31"/>
      <c r="J168" s="8"/>
      <c r="L168" s="143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9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31" customFormat="1">
      <c r="A169" s="58" t="s">
        <v>249</v>
      </c>
      <c r="J169" s="159"/>
      <c r="L169" s="145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f>SUM(T169:BK169)</f>
        <v>9000564.070295183</v>
      </c>
      <c r="BM169" s="10"/>
      <c r="BN169" s="10">
        <v>-984592</v>
      </c>
      <c r="BO169" s="10"/>
      <c r="BP169" s="6"/>
      <c r="BQ169" s="10"/>
      <c r="BR169" s="9">
        <f>+BL169+BP169</f>
        <v>9000564.070295183</v>
      </c>
      <c r="BS169" s="10"/>
      <c r="BT169" s="9">
        <f>+R169-BR169</f>
        <v>1031760.929704817</v>
      </c>
      <c r="BU169" s="10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/>
      <c r="J170" s="8"/>
      <c r="L170" s="143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9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105" customFormat="1">
      <c r="A171" s="84" t="s">
        <v>248</v>
      </c>
      <c r="B171" s="54"/>
      <c r="J171" s="158"/>
      <c r="L171" s="144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U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>
        <f t="shared" si="31"/>
        <v>0</v>
      </c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55931.130000000005</v>
      </c>
      <c r="BK171" s="120">
        <f t="shared" si="31"/>
        <v>0</v>
      </c>
      <c r="BL171" s="120">
        <f t="shared" si="31"/>
        <v>17044155.900295183</v>
      </c>
      <c r="BM171" s="120">
        <f t="shared" si="31"/>
        <v>0</v>
      </c>
      <c r="BN171" s="120">
        <f t="shared" si="31"/>
        <v>-566984</v>
      </c>
      <c r="BO171" s="120">
        <f t="shared" si="31"/>
        <v>0</v>
      </c>
      <c r="BP171" s="120">
        <f t="shared" si="31"/>
        <v>7700968.7599999998</v>
      </c>
      <c r="BQ171" s="120">
        <f t="shared" si="31"/>
        <v>0</v>
      </c>
      <c r="BR171" s="120">
        <f t="shared" si="31"/>
        <v>24745124.660295181</v>
      </c>
      <c r="BS171" s="120">
        <f t="shared" si="31"/>
        <v>0</v>
      </c>
      <c r="BT171" s="120">
        <f t="shared" si="31"/>
        <v>-1161282.6602951828</v>
      </c>
      <c r="BU171" s="120">
        <f t="shared" si="31"/>
        <v>0</v>
      </c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21" customFormat="1">
      <c r="A172" s="56"/>
      <c r="B172" s="31"/>
      <c r="J172" s="8"/>
      <c r="L172" s="143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9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 t="s">
        <v>190</v>
      </c>
      <c r="B173" s="31"/>
      <c r="J173" s="8"/>
      <c r="L173" s="143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10"/>
      <c r="BM173" s="9">
        <v>2030320</v>
      </c>
      <c r="BN173" s="9">
        <v>-3324152</v>
      </c>
      <c r="BO173" s="9">
        <v>2030320</v>
      </c>
      <c r="BP173" s="6">
        <f>IF(+R173-BL173+BN173&gt;0,R173-BL173+BN173,0)</f>
        <v>0.10000000009313226</v>
      </c>
      <c r="BQ173" s="9">
        <v>2030320</v>
      </c>
      <c r="BR173" s="9">
        <f>+BL173+BP173</f>
        <v>0.10000000009313226</v>
      </c>
      <c r="BS173" s="9">
        <v>2030320</v>
      </c>
      <c r="BT173" s="6">
        <f>+R173-BR173</f>
        <v>3324152</v>
      </c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21" customFormat="1">
      <c r="A174" s="56"/>
      <c r="B174" s="31"/>
      <c r="J174" s="8"/>
      <c r="L174" s="143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9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9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170" customFormat="1">
      <c r="A176" s="169" t="s">
        <v>253</v>
      </c>
      <c r="J176" s="171"/>
      <c r="L176" s="172"/>
      <c r="M176" s="173"/>
      <c r="N176" s="173"/>
      <c r="O176" s="173"/>
      <c r="P176" s="173"/>
      <c r="Q176" s="173"/>
      <c r="R176" s="168">
        <f t="shared" ref="R176:AW176" si="32">R34+R102+R91+R107+R171+R173</f>
        <v>158451248.09999999</v>
      </c>
      <c r="S176" s="168">
        <f t="shared" si="32"/>
        <v>0</v>
      </c>
      <c r="T176" s="168">
        <f t="shared" si="32"/>
        <v>17087218</v>
      </c>
      <c r="U176" s="168">
        <f t="shared" si="32"/>
        <v>0</v>
      </c>
      <c r="V176" s="168">
        <f t="shared" si="32"/>
        <v>43642668.530000001</v>
      </c>
      <c r="W176" s="168">
        <f t="shared" si="32"/>
        <v>0</v>
      </c>
      <c r="X176" s="168">
        <f t="shared" si="32"/>
        <v>4696471.93</v>
      </c>
      <c r="Y176" s="168">
        <f t="shared" si="32"/>
        <v>0</v>
      </c>
      <c r="Z176" s="168">
        <f t="shared" si="32"/>
        <v>440729.95</v>
      </c>
      <c r="AA176" s="168">
        <f t="shared" si="32"/>
        <v>0</v>
      </c>
      <c r="AB176" s="168">
        <f t="shared" si="32"/>
        <v>4762739.43</v>
      </c>
      <c r="AC176" s="168">
        <f t="shared" si="32"/>
        <v>0</v>
      </c>
      <c r="AD176" s="168">
        <f t="shared" si="32"/>
        <v>9136615.6799999997</v>
      </c>
      <c r="AE176" s="168">
        <f t="shared" si="32"/>
        <v>0</v>
      </c>
      <c r="AF176" s="168">
        <f t="shared" si="32"/>
        <v>573248.10862083337</v>
      </c>
      <c r="AG176" s="168">
        <f t="shared" si="32"/>
        <v>0</v>
      </c>
      <c r="AH176" s="168">
        <f t="shared" si="32"/>
        <v>1116780.7521383627</v>
      </c>
      <c r="AI176" s="168">
        <f t="shared" si="32"/>
        <v>0</v>
      </c>
      <c r="AJ176" s="168">
        <f t="shared" si="32"/>
        <v>1496281.3264166121</v>
      </c>
      <c r="AK176" s="168">
        <f t="shared" si="32"/>
        <v>0</v>
      </c>
      <c r="AL176" s="168">
        <f t="shared" si="32"/>
        <v>1780115.93</v>
      </c>
      <c r="AM176" s="168">
        <f t="shared" si="32"/>
        <v>0</v>
      </c>
      <c r="AN176" s="168">
        <f t="shared" si="32"/>
        <v>1566383.0055069246</v>
      </c>
      <c r="AO176" s="168">
        <f t="shared" si="32"/>
        <v>0</v>
      </c>
      <c r="AP176" s="168">
        <f t="shared" si="32"/>
        <v>5481999.3709659204</v>
      </c>
      <c r="AQ176" s="168">
        <f t="shared" si="32"/>
        <v>0</v>
      </c>
      <c r="AR176" s="168">
        <f t="shared" si="32"/>
        <v>4677967.54</v>
      </c>
      <c r="AS176" s="168">
        <f t="shared" si="32"/>
        <v>0</v>
      </c>
      <c r="AT176" s="168">
        <f t="shared" si="32"/>
        <v>8750380.3051100411</v>
      </c>
      <c r="AU176" s="168">
        <f t="shared" si="32"/>
        <v>0</v>
      </c>
      <c r="AV176" s="168">
        <f t="shared" si="32"/>
        <v>9706071.6582599431</v>
      </c>
      <c r="AW176" s="168">
        <f t="shared" si="32"/>
        <v>0</v>
      </c>
      <c r="AX176" s="168">
        <f t="shared" ref="AX176:BT176" si="33">AX34+AX102+AX91+AX107+AX171+AX173</f>
        <v>9777060.1201588511</v>
      </c>
      <c r="AY176" s="168">
        <f t="shared" si="33"/>
        <v>0</v>
      </c>
      <c r="AZ176" s="168">
        <f t="shared" si="33"/>
        <v>8038836.5700000003</v>
      </c>
      <c r="BA176" s="168">
        <f t="shared" si="33"/>
        <v>0</v>
      </c>
      <c r="BB176" s="168">
        <f t="shared" si="33"/>
        <v>2610922.7399374889</v>
      </c>
      <c r="BC176" s="168">
        <f t="shared" si="33"/>
        <v>0</v>
      </c>
      <c r="BD176" s="168">
        <f t="shared" si="33"/>
        <v>16127168.373180207</v>
      </c>
      <c r="BE176" s="168">
        <f t="shared" si="33"/>
        <v>0</v>
      </c>
      <c r="BF176" s="168">
        <f t="shared" si="33"/>
        <v>2023191.44</v>
      </c>
      <c r="BG176" s="168">
        <f t="shared" si="33"/>
        <v>0</v>
      </c>
      <c r="BH176" s="168">
        <f t="shared" si="33"/>
        <v>249879.07999999996</v>
      </c>
      <c r="BI176" s="168">
        <f t="shared" si="33"/>
        <v>0</v>
      </c>
      <c r="BJ176" s="168">
        <f t="shared" si="33"/>
        <v>55931.130000000005</v>
      </c>
      <c r="BK176" s="168">
        <f t="shared" si="33"/>
        <v>0</v>
      </c>
      <c r="BL176" s="168">
        <f t="shared" si="33"/>
        <v>153798660.97029519</v>
      </c>
      <c r="BM176" s="168">
        <f t="shared" si="33"/>
        <v>3202104</v>
      </c>
      <c r="BN176" s="168">
        <f t="shared" si="33"/>
        <v>6801999</v>
      </c>
      <c r="BO176" s="168">
        <f t="shared" si="33"/>
        <v>4673615</v>
      </c>
      <c r="BP176" s="168">
        <f t="shared" si="33"/>
        <v>10970447.45999998</v>
      </c>
      <c r="BQ176" s="168">
        <f t="shared" si="33"/>
        <v>7699097</v>
      </c>
      <c r="BR176" s="168">
        <f t="shared" si="33"/>
        <v>163234148.36029518</v>
      </c>
      <c r="BS176" s="168">
        <f t="shared" si="33"/>
        <v>14335953</v>
      </c>
      <c r="BT176" s="168">
        <f t="shared" si="33"/>
        <v>-4782900.2602951834</v>
      </c>
      <c r="BU176" s="173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 t="s">
        <v>251</v>
      </c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9"/>
      <c r="BL177" s="10"/>
      <c r="BM177" s="9"/>
      <c r="BN177" s="10"/>
      <c r="BO177" s="9"/>
      <c r="BP177" s="10"/>
      <c r="BQ177" s="9"/>
      <c r="BR177" s="10">
        <f>BR176/B4</f>
        <v>347306.69863892591</v>
      </c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9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21" customFormat="1" hidden="1">
      <c r="A179" s="58"/>
      <c r="B179" s="31"/>
      <c r="J179" s="8"/>
      <c r="L179" s="143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>
        <f t="shared" si="34"/>
        <v>0</v>
      </c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 t="s">
        <v>83</v>
      </c>
      <c r="BK179" s="9"/>
      <c r="BL179" s="10">
        <f>-BL123</f>
        <v>-35636.879999999997</v>
      </c>
      <c r="BM179" s="9"/>
      <c r="BN179" s="10"/>
      <c r="BO179" s="9"/>
      <c r="BP179" s="10"/>
      <c r="BQ179" s="9"/>
      <c r="BR179" s="10"/>
      <c r="BS179" s="9"/>
      <c r="BT179" s="10"/>
      <c r="BU179" s="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 hidden="1">
      <c r="A180" s="58"/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>
        <f t="shared" si="35"/>
        <v>0</v>
      </c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 t="s">
        <v>440</v>
      </c>
      <c r="BK180" s="9"/>
      <c r="BL180" s="10">
        <f>-BL115</f>
        <v>-1059721.1299999999</v>
      </c>
      <c r="BM180" s="9"/>
      <c r="BN180" s="10"/>
      <c r="BO180" s="9"/>
      <c r="BP180" s="10"/>
      <c r="BQ180" s="9"/>
      <c r="BR180" s="10"/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idden="1">
      <c r="A181" s="58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 t="s">
        <v>444</v>
      </c>
      <c r="BK181" s="9"/>
      <c r="BL181" s="10">
        <f>-BL121</f>
        <v>-13668.55</v>
      </c>
      <c r="BM181" s="9"/>
      <c r="BN181" s="10"/>
      <c r="BO181" s="9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8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BL182</f>
        <v>-300697</v>
      </c>
      <c r="BE182" s="10"/>
      <c r="BF182" s="10"/>
      <c r="BG182" s="10"/>
      <c r="BH182" s="10"/>
      <c r="BI182" s="10"/>
      <c r="BJ182" s="10" t="s">
        <v>442</v>
      </c>
      <c r="BK182" s="9"/>
      <c r="BL182" s="10">
        <v>-300697</v>
      </c>
      <c r="BM182" s="9"/>
      <c r="BN182" s="10"/>
      <c r="BO182" s="9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8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>
        <f t="shared" si="36"/>
        <v>0</v>
      </c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9"/>
      <c r="BL183" s="10">
        <f>SUM(BL176:BL182)</f>
        <v>152388937.41029519</v>
      </c>
      <c r="BM183" s="9"/>
      <c r="BN183" s="10"/>
      <c r="BO183" s="9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8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9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8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 t="s">
        <v>443</v>
      </c>
      <c r="BK185" s="9"/>
      <c r="BL185" s="10">
        <v>152333006.53999999</v>
      </c>
      <c r="BM185" s="9"/>
      <c r="BN185" s="10"/>
      <c r="BO185" s="9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8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9"/>
      <c r="BL186" s="10">
        <f>BL183-BL185</f>
        <v>55930.870295196772</v>
      </c>
      <c r="BM186" s="9"/>
      <c r="BN186" s="10"/>
      <c r="BO186" s="9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>
      <c r="A187" s="58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9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>
      <c r="A188" s="58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9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</sheetData>
  <printOptions horizontalCentered="1"/>
  <pageMargins left="0.19" right="0.17" top="0.25" bottom="0.25" header="0.5" footer="0.5"/>
  <pageSetup scale="38" fitToHeight="2" orientation="portrait" horizontalDpi="300" verticalDpi="300" r:id="rId1"/>
  <headerFooter alignWithMargins="0"/>
  <rowBreaks count="2" manualBreakCount="2">
    <brk id="91" max="71" man="1"/>
    <brk id="15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2000-09-07T21:27:21Z</cp:lastPrinted>
  <dcterms:created xsi:type="dcterms:W3CDTF">1998-11-04T14:40:39Z</dcterms:created>
  <dcterms:modified xsi:type="dcterms:W3CDTF">2023-09-10T11:54:35Z</dcterms:modified>
</cp:coreProperties>
</file>