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Summary!$A$1:$O$114</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calcMode="manual"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N95" i="15"/>
  <c r="BP95" i="15"/>
  <c r="BR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1" i="5"/>
  <c r="C72" i="5"/>
  <c r="C73" i="5"/>
  <c r="C77" i="5"/>
  <c r="C78" i="5"/>
  <c r="C79" i="5"/>
  <c r="C80" i="5"/>
  <c r="C81" i="5"/>
  <c r="C82" i="5"/>
  <c r="C83" i="5"/>
  <c r="C84" i="5"/>
  <c r="C85" i="5"/>
  <c r="C86" i="5"/>
  <c r="C87" i="5"/>
  <c r="C88" i="5"/>
  <c r="C89" i="5"/>
  <c r="C90" i="5"/>
  <c r="C91" i="5"/>
  <c r="C92" i="5"/>
  <c r="C93" i="5"/>
  <c r="C96" i="5"/>
  <c r="C97" i="5"/>
  <c r="C98" i="5"/>
  <c r="C99" i="5"/>
  <c r="C100" i="5"/>
  <c r="C101" i="5"/>
  <c r="C102" i="5"/>
  <c r="C103" i="5"/>
  <c r="C104" i="5"/>
  <c r="C105" i="5"/>
  <c r="C106" i="5"/>
  <c r="C108" i="5"/>
  <c r="C110" i="5"/>
  <c r="C111" i="5"/>
  <c r="A114"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L39" i="12"/>
  <c r="BN39" i="12"/>
  <c r="BP39" i="12"/>
  <c r="BR39" i="12"/>
  <c r="BT39" i="12"/>
  <c r="AP40" i="12"/>
  <c r="AR40" i="12"/>
  <c r="AT40" i="12"/>
  <c r="AX40" i="12"/>
  <c r="BD40" i="12"/>
  <c r="BL40" i="12"/>
  <c r="BN40" i="12"/>
  <c r="BP40" i="12"/>
  <c r="BR40" i="12"/>
  <c r="BT40" i="12"/>
  <c r="AP41" i="12"/>
  <c r="AR41" i="12"/>
  <c r="AT41" i="12"/>
  <c r="AX41" i="12"/>
  <c r="BD41" i="12"/>
  <c r="BL41" i="12"/>
  <c r="BN41" i="12"/>
  <c r="BP41" i="12"/>
  <c r="BR41" i="12"/>
  <c r="BT41" i="12"/>
  <c r="R42" i="12"/>
  <c r="AP42" i="12"/>
  <c r="AR42" i="12"/>
  <c r="AT42" i="12"/>
  <c r="AX42" i="12"/>
  <c r="BD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L49" i="12"/>
  <c r="BN49" i="12"/>
  <c r="BP49" i="12"/>
  <c r="BR49" i="12"/>
  <c r="BT49" i="12"/>
  <c r="AR50" i="12"/>
  <c r="AT50" i="12"/>
  <c r="AX50" i="12"/>
  <c r="BD50" i="12"/>
  <c r="BL50" i="12"/>
  <c r="BN50" i="12"/>
  <c r="BP50" i="12"/>
  <c r="BR50" i="12"/>
  <c r="BT50" i="12"/>
  <c r="AT51" i="12"/>
  <c r="AX51" i="12"/>
  <c r="BD51" i="12"/>
  <c r="BL51" i="12"/>
  <c r="BN51" i="12"/>
  <c r="BP51" i="12"/>
  <c r="BR51" i="12"/>
  <c r="BT51" i="12"/>
  <c r="AX52" i="12"/>
  <c r="BD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L56" i="12"/>
  <c r="BN56" i="12"/>
  <c r="BP56" i="12"/>
  <c r="BR56" i="12"/>
  <c r="BT56" i="12"/>
  <c r="BL57" i="12"/>
  <c r="BN57" i="12"/>
  <c r="BP57" i="12"/>
  <c r="BR57" i="12"/>
  <c r="BT57" i="12"/>
  <c r="AT58" i="12"/>
  <c r="AX58" i="12"/>
  <c r="BD58" i="12"/>
  <c r="BL58" i="12"/>
  <c r="BN58" i="12"/>
  <c r="BP58" i="12"/>
  <c r="BR58" i="12"/>
  <c r="BT58" i="12"/>
  <c r="AX59" i="12"/>
  <c r="BD59" i="12"/>
  <c r="BL59" i="12"/>
  <c r="BN59" i="12"/>
  <c r="BP59" i="12"/>
  <c r="BR59" i="12"/>
  <c r="BT59" i="12"/>
  <c r="AT60" i="12"/>
  <c r="AX60" i="12"/>
  <c r="BD60" i="12"/>
  <c r="BL60" i="12"/>
  <c r="BN60" i="12"/>
  <c r="BP60" i="12"/>
  <c r="BR60" i="12"/>
  <c r="BT60" i="12"/>
  <c r="AT61" i="12"/>
  <c r="AX61" i="12"/>
  <c r="BD61" i="12"/>
  <c r="BL61" i="12"/>
  <c r="BN61" i="12"/>
  <c r="BP61" i="12"/>
  <c r="BR61" i="12"/>
  <c r="BT61" i="12"/>
  <c r="AX62" i="12"/>
  <c r="BD62" i="12"/>
  <c r="BL62" i="12"/>
  <c r="BN62" i="12"/>
  <c r="BP62" i="12"/>
  <c r="BR62" i="12"/>
  <c r="BT62" i="12"/>
  <c r="AT63" i="12"/>
  <c r="AX63" i="12"/>
  <c r="BD63" i="12"/>
  <c r="BL63" i="12"/>
  <c r="BN63" i="12"/>
  <c r="BP63" i="12"/>
  <c r="BR63" i="12"/>
  <c r="BT63" i="12"/>
  <c r="AX64" i="12"/>
  <c r="BD64" i="12"/>
  <c r="BL64" i="12"/>
  <c r="BN64" i="12"/>
  <c r="BP64" i="12"/>
  <c r="BR64" i="12"/>
  <c r="BT64" i="12"/>
  <c r="AT65" i="12"/>
  <c r="AX65" i="12"/>
  <c r="BD65" i="12"/>
  <c r="BL65" i="12"/>
  <c r="BN65" i="12"/>
  <c r="BP65" i="12"/>
  <c r="BR65" i="12"/>
  <c r="BT65" i="12"/>
  <c r="AX66" i="12"/>
  <c r="BD66" i="12"/>
  <c r="BL66" i="12"/>
  <c r="BN66" i="12"/>
  <c r="BP66" i="12"/>
  <c r="BR66" i="12"/>
  <c r="BT66" i="12"/>
  <c r="AX67" i="12"/>
  <c r="BD67" i="12"/>
  <c r="BL67" i="12"/>
  <c r="BN67" i="12"/>
  <c r="BP67" i="12"/>
  <c r="BR67" i="12"/>
  <c r="BT67" i="12"/>
  <c r="BD68" i="12"/>
  <c r="BL68" i="12"/>
  <c r="BN68" i="12"/>
  <c r="BP68" i="12"/>
  <c r="BR68" i="12"/>
  <c r="BT68" i="12"/>
  <c r="AX69" i="12"/>
  <c r="BD69" i="12"/>
  <c r="BL69" i="12"/>
  <c r="BN69" i="12"/>
  <c r="BP69" i="12"/>
  <c r="BR69" i="12"/>
  <c r="BT69" i="12"/>
  <c r="AT70" i="12"/>
  <c r="AX70" i="12"/>
  <c r="BD70" i="12"/>
  <c r="BL70" i="12"/>
  <c r="BN70" i="12"/>
  <c r="BP70" i="12"/>
  <c r="BR70" i="12"/>
  <c r="BT70" i="12"/>
  <c r="AX71" i="12"/>
  <c r="BD71" i="12"/>
  <c r="BL71" i="12"/>
  <c r="BN71" i="12"/>
  <c r="BP71" i="12"/>
  <c r="BR71" i="12"/>
  <c r="BT71" i="12"/>
  <c r="AX72" i="12"/>
  <c r="BD72" i="12"/>
  <c r="BL72" i="12"/>
  <c r="BN72" i="12"/>
  <c r="BP72" i="12"/>
  <c r="BR72" i="12"/>
  <c r="BT72" i="12"/>
  <c r="R73" i="12"/>
  <c r="BD73" i="12"/>
  <c r="BL73" i="12"/>
  <c r="BN73" i="12"/>
  <c r="BP73" i="12"/>
  <c r="BR73" i="12"/>
  <c r="BT73" i="12"/>
  <c r="AT74" i="12"/>
  <c r="AX74" i="12"/>
  <c r="BD74" i="12"/>
  <c r="BL74" i="12"/>
  <c r="BN74" i="12"/>
  <c r="BP74" i="12"/>
  <c r="BR74" i="12"/>
  <c r="BT74" i="12"/>
  <c r="BD75" i="12"/>
  <c r="BL75" i="12"/>
  <c r="BN75" i="12"/>
  <c r="BP75" i="12"/>
  <c r="BR75" i="12"/>
  <c r="BT75" i="12"/>
  <c r="BL76" i="12"/>
  <c r="BP76" i="12"/>
  <c r="BR76" i="12"/>
  <c r="BT76" i="12"/>
  <c r="AX77" i="12"/>
  <c r="BD77" i="12"/>
  <c r="BL77" i="12"/>
  <c r="BN77" i="12"/>
  <c r="BP77" i="12"/>
  <c r="BR77" i="12"/>
  <c r="BT77" i="12"/>
  <c r="AX78" i="12"/>
  <c r="BD78" i="12"/>
  <c r="BL78" i="12"/>
  <c r="BN78" i="12"/>
  <c r="BT78" i="12"/>
  <c r="AX79" i="12"/>
  <c r="BD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James M. Armstrong</author>
  </authors>
  <commentList>
    <comment ref="BF200" authorId="0" shapeId="0">
      <text>
        <r>
          <rPr>
            <b/>
            <sz val="8"/>
            <color indexed="81"/>
            <rFont val="Tahoma"/>
          </rPr>
          <t>James M. Armstrong:</t>
        </r>
        <r>
          <rPr>
            <sz val="8"/>
            <color indexed="81"/>
            <rFont val="Tahoma"/>
          </rPr>
          <t xml:space="preserve">
</t>
        </r>
      </text>
    </comment>
    <comment ref="AJ206" authorId="0" shapeId="0">
      <text>
        <r>
          <rPr>
            <b/>
            <sz val="8"/>
            <color indexed="81"/>
            <rFont val="Tahoma"/>
          </rPr>
          <t>James M. Armstrong:</t>
        </r>
        <r>
          <rPr>
            <sz val="8"/>
            <color indexed="81"/>
            <rFont val="Tahoma"/>
          </rPr>
          <t xml:space="preserve">
Legal exp of $3534 deducted to tie to draw schedule</t>
        </r>
      </text>
    </comment>
    <comment ref="AT206" authorId="0" shapeId="0">
      <text>
        <r>
          <rPr>
            <b/>
            <sz val="8"/>
            <color indexed="81"/>
            <rFont val="Tahoma"/>
          </rPr>
          <t>James M. Armstrong:</t>
        </r>
        <r>
          <rPr>
            <sz val="8"/>
            <color indexed="81"/>
            <rFont val="Tahoma"/>
          </rPr>
          <t xml:space="preserve">
Legal exp of $7634 deducted to tie to draw schedule</t>
        </r>
      </text>
    </comment>
  </commentList>
</comments>
</file>

<file path=xl/sharedStrings.xml><?xml version="1.0" encoding="utf-8"?>
<sst xmlns="http://schemas.openxmlformats.org/spreadsheetml/2006/main" count="1990" uniqueCount="596">
  <si>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</si>
  <si>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</si>
  <si>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</si>
  <si>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</si>
  <si>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</si>
  <si>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</si>
  <si>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</si>
  <si>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</si>
  <si>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</si>
  <si>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</si>
  <si>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</si>
  <si>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</si>
  <si>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</si>
  <si>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</si>
  <si>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</si>
  <si>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</si>
  <si>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</si>
  <si>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</si>
  <si>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</si>
  <si>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</si>
  <si>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</si>
  <si>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</si>
  <si>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</si>
  <si>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</si>
  <si>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</si>
  <si>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</si>
  <si>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</si>
  <si>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</si>
  <si>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</si>
  <si>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</si>
  <si>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</si>
  <si>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</si>
  <si>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</si>
  <si>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</si>
  <si>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</si>
  <si>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</si>
  <si>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</si>
  <si>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</si>
  <si>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</si>
  <si>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</si>
  <si>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</si>
  <si>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</si>
  <si>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</si>
  <si>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</si>
  <si>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</si>
  <si>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</si>
  <si>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</si>
  <si>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</si>
  <si>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</si>
  <si>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</si>
  <si>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</si>
  <si>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</si>
  <si>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</si>
  <si>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</si>
  <si>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</si>
  <si>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</si>
  <si>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</si>
  <si>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</si>
  <si>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</si>
  <si>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</si>
  <si>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</si>
  <si>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</si>
  <si>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</si>
  <si>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</si>
  <si>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</si>
  <si>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</si>
  <si>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</si>
  <si>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</si>
  <si>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</si>
  <si>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</si>
  <si>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</si>
  <si>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</si>
  <si>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</si>
  <si>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</si>
  <si>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</si>
  <si>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</si>
  <si>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</si>
  <si>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</si>
  <si>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</si>
  <si>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</si>
  <si>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</si>
  <si>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</si>
  <si>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</si>
  <si>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</si>
  <si>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</si>
  <si>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</si>
  <si>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</si>
  <si>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</si>
  <si>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</si>
  <si>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</si>
  <si>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</si>
  <si>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</si>
  <si>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</si>
  <si>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</si>
  <si>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</si>
  <si>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</si>
  <si>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</si>
  <si>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</si>
  <si>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</si>
  <si>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</si>
  <si>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</si>
  <si>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</si>
  <si>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</si>
  <si>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</si>
  <si>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</si>
  <si>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</si>
  <si>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</si>
  <si>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</si>
  <si>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</si>
  <si>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</si>
  <si>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</si>
  <si>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</si>
  <si>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</si>
  <si>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</si>
  <si>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</si>
  <si>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</si>
  <si>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</si>
  <si>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</si>
  <si>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</si>
  <si>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</si>
  <si>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</si>
  <si>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</si>
  <si>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</si>
  <si>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</si>
  <si>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</si>
  <si>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</si>
  <si>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</si>
  <si>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</si>
  <si>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</si>
  <si>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</si>
  <si>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</si>
  <si>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</si>
  <si>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</si>
  <si>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</si>
  <si>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</si>
  <si>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</si>
  <si>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</si>
  <si>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</si>
  <si>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</si>
  <si>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</si>
  <si>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</si>
  <si>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</si>
  <si>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</si>
  <si>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</si>
  <si>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</si>
  <si>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</si>
  <si>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</si>
  <si>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</si>
  <si>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</si>
  <si>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</si>
  <si>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</si>
  <si>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</si>
  <si>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</si>
  <si>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</si>
  <si>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</si>
  <si>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</si>
  <si>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</si>
  <si>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</si>
  <si>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</si>
  <si>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</si>
  <si>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</si>
  <si>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</si>
  <si>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</si>
  <si>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</si>
  <si>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</si>
  <si>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</si>
  <si>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</si>
  <si>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</si>
  <si>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</si>
  <si>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</si>
  <si>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</si>
  <si>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</si>
  <si>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</si>
  <si>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</si>
  <si>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</si>
  <si>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</si>
  <si>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</si>
  <si>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</si>
  <si>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</si>
  <si>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</si>
  <si>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</si>
  <si>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</si>
  <si>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</si>
  <si>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</si>
  <si>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</si>
  <si>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</si>
  <si>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</si>
  <si>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</si>
  <si>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</si>
  <si>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</si>
  <si>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</si>
  <si>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</si>
  <si>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</si>
  <si>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</si>
  <si>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</si>
  <si>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</si>
  <si>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</si>
  <si>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</si>
  <si>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</si>
  <si>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</si>
  <si>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</si>
  <si>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</si>
  <si>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</si>
  <si>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</si>
  <si>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</si>
  <si>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</si>
  <si>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</si>
  <si>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</si>
  <si>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</si>
  <si>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</si>
  <si>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</si>
  <si>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</si>
  <si>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</si>
  <si>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</si>
  <si>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</si>
  <si>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</si>
  <si>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</si>
  <si>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</si>
  <si>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</si>
  <si>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</si>
  <si>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</si>
  <si>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</si>
  <si>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</si>
  <si>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</si>
  <si>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</si>
  <si>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</si>
  <si>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</si>
  <si>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</si>
  <si>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</si>
  <si>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</si>
  <si>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</si>
  <si>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</si>
  <si>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</si>
  <si>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</si>
  <si>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</si>
  <si>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</si>
  <si>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</si>
  <si>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</si>
  <si>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</si>
  <si>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</si>
  <si>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</si>
  <si>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</si>
  <si>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</si>
  <si>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</si>
  <si>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</si>
  <si>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</si>
  <si>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</si>
  <si>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</si>
  <si>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</si>
  <si>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</si>
  <si>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</si>
  <si>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</si>
  <si>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</si>
  <si>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</si>
  <si>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</si>
  <si>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</si>
  <si>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</si>
  <si>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</si>
  <si>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</si>
  <si>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</si>
  <si>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</si>
  <si>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</si>
  <si>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</si>
  <si>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</si>
  <si>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</si>
  <si>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</si>
  <si>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</si>
  <si>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</si>
  <si>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</si>
  <si>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</si>
  <si>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</si>
  <si>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</si>
  <si>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</si>
  <si>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</si>
  <si>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</si>
  <si>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</si>
  <si>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</si>
  <si>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</si>
  <si>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</si>
  <si>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</si>
  <si>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</si>
  <si>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</si>
  <si>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</si>
  <si>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</si>
  <si>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</si>
  <si>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</si>
  <si>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</si>
  <si>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</si>
  <si>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</si>
  <si>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</si>
  <si>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</si>
  <si>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</si>
  <si>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</si>
  <si>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</si>
  <si>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</si>
  <si>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</si>
  <si>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</si>
  <si>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</si>
  <si>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</si>
  <si>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</si>
  <si>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</si>
  <si>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</si>
  <si>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</si>
  <si>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</si>
  <si>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</si>
  <si>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</si>
  <si>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</si>
  <si>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</si>
  <si>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</si>
  <si>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</si>
  <si>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</si>
  <si>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</si>
  <si>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</si>
  <si>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</si>
  <si>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</si>
  <si>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</si>
  <si>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</si>
  <si>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</si>
  <si>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</si>
  <si>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</si>
  <si>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</si>
  <si>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</si>
  <si>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</si>
  <si>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</si>
  <si>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</si>
  <si>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</si>
  <si>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</si>
  <si>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</si>
  <si>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</si>
  <si>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</si>
  <si>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</si>
  <si>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</si>
  <si>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</si>
  <si>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</si>
  <si>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</si>
  <si>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</si>
  <si>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</si>
  <si>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</si>
  <si>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</si>
  <si>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</si>
  <si>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</si>
  <si>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</si>
  <si>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</si>
  <si>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</si>
  <si>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</si>
  <si>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</si>
  <si>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</si>
  <si>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</si>
  <si>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</si>
  <si>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</si>
  <si>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</si>
  <si>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</si>
  <si>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</si>
  <si>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</si>
  <si>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</si>
  <si>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</si>
  <si>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</si>
  <si>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</si>
  <si>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</si>
  <si>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</si>
  <si>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</si>
  <si>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</si>
  <si>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</si>
  <si>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</si>
  <si>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</si>
  <si>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</si>
  <si>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</si>
  <si>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</si>
  <si>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</si>
  <si>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</si>
  <si>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</si>
  <si>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</si>
  <si>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</si>
  <si>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</si>
  <si>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</si>
  <si>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</si>
  <si>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</si>
  <si>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</si>
  <si>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</si>
  <si>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</si>
  <si>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</si>
  <si>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</si>
  <si>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</si>
  <si>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</si>
  <si>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</si>
  <si>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</si>
  <si>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</si>
  <si>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</si>
  <si>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</si>
  <si>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</si>
  <si>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</si>
  <si>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</si>
  <si>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</si>
  <si>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</si>
  <si>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</si>
  <si>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</si>
  <si>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</si>
  <si>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</si>
  <si>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</si>
  <si>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</si>
  <si>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</si>
  <si>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</si>
  <si>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</si>
  <si>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</si>
  <si>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</si>
  <si>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</si>
  <si>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</si>
  <si>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</si>
  <si>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</si>
  <si>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</si>
  <si>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</si>
  <si>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</si>
  <si>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</si>
  <si>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</si>
  <si>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</si>
  <si>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</si>
  <si>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</si>
  <si>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</si>
  <si>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</si>
  <si>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</si>
  <si>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</si>
  <si>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</si>
  <si>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</si>
  <si>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</si>
  <si>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</si>
  <si>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</si>
  <si>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</si>
  <si>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</si>
  <si>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</si>
  <si>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</si>
  <si>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</si>
  <si>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</si>
  <si>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</si>
  <si>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</si>
  <si>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</si>
  <si>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</si>
  <si>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</si>
  <si>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</si>
  <si>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</si>
  <si>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</si>
  <si>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</si>
  <si>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</si>
  <si>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</si>
  <si>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</si>
  <si>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</si>
  <si>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</si>
  <si>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</si>
  <si>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</si>
  <si>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</si>
  <si>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</si>
  <si>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</si>
  <si>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</si>
  <si>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</si>
  <si>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</si>
  <si>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</si>
  <si>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</si>
  <si>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</si>
  <si>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</si>
  <si>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</si>
  <si>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</si>
  <si>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</si>
  <si>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</si>
  <si>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</si>
  <si>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</si>
  <si>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</si>
  <si>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</si>
  <si>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</si>
  <si>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</si>
  <si>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</si>
  <si>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</si>
  <si>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</si>
  <si>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</si>
  <si>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</si>
  <si>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</si>
  <si>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</si>
  <si>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</si>
  <si>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</si>
  <si>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</si>
  <si>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</si>
  <si>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</si>
  <si>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</si>
  <si>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</si>
  <si>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</si>
  <si>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</si>
  <si>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</si>
  <si>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</si>
  <si>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</si>
  <si>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</si>
  <si>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</si>
  <si>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</si>
  <si>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</si>
  <si>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</si>
  <si>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</si>
  <si>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</si>
  <si>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</si>
  <si>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</si>
  <si>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</si>
  <si>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</si>
  <si>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</si>
  <si>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</si>
  <si>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</si>
  <si>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</si>
  <si>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</si>
  <si>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</si>
  <si>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</si>
  <si>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</si>
  <si>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</si>
  <si>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</si>
  <si>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</si>
  <si>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</si>
  <si>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</si>
  <si>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</si>
  <si>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</si>
  <si>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</si>
  <si>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</si>
  <si>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</si>
  <si>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</si>
  <si>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</si>
  <si>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</si>
  <si>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</si>
  <si>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</si>
  <si>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</si>
  <si>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</si>
  <si>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</si>
  <si>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</si>
  <si>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</si>
  <si>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</si>
  <si>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</si>
  <si>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</si>
  <si>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</si>
  <si>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</si>
  <si>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</si>
  <si>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</si>
  <si>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</si>
  <si>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</si>
  <si>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</si>
  <si>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</si>
  <si>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</si>
  <si>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</si>
  <si>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</si>
  <si>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</si>
  <si>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</si>
  <si>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</si>
  <si>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</si>
  <si>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</si>
  <si>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</si>
  <si>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</si>
  <si>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</si>
  <si>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</si>
  <si>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</si>
  <si>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</si>
  <si>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</si>
  <si>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</si>
  <si>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</si>
  <si>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</si>
  <si>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</si>
  <si>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</si>
  <si>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</si>
  <si>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</si>
  <si>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</si>
  <si>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</si>
  <si>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</si>
  <si>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</si>
  <si>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Revision # 58</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</si>
  <si>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</si>
  <si>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</si>
  <si>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</si>
  <si>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</si>
  <si>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</si>
  <si>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</si>
  <si>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</si>
  <si>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</si>
  <si>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</si>
  <si>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</si>
  <si>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</si>
  <si>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 xml:space="preserve"> As of 06/30/00</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</si>
  <si>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</si>
  <si>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</si>
  <si>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</si>
  <si>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</si>
  <si>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</si>
  <si>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</si>
  <si>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</si>
  <si>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</si>
  <si>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</si>
  <si>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</si>
  <si>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</si>
  <si>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</si>
  <si>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</si>
  <si>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</si>
  <si>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</si>
  <si>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</si>
  <si>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</si>
  <si>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</si>
  <si>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As of 06/30/00</t>
  </si>
  <si>
    <t>Land Purchase - Marshall County Rd Pavement, Water Supply to land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</si>
</sst>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500">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 val="Wilton Leaseback Only"/>
    </sheetNames>
    <sheetDataSet>
      <sheetData sheetId="0" refreshError="1"/>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6" customWidth="1"/>
    <col min="14" max="14" width="15.33203125" style="376"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4.6">
      <c r="A4" s="257"/>
      <c r="B4" s="257" t="s">
        <v>338</v>
      </c>
      <c r="C4" s="255"/>
      <c r="D4" s="255"/>
      <c r="E4" s="255"/>
      <c r="F4" s="255"/>
      <c r="G4" s="255"/>
      <c r="H4" s="258"/>
      <c r="I4" s="258"/>
      <c r="J4" s="258"/>
      <c r="K4" s="258"/>
      <c r="L4" s="378"/>
      <c r="M4" s="378"/>
      <c r="N4" s="378"/>
      <c r="O4" s="255"/>
      <c r="P4" s="255"/>
      <c r="Q4" s="255"/>
    </row>
    <row r="5" spans="1:17" ht="21">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4" t="s">
        <v>340</v>
      </c>
      <c r="B7" s="497" t="s">
        <v>341</v>
      </c>
      <c r="C7" s="497" t="s">
        <v>342</v>
      </c>
      <c r="D7" s="497" t="s">
        <v>343</v>
      </c>
      <c r="E7" s="497" t="s">
        <v>344</v>
      </c>
      <c r="F7" s="497" t="s">
        <v>345</v>
      </c>
      <c r="G7" s="491" t="s">
        <v>346</v>
      </c>
      <c r="H7" s="491" t="s">
        <v>347</v>
      </c>
      <c r="I7" s="491" t="s">
        <v>348</v>
      </c>
      <c r="J7" s="491" t="s">
        <v>349</v>
      </c>
      <c r="K7" s="491" t="s">
        <v>350</v>
      </c>
      <c r="L7" s="379" t="s">
        <v>374</v>
      </c>
      <c r="M7" s="379"/>
      <c r="N7" s="379"/>
      <c r="O7" s="497" t="s">
        <v>351</v>
      </c>
      <c r="P7" s="488" t="s">
        <v>352</v>
      </c>
      <c r="Q7" s="260"/>
    </row>
    <row r="8" spans="1:17">
      <c r="A8" s="495"/>
      <c r="B8" s="498"/>
      <c r="C8" s="498"/>
      <c r="D8" s="498"/>
      <c r="E8" s="498"/>
      <c r="F8" s="498"/>
      <c r="G8" s="492"/>
      <c r="H8" s="492"/>
      <c r="I8" s="492"/>
      <c r="J8" s="492"/>
      <c r="K8" s="492"/>
      <c r="L8" s="380" t="s">
        <v>355</v>
      </c>
      <c r="M8" s="380" t="s">
        <v>502</v>
      </c>
      <c r="N8" s="380" t="s">
        <v>506</v>
      </c>
      <c r="O8" s="498"/>
      <c r="P8" s="489"/>
      <c r="Q8" s="261"/>
    </row>
    <row r="9" spans="1:17" ht="31.8" thickBot="1">
      <c r="A9" s="496"/>
      <c r="B9" s="499"/>
      <c r="C9" s="499"/>
      <c r="D9" s="499"/>
      <c r="E9" s="499"/>
      <c r="F9" s="499"/>
      <c r="G9" s="493"/>
      <c r="H9" s="493"/>
      <c r="I9" s="493"/>
      <c r="J9" s="493"/>
      <c r="K9" s="493"/>
      <c r="L9" s="381"/>
      <c r="M9" s="381" t="s">
        <v>505</v>
      </c>
      <c r="N9" s="381" t="s">
        <v>507</v>
      </c>
      <c r="O9" s="499"/>
      <c r="P9" s="490"/>
      <c r="Q9" s="262"/>
    </row>
    <row r="10" spans="1:17" ht="16.2"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09.2">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78">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6.8">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62.4">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2"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6.8">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3.2">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3.2">
      <c r="A65" s="30"/>
      <c r="B65" s="30"/>
      <c r="L65"/>
      <c r="M65"/>
      <c r="N65"/>
    </row>
    <row r="66" spans="1:14" ht="13.2">
      <c r="A66" s="30"/>
      <c r="B66" s="30"/>
      <c r="L66"/>
      <c r="M66"/>
      <c r="N66"/>
    </row>
    <row r="67" spans="1:14" ht="18" thickBot="1">
      <c r="B67" s="438" t="s">
        <v>514</v>
      </c>
      <c r="C67" s="439"/>
      <c r="D67" s="439"/>
      <c r="E67" s="439"/>
      <c r="F67" s="439"/>
      <c r="G67" s="439"/>
      <c r="H67" s="451">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9" ht="13.8">
      <c r="A8" s="495"/>
      <c r="B8" s="498"/>
      <c r="C8" s="498"/>
      <c r="D8" s="498"/>
      <c r="E8" s="498"/>
      <c r="F8" s="498"/>
      <c r="G8" s="492"/>
      <c r="H8" s="492"/>
      <c r="I8" s="492"/>
      <c r="J8" s="492"/>
      <c r="K8" s="492"/>
      <c r="L8" s="498"/>
      <c r="M8" s="489"/>
      <c r="N8" s="261"/>
    </row>
    <row r="9" spans="1:19" ht="14.4" thickBot="1">
      <c r="A9" s="496"/>
      <c r="B9" s="499"/>
      <c r="C9" s="499"/>
      <c r="D9" s="499"/>
      <c r="E9" s="499"/>
      <c r="F9" s="499"/>
      <c r="G9" s="493"/>
      <c r="H9" s="493"/>
      <c r="I9" s="493"/>
      <c r="J9" s="493"/>
      <c r="K9" s="493"/>
      <c r="L9" s="499"/>
      <c r="M9" s="490"/>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93.6">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0.4">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ht="13.8">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6">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5"/>
      <c r="C18" s="278"/>
      <c r="D18" s="279"/>
      <c r="E18" s="279"/>
      <c r="F18" s="278"/>
      <c r="G18" s="280"/>
      <c r="H18" s="280"/>
      <c r="I18" s="281"/>
      <c r="J18" s="281"/>
      <c r="K18" s="281"/>
      <c r="L18" s="278"/>
      <c r="M18" s="282"/>
      <c r="N18" s="283"/>
    </row>
    <row r="19" spans="1:14" ht="15.6">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 thickBot="1">
      <c r="B46" s="438" t="s">
        <v>514</v>
      </c>
      <c r="C46" s="439"/>
      <c r="D46" s="439"/>
      <c r="E46" s="439"/>
      <c r="F46" s="439"/>
      <c r="G46" s="439"/>
      <c r="H46" s="440">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4" ht="13.8">
      <c r="A8" s="495"/>
      <c r="B8" s="498"/>
      <c r="C8" s="498"/>
      <c r="D8" s="498"/>
      <c r="E8" s="498"/>
      <c r="F8" s="498"/>
      <c r="G8" s="492"/>
      <c r="H8" s="492"/>
      <c r="I8" s="492"/>
      <c r="J8" s="492"/>
      <c r="K8" s="492"/>
      <c r="L8" s="498"/>
      <c r="M8" s="489"/>
      <c r="N8" s="261"/>
    </row>
    <row r="9" spans="1:14" ht="14.4" thickBot="1">
      <c r="A9" s="496"/>
      <c r="B9" s="499"/>
      <c r="C9" s="499"/>
      <c r="D9" s="499"/>
      <c r="E9" s="499"/>
      <c r="F9" s="499"/>
      <c r="G9" s="493"/>
      <c r="H9" s="493"/>
      <c r="I9" s="493"/>
      <c r="J9" s="493"/>
      <c r="K9" s="493"/>
      <c r="L9" s="499"/>
      <c r="M9" s="490"/>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6">
      <c r="A15" s="277"/>
      <c r="B15" s="355"/>
      <c r="C15" s="278"/>
      <c r="D15" s="279"/>
      <c r="E15" s="279"/>
      <c r="F15" s="278"/>
      <c r="G15" s="280"/>
      <c r="H15" s="280"/>
      <c r="I15" s="281"/>
      <c r="J15" s="281"/>
      <c r="K15" s="281"/>
      <c r="L15" s="278"/>
      <c r="M15" s="282"/>
      <c r="N15" s="283"/>
    </row>
    <row r="16" spans="1:14" ht="15.6">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6">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 thickBot="1">
      <c r="B43" s="438" t="s">
        <v>514</v>
      </c>
      <c r="C43" s="439"/>
      <c r="D43" s="439"/>
      <c r="E43" s="439"/>
      <c r="F43" s="439"/>
      <c r="G43" s="439"/>
      <c r="H43" s="440">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4">
        <v>19947.871999999999</v>
      </c>
      <c r="J45" s="20">
        <f>I45+10717.074</f>
        <v>30664.946</v>
      </c>
    </row>
    <row r="46" spans="1:79" ht="16.2"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4"/>
  <sheetViews>
    <sheetView tabSelected="1" topLeftCell="D1" zoomScale="90" zoomScaleNormal="90" zoomScaleSheetLayoutView="100" workbookViewId="0">
      <selection activeCell="E32" sqref="E32"/>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36717.624620833332</v>
      </c>
    </row>
    <row r="3" spans="1:74" ht="15.6">
      <c r="A3" s="178" t="s">
        <v>189</v>
      </c>
      <c r="G3" s="176"/>
      <c r="J3" s="177"/>
      <c r="O3" s="176"/>
      <c r="BV3" t="str">
        <f>Summary!A5</f>
        <v>Revision # 58</v>
      </c>
    </row>
    <row r="4" spans="1:74" ht="15.6">
      <c r="A4" s="174" t="s">
        <v>185</v>
      </c>
      <c r="J4" s="177" t="s">
        <v>125</v>
      </c>
      <c r="O4" s="98" t="s">
        <v>575</v>
      </c>
    </row>
    <row r="5" spans="1:74" ht="15.6">
      <c r="A5" s="178" t="s">
        <v>563</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06/30/00</v>
      </c>
      <c r="H9" s="182"/>
      <c r="I9" s="53" t="str">
        <f>+O4</f>
        <v xml:space="preserve"> As of 06/30/00</v>
      </c>
      <c r="J9" s="182"/>
      <c r="K9" s="90" t="str">
        <f>+O4</f>
        <v xml:space="preserve"> As of 06/30/00</v>
      </c>
      <c r="M9" s="28" t="s">
        <v>143</v>
      </c>
      <c r="O9" s="28" t="s">
        <v>46</v>
      </c>
    </row>
    <row r="10" spans="1:74">
      <c r="A10" s="180"/>
      <c r="C10" s="27"/>
      <c r="E10" s="180"/>
      <c r="G10" s="183"/>
      <c r="H10" s="182"/>
      <c r="I10" s="180"/>
      <c r="J10" s="182"/>
      <c r="K10" s="184"/>
      <c r="M10" s="180"/>
      <c r="O10" s="180"/>
    </row>
    <row r="11" spans="1:74">
      <c r="A11" s="185" t="s">
        <v>254</v>
      </c>
      <c r="C11" s="455">
        <v>608</v>
      </c>
      <c r="E11" s="187">
        <f>Wilton!R178/1000</f>
        <v>239675.46775000001</v>
      </c>
      <c r="F11" s="186"/>
      <c r="G11" s="188">
        <f>Wilton!BL178/1000</f>
        <v>260934.05851869201</v>
      </c>
      <c r="H11" s="182"/>
      <c r="I11" s="187">
        <f>K11-G11</f>
        <v>11117.648266178701</v>
      </c>
      <c r="J11" s="182"/>
      <c r="K11" s="189">
        <f>Wilton!BR178/1000</f>
        <v>272051.70678487071</v>
      </c>
      <c r="M11" s="187">
        <f>+E11-K11</f>
        <v>-32376.239034870698</v>
      </c>
      <c r="O11" s="190">
        <f>+G11/K11</f>
        <v>0.95913406169155135</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167843.44764366749</v>
      </c>
      <c r="H13" s="182"/>
      <c r="I13" s="187">
        <f>K13-G13</f>
        <v>9779.8142200000002</v>
      </c>
      <c r="J13" s="182"/>
      <c r="K13" s="189">
        <f>Gleason!BT225/1000</f>
        <v>177623.26186366749</v>
      </c>
      <c r="M13" s="187">
        <f>+E13-K13</f>
        <v>-7048.2518636674795</v>
      </c>
      <c r="O13" s="190">
        <f>+G13/K13</f>
        <v>0.9449406901022549</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151476.00032029522</v>
      </c>
      <c r="H15" s="182"/>
      <c r="I15" s="187">
        <f>K15-G15</f>
        <v>11515.023819999944</v>
      </c>
      <c r="J15" s="182"/>
      <c r="K15" s="189">
        <f>Wheatland!BR176/1000</f>
        <v>162991.02414029517</v>
      </c>
      <c r="M15" s="187">
        <f>+E15-K15</f>
        <v>-4539.7760402951681</v>
      </c>
      <c r="O15" s="190">
        <f>+G15/K15</f>
        <v>0.92935179172757176</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580253.50648265472</v>
      </c>
      <c r="H17" s="202"/>
      <c r="I17" s="201">
        <f>SUM(I11:I15)</f>
        <v>32412.486306178645</v>
      </c>
      <c r="J17" s="182"/>
      <c r="K17" s="204">
        <f>SUM(K11:K15)</f>
        <v>612665.99278883333</v>
      </c>
      <c r="L17" s="182"/>
      <c r="M17" s="201">
        <f>SUM(M10:M15)</f>
        <v>-43964.266938833345</v>
      </c>
      <c r="N17" s="182"/>
      <c r="O17" s="205">
        <f>+G17/K17</f>
        <v>0.94709599245318288</v>
      </c>
    </row>
    <row r="18" spans="1:29" ht="13.8" thickBot="1">
      <c r="A18" s="206" t="s">
        <v>50</v>
      </c>
      <c r="B18" s="200"/>
      <c r="C18" s="206"/>
      <c r="D18" s="182"/>
      <c r="E18" s="207">
        <f>E17/C17</f>
        <v>358.35017381852555</v>
      </c>
      <c r="F18" s="202"/>
      <c r="G18" s="208"/>
      <c r="H18" s="209"/>
      <c r="I18" s="210"/>
      <c r="J18" s="211"/>
      <c r="K18" s="212">
        <f>+K17/C17</f>
        <v>386.05292551281241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06/30/00</v>
      </c>
      <c r="H22" s="182"/>
      <c r="I22" s="53" t="str">
        <f>I9</f>
        <v xml:space="preserve"> As of 06/30/00</v>
      </c>
      <c r="J22" s="182"/>
      <c r="K22" s="90" t="str">
        <f>K9</f>
        <v xml:space="preserve"> As of 06/30/00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06/30/00</v>
      </c>
      <c r="H35" s="182"/>
      <c r="I35" s="53" t="str">
        <f>O4</f>
        <v xml:space="preserve"> As of 06/30/00</v>
      </c>
      <c r="J35" s="182"/>
      <c r="K35" s="90" t="str">
        <f>O4</f>
        <v xml:space="preserve"> As of 06/30/00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8" thickBot="1"/>
    <row r="45" spans="1:29" ht="13.8" thickBot="1">
      <c r="A45" s="486" t="s">
        <v>205</v>
      </c>
      <c r="B45" s="487"/>
      <c r="C45" s="487"/>
      <c r="D45" s="487"/>
      <c r="E45" s="487"/>
      <c r="F45" s="487"/>
      <c r="G45" s="487"/>
      <c r="H45" s="487"/>
      <c r="I45" s="487"/>
      <c r="J45" s="487"/>
      <c r="K45" s="487"/>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6" t="s">
        <v>142</v>
      </c>
      <c r="B54" s="487"/>
      <c r="C54" s="487"/>
      <c r="D54" s="487"/>
      <c r="E54" s="487"/>
      <c r="F54" s="487"/>
      <c r="G54" s="487"/>
      <c r="H54" s="487"/>
      <c r="I54" s="487"/>
      <c r="J54" s="487"/>
      <c r="K54" s="487"/>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-26022.934000000001</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-199.7436133333334</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574</v>
      </c>
    </row>
    <row r="66" spans="1:12">
      <c r="A66" s="182"/>
      <c r="C66" s="226">
        <f>(Wilton!BT156+Wilton!BT157+Wilton!BT158+Wilton!BT159)/1000</f>
        <v>-713.44792999999993</v>
      </c>
      <c r="E66" s="175" t="s">
        <v>527</v>
      </c>
    </row>
    <row r="67" spans="1:12">
      <c r="A67" s="182"/>
      <c r="C67" s="226">
        <f>-Wilton!BR160/1000</f>
        <v>-191.01289000000003</v>
      </c>
      <c r="E67" s="175" t="s">
        <v>440</v>
      </c>
    </row>
    <row r="68" spans="1:12">
      <c r="A68" s="182"/>
      <c r="C68" s="226">
        <f>Wilton!BT147/1000</f>
        <v>-353.46850000000001</v>
      </c>
      <c r="E68" s="175" t="s">
        <v>564</v>
      </c>
    </row>
    <row r="69" spans="1:12">
      <c r="A69" s="182"/>
      <c r="C69" s="226">
        <f>Wilton!BT169/1000</f>
        <v>-368.28674000000001</v>
      </c>
      <c r="E69" s="175" t="s">
        <v>449</v>
      </c>
    </row>
    <row r="70" spans="1:12">
      <c r="A70" s="182"/>
      <c r="C70" s="313">
        <v>4408.0720000000001</v>
      </c>
      <c r="E70" s="182" t="s">
        <v>324</v>
      </c>
      <c r="F70" s="182"/>
      <c r="G70" s="182"/>
      <c r="H70" s="182"/>
      <c r="I70" s="182"/>
    </row>
    <row r="71" spans="1:12">
      <c r="A71" s="182"/>
      <c r="C71" s="313">
        <f>Wilton!BT151/1000</f>
        <v>-121.24850000000001</v>
      </c>
      <c r="E71" s="182" t="s">
        <v>437</v>
      </c>
      <c r="F71" s="182"/>
      <c r="G71" s="182"/>
      <c r="H71" s="182"/>
      <c r="I71" s="182"/>
    </row>
    <row r="72" spans="1:12">
      <c r="A72" s="182"/>
      <c r="C72" s="245">
        <f>Wilton!BT121/1000</f>
        <v>-393.91972000000004</v>
      </c>
      <c r="D72" s="246"/>
      <c r="E72" s="246" t="s">
        <v>442</v>
      </c>
      <c r="F72" s="246"/>
      <c r="G72" s="246"/>
      <c r="H72" s="246"/>
      <c r="I72" s="246"/>
      <c r="J72" s="246"/>
      <c r="K72" s="246"/>
    </row>
    <row r="73" spans="1:12">
      <c r="A73" s="182"/>
      <c r="C73" s="479">
        <f>SUM(C57:C72)</f>
        <v>-32376.238784870682</v>
      </c>
      <c r="D73" s="480"/>
      <c r="E73" s="481" t="s">
        <v>417</v>
      </c>
      <c r="F73" s="480"/>
      <c r="G73" s="480"/>
      <c r="H73" s="480"/>
      <c r="I73" s="480"/>
      <c r="J73" s="480"/>
      <c r="K73" s="480"/>
      <c r="L73" s="182"/>
    </row>
    <row r="74" spans="1:12">
      <c r="A74" s="182"/>
      <c r="C74" s="452"/>
      <c r="D74" s="182"/>
      <c r="E74" s="424"/>
      <c r="F74" s="182"/>
      <c r="G74" s="182"/>
      <c r="H74" s="182"/>
      <c r="I74" s="182"/>
      <c r="J74" s="182"/>
      <c r="K74" s="182"/>
      <c r="L74" s="182"/>
    </row>
    <row r="75" spans="1:12">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-4743.6000000000004</v>
      </c>
      <c r="D78" s="182"/>
      <c r="E78" s="175" t="s">
        <v>415</v>
      </c>
      <c r="F78" s="215"/>
      <c r="G78" s="215"/>
      <c r="H78" s="215"/>
      <c r="I78" s="215"/>
      <c r="J78" s="182"/>
      <c r="K78" s="182"/>
    </row>
    <row r="79" spans="1:12">
      <c r="A79" s="225"/>
      <c r="C79" s="313">
        <f>Gleason!BV16/1000</f>
        <v>-3392.7400499999972</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675.50984633251471</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-485.34026000000011</v>
      </c>
      <c r="E86" s="175" t="s">
        <v>484</v>
      </c>
      <c r="F86" s="215"/>
      <c r="G86" s="215"/>
      <c r="H86" s="215"/>
      <c r="I86" s="215"/>
      <c r="J86" s="182"/>
      <c r="K86" s="182"/>
    </row>
    <row r="87" spans="1:15">
      <c r="A87" s="225"/>
      <c r="C87" s="313">
        <f>Gleason!BV190/1000</f>
        <v>-1190.8230000000001</v>
      </c>
      <c r="E87" s="175" t="s">
        <v>566</v>
      </c>
      <c r="F87" s="215"/>
      <c r="G87" s="215"/>
      <c r="H87" s="215"/>
      <c r="I87" s="215"/>
      <c r="J87" s="182"/>
      <c r="K87" s="182"/>
    </row>
    <row r="88" spans="1:15">
      <c r="A88" s="225"/>
      <c r="C88" s="313">
        <f>Gleason!BV136/1000</f>
        <v>-90.948409999999996</v>
      </c>
      <c r="E88" s="175" t="s">
        <v>565</v>
      </c>
      <c r="F88" s="215"/>
      <c r="G88" s="215"/>
      <c r="H88" s="215"/>
      <c r="I88" s="215"/>
      <c r="J88" s="182"/>
      <c r="K88" s="182"/>
    </row>
    <row r="89" spans="1:15">
      <c r="A89" s="225"/>
      <c r="C89" s="313">
        <f>Gleason!BV194/1000</f>
        <v>87.884649999999993</v>
      </c>
      <c r="E89" s="175" t="s">
        <v>574</v>
      </c>
      <c r="F89" s="215"/>
      <c r="G89" s="215"/>
      <c r="H89" s="215"/>
      <c r="I89" s="215"/>
      <c r="J89" s="182"/>
      <c r="K89" s="182"/>
    </row>
    <row r="90" spans="1:15">
      <c r="A90" s="225"/>
      <c r="C90" s="313">
        <f>Gleason!BV200/1000</f>
        <v>-438.63340999999991</v>
      </c>
      <c r="E90" s="175" t="s">
        <v>527</v>
      </c>
      <c r="F90" s="215"/>
      <c r="G90" s="215"/>
      <c r="H90" s="215"/>
      <c r="I90" s="215"/>
      <c r="J90" s="182"/>
      <c r="K90" s="182"/>
    </row>
    <row r="91" spans="1:15">
      <c r="A91" s="225"/>
      <c r="C91" s="313">
        <f>Gleason!BV215/1000</f>
        <v>5423.4979999999996</v>
      </c>
      <c r="D91" s="182"/>
      <c r="E91" s="182" t="s">
        <v>324</v>
      </c>
      <c r="F91" s="215"/>
      <c r="G91" s="215"/>
      <c r="H91" s="215"/>
      <c r="I91" s="215"/>
      <c r="J91" s="182"/>
      <c r="K91" s="182"/>
    </row>
    <row r="92" spans="1:15" s="30" customFormat="1">
      <c r="A92" s="225"/>
      <c r="B92" s="182"/>
      <c r="C92" s="245">
        <f>Gleason!BV105/1000+1</f>
        <v>1</v>
      </c>
      <c r="D92" s="246"/>
      <c r="E92" s="366" t="s">
        <v>446</v>
      </c>
      <c r="F92" s="312"/>
      <c r="G92" s="312"/>
      <c r="H92" s="312"/>
      <c r="I92" s="312"/>
      <c r="J92" s="246"/>
      <c r="K92" s="246"/>
      <c r="L92" s="182"/>
      <c r="M92" s="182"/>
      <c r="N92" s="182"/>
      <c r="O92" s="182"/>
    </row>
    <row r="93" spans="1:15">
      <c r="A93" s="225"/>
      <c r="C93" s="452">
        <f>SUM(C77:C92)</f>
        <v>-7048.2471036674851</v>
      </c>
      <c r="D93" s="182"/>
      <c r="E93" s="320" t="s">
        <v>414</v>
      </c>
      <c r="F93" s="215"/>
      <c r="G93" s="215"/>
      <c r="H93" s="215"/>
      <c r="I93" s="215"/>
      <c r="J93" s="182"/>
      <c r="K93" s="182"/>
    </row>
    <row r="94" spans="1:15">
      <c r="A94" s="182"/>
      <c r="C94" s="226"/>
      <c r="E94" s="217"/>
      <c r="F94" s="217"/>
      <c r="G94" s="217"/>
      <c r="H94" s="217"/>
      <c r="I94" s="217"/>
    </row>
    <row r="95" spans="1:15">
      <c r="A95" s="182"/>
      <c r="C95" s="226"/>
      <c r="E95" s="217"/>
      <c r="F95" s="217"/>
      <c r="G95" s="217"/>
      <c r="H95" s="217"/>
      <c r="I95" s="217"/>
    </row>
    <row r="96" spans="1:15">
      <c r="A96" s="225" t="s">
        <v>194</v>
      </c>
      <c r="C96" s="226">
        <f>Wheatland!BT159/1000</f>
        <v>-168.35607999999999</v>
      </c>
      <c r="E96" s="217" t="s">
        <v>279</v>
      </c>
    </row>
    <row r="97" spans="1:15">
      <c r="C97" s="226">
        <f>Wheatland!BT91/1000</f>
        <v>-5550.8</v>
      </c>
      <c r="E97" s="175" t="s">
        <v>416</v>
      </c>
    </row>
    <row r="98" spans="1:15">
      <c r="A98" s="229"/>
      <c r="B98" s="230"/>
      <c r="C98" s="226">
        <f>Wheatland!BT12/1000</f>
        <v>-966.48900000000003</v>
      </c>
      <c r="D98" s="230"/>
      <c r="E98" s="175" t="s">
        <v>322</v>
      </c>
      <c r="F98" s="230"/>
      <c r="G98" s="230"/>
      <c r="H98" s="230"/>
      <c r="I98" s="230"/>
      <c r="J98" s="230"/>
      <c r="K98" s="230"/>
      <c r="L98" s="230"/>
      <c r="M98" s="230"/>
      <c r="N98" s="230"/>
    </row>
    <row r="99" spans="1:15">
      <c r="C99" s="226">
        <f>Wheatland!BT32/1000</f>
        <v>-428.48060000000055</v>
      </c>
      <c r="E99" s="175" t="s">
        <v>325</v>
      </c>
    </row>
    <row r="100" spans="1:15">
      <c r="C100" s="226">
        <f>Wheatland!BT130/1000</f>
        <v>-1142.8025700000001</v>
      </c>
      <c r="E100" s="175" t="s">
        <v>403</v>
      </c>
    </row>
    <row r="101" spans="1:15">
      <c r="C101" s="226">
        <f>Wheatland!BT145/1000</f>
        <v>0</v>
      </c>
      <c r="E101" s="175" t="s">
        <v>566</v>
      </c>
    </row>
    <row r="102" spans="1:15">
      <c r="C102" s="226">
        <f>Wheatland!BT157/1000</f>
        <v>-220.53936999999993</v>
      </c>
      <c r="E102" s="175" t="s">
        <v>527</v>
      </c>
    </row>
    <row r="103" spans="1:15">
      <c r="C103" s="226">
        <f>Wheatland!BT158/1000</f>
        <v>-195.04080999999999</v>
      </c>
      <c r="E103" s="175" t="s">
        <v>451</v>
      </c>
    </row>
    <row r="104" spans="1:15">
      <c r="C104" s="226">
        <f>Wheatland!BT151/1000</f>
        <v>84.56859</v>
      </c>
      <c r="E104" s="175" t="s">
        <v>574</v>
      </c>
    </row>
    <row r="105" spans="1:15">
      <c r="C105" s="226">
        <f>Wheatland!BT167/1000</f>
        <v>-301.67212999999998</v>
      </c>
      <c r="E105" s="175" t="s">
        <v>450</v>
      </c>
    </row>
    <row r="106" spans="1:15">
      <c r="C106" s="226">
        <f>Wheatland!BT169/1000</f>
        <v>1025.683929704817</v>
      </c>
      <c r="E106" s="175" t="s">
        <v>488</v>
      </c>
    </row>
    <row r="107" spans="1:15">
      <c r="A107" s="229"/>
      <c r="B107" s="230"/>
      <c r="C107" s="245">
        <v>3324.1521000000002</v>
      </c>
      <c r="D107" s="425"/>
      <c r="E107" s="246" t="s">
        <v>324</v>
      </c>
      <c r="F107" s="425"/>
      <c r="G107" s="425"/>
      <c r="H107" s="425"/>
      <c r="I107" s="425"/>
      <c r="J107" s="424"/>
      <c r="K107" s="424"/>
      <c r="L107" s="230"/>
      <c r="M107" s="230"/>
    </row>
    <row r="108" spans="1:15" ht="14.25" customHeight="1">
      <c r="C108" s="454">
        <f>SUM(C96:C107)</f>
        <v>-4539.7759402951842</v>
      </c>
      <c r="D108" s="182"/>
      <c r="E108" s="424" t="s">
        <v>417</v>
      </c>
      <c r="F108" s="182"/>
      <c r="G108" s="182"/>
      <c r="H108" s="182"/>
      <c r="I108" s="182"/>
      <c r="J108" s="182"/>
      <c r="K108" s="182"/>
    </row>
    <row r="110" spans="1:15">
      <c r="C110" s="226">
        <f>Wheatland!BR87/1000</f>
        <v>0</v>
      </c>
      <c r="E110" s="175" t="s">
        <v>528</v>
      </c>
    </row>
    <row r="111" spans="1:15" ht="13.8" thickBot="1">
      <c r="A111"/>
      <c r="B111"/>
      <c r="C111" s="319">
        <f>C108+C110</f>
        <v>-4539.7759402951842</v>
      </c>
      <c r="D111" s="314"/>
      <c r="E111" s="315" t="s">
        <v>417</v>
      </c>
      <c r="F111" s="314"/>
      <c r="G111" s="316"/>
      <c r="H111" s="317"/>
      <c r="I111" s="318"/>
      <c r="J111" s="314"/>
      <c r="K111" s="314"/>
      <c r="L111"/>
      <c r="M111"/>
      <c r="N111"/>
      <c r="O111"/>
    </row>
    <row r="112" spans="1:15" ht="13.8" thickTop="1">
      <c r="A112"/>
      <c r="B112"/>
      <c r="C112"/>
      <c r="D112"/>
      <c r="E112"/>
      <c r="F112"/>
      <c r="G112"/>
      <c r="H112"/>
      <c r="I112"/>
      <c r="J112"/>
      <c r="K112"/>
      <c r="L112"/>
      <c r="M112"/>
      <c r="N112"/>
      <c r="O112"/>
    </row>
    <row r="113" spans="1:3">
      <c r="B113" s="26"/>
      <c r="C113" s="177"/>
    </row>
    <row r="114" spans="1:3">
      <c r="A114" s="218" t="str">
        <f ca="1">CELL("FILENAME")</f>
        <v>O:\Fin_Ops\Engysvc\PowerPlants\2000 Plants\Weekly Report\[2000 Weekly Report - 0531.xls]Wilton</v>
      </c>
      <c r="B114" s="177"/>
      <c r="C114"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tabSelected="1" zoomScale="80" zoomScaleNormal="66" workbookViewId="0">
      <pane xSplit="19" ySplit="8" topLeftCell="AY81" activePane="bottomRight" state="frozen"/>
      <selection activeCell="E32" sqref="E32"/>
      <selection pane="topRight" activeCell="E32" sqref="E32"/>
      <selection pane="bottomLeft" activeCell="E32" sqref="E32"/>
      <selection pane="bottomRight" activeCell="E32" sqref="E3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customWidth="1"/>
    <col min="18" max="18" width="21.3320312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1.6640625" style="6" hidden="1" customWidth="1"/>
    <col min="47" max="47" width="6.4414062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hidden="1" customWidth="1"/>
    <col min="58" max="58" width="17.88671875" style="6" hidden="1" customWidth="1"/>
    <col min="59" max="59" width="0.88671875" hidden="1" customWidth="1"/>
    <col min="60" max="60" width="17.88671875" style="6" hidden="1" customWidth="1"/>
    <col min="61" max="61" width="0.88671875" hidden="1" customWidth="1"/>
    <col min="62" max="62" width="17.33203125" style="65" hidden="1" customWidth="1"/>
    <col min="63" max="63" width="2.109375" hidden="1" customWidth="1"/>
    <col min="64" max="64" width="20.88671875" style="6" customWidth="1"/>
    <col min="65" max="65" width="1.5546875" customWidth="1"/>
    <col min="66" max="66" width="19.109375" style="65" customWidth="1"/>
    <col min="67" max="67" width="0.88671875"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t="s">
        <v>594</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- 0531.xls]Wilton</v>
      </c>
    </row>
    <row r="3" spans="1:74" s="18" customFormat="1" ht="15.6">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36717.624620833332</v>
      </c>
      <c r="BR3" s="23"/>
      <c r="BT3" s="78" t="str">
        <f>Summary!A5</f>
        <v>Revision # 58</v>
      </c>
      <c r="BV3" s="18" t="str">
        <f>Summary!A5</f>
        <v>Revision # 58</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6">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c r="AJ7" s="82" t="str">
        <f>+Summary!$O$4</f>
        <v xml:space="preserve"> As of 06/30/00</v>
      </c>
      <c r="AK7"/>
      <c r="AL7" s="82" t="str">
        <f>+Summary!$O$4</f>
        <v xml:space="preserve"> As of 06/30/00</v>
      </c>
      <c r="AM7"/>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82"/>
      <c r="AV7" s="82" t="str">
        <f>+Summary!$O$4</f>
        <v xml:space="preserve"> As of 06/30/00</v>
      </c>
      <c r="AW7" s="82"/>
      <c r="AX7" s="82" t="str">
        <f>+Summary!$O$4</f>
        <v xml:space="preserve"> As of 06/30/00</v>
      </c>
      <c r="AY7" s="82"/>
      <c r="AZ7" s="82"/>
      <c r="BA7" s="82"/>
      <c r="BB7" s="82"/>
      <c r="BC7" s="82"/>
      <c r="BD7" s="82" t="str">
        <f>+Summary!$O$4</f>
        <v xml:space="preserve"> As of 06/30/00</v>
      </c>
      <c r="BE7"/>
      <c r="BF7" s="82" t="str">
        <f>+Summary!$O$4</f>
        <v xml:space="preserve"> As of 06/30/00</v>
      </c>
      <c r="BG7"/>
      <c r="BH7" s="82" t="str">
        <f>+Summary!$O$4</f>
        <v xml:space="preserve"> As of 06/30/00</v>
      </c>
      <c r="BI7"/>
      <c r="BJ7" s="82" t="str">
        <f>+Summary!$O$4</f>
        <v xml:space="preserve"> As of 06/30/00</v>
      </c>
      <c r="BK7"/>
      <c r="BL7" s="71" t="str">
        <f>Summary!O4</f>
        <v xml:space="preserve"> As of 06/30/00</v>
      </c>
      <c r="BM7"/>
      <c r="BN7" s="64" t="str">
        <f>+Summary!$O$4</f>
        <v xml:space="preserve"> As of 06/30/00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0</v>
      </c>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1832000</v>
      </c>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2296698</v>
      </c>
      <c r="BO33"/>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J39" s="6"/>
      <c r="BL39" s="6">
        <f t="shared" ref="BL39:BL45" si="5">SUM(T39:BK39)</f>
        <v>4403017</v>
      </c>
      <c r="BN39" s="6">
        <f>5029611-R39</f>
        <v>3490646</v>
      </c>
      <c r="BP39" s="6">
        <f t="shared" ref="BP39:BP45" si="6">IF(+R39-BL39+BN39&gt;0,R39-BL39+BN39,0)</f>
        <v>626594</v>
      </c>
      <c r="BR39" s="6">
        <f t="shared" ref="BR39:BR45" si="7">+BL39+BP39</f>
        <v>5029611</v>
      </c>
      <c r="BT39" s="6">
        <f>+R39-BR39</f>
        <v>-3490646</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J40" s="6"/>
      <c r="BL40" s="6">
        <f t="shared" si="5"/>
        <v>4049893</v>
      </c>
      <c r="BN40" s="6">
        <f>4508946-R40</f>
        <v>2791564</v>
      </c>
      <c r="BP40" s="6">
        <f t="shared" si="6"/>
        <v>459053</v>
      </c>
      <c r="BR40" s="6">
        <f t="shared" si="7"/>
        <v>4508946</v>
      </c>
      <c r="BT40" s="6">
        <f t="shared" ref="BT40:BT45" si="8">+R40-BR40</f>
        <v>-2791564</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J41" s="6"/>
      <c r="BL41" s="6">
        <f t="shared" si="5"/>
        <v>4196537</v>
      </c>
      <c r="BN41" s="6">
        <f>5191889-R41</f>
        <v>-9370490</v>
      </c>
      <c r="BP41" s="6">
        <f t="shared" si="6"/>
        <v>995352</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v>0</v>
      </c>
      <c r="BH42" s="6">
        <v>0</v>
      </c>
      <c r="BJ42" s="6">
        <v>0</v>
      </c>
      <c r="BL42" s="6">
        <f t="shared" si="5"/>
        <v>1097978</v>
      </c>
      <c r="BN42" s="6">
        <f>1113548-R42</f>
        <v>734860</v>
      </c>
      <c r="BP42" s="6">
        <f t="shared" si="6"/>
        <v>15570</v>
      </c>
      <c r="BR42" s="6">
        <f t="shared" si="7"/>
        <v>1113548</v>
      </c>
      <c r="BT42" s="6">
        <f t="shared" si="8"/>
        <v>-734860</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L45" s="6">
        <f t="shared" si="5"/>
        <v>0</v>
      </c>
      <c r="BN45" s="6">
        <f>551250-R45</f>
        <v>387025</v>
      </c>
      <c r="BP45" s="6">
        <f t="shared" si="6"/>
        <v>551250</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0</v>
      </c>
      <c r="BG46"/>
      <c r="BH46" s="9">
        <f t="shared" si="10"/>
        <v>0</v>
      </c>
      <c r="BI46"/>
      <c r="BJ46" s="9">
        <f t="shared" si="10"/>
        <v>0</v>
      </c>
      <c r="BK46"/>
      <c r="BL46" s="9">
        <f t="shared" si="10"/>
        <v>13810295</v>
      </c>
      <c r="BM46"/>
      <c r="BN46" s="9">
        <f t="shared" si="10"/>
        <v>-2076578</v>
      </c>
      <c r="BO46"/>
      <c r="BP46" s="9">
        <f t="shared" si="10"/>
        <v>2728887</v>
      </c>
      <c r="BQ46" s="9">
        <f t="shared" si="10"/>
        <v>0</v>
      </c>
      <c r="BR46" s="9">
        <f t="shared" si="10"/>
        <v>16539182</v>
      </c>
      <c r="BS46" s="9">
        <f t="shared" si="10"/>
        <v>0</v>
      </c>
      <c r="BT46" s="9">
        <f t="shared" si="10"/>
        <v>2076578</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J49" s="6"/>
      <c r="BL49" s="6">
        <f>SUM(T49:BK49)</f>
        <v>476088</v>
      </c>
      <c r="BN49" s="6">
        <f>499073-R49</f>
        <v>88769</v>
      </c>
      <c r="BP49" s="6">
        <f>IF(+R49-BL49+BN49&gt;0,R49-BL49+BN49,0)</f>
        <v>22985</v>
      </c>
      <c r="BR49" s="6">
        <f>+BL49+BP49</f>
        <v>499073</v>
      </c>
      <c r="BT49" s="6">
        <f>+R49-BR49</f>
        <v>-88769</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J50" s="6"/>
      <c r="BL50" s="6">
        <f>SUM(T50:BK50)</f>
        <v>4647003</v>
      </c>
      <c r="BN50" s="6">
        <f>5736890-R50</f>
        <v>749780</v>
      </c>
      <c r="BP50" s="6">
        <f>IF(+R50-BL50+BN50&gt;0,R50-BL50+BN50,0)</f>
        <v>1089887</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J51" s="6"/>
      <c r="BL51" s="6">
        <f>SUM(T51:BK51)</f>
        <v>838499</v>
      </c>
      <c r="BN51" s="6">
        <f>908711-R51</f>
        <v>122048</v>
      </c>
      <c r="BP51" s="6">
        <f>IF(+R51-BL51+BN51&gt;0,R51-BL51+BN51,0)</f>
        <v>70212</v>
      </c>
      <c r="BR51" s="6">
        <f>+BL51+BP51</f>
        <v>908711</v>
      </c>
      <c r="BT51" s="6">
        <f>+R51-BR51</f>
        <v>-122048</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J52" s="6"/>
      <c r="BL52" s="6">
        <f>SUM(T52:BK52)</f>
        <v>818547</v>
      </c>
      <c r="BN52" s="6">
        <f>843063-R52</f>
        <v>188563</v>
      </c>
      <c r="BP52" s="6">
        <f>IF(+R52-BL52+BN52&gt;0,R52-BL52+BN52,0)</f>
        <v>24516</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0</v>
      </c>
      <c r="BG53"/>
      <c r="BH53" s="9">
        <f t="shared" si="12"/>
        <v>0</v>
      </c>
      <c r="BI53"/>
      <c r="BJ53" s="9">
        <f t="shared" si="12"/>
        <v>0</v>
      </c>
      <c r="BK53"/>
      <c r="BL53" s="9">
        <f t="shared" si="12"/>
        <v>6780137</v>
      </c>
      <c r="BM53"/>
      <c r="BN53" s="9">
        <f t="shared" si="12"/>
        <v>1149160</v>
      </c>
      <c r="BO53"/>
      <c r="BP53" s="9">
        <f t="shared" si="12"/>
        <v>1207600</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c r="BG56"/>
      <c r="BH56" s="9"/>
      <c r="BI56"/>
      <c r="BJ56" s="9"/>
      <c r="BK56"/>
      <c r="BL56" s="6">
        <f t="shared" ref="BL56:BL79" si="13">SUM(T56:BK56)</f>
        <v>1289806</v>
      </c>
      <c r="BM56"/>
      <c r="BN56" s="6">
        <f>1151288+577765-R56</f>
        <v>-603945</v>
      </c>
      <c r="BO56"/>
      <c r="BP56" s="6">
        <f>IF(+R56-BL56+BN56&gt;0,R56-BL56+BN56,0)</f>
        <v>439247</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c r="BG57"/>
      <c r="BH57" s="9"/>
      <c r="BI57"/>
      <c r="BJ57" s="9"/>
      <c r="BK57"/>
      <c r="BL57" s="6">
        <f t="shared" si="13"/>
        <v>66938</v>
      </c>
      <c r="BM57"/>
      <c r="BN57" s="6">
        <f>150482</f>
        <v>150482</v>
      </c>
      <c r="BO57"/>
      <c r="BP57" s="6">
        <f>IF(+R57-BL57+BN57&gt;0,R57-BL57+BN57,0)</f>
        <v>83544</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c r="BG58"/>
      <c r="BH58" s="9"/>
      <c r="BI58"/>
      <c r="BJ58" s="9"/>
      <c r="BK58"/>
      <c r="BL58" s="6">
        <f>SUM(T58:BK58)</f>
        <v>425284</v>
      </c>
      <c r="BM58"/>
      <c r="BN58" s="6">
        <f>460249-R58</f>
        <v>-37168</v>
      </c>
      <c r="BO58"/>
      <c r="BP58" s="6">
        <f>IF(+R58-BL58+BN58&gt;0,R58-BL58+BN58,0)</f>
        <v>34965</v>
      </c>
      <c r="BQ58" s="6"/>
      <c r="BR58" s="6">
        <f>+BL58+BP58</f>
        <v>460249</v>
      </c>
      <c r="BS58" s="6"/>
      <c r="BT58" s="6">
        <f>+R58-BR58</f>
        <v>37168</v>
      </c>
      <c r="BU58" s="9"/>
    </row>
    <row r="59" spans="1:73" s="21" customFormat="1">
      <c r="B59" s="238" t="s">
        <v>539</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c r="BG59"/>
      <c r="BH59" s="9"/>
      <c r="BI59"/>
      <c r="BJ59" s="9"/>
      <c r="BK59"/>
      <c r="BL59" s="6">
        <f>SUM(T59:BK59)</f>
        <v>2311396</v>
      </c>
      <c r="BM59"/>
      <c r="BN59" s="6">
        <f>2425421-R59</f>
        <v>1591116</v>
      </c>
      <c r="BO59"/>
      <c r="BP59" s="6">
        <f>IF(+R59-BL59+BN59&gt;0,R59-BL59+BN59,0)</f>
        <v>114025</v>
      </c>
      <c r="BQ59" s="6"/>
      <c r="BR59" s="6">
        <f>+BL59+BP59</f>
        <v>2425421</v>
      </c>
      <c r="BS59" s="6"/>
      <c r="BT59" s="6">
        <f>+R59-BR59</f>
        <v>-1591116</v>
      </c>
      <c r="BU59" s="9"/>
    </row>
    <row r="60" spans="1:73" s="21" customFormat="1">
      <c r="B60" s="238" t="s">
        <v>540</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c r="BG60"/>
      <c r="BH60" s="9"/>
      <c r="BI60"/>
      <c r="BJ60" s="9"/>
      <c r="BK60"/>
      <c r="BL60" s="6">
        <f t="shared" si="13"/>
        <v>1323463</v>
      </c>
      <c r="BM60"/>
      <c r="BN60" s="6">
        <f>1329155-R60</f>
        <v>610616</v>
      </c>
      <c r="BO60"/>
      <c r="BP60" s="6">
        <f t="shared" ref="BP60:BP77" si="14">IF(+R60-BL60+BN60&gt;0,R60-BL60+BN60,0)</f>
        <v>5692</v>
      </c>
      <c r="BQ60" s="6"/>
      <c r="BR60" s="6">
        <f t="shared" ref="BR60:BR77" si="15">+BL60+BP60</f>
        <v>1329155</v>
      </c>
      <c r="BS60" s="6"/>
      <c r="BT60" s="6">
        <f t="shared" ref="BT60:BT79" si="16">+R60-BR60</f>
        <v>-610616</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546</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c r="BG62"/>
      <c r="BH62" s="9"/>
      <c r="BI62"/>
      <c r="BJ62" s="9"/>
      <c r="BK62"/>
      <c r="BL62" s="6">
        <f t="shared" si="13"/>
        <v>3375904</v>
      </c>
      <c r="BM62"/>
      <c r="BN62" s="6">
        <f>3596047-R62</f>
        <v>1331026</v>
      </c>
      <c r="BO62"/>
      <c r="BP62" s="6">
        <f t="shared" si="14"/>
        <v>220143</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c r="BG63"/>
      <c r="BH63" s="9"/>
      <c r="BI63"/>
      <c r="BJ63" s="9"/>
      <c r="BK63"/>
      <c r="BL63" s="6">
        <f>SUM(T63:BK63)</f>
        <v>1438156</v>
      </c>
      <c r="BM63"/>
      <c r="BN63" s="6">
        <f>1471618-R63</f>
        <v>321156</v>
      </c>
      <c r="BO63"/>
      <c r="BP63" s="6">
        <f>IF(+R63-BL63+BN63&gt;0,R63-BL63+BN63,0)</f>
        <v>33462</v>
      </c>
      <c r="BQ63" s="6"/>
      <c r="BR63" s="6">
        <f>+BL63+BP63</f>
        <v>1471618</v>
      </c>
      <c r="BS63" s="6"/>
      <c r="BT63" s="6">
        <f>+R63-BR63</f>
        <v>-321156</v>
      </c>
      <c r="BU63" s="9"/>
    </row>
    <row r="64" spans="1:73" s="21" customFormat="1">
      <c r="B64" s="238" t="s">
        <v>541</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c r="BG64"/>
      <c r="BH64" s="9"/>
      <c r="BI64"/>
      <c r="BJ64" s="9"/>
      <c r="BK64"/>
      <c r="BL64" s="6">
        <f t="shared" si="13"/>
        <v>1008815</v>
      </c>
      <c r="BM64"/>
      <c r="BN64" s="6">
        <f>1039642-R64</f>
        <v>849693</v>
      </c>
      <c r="BO64"/>
      <c r="BP64" s="6">
        <f t="shared" si="14"/>
        <v>30827</v>
      </c>
      <c r="BQ64" s="6"/>
      <c r="BR64" s="6">
        <f t="shared" si="15"/>
        <v>1039642</v>
      </c>
      <c r="BS64" s="6"/>
      <c r="BT64" s="6">
        <f t="shared" si="16"/>
        <v>-849693</v>
      </c>
      <c r="BU64" s="9"/>
    </row>
    <row r="65" spans="2:73" s="21" customFormat="1">
      <c r="B65" s="238" t="s">
        <v>545</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c r="BG65"/>
      <c r="BH65" s="9"/>
      <c r="BI65"/>
      <c r="BJ65" s="9"/>
      <c r="BK65"/>
      <c r="BL65" s="6">
        <f>SUM(T65:BK65)</f>
        <v>34894</v>
      </c>
      <c r="BM65"/>
      <c r="BN65" s="6">
        <f>38833-R65</f>
        <v>-38788</v>
      </c>
      <c r="BO65"/>
      <c r="BP65" s="6">
        <f>IF(+R65-BL65+BN65&gt;0,R65-BL65+BN65,0)</f>
        <v>3939</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c r="BG66"/>
      <c r="BH66" s="9"/>
      <c r="BI66"/>
      <c r="BJ66" s="9"/>
      <c r="BK66"/>
      <c r="BL66" s="6">
        <f t="shared" si="13"/>
        <v>534755</v>
      </c>
      <c r="BM66"/>
      <c r="BN66" s="6">
        <f>555023-R66</f>
        <v>410586</v>
      </c>
      <c r="BO66"/>
      <c r="BP66" s="6">
        <f t="shared" si="14"/>
        <v>20268</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c r="BG68"/>
      <c r="BH68" s="9"/>
      <c r="BI68"/>
      <c r="BJ68" s="9"/>
      <c r="BK68"/>
      <c r="BL68" s="6">
        <f t="shared" si="13"/>
        <v>2746</v>
      </c>
      <c r="BM68"/>
      <c r="BN68" s="6">
        <f>2746-R68</f>
        <v>-327714</v>
      </c>
      <c r="BO68"/>
      <c r="BP68" s="6">
        <f t="shared" si="14"/>
        <v>0</v>
      </c>
      <c r="BQ68" s="6"/>
      <c r="BR68" s="6">
        <f t="shared" si="15"/>
        <v>2746</v>
      </c>
      <c r="BS68" s="6"/>
      <c r="BT68" s="6">
        <f t="shared" si="16"/>
        <v>327714</v>
      </c>
      <c r="BU68" s="9"/>
    </row>
    <row r="69" spans="2:73" s="21" customFormat="1">
      <c r="B69" s="238" t="s">
        <v>542</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c r="BG69"/>
      <c r="BH69" s="9"/>
      <c r="BI69"/>
      <c r="BJ69" s="9"/>
      <c r="BK69"/>
      <c r="BL69" s="6">
        <f t="shared" si="13"/>
        <v>479383</v>
      </c>
      <c r="BM69"/>
      <c r="BN69" s="6">
        <f>482366-R69</f>
        <v>-326225</v>
      </c>
      <c r="BO69"/>
      <c r="BP69" s="6">
        <f t="shared" si="14"/>
        <v>2983</v>
      </c>
      <c r="BQ69" s="6"/>
      <c r="BR69" s="6">
        <f t="shared" si="15"/>
        <v>482366</v>
      </c>
      <c r="BS69" s="6"/>
      <c r="BT69" s="6">
        <f t="shared" si="16"/>
        <v>326225</v>
      </c>
      <c r="BU69" s="9"/>
    </row>
    <row r="70" spans="2:73" s="21" customFormat="1">
      <c r="B70" s="238" t="s">
        <v>543</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c r="BG70"/>
      <c r="BH70" s="9"/>
      <c r="BI70"/>
      <c r="BJ70" s="9"/>
      <c r="BK70"/>
      <c r="BL70" s="6">
        <f t="shared" si="13"/>
        <v>1258968</v>
      </c>
      <c r="BM70"/>
      <c r="BN70" s="6">
        <f>1345532-R70</f>
        <v>487189</v>
      </c>
      <c r="BO70"/>
      <c r="BP70" s="6">
        <f t="shared" si="14"/>
        <v>86564</v>
      </c>
      <c r="BQ70" s="6"/>
      <c r="BR70" s="6">
        <f t="shared" si="15"/>
        <v>1345532</v>
      </c>
      <c r="BS70" s="6"/>
      <c r="BT70" s="6">
        <f t="shared" si="16"/>
        <v>-487189</v>
      </c>
      <c r="BU70" s="9"/>
    </row>
    <row r="71" spans="2:73" s="21" customFormat="1">
      <c r="B71" s="238" t="s">
        <v>544</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c r="BG71"/>
      <c r="BH71" s="9"/>
      <c r="BI71"/>
      <c r="BJ71" s="9"/>
      <c r="BK71"/>
      <c r="BL71" s="6">
        <f t="shared" si="13"/>
        <v>5717361</v>
      </c>
      <c r="BM71"/>
      <c r="BN71" s="6">
        <f>6443420-R71</f>
        <v>4697905</v>
      </c>
      <c r="BO71"/>
      <c r="BP71" s="6">
        <f t="shared" si="14"/>
        <v>726059</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c r="BG72"/>
      <c r="BH72" s="9"/>
      <c r="BI72"/>
      <c r="BJ72" s="9"/>
      <c r="BK72"/>
      <c r="BL72" s="6">
        <f t="shared" si="13"/>
        <v>221751</v>
      </c>
      <c r="BM72"/>
      <c r="BN72" s="6">
        <f>221748-R72</f>
        <v>-349816</v>
      </c>
      <c r="BO72"/>
      <c r="BP72" s="6">
        <f t="shared" si="14"/>
        <v>0</v>
      </c>
      <c r="BQ72" s="6"/>
      <c r="BR72" s="6">
        <f>+BL72+BP72-3</f>
        <v>221748</v>
      </c>
      <c r="BS72" s="6"/>
      <c r="BT72" s="6">
        <f t="shared" si="16"/>
        <v>349816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c r="BG73"/>
      <c r="BH73" s="9"/>
      <c r="BI73"/>
      <c r="BJ73" s="9"/>
      <c r="BK73"/>
      <c r="BL73" s="6">
        <f t="shared" si="13"/>
        <v>423025</v>
      </c>
      <c r="BM73"/>
      <c r="BN73" s="6">
        <f>288000+569000-R73</f>
        <v>-74641</v>
      </c>
      <c r="BO73"/>
      <c r="BP73" s="6">
        <f t="shared" si="14"/>
        <v>433975</v>
      </c>
      <c r="BQ73" s="6"/>
      <c r="BR73" s="6">
        <f t="shared" si="15"/>
        <v>857000</v>
      </c>
      <c r="BS73" s="6"/>
      <c r="BT73" s="6">
        <f t="shared" si="16"/>
        <v>74641</v>
      </c>
      <c r="BU73" s="9"/>
    </row>
    <row r="74" spans="2:73" s="21" customFormat="1">
      <c r="B74" s="238" t="s">
        <v>548</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c r="BG74"/>
      <c r="BH74" s="9"/>
      <c r="BI74"/>
      <c r="BJ74" s="9"/>
      <c r="BK74"/>
      <c r="BL74" s="6">
        <f t="shared" si="13"/>
        <v>18615518</v>
      </c>
      <c r="BM74"/>
      <c r="BN74" s="6">
        <f>18956735-R74</f>
        <v>12658870</v>
      </c>
      <c r="BO74"/>
      <c r="BP74" s="6">
        <f t="shared" si="14"/>
        <v>341217</v>
      </c>
      <c r="BQ74" s="6"/>
      <c r="BR74" s="6">
        <f t="shared" si="15"/>
        <v>18956735</v>
      </c>
      <c r="BS74" s="6"/>
      <c r="BT74" s="6">
        <f t="shared" si="16"/>
        <v>-12658870</v>
      </c>
      <c r="BU74" s="9"/>
    </row>
    <row r="75" spans="2:73" s="21" customFormat="1">
      <c r="B75" s="238" t="s">
        <v>547</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c r="BG75"/>
      <c r="BH75" s="9"/>
      <c r="BI75"/>
      <c r="BJ75" s="9"/>
      <c r="BK75"/>
      <c r="BL75" s="6">
        <f t="shared" si="13"/>
        <v>4019526</v>
      </c>
      <c r="BM75"/>
      <c r="BN75" s="6">
        <f>4402434-R75</f>
        <v>3534094</v>
      </c>
      <c r="BO75"/>
      <c r="BP75" s="6">
        <f t="shared" si="14"/>
        <v>382908</v>
      </c>
      <c r="BQ75" s="6"/>
      <c r="BR75" s="6">
        <f t="shared" si="15"/>
        <v>4402434</v>
      </c>
      <c r="BS75" s="6"/>
      <c r="BT75" s="6">
        <f t="shared" si="16"/>
        <v>-3534094</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c r="BG77"/>
      <c r="BH77" s="9"/>
      <c r="BI77"/>
      <c r="BJ77" s="9"/>
      <c r="BK77"/>
      <c r="BL77" s="6">
        <f t="shared" si="13"/>
        <v>259919</v>
      </c>
      <c r="BM77"/>
      <c r="BN77" s="6">
        <f>259913-R77</f>
        <v>259913</v>
      </c>
      <c r="BO77"/>
      <c r="BP77" s="6">
        <f t="shared" si="14"/>
        <v>0</v>
      </c>
      <c r="BQ77" s="6"/>
      <c r="BR77" s="6">
        <f t="shared" si="15"/>
        <v>259919</v>
      </c>
      <c r="BS77" s="6"/>
      <c r="BT77" s="6">
        <f t="shared" si="16"/>
        <v>-259919</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c r="BG78"/>
      <c r="BH78" s="9"/>
      <c r="BI78"/>
      <c r="BJ78" s="9"/>
      <c r="BK78"/>
      <c r="BL78" s="6">
        <f t="shared" si="13"/>
        <v>236705</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c r="BG79"/>
      <c r="BH79" s="9"/>
      <c r="BI79"/>
      <c r="BJ79" s="9"/>
      <c r="BK79"/>
      <c r="BL79" s="6">
        <f t="shared" si="13"/>
        <v>421031</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0</v>
      </c>
      <c r="BG80"/>
      <c r="BH80" s="9">
        <f t="shared" si="17"/>
        <v>0</v>
      </c>
      <c r="BI80"/>
      <c r="BJ80" s="9">
        <f t="shared" si="17"/>
        <v>0</v>
      </c>
      <c r="BK80"/>
      <c r="BL80" s="9">
        <f t="shared" si="17"/>
        <v>44078167</v>
      </c>
      <c r="BM80"/>
      <c r="BN80" s="9">
        <f t="shared" si="17"/>
        <v>26262926</v>
      </c>
      <c r="BO80"/>
      <c r="BP80" s="9">
        <f t="shared" si="17"/>
        <v>2599678</v>
      </c>
      <c r="BQ80" s="9">
        <f t="shared" si="17"/>
        <v>0</v>
      </c>
      <c r="BR80" s="9">
        <f t="shared" si="17"/>
        <v>46677842</v>
      </c>
      <c r="BS80" s="9">
        <f t="shared" si="17"/>
        <v>0</v>
      </c>
      <c r="BT80" s="9">
        <f t="shared" si="17"/>
        <v>-26499637</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c r="BG83"/>
      <c r="BH83" s="9"/>
      <c r="BI83"/>
      <c r="BJ83" s="9"/>
      <c r="BK83"/>
      <c r="BL83" s="6">
        <f>SUM(T83:BK83)</f>
        <v>4470197</v>
      </c>
      <c r="BM83"/>
      <c r="BN83" s="6">
        <f>5762815-R83</f>
        <v>450715</v>
      </c>
      <c r="BO83"/>
      <c r="BP83" s="6">
        <f>IF(+R83-BL83+BN83&gt;0,R83-BL83+BN83,0)</f>
        <v>1292618</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0</v>
      </c>
      <c r="BG85"/>
      <c r="BH85" s="9">
        <f>SUM(BH83:BH84)</f>
        <v>0</v>
      </c>
      <c r="BI85"/>
      <c r="BJ85" s="9">
        <f>SUM(BJ83:BJ84)</f>
        <v>0</v>
      </c>
      <c r="BK85"/>
      <c r="BL85" s="9">
        <f>SUM(BL83:BL84)</f>
        <v>4470197</v>
      </c>
      <c r="BM85"/>
      <c r="BN85" s="9">
        <f>SUM(BN83:BN84)</f>
        <v>450715</v>
      </c>
      <c r="BO85"/>
      <c r="BP85" s="9">
        <f>SUM(BP83:BP84)</f>
        <v>1292618</v>
      </c>
      <c r="BQ85" s="9">
        <f>SUM(BQ83:BQ84)</f>
        <v>0</v>
      </c>
      <c r="BR85" s="9">
        <f>SUM(BR83:BR84)</f>
        <v>5762815</v>
      </c>
      <c r="BS85" s="9">
        <f>SUM(BS83:BS84)</f>
        <v>0</v>
      </c>
      <c r="BT85" s="6">
        <f>+R85-BR85</f>
        <v>-450715</v>
      </c>
      <c r="BU85" s="9"/>
    </row>
    <row r="86" spans="1:73" s="21" customFormat="1">
      <c r="B86" s="241" t="s">
        <v>552</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1001</v>
      </c>
      <c r="BE86"/>
      <c r="BF86" s="9"/>
      <c r="BG86"/>
      <c r="BH86" s="9"/>
      <c r="BI86"/>
      <c r="BJ86" s="9"/>
      <c r="BK86"/>
      <c r="BL86" s="6">
        <f>SUM(T86:BK86)</f>
        <v>1001</v>
      </c>
      <c r="BM86"/>
      <c r="BN86" s="9"/>
      <c r="BO86"/>
      <c r="BP86" s="6">
        <v>-1001</v>
      </c>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v>0</v>
      </c>
      <c r="BG87"/>
      <c r="BH87" s="9"/>
      <c r="BI87"/>
      <c r="BJ87" s="9"/>
      <c r="BK87"/>
      <c r="BL87" s="6">
        <f>75767318-69139797</f>
        <v>6627521</v>
      </c>
      <c r="BM87"/>
      <c r="BN87" s="9">
        <v>0</v>
      </c>
      <c r="BO87"/>
      <c r="BP87" s="482">
        <f>-BL87</f>
        <v>-6627521</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0</v>
      </c>
      <c r="BG89"/>
      <c r="BH89" s="244">
        <f t="shared" si="21"/>
        <v>0</v>
      </c>
      <c r="BI89"/>
      <c r="BJ89" s="244">
        <f t="shared" si="21"/>
        <v>0</v>
      </c>
      <c r="BK89"/>
      <c r="BL89" s="244">
        <f>BL85+BL80+BL53+BL46+BL87+BL86</f>
        <v>75767318</v>
      </c>
      <c r="BM89"/>
      <c r="BN89" s="244">
        <f t="shared" si="21"/>
        <v>25786223</v>
      </c>
      <c r="BO89"/>
      <c r="BP89" s="244">
        <f>BP85+BP80+BP53+BP46+BP87+BP86</f>
        <v>1200261</v>
      </c>
      <c r="BQ89" s="244">
        <f t="shared" si="21"/>
        <v>0</v>
      </c>
      <c r="BR89" s="244">
        <f>BR85+BR80+BR53+BR46+BR87+BR86+BR88</f>
        <v>76967576</v>
      </c>
      <c r="BS89" s="244">
        <f t="shared" si="21"/>
        <v>0</v>
      </c>
      <c r="BT89" s="244">
        <f>BT85+BT80+BT53+BT46+BT87+BT86</f>
        <v>-26022934</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529</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531</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0</v>
      </c>
      <c r="BH115" s="6">
        <v>0</v>
      </c>
      <c r="BJ115" s="6">
        <v>0</v>
      </c>
      <c r="BL115" s="6">
        <f>SUM(T115:BK115)</f>
        <v>570905.85000000009</v>
      </c>
      <c r="BN115" s="6">
        <v>0</v>
      </c>
      <c r="BP115" s="6">
        <f>+R115-BL115+BN115</f>
        <v>152880.14999999991</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0</v>
      </c>
      <c r="BG117"/>
      <c r="BH117" s="102">
        <f>SUM(BH114:BH116)</f>
        <v>0</v>
      </c>
      <c r="BI117"/>
      <c r="BJ117" s="102">
        <f>SUM(BJ114:BJ116)</f>
        <v>0</v>
      </c>
      <c r="BK117"/>
      <c r="BL117" s="108">
        <f>SUM(BL114:BL116)</f>
        <v>755905.85000000009</v>
      </c>
      <c r="BM117"/>
      <c r="BN117" s="102">
        <f>SUM(BN114:BN116)</f>
        <v>0</v>
      </c>
      <c r="BO117"/>
      <c r="BP117" s="102">
        <f>SUM(BP114:BP116)</f>
        <v>152880.14999999991</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0</v>
      </c>
      <c r="BG121"/>
      <c r="BH121" s="9">
        <v>0</v>
      </c>
      <c r="BI121"/>
      <c r="BJ121" s="9">
        <v>0</v>
      </c>
      <c r="BK121"/>
      <c r="BL121" s="9">
        <f>SUM(T121:BK121)</f>
        <v>393919.72000000003</v>
      </c>
      <c r="BM121"/>
      <c r="BN121" s="9">
        <v>0</v>
      </c>
      <c r="BO121"/>
      <c r="BP121" s="6">
        <f>IF(+R121-BL121+BN121&gt;0,R121-BL121+BN121,0)</f>
        <v>0</v>
      </c>
      <c r="BQ121" s="9"/>
      <c r="BR121" s="9">
        <f>+BL121+BP121</f>
        <v>393919.72000000003</v>
      </c>
      <c r="BS121" s="9"/>
      <c r="BT121" s="9">
        <f>+R121-BR121</f>
        <v>-393919.72000000003</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v>0</v>
      </c>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0</v>
      </c>
      <c r="BG125"/>
      <c r="BH125" s="9">
        <v>0</v>
      </c>
      <c r="BI125"/>
      <c r="BJ125" s="9">
        <v>0</v>
      </c>
      <c r="BK125"/>
      <c r="BL125" s="22">
        <f>SUM(T125:BK125)</f>
        <v>29469.43</v>
      </c>
      <c r="BM125"/>
      <c r="BN125" s="9">
        <v>0</v>
      </c>
      <c r="BO125"/>
      <c r="BP125" s="6">
        <f>IF(+R125-BL125+BN125&gt;0,R125-BL125+BN125,0)</f>
        <v>1224411.57</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0</v>
      </c>
      <c r="BJ130" s="6">
        <v>0</v>
      </c>
      <c r="BL130" s="6">
        <f>SUM(T130:BK130)</f>
        <v>2445812.2800000003</v>
      </c>
      <c r="BN130" s="6">
        <v>25818</v>
      </c>
      <c r="BP130" s="6">
        <f>IF(+R130-BL130+BN130&gt;0,R130-BL130+BN130,0)</f>
        <v>0</v>
      </c>
      <c r="BR130" s="6">
        <f>+BL130+BP130</f>
        <v>2445812.2800000003</v>
      </c>
      <c r="BT130" s="6">
        <f>+R130-BR130</f>
        <v>-194312.28000000026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0</v>
      </c>
      <c r="BI132"/>
      <c r="BJ132" s="102">
        <f>SUM(BJ128:BJ131)</f>
        <v>0</v>
      </c>
      <c r="BK132"/>
      <c r="BL132" s="102">
        <f>SUM(BL128:BL131)</f>
        <v>2474312.2800000003</v>
      </c>
      <c r="BM132"/>
      <c r="BN132" s="102">
        <f>SUM(BN128:BN131)</f>
        <v>25818</v>
      </c>
      <c r="BO132"/>
      <c r="BP132" s="102">
        <f>SUM(BP128:BP131)</f>
        <v>0</v>
      </c>
      <c r="BQ132" s="9"/>
      <c r="BR132" s="102">
        <f>SUM(BR128:BR131)</f>
        <v>2474312.2800000003</v>
      </c>
      <c r="BS132" s="9"/>
      <c r="BT132" s="102">
        <f>SUM(BT128:BT131)</f>
        <v>-194312.28000000026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0</v>
      </c>
      <c r="BH137" s="6">
        <v>0</v>
      </c>
      <c r="BJ137" s="6">
        <v>0</v>
      </c>
      <c r="BL137" s="22">
        <f>SUM(T137:BK137)</f>
        <v>289177.38</v>
      </c>
      <c r="BN137" s="6">
        <v>0</v>
      </c>
      <c r="BP137" s="6">
        <f>IF(+R137-BL137+BN137&gt;0,R137-BL137+BN137,0)</f>
        <v>110822.62</v>
      </c>
      <c r="BR137" s="6">
        <f>+BL137+BP137</f>
        <v>400000</v>
      </c>
      <c r="BT137" s="6">
        <f>+R137-BR137</f>
        <v>0</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0</v>
      </c>
      <c r="BG139"/>
      <c r="BH139" s="102">
        <f>SUM(BH135:BH138)</f>
        <v>0</v>
      </c>
      <c r="BI139"/>
      <c r="BJ139" s="102">
        <f>SUM(BJ135:BJ138)</f>
        <v>0</v>
      </c>
      <c r="BK139"/>
      <c r="BL139" s="102">
        <f>SUM(BL135:BL138)</f>
        <v>289177.38</v>
      </c>
      <c r="BM139"/>
      <c r="BN139" s="102">
        <f>SUM(BN135:BN138)</f>
        <v>0</v>
      </c>
      <c r="BO139"/>
      <c r="BP139" s="102">
        <f>SUM(BP135:BP138)</f>
        <v>110822.62</v>
      </c>
      <c r="BQ139" s="9"/>
      <c r="BR139" s="102">
        <f>SUM(BR135:BR138)</f>
        <v>400000</v>
      </c>
      <c r="BS139" s="9"/>
      <c r="BT139" s="102">
        <f>SUM(BT135:BT138)</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0</v>
      </c>
      <c r="BI141"/>
      <c r="BJ141" s="9">
        <v>0</v>
      </c>
      <c r="BK141"/>
      <c r="BL141" s="9">
        <f>SUM(T141:BK141)</f>
        <v>786005.44</v>
      </c>
      <c r="BM141"/>
      <c r="BN141" s="9">
        <v>200000</v>
      </c>
      <c r="BO141"/>
      <c r="BP141" s="6">
        <f>IF(+R141-BL141+BN141&gt;0,R141-BL141+BN141,0)</f>
        <v>413994.56000000006</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0</v>
      </c>
      <c r="BG151"/>
      <c r="BH151" s="10">
        <v>0</v>
      </c>
      <c r="BI151"/>
      <c r="BJ151" s="10">
        <v>0</v>
      </c>
      <c r="BK151"/>
      <c r="BL151" s="10">
        <f>SUM(T151:BK151)</f>
        <v>271248.5</v>
      </c>
      <c r="BM151"/>
      <c r="BN151" s="10">
        <v>0</v>
      </c>
      <c r="BO151"/>
      <c r="BP151" s="6">
        <f>IF(+R151-BL151+BN151&gt;0,R151-BL151+BN151,0)</f>
        <v>0</v>
      </c>
      <c r="BQ151" s="10"/>
      <c r="BR151" s="9">
        <f>+BL151+BP151</f>
        <v>271248.5</v>
      </c>
      <c r="BS151" s="10"/>
      <c r="BT151" s="9">
        <f>+R151-BR151</f>
        <v>-121248.5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0</v>
      </c>
      <c r="BI158"/>
      <c r="BJ158" s="12">
        <v>0</v>
      </c>
      <c r="BK158"/>
      <c r="BL158" s="80">
        <f t="shared" si="27"/>
        <v>485603.18</v>
      </c>
      <c r="BM158"/>
      <c r="BN158" s="12">
        <v>79955</v>
      </c>
      <c r="BO158"/>
      <c r="BP158" s="6">
        <f t="shared" si="28"/>
        <v>0</v>
      </c>
      <c r="BQ158" s="12"/>
      <c r="BR158" s="6">
        <f t="shared" si="29"/>
        <v>485603.18</v>
      </c>
      <c r="BS158" s="12"/>
      <c r="BT158" s="6">
        <f t="shared" si="30"/>
        <v>-485603.18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v>0</v>
      </c>
      <c r="BG159"/>
      <c r="BH159" s="12">
        <v>0</v>
      </c>
      <c r="BI159"/>
      <c r="BJ159" s="12">
        <v>0</v>
      </c>
      <c r="BK159"/>
      <c r="BL159" s="80">
        <f t="shared" si="27"/>
        <v>341335</v>
      </c>
      <c r="BM159"/>
      <c r="BN159" s="12">
        <v>106842</v>
      </c>
      <c r="BO159"/>
      <c r="BP159" s="6">
        <f t="shared" si="28"/>
        <v>0</v>
      </c>
      <c r="BQ159" s="12"/>
      <c r="BR159" s="6">
        <f t="shared" si="29"/>
        <v>341335</v>
      </c>
      <c r="BS159" s="12"/>
      <c r="BT159" s="6">
        <f t="shared" si="30"/>
        <v>-206742</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0</v>
      </c>
      <c r="BG162"/>
      <c r="BH162" s="102">
        <f t="shared" si="32"/>
        <v>0</v>
      </c>
      <c r="BI162"/>
      <c r="BJ162" s="102">
        <f t="shared" si="32"/>
        <v>0</v>
      </c>
      <c r="BK162"/>
      <c r="BL162" s="102">
        <f t="shared" si="32"/>
        <v>1326112.8399999999</v>
      </c>
      <c r="BM162"/>
      <c r="BN162" s="102">
        <f t="shared" ref="BN162:BT162" si="33">SUM(BN156:BN161)</f>
        <v>388143</v>
      </c>
      <c r="BO162"/>
      <c r="BP162" s="102">
        <f t="shared" si="33"/>
        <v>0</v>
      </c>
      <c r="BQ162" s="102">
        <f t="shared" si="33"/>
        <v>0</v>
      </c>
      <c r="BR162" s="102">
        <f t="shared" si="33"/>
        <v>1326112.8399999999</v>
      </c>
      <c r="BS162" s="102">
        <f t="shared" si="33"/>
        <v>0</v>
      </c>
      <c r="BT162" s="102">
        <f t="shared" si="33"/>
        <v>-1111519.8399999999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0</v>
      </c>
      <c r="BG173"/>
      <c r="BH173" s="120">
        <f t="shared" si="35"/>
        <v>0</v>
      </c>
      <c r="BI173"/>
      <c r="BJ173" s="120">
        <f t="shared" si="35"/>
        <v>0</v>
      </c>
      <c r="BK173"/>
      <c r="BL173" s="120">
        <f>BL171+BL162+BL153+BL151+BL149+BL143+BL139+BL132+BL125+BL123+BL121+BL117+BL169+BL141</f>
        <v>24131535.745358691</v>
      </c>
      <c r="BM173"/>
      <c r="BN173" s="120">
        <f t="shared" si="35"/>
        <v>7933359</v>
      </c>
      <c r="BO173"/>
      <c r="BP173" s="120">
        <f>BP117+BP121+BP123+BP125+BP132+BP139+BP141+BP143+BP149+BP151+BP153+BP162+BP169+BP171</f>
        <v>9098143.2661786508</v>
      </c>
      <c r="BQ173" s="120">
        <f t="shared" si="35"/>
        <v>0</v>
      </c>
      <c r="BR173" s="120">
        <f>BR117+BR121+BR123+BR125+BR132+BR139+BR141+BR143+BR149+BR151+BR153+BR162+BR169+BR171</f>
        <v>33239382.01153734</v>
      </c>
      <c r="BS173" s="120">
        <f t="shared" si="35"/>
        <v>0</v>
      </c>
      <c r="BT173" s="120">
        <f>BT117+BT121+BT123+BT125+BT132+BT139+BT141+BT143+BT149+BT151+BT153+BT162+BT169+BT171</f>
        <v>-8267247.0115373414</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0</v>
      </c>
      <c r="BG178"/>
      <c r="BH178" s="168">
        <f t="shared" si="37"/>
        <v>0</v>
      </c>
      <c r="BI178"/>
      <c r="BJ178" s="168">
        <f t="shared" si="37"/>
        <v>0</v>
      </c>
      <c r="BK178"/>
      <c r="BL178" s="168">
        <f t="shared" si="37"/>
        <v>260934058.51869202</v>
      </c>
      <c r="BM178"/>
      <c r="BN178" s="168">
        <f t="shared" si="37"/>
        <v>31613639</v>
      </c>
      <c r="BO178"/>
      <c r="BP178" s="168">
        <f>BP33+BP89+BP99+BP108+BP173</f>
        <v>11107948.266178651</v>
      </c>
      <c r="BQ178" s="168">
        <f t="shared" si="37"/>
        <v>2030320</v>
      </c>
      <c r="BR178" s="168">
        <f t="shared" si="37"/>
        <v>272051706.78487068</v>
      </c>
      <c r="BS178" s="168">
        <f t="shared" si="37"/>
        <v>2030320</v>
      </c>
      <c r="BT178" s="168">
        <f>BT33+BT89+BT99+BT108+BT175+BT173</f>
        <v>-32376239.034870669</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447453.46510669519</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562</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0</v>
      </c>
      <c r="BG187"/>
      <c r="BH187" s="10">
        <f t="shared" si="38"/>
        <v>0</v>
      </c>
      <c r="BI187"/>
      <c r="BJ187" s="10">
        <f t="shared" si="38"/>
        <v>0</v>
      </c>
      <c r="BK187"/>
      <c r="BL187" s="10">
        <f>BL178+BL181+BL183+BL185+BL184</f>
        <v>260859529.02869201</v>
      </c>
      <c r="BM187"/>
      <c r="BN187" s="10">
        <f t="shared" ref="BN187:BT187" si="39">BN178+BN181+BN183+BN185+BN184</f>
        <v>31613639</v>
      </c>
      <c r="BO187"/>
      <c r="BP187" s="10">
        <f t="shared" si="39"/>
        <v>11107948.266178651</v>
      </c>
      <c r="BQ187" s="10">
        <f t="shared" si="39"/>
        <v>2030320</v>
      </c>
      <c r="BR187" s="10">
        <f t="shared" si="39"/>
        <v>271977177.29487067</v>
      </c>
      <c r="BS187" s="10">
        <f t="shared" si="39"/>
        <v>2030320</v>
      </c>
      <c r="BT187" s="10">
        <f t="shared" si="39"/>
        <v>-32376239.034870669</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6">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8"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8"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2" thickBot="1">
      <c r="A201" s="131" t="s">
        <v>533</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0</v>
      </c>
      <c r="BG201"/>
      <c r="BH201" s="121">
        <f t="shared" si="43"/>
        <v>0</v>
      </c>
      <c r="BI201"/>
      <c r="BJ201" s="121">
        <f t="shared" si="43"/>
        <v>0</v>
      </c>
      <c r="BK201"/>
      <c r="BL201" s="121">
        <f t="shared" si="43"/>
        <v>261174053.29869202</v>
      </c>
      <c r="BM201"/>
      <c r="BN201" s="121">
        <f t="shared" si="43"/>
        <v>31613639</v>
      </c>
      <c r="BO201"/>
      <c r="BP201" s="121">
        <f t="shared" si="43"/>
        <v>11107948.266178651</v>
      </c>
      <c r="BQ201" s="121">
        <f t="shared" si="43"/>
        <v>2030320</v>
      </c>
      <c r="BR201" s="121">
        <f t="shared" si="43"/>
        <v>272291701.56487066</v>
      </c>
      <c r="BS201" s="121">
        <f t="shared" si="43"/>
        <v>2030320</v>
      </c>
      <c r="BT201" s="121">
        <f t="shared" si="43"/>
        <v>-32376239.034870669</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8"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567</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568</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569</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588</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571</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572</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573</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591</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576</v>
      </c>
      <c r="BL220" s="22">
        <f>BL187-BL218</f>
        <v>-0.89130797982215881</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147" activePane="bottomRight" state="frozen"/>
      <selection activeCell="E32" sqref="E32"/>
      <selection pane="topRight" activeCell="E32" sqref="E32"/>
      <selection pane="bottomLeft" activeCell="E32" sqref="E32"/>
      <selection pane="bottomRight" activeCell="E32" sqref="E3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- 0531.xls]Wilton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36717.624620833332</v>
      </c>
      <c r="BT3" s="23"/>
      <c r="BV3" s="78" t="str">
        <f>Summary!A5</f>
        <v>Revision # 58</v>
      </c>
    </row>
    <row r="4" spans="1:76" s="18" customFormat="1" ht="15.6">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69"/>
      <c r="AV7" s="82" t="str">
        <f>+Summary!$O$4</f>
        <v xml:space="preserve"> As of 06/30/00</v>
      </c>
      <c r="AW7" s="82"/>
      <c r="AX7" s="82" t="str">
        <f>+Summary!$O$4</f>
        <v xml:space="preserve"> As of 06/30/00</v>
      </c>
      <c r="AY7" s="82"/>
      <c r="AZ7" s="82" t="str">
        <f>+Summary!$O$4</f>
        <v xml:space="preserve"> As of 06/30/00</v>
      </c>
      <c r="BA7" s="82"/>
      <c r="BB7" s="82" t="str">
        <f>+Summary!$O$4</f>
        <v xml:space="preserve"> As of 06/30/00</v>
      </c>
      <c r="BC7" s="82"/>
      <c r="BD7" s="82" t="str">
        <f>+Summary!$O$4</f>
        <v xml:space="preserve"> As of 06/30/00</v>
      </c>
      <c r="BE7" s="82"/>
      <c r="BF7" s="82" t="str">
        <f>+Summary!$O$4</f>
        <v xml:space="preserve"> As of 06/30/00</v>
      </c>
      <c r="BG7" s="82"/>
      <c r="BH7" s="82" t="str">
        <f>+Summary!$O$4</f>
        <v xml:space="preserve"> As of 06/30/00</v>
      </c>
      <c r="BI7" s="82"/>
      <c r="BJ7" s="82" t="str">
        <f>+Summary!$O$4</f>
        <v xml:space="preserve"> As of 06/30/00</v>
      </c>
      <c r="BK7" s="82"/>
      <c r="BL7" s="82" t="str">
        <f>+Summary!$O$4</f>
        <v xml:space="preserve"> As of 06/30/00</v>
      </c>
      <c r="BN7" s="71" t="str">
        <f>+Summary!$O$4</f>
        <v xml:space="preserve"> As of 06/30/00</v>
      </c>
      <c r="BP7" s="64" t="str">
        <f>+Summary!$O$4</f>
        <v xml:space="preserve"> As of 06/30/00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595</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tabSelected="1" zoomScale="80" zoomScaleNormal="80" workbookViewId="0">
      <pane xSplit="12" ySplit="8" topLeftCell="BP163" activePane="bottomRight" state="frozen"/>
      <selection activeCell="E32" sqref="E32"/>
      <selection pane="topRight" activeCell="E32" sqref="E32"/>
      <selection pane="bottomLeft" activeCell="E32" sqref="E32"/>
      <selection pane="bottomRight" activeCell="E32" sqref="E3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2.3320312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hidden="1" customWidth="1"/>
    <col min="56" max="56" width="17.88671875" style="6" hidden="1" customWidth="1"/>
    <col min="57" max="57" width="0.88671875"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3320312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- 0531.xls]Wilton</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36717.624620833332</v>
      </c>
      <c r="BT3" s="23"/>
      <c r="BV3" s="78" t="str">
        <f>Summary!A5</f>
        <v>Revision # 58</v>
      </c>
    </row>
    <row r="4" spans="1:76" s="18" customFormat="1" ht="15.6">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6">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69"/>
      <c r="AV7" s="82" t="str">
        <f>+Summary!$O$4</f>
        <v xml:space="preserve"> As of 06/30/00</v>
      </c>
      <c r="AW7" s="82"/>
      <c r="AX7" s="82" t="str">
        <f>+Summary!$O$4</f>
        <v xml:space="preserve"> As of 06/30/00</v>
      </c>
      <c r="AY7" s="82"/>
      <c r="AZ7" s="82" t="str">
        <f>+Summary!$O$4</f>
        <v xml:space="preserve"> As of 06/30/00</v>
      </c>
      <c r="BA7" s="82"/>
      <c r="BB7" s="82" t="str">
        <f>BP7</f>
        <v xml:space="preserve"> As of 06/30/00</v>
      </c>
      <c r="BC7"/>
      <c r="BD7" s="82" t="str">
        <f>+Summary!$O$4</f>
        <v xml:space="preserve"> As of 06/30/00</v>
      </c>
      <c r="BE7"/>
      <c r="BF7" s="82" t="str">
        <f>+Summary!$O$4</f>
        <v xml:space="preserve"> As of 06/30/00</v>
      </c>
      <c r="BG7" s="82"/>
      <c r="BH7" s="82" t="str">
        <f>+Summary!$O$4</f>
        <v xml:space="preserve"> As of 06/30/00</v>
      </c>
      <c r="BI7" s="82"/>
      <c r="BJ7" s="82" t="str">
        <f>+Summary!$O$4</f>
        <v xml:space="preserve"> As of 06/30/00</v>
      </c>
      <c r="BK7" s="82"/>
      <c r="BL7" s="82" t="str">
        <f>+Summary!$O$4</f>
        <v xml:space="preserve"> As of 06/30/00</v>
      </c>
      <c r="BN7" s="458" t="str">
        <f>+Summary!$O$4</f>
        <v xml:space="preserve"> As of 06/30/00</v>
      </c>
      <c r="BP7" s="64" t="str">
        <f>+Summary!$O$4</f>
        <v xml:space="preserve"> As of 06/30/00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f>
        <v>10998440</v>
      </c>
      <c r="BG95" s="9"/>
      <c r="BH95" s="9"/>
      <c r="BI95" s="9"/>
      <c r="BJ95" s="9"/>
      <c r="BK95" s="9"/>
      <c r="BL95" s="9"/>
      <c r="BM95" s="9"/>
      <c r="BN95" s="6">
        <f>SUM(T95:BM95)</f>
        <v>20450067.559999999</v>
      </c>
      <c r="BO95" s="9"/>
      <c r="BP95" s="9">
        <f>-50096668+46735000</f>
        <v>-3361668</v>
      </c>
      <c r="BQ95" s="9"/>
      <c r="BR95" s="9">
        <f>-29234037+2115810</f>
        <v>-27118227</v>
      </c>
      <c r="BS95" s="9"/>
      <c r="BT95" s="6">
        <f>-50096668+46735000</f>
        <v>-3361668</v>
      </c>
      <c r="BU95" s="9"/>
      <c r="BV95" s="6">
        <f>+R95-BT95</f>
        <v>3361668</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10998440</v>
      </c>
      <c r="BG97" s="244">
        <f t="shared" ref="BG97:BW97" si="28">BG91+BG86+BG63+BG54+BG95+BG93</f>
        <v>0</v>
      </c>
      <c r="BH97" s="244">
        <f t="shared" si="28"/>
        <v>0</v>
      </c>
      <c r="BI97" s="244">
        <f t="shared" si="28"/>
        <v>0</v>
      </c>
      <c r="BJ97" s="244">
        <f t="shared" si="28"/>
        <v>0</v>
      </c>
      <c r="BK97" s="244">
        <f t="shared" si="28"/>
        <v>0</v>
      </c>
      <c r="BL97" s="244">
        <f t="shared" si="28"/>
        <v>0</v>
      </c>
      <c r="BM97" s="244">
        <f t="shared" si="28"/>
        <v>0</v>
      </c>
      <c r="BN97" s="244">
        <f t="shared" si="28"/>
        <v>44369489.560000002</v>
      </c>
      <c r="BO97" s="244">
        <f t="shared" si="28"/>
        <v>0</v>
      </c>
      <c r="BP97" s="244">
        <f t="shared" si="28"/>
        <v>3629444</v>
      </c>
      <c r="BQ97" s="244">
        <f t="shared" si="28"/>
        <v>0</v>
      </c>
      <c r="BR97" s="244">
        <f t="shared" si="28"/>
        <v>2115810</v>
      </c>
      <c r="BS97" s="244">
        <f t="shared" si="28"/>
        <v>0</v>
      </c>
      <c r="BT97" s="244">
        <f t="shared" si="28"/>
        <v>46485000</v>
      </c>
      <c r="BU97" s="244">
        <f t="shared" si="28"/>
        <v>0</v>
      </c>
      <c r="BV97" s="244">
        <f t="shared" si="28"/>
        <v>-4743600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0</v>
      </c>
      <c r="BJ132" s="6">
        <v>0</v>
      </c>
      <c r="BL132" s="6">
        <v>0</v>
      </c>
      <c r="BM132" s="6"/>
      <c r="BN132" s="6">
        <f>SUM(T132:BM132)</f>
        <v>492253.70999999996</v>
      </c>
      <c r="BO132" s="6"/>
      <c r="BP132" s="6">
        <v>0</v>
      </c>
      <c r="BQ132" s="6"/>
      <c r="BR132" s="6">
        <f>+R132-BN132+BP132</f>
        <v>231532.29000000004</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0</v>
      </c>
      <c r="BI134" s="10"/>
      <c r="BJ134" s="102">
        <f>SUM(BJ131:BJ133)</f>
        <v>0</v>
      </c>
      <c r="BK134" s="10"/>
      <c r="BL134" s="102">
        <f>SUM(BL131:BL133)</f>
        <v>0</v>
      </c>
      <c r="BM134" s="9"/>
      <c r="BN134" s="102">
        <f>SUM(BN131:BN133)</f>
        <v>677253.71</v>
      </c>
      <c r="BO134" s="9"/>
      <c r="BP134" s="102">
        <f>SUM(BP131:BP133)</f>
        <v>0</v>
      </c>
      <c r="BQ134" s="9"/>
      <c r="BR134" s="102">
        <f>SUM(BR131:BR133)</f>
        <v>231532.29000000004</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561</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0</v>
      </c>
      <c r="BI136" s="9"/>
      <c r="BJ136" s="9">
        <v>0</v>
      </c>
      <c r="BK136" s="9"/>
      <c r="BL136" s="9">
        <v>0</v>
      </c>
      <c r="BM136" s="9"/>
      <c r="BN136" s="16">
        <f>SUM(T136:BM136)</f>
        <v>90948.409999999989</v>
      </c>
      <c r="BO136" s="9"/>
      <c r="BP136" s="9">
        <v>0</v>
      </c>
      <c r="BQ136" s="9"/>
      <c r="BR136" s="6">
        <f>IF(+R136-BN136+BP136&gt;0,R136-BN136+BP136,0)</f>
        <v>0</v>
      </c>
      <c r="BS136" s="9"/>
      <c r="BT136" s="9">
        <f>+BN136+BR136</f>
        <v>90948.409999999989</v>
      </c>
      <c r="BU136" s="9"/>
      <c r="BV136" s="9">
        <f>+R136-BT136</f>
        <v>-90948.409999999989</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213078.6</v>
      </c>
      <c r="BH153" s="6">
        <v>0</v>
      </c>
      <c r="BJ153" s="6">
        <v>0</v>
      </c>
      <c r="BL153" s="6">
        <v>0</v>
      </c>
      <c r="BM153" s="6"/>
      <c r="BN153" s="6">
        <f t="shared" si="38"/>
        <v>213381.01</v>
      </c>
      <c r="BO153" s="6"/>
      <c r="BP153" s="227">
        <v>0</v>
      </c>
      <c r="BQ153" s="6"/>
      <c r="BR153" s="6">
        <f t="shared" si="39"/>
        <v>0</v>
      </c>
      <c r="BT153" s="6">
        <f t="shared" si="40"/>
        <v>213381.01</v>
      </c>
      <c r="BV153" s="6">
        <f>+R153-BT153</f>
        <v>-213381.01</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H154" s="6">
        <v>0</v>
      </c>
      <c r="BJ154" s="6">
        <v>0</v>
      </c>
      <c r="BL154" s="6">
        <v>0</v>
      </c>
      <c r="BM154" s="6"/>
      <c r="BN154" s="6">
        <f t="shared" si="38"/>
        <v>0</v>
      </c>
      <c r="BO154" s="6"/>
      <c r="BP154" s="227">
        <v>0</v>
      </c>
      <c r="BQ154" s="6"/>
      <c r="BR154" s="6">
        <f t="shared" si="39"/>
        <v>0</v>
      </c>
      <c r="BT154" s="6">
        <f t="shared" si="40"/>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F157" s="6">
        <v>30443.56</v>
      </c>
      <c r="BL157" s="6"/>
      <c r="BM157" s="6"/>
      <c r="BN157" s="6">
        <f t="shared" si="38"/>
        <v>742540.25000000012</v>
      </c>
      <c r="BO157" s="6"/>
      <c r="BP157" s="227">
        <v>0</v>
      </c>
      <c r="BQ157" s="6"/>
      <c r="BR157" s="6">
        <f t="shared" si="39"/>
        <v>0</v>
      </c>
      <c r="BT157" s="6">
        <f t="shared" si="40"/>
        <v>742540.25000000012</v>
      </c>
      <c r="BV157" s="6">
        <f>+R157-BT157</f>
        <v>-271959.25000000012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c r="BD159" s="102">
        <f>SUM(BD152:BD158)</f>
        <v>49988.780000000006</v>
      </c>
      <c r="BE159"/>
      <c r="BF159" s="102">
        <f>SUM(BF152:BF158)</f>
        <v>243522.16</v>
      </c>
      <c r="BG159" s="10"/>
      <c r="BH159" s="102">
        <f>SUM(BH152:BH158)</f>
        <v>0</v>
      </c>
      <c r="BI159" s="10"/>
      <c r="BJ159" s="102">
        <f>SUM(BJ152:BJ158)</f>
        <v>0</v>
      </c>
      <c r="BK159" s="10"/>
      <c r="BL159" s="102">
        <f>SUM(BL152:BL158)</f>
        <v>0</v>
      </c>
      <c r="BM159" s="9"/>
      <c r="BN159" s="102">
        <f>SUM(BN152:BN158)</f>
        <v>1025340.2600000001</v>
      </c>
      <c r="BO159" s="9"/>
      <c r="BP159" s="102">
        <f>SUM(BP152:BP158)</f>
        <v>0</v>
      </c>
      <c r="BQ159" s="9"/>
      <c r="BR159" s="102">
        <f>SUM(BR152:BR158)</f>
        <v>0</v>
      </c>
      <c r="BS159" s="9"/>
      <c r="BT159" s="102">
        <f>SUM(BT152:BT158)</f>
        <v>1025340.2600000001</v>
      </c>
      <c r="BU159" s="9"/>
      <c r="BV159" s="102">
        <f>SUM(BV152:BV158)</f>
        <v>-485340.26000000013</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0</v>
      </c>
      <c r="BI182" s="102">
        <f t="shared" si="45"/>
        <v>0</v>
      </c>
      <c r="BJ182" s="102">
        <f t="shared" si="45"/>
        <v>0</v>
      </c>
      <c r="BK182" s="102">
        <f t="shared" si="45"/>
        <v>0</v>
      </c>
      <c r="BL182" s="102">
        <f t="shared" si="45"/>
        <v>0</v>
      </c>
      <c r="BM182" s="102">
        <f t="shared" si="45"/>
        <v>0</v>
      </c>
      <c r="BN182" s="102">
        <f t="shared" si="45"/>
        <v>2987321.83</v>
      </c>
      <c r="BO182" s="102">
        <f t="shared" si="45"/>
        <v>0</v>
      </c>
      <c r="BP182" s="102">
        <f t="shared" si="45"/>
        <v>1690117</v>
      </c>
      <c r="BQ182" s="102">
        <f t="shared" si="45"/>
        <v>0</v>
      </c>
      <c r="BR182" s="102">
        <f t="shared" si="45"/>
        <v>1849148</v>
      </c>
      <c r="BS182" s="102">
        <f t="shared" si="45"/>
        <v>0</v>
      </c>
      <c r="BT182" s="102">
        <f t="shared" si="45"/>
        <v>3999469.83</v>
      </c>
      <c r="BU182" s="102">
        <f t="shared" si="45"/>
        <v>0</v>
      </c>
      <c r="BV182" s="102">
        <f t="shared" si="45"/>
        <v>-1799469.83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0</v>
      </c>
      <c r="BK188" s="22"/>
      <c r="BL188" s="22">
        <v>0</v>
      </c>
      <c r="BM188" s="22"/>
      <c r="BN188" s="22">
        <f>SUM(T188:BM188)</f>
        <v>1690823</v>
      </c>
      <c r="BO188" s="22"/>
      <c r="BP188" s="22">
        <v>0</v>
      </c>
      <c r="BQ188" s="22"/>
      <c r="BR188" s="6">
        <f>IF(+R188-BN188+BP188&gt;0,R188-BN188+BP188,0)</f>
        <v>0</v>
      </c>
      <c r="BS188" s="22"/>
      <c r="BT188" s="6">
        <f>+BN188+BR188</f>
        <v>1690823</v>
      </c>
      <c r="BU188" s="22"/>
      <c r="BV188" s="6">
        <f>+R188-BT188</f>
        <v>-1190823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0</v>
      </c>
      <c r="BK190" s="103"/>
      <c r="BL190" s="108">
        <f>SUM(BL187:BL189)</f>
        <v>0</v>
      </c>
      <c r="BM190" s="16"/>
      <c r="BN190" s="108">
        <f>SUM(BN187:BN189)</f>
        <v>1690823</v>
      </c>
      <c r="BO190" s="16"/>
      <c r="BP190" s="108">
        <f>SUM(BP187:BP189)</f>
        <v>0</v>
      </c>
      <c r="BQ190" s="16"/>
      <c r="BR190" s="108">
        <f>SUM(BR187:BR189)</f>
        <v>0</v>
      </c>
      <c r="BS190" s="16"/>
      <c r="BT190" s="108">
        <f>SUM(BT187:BT189)</f>
        <v>1690823</v>
      </c>
      <c r="BU190" s="16"/>
      <c r="BV190" s="108">
        <f>SUM(BV187:BV189)</f>
        <v>-1190823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485">
        <f>89360+43287.29-4983</f>
        <v>127664.29000000001</v>
      </c>
      <c r="BG200" s="12"/>
      <c r="BH200" s="12">
        <v>0</v>
      </c>
      <c r="BI200" s="12"/>
      <c r="BJ200" s="12">
        <v>0</v>
      </c>
      <c r="BK200" s="12"/>
      <c r="BL200" s="12">
        <v>0</v>
      </c>
      <c r="BM200" s="12"/>
      <c r="BN200" s="12">
        <f t="shared" si="46"/>
        <v>564398.40999999992</v>
      </c>
      <c r="BO200" s="12"/>
      <c r="BP200" s="12">
        <v>0</v>
      </c>
      <c r="BQ200" s="12"/>
      <c r="BR200" s="6">
        <f t="shared" si="47"/>
        <v>0</v>
      </c>
      <c r="BS200" s="12"/>
      <c r="BT200" s="6">
        <f t="shared" si="48"/>
        <v>564398.40999999992</v>
      </c>
      <c r="BU200" s="12"/>
      <c r="BV200" s="6">
        <f t="shared" si="49"/>
        <v>-438633.40999999992</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0</v>
      </c>
      <c r="BI203" s="102">
        <f t="shared" si="50"/>
        <v>0</v>
      </c>
      <c r="BJ203" s="102">
        <f t="shared" si="50"/>
        <v>0</v>
      </c>
      <c r="BK203" s="102">
        <f t="shared" si="50"/>
        <v>0</v>
      </c>
      <c r="BL203" s="102">
        <f t="shared" si="50"/>
        <v>0</v>
      </c>
      <c r="BM203" s="102">
        <f t="shared" si="50"/>
        <v>0</v>
      </c>
      <c r="BN203" s="108">
        <f t="shared" si="50"/>
        <v>918742.47</v>
      </c>
      <c r="BO203" s="102">
        <f t="shared" si="50"/>
        <v>0</v>
      </c>
      <c r="BP203" s="102">
        <f t="shared" si="50"/>
        <v>0</v>
      </c>
      <c r="BQ203" s="102">
        <f t="shared" si="50"/>
        <v>0</v>
      </c>
      <c r="BR203" s="102">
        <f t="shared" si="50"/>
        <v>143107.12000000002</v>
      </c>
      <c r="BS203" s="102">
        <f t="shared" si="50"/>
        <v>0</v>
      </c>
      <c r="BT203" s="102">
        <f t="shared" si="50"/>
        <v>1061849.5899999999</v>
      </c>
      <c r="BU203" s="102">
        <f t="shared" si="50"/>
        <v>0</v>
      </c>
      <c r="BV203" s="102">
        <f t="shared" si="50"/>
        <v>-661849.59</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85"/>
      <c r="AK206" s="12"/>
      <c r="AL206" s="12">
        <v>14302.18</v>
      </c>
      <c r="AM206" s="12"/>
      <c r="AN206" s="12">
        <v>13885.7</v>
      </c>
      <c r="AO206" s="12"/>
      <c r="AP206" s="12">
        <v>27414.720000000001</v>
      </c>
      <c r="AQ206" s="12"/>
      <c r="AR206" s="12">
        <v>13907.58</v>
      </c>
      <c r="AS206" s="12"/>
      <c r="AT206" s="485"/>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1071160.446154332</v>
      </c>
      <c r="BA213" s="120">
        <f t="shared" si="52"/>
        <v>0</v>
      </c>
      <c r="BB213" s="120">
        <f t="shared" si="52"/>
        <v>1141447.0200359318</v>
      </c>
      <c r="BC213"/>
      <c r="BD213" s="120">
        <f t="shared" si="52"/>
        <v>1590625.8399999999</v>
      </c>
      <c r="BE213"/>
      <c r="BF213" s="120">
        <f t="shared" si="52"/>
        <v>2600984.0512928553</v>
      </c>
      <c r="BG213" s="120">
        <f t="shared" si="52"/>
        <v>0</v>
      </c>
      <c r="BH213" s="120">
        <f t="shared" si="52"/>
        <v>0</v>
      </c>
      <c r="BI213" s="120">
        <f t="shared" si="52"/>
        <v>0</v>
      </c>
      <c r="BJ213" s="120">
        <f t="shared" si="52"/>
        <v>0</v>
      </c>
      <c r="BK213" s="120">
        <f t="shared" si="52"/>
        <v>0</v>
      </c>
      <c r="BL213" s="120">
        <f t="shared" si="52"/>
        <v>0</v>
      </c>
      <c r="BM213" s="120">
        <f t="shared" si="52"/>
        <v>0</v>
      </c>
      <c r="BN213" s="120">
        <f t="shared" si="52"/>
        <v>16348517.463667486</v>
      </c>
      <c r="BO213" s="120">
        <f t="shared" si="52"/>
        <v>0</v>
      </c>
      <c r="BP213" s="120">
        <f t="shared" si="52"/>
        <v>-87885</v>
      </c>
      <c r="BQ213" s="120">
        <f t="shared" si="52"/>
        <v>0</v>
      </c>
      <c r="BR213" s="120">
        <f>BR211+BR203+BR194+BR192+BR190+BR184+BR159+BR149+BR142+BR140+BR138+BR136+BR134+BR209</f>
        <v>3589581.0100000002</v>
      </c>
      <c r="BS213" s="120">
        <f t="shared" si="52"/>
        <v>0</v>
      </c>
      <c r="BT213" s="120">
        <f t="shared" si="52"/>
        <v>19938098.473667484</v>
      </c>
      <c r="BU213" s="120">
        <f t="shared" si="52"/>
        <v>0</v>
      </c>
      <c r="BV213" s="120">
        <f>BV211+BV203+BV194+BV192+BV190+BV184+BV159+BV149+BV142+BV140+BV138+BV136+BV134+BV209+BV182</f>
        <v>-3757690.3036674857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11403531.226154331</v>
      </c>
      <c r="BA219" s="168">
        <f t="shared" si="54"/>
        <v>0</v>
      </c>
      <c r="BB219" s="168">
        <f t="shared" si="54"/>
        <v>12239663.540035931</v>
      </c>
      <c r="BC219"/>
      <c r="BD219" s="168">
        <f t="shared" si="54"/>
        <v>4338595.0600000005</v>
      </c>
      <c r="BE219"/>
      <c r="BF219" s="168">
        <f t="shared" si="54"/>
        <v>17339426.581292856</v>
      </c>
      <c r="BG219" s="168">
        <f t="shared" si="54"/>
        <v>0</v>
      </c>
      <c r="BH219" s="168">
        <f t="shared" si="54"/>
        <v>0</v>
      </c>
      <c r="BI219" s="168">
        <f t="shared" si="54"/>
        <v>0</v>
      </c>
      <c r="BJ219" s="168">
        <f t="shared" si="54"/>
        <v>0</v>
      </c>
      <c r="BK219" s="168">
        <f t="shared" si="54"/>
        <v>0</v>
      </c>
      <c r="BL219" s="168">
        <f t="shared" si="54"/>
        <v>0</v>
      </c>
      <c r="BM219" s="168">
        <f t="shared" si="54"/>
        <v>0</v>
      </c>
      <c r="BN219" s="168">
        <f t="shared" si="54"/>
        <v>167845349.1336675</v>
      </c>
      <c r="BO219" s="168">
        <f t="shared" si="54"/>
        <v>0</v>
      </c>
      <c r="BP219" s="168">
        <f t="shared" si="54"/>
        <v>2688770</v>
      </c>
      <c r="BQ219" s="168">
        <f t="shared" si="54"/>
        <v>2030320</v>
      </c>
      <c r="BR219" s="168">
        <f>BR37+BR107+BR97+BR182+BR112+BR213+BR215+BR217</f>
        <v>10617113.780000001</v>
      </c>
      <c r="BS219" s="168">
        <f t="shared" si="54"/>
        <v>2030320</v>
      </c>
      <c r="BT219" s="168">
        <f t="shared" si="54"/>
        <v>177625163.3536675</v>
      </c>
      <c r="BU219" s="168">
        <f t="shared" si="54"/>
        <v>2030320</v>
      </c>
      <c r="BV219" s="168">
        <f>R219-BT219</f>
        <v>-7050153.3536674976</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83"/>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8" thickBot="1">
      <c r="A225" s="162" t="s">
        <v>557</v>
      </c>
      <c r="B225" s="460"/>
      <c r="L225" s="462"/>
      <c r="M225" s="463"/>
      <c r="N225" s="464"/>
      <c r="O225" s="463"/>
      <c r="P225" s="464"/>
      <c r="Q225" s="463"/>
      <c r="R225" s="465">
        <f t="shared" ref="R225:BW225" si="55">R219+R222</f>
        <v>170575010</v>
      </c>
      <c r="S225" s="465">
        <f t="shared" si="55"/>
        <v>0</v>
      </c>
      <c r="T225" s="465">
        <f t="shared" si="55"/>
        <v>0</v>
      </c>
      <c r="U225" s="465">
        <f t="shared" si="55"/>
        <v>0</v>
      </c>
      <c r="V225" s="465">
        <f t="shared" si="55"/>
        <v>0</v>
      </c>
      <c r="W225" s="465">
        <f t="shared" si="55"/>
        <v>0</v>
      </c>
      <c r="X225" s="465">
        <f t="shared" si="55"/>
        <v>0</v>
      </c>
      <c r="Y225" s="465">
        <f t="shared" si="55"/>
        <v>0</v>
      </c>
      <c r="Z225" s="465">
        <f t="shared" si="55"/>
        <v>0</v>
      </c>
      <c r="AA225" s="465">
        <f t="shared" si="55"/>
        <v>0</v>
      </c>
      <c r="AB225" s="465">
        <f t="shared" si="55"/>
        <v>0</v>
      </c>
      <c r="AC225" s="465">
        <f t="shared" si="55"/>
        <v>0</v>
      </c>
      <c r="AD225" s="465">
        <f t="shared" si="55"/>
        <v>0</v>
      </c>
      <c r="AE225" s="465">
        <f t="shared" si="55"/>
        <v>0</v>
      </c>
      <c r="AF225" s="465">
        <f t="shared" si="55"/>
        <v>0</v>
      </c>
      <c r="AG225" s="465">
        <f t="shared" si="55"/>
        <v>0</v>
      </c>
      <c r="AH225" s="465">
        <f t="shared" si="55"/>
        <v>0</v>
      </c>
      <c r="AI225" s="465"/>
      <c r="AJ225" s="465">
        <f t="shared" si="55"/>
        <v>19083.809999999998</v>
      </c>
      <c r="AK225" s="465"/>
      <c r="AL225" s="465">
        <f t="shared" si="55"/>
        <v>93152637.489999995</v>
      </c>
      <c r="AM225" s="465"/>
      <c r="AN225" s="465">
        <f t="shared" si="55"/>
        <v>715387.53999999992</v>
      </c>
      <c r="AO225" s="465"/>
      <c r="AP225" s="465">
        <f t="shared" si="55"/>
        <v>2178269.8126763888</v>
      </c>
      <c r="AQ225" s="465"/>
      <c r="AR225" s="465">
        <f t="shared" si="55"/>
        <v>7520773.7532297745</v>
      </c>
      <c r="AS225" s="465">
        <f t="shared" si="55"/>
        <v>0</v>
      </c>
      <c r="AT225" s="465">
        <f t="shared" si="55"/>
        <v>3024167.3252736586</v>
      </c>
      <c r="AU225" s="465">
        <f t="shared" si="55"/>
        <v>0</v>
      </c>
      <c r="AV225" s="465">
        <f t="shared" si="55"/>
        <v>8287387.2469411138</v>
      </c>
      <c r="AW225" s="465">
        <f t="shared" si="55"/>
        <v>0</v>
      </c>
      <c r="AX225" s="465">
        <f t="shared" si="55"/>
        <v>7624290.748063433</v>
      </c>
      <c r="AY225" s="465">
        <f t="shared" si="55"/>
        <v>0</v>
      </c>
      <c r="AZ225" s="465">
        <f t="shared" si="55"/>
        <v>11403531.226154331</v>
      </c>
      <c r="BA225" s="465">
        <f t="shared" si="55"/>
        <v>0</v>
      </c>
      <c r="BB225" s="465">
        <f t="shared" si="55"/>
        <v>12239663.540035931</v>
      </c>
      <c r="BC225"/>
      <c r="BD225" s="465">
        <f t="shared" si="55"/>
        <v>4338630.0600000005</v>
      </c>
      <c r="BE225"/>
      <c r="BF225" s="465">
        <f t="shared" si="55"/>
        <v>17339625.091292858</v>
      </c>
      <c r="BG225" s="465">
        <f t="shared" si="55"/>
        <v>0</v>
      </c>
      <c r="BH225" s="465">
        <f t="shared" si="55"/>
        <v>0</v>
      </c>
      <c r="BI225" s="465">
        <f t="shared" si="55"/>
        <v>0</v>
      </c>
      <c r="BJ225" s="465">
        <f t="shared" si="55"/>
        <v>0</v>
      </c>
      <c r="BK225" s="465">
        <f t="shared" si="55"/>
        <v>0</v>
      </c>
      <c r="BL225" s="465">
        <f t="shared" si="55"/>
        <v>0</v>
      </c>
      <c r="BM225" s="465">
        <f t="shared" si="55"/>
        <v>0</v>
      </c>
      <c r="BN225" s="465">
        <f t="shared" si="55"/>
        <v>167843447.64366749</v>
      </c>
      <c r="BO225" s="465">
        <f t="shared" si="55"/>
        <v>0</v>
      </c>
      <c r="BP225" s="465">
        <f t="shared" si="55"/>
        <v>2688770</v>
      </c>
      <c r="BQ225" s="465">
        <f t="shared" si="55"/>
        <v>2030320</v>
      </c>
      <c r="BR225" s="465">
        <f t="shared" si="55"/>
        <v>10617113.780000001</v>
      </c>
      <c r="BS225" s="465">
        <f t="shared" si="55"/>
        <v>2030320</v>
      </c>
      <c r="BT225" s="465">
        <f t="shared" si="55"/>
        <v>177623261.86366749</v>
      </c>
      <c r="BU225" s="465">
        <f t="shared" si="55"/>
        <v>2030320</v>
      </c>
      <c r="BV225" s="465">
        <f>BV219+BV222</f>
        <v>-7048251.8636674974</v>
      </c>
      <c r="BW225" s="465">
        <f t="shared" si="55"/>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593</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7">S231+S234</f>
        <v>0</v>
      </c>
      <c r="T237" s="477">
        <f t="shared" si="57"/>
        <v>0</v>
      </c>
      <c r="U237" s="477">
        <f t="shared" si="57"/>
        <v>0</v>
      </c>
      <c r="V237" s="477">
        <f t="shared" si="57"/>
        <v>0</v>
      </c>
      <c r="W237" s="477">
        <f t="shared" si="57"/>
        <v>0</v>
      </c>
      <c r="X237" s="477">
        <f t="shared" si="57"/>
        <v>0</v>
      </c>
      <c r="Y237" s="477">
        <f t="shared" si="57"/>
        <v>0</v>
      </c>
      <c r="Z237" s="477">
        <f t="shared" si="57"/>
        <v>0</v>
      </c>
      <c r="AA237" s="477">
        <f t="shared" si="57"/>
        <v>0</v>
      </c>
      <c r="AB237" s="477">
        <f t="shared" si="57"/>
        <v>0</v>
      </c>
      <c r="AC237" s="477">
        <f t="shared" si="57"/>
        <v>0</v>
      </c>
      <c r="AD237" s="477">
        <f t="shared" si="57"/>
        <v>0</v>
      </c>
      <c r="AE237" s="477">
        <f t="shared" si="57"/>
        <v>0</v>
      </c>
      <c r="AF237" s="477">
        <f t="shared" si="57"/>
        <v>0</v>
      </c>
      <c r="AG237" s="477">
        <f t="shared" si="57"/>
        <v>0</v>
      </c>
      <c r="AH237" s="477">
        <f t="shared" si="57"/>
        <v>0</v>
      </c>
      <c r="AI237" s="477"/>
      <c r="AJ237" s="477">
        <f t="shared" si="57"/>
        <v>0</v>
      </c>
      <c r="AK237" s="477"/>
      <c r="AL237" s="477">
        <f t="shared" si="57"/>
        <v>0</v>
      </c>
      <c r="AM237" s="477"/>
      <c r="AN237" s="477">
        <f t="shared" si="57"/>
        <v>0</v>
      </c>
      <c r="AO237" s="477"/>
      <c r="AP237" s="477">
        <f t="shared" si="57"/>
        <v>0</v>
      </c>
      <c r="AQ237" s="477"/>
      <c r="AR237" s="477">
        <f t="shared" si="57"/>
        <v>0</v>
      </c>
      <c r="AS237" s="477">
        <f t="shared" si="57"/>
        <v>0</v>
      </c>
      <c r="AT237" s="477">
        <f t="shared" si="57"/>
        <v>0</v>
      </c>
      <c r="AU237" s="477">
        <f t="shared" si="57"/>
        <v>0</v>
      </c>
      <c r="AV237" s="477">
        <f t="shared" si="57"/>
        <v>0</v>
      </c>
      <c r="AW237" s="477">
        <f t="shared" si="57"/>
        <v>0</v>
      </c>
      <c r="AX237" s="477">
        <f t="shared" si="57"/>
        <v>0</v>
      </c>
      <c r="AY237" s="477">
        <f t="shared" si="57"/>
        <v>0</v>
      </c>
      <c r="AZ237" s="477">
        <f>AZ225+AZ234</f>
        <v>11403531.226154331</v>
      </c>
      <c r="BA237" s="477">
        <f t="shared" si="57"/>
        <v>0</v>
      </c>
      <c r="BB237" s="477">
        <f>BB225+BB234</f>
        <v>12538176.930035932</v>
      </c>
      <c r="BC237"/>
      <c r="BD237" s="477">
        <f>BD225+BD234</f>
        <v>5023630.0600000005</v>
      </c>
      <c r="BE237"/>
      <c r="BF237" s="477">
        <f t="shared" si="57"/>
        <v>0</v>
      </c>
      <c r="BG237" s="477">
        <f t="shared" si="57"/>
        <v>0</v>
      </c>
      <c r="BH237" s="477">
        <f t="shared" si="57"/>
        <v>0</v>
      </c>
      <c r="BI237" s="477">
        <f t="shared" si="57"/>
        <v>0</v>
      </c>
      <c r="BJ237" s="477">
        <f t="shared" si="57"/>
        <v>0</v>
      </c>
      <c r="BK237" s="477">
        <f t="shared" si="57"/>
        <v>0</v>
      </c>
      <c r="BL237" s="477">
        <f t="shared" si="57"/>
        <v>0</v>
      </c>
      <c r="BM237" s="477">
        <f t="shared" si="57"/>
        <v>0</v>
      </c>
      <c r="BN237" s="477">
        <f>BN225+BN234</f>
        <v>168826961.03366747</v>
      </c>
      <c r="BO237" s="477">
        <f t="shared" si="57"/>
        <v>0</v>
      </c>
      <c r="BP237" s="477">
        <f>BP225+BP234</f>
        <v>2688770</v>
      </c>
      <c r="BQ237" s="477">
        <f t="shared" si="57"/>
        <v>0</v>
      </c>
      <c r="BR237" s="477">
        <f>BR225+BR234</f>
        <v>37145243.390000001</v>
      </c>
      <c r="BS237" s="477">
        <f t="shared" si="57"/>
        <v>0</v>
      </c>
      <c r="BT237" s="477">
        <f>BT225+BT234</f>
        <v>204249904.86366749</v>
      </c>
      <c r="BU237" s="477">
        <f t="shared" si="57"/>
        <v>0</v>
      </c>
      <c r="BV237" s="477">
        <f>BV225+BV234</f>
        <v>-7048251.8636674974</v>
      </c>
      <c r="BW237" s="477">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8"/>
    </row>
    <row r="239" spans="1:124" customFormat="1">
      <c r="L239" s="49"/>
      <c r="BB239" s="35"/>
      <c r="BN239" s="368"/>
    </row>
    <row r="240" spans="1:124" customFormat="1">
      <c r="L240" s="49"/>
      <c r="BB240" s="35"/>
      <c r="BN240" s="368"/>
    </row>
    <row r="241" spans="12:68" customFormat="1" hidden="1">
      <c r="L241" s="49"/>
      <c r="BB241" s="35"/>
      <c r="BF241" t="s">
        <v>577</v>
      </c>
      <c r="BN241" s="368">
        <v>165343590.96000001</v>
      </c>
    </row>
    <row r="242" spans="12:68" customFormat="1" hidden="1">
      <c r="L242" s="49"/>
      <c r="AT242" s="367"/>
      <c r="BB242" s="35"/>
      <c r="BF242" t="s">
        <v>578</v>
      </c>
      <c r="BN242" s="368">
        <v>677253.63</v>
      </c>
    </row>
    <row r="243" spans="12:68" customFormat="1" hidden="1">
      <c r="AT243" s="367"/>
      <c r="BB243" s="35"/>
      <c r="BF243" t="s">
        <v>579</v>
      </c>
      <c r="BN243" s="368">
        <f>BF211</f>
        <v>590762.34129285498</v>
      </c>
    </row>
    <row r="244" spans="12:68" customFormat="1" hidden="1">
      <c r="AT244" s="367"/>
      <c r="BB244" s="35"/>
      <c r="BF244" t="s">
        <v>579</v>
      </c>
      <c r="BN244" s="368"/>
      <c r="BP244" s="369">
        <f>SUM(BN243:BN244)</f>
        <v>590762.34129285498</v>
      </c>
    </row>
    <row r="245" spans="12:68" customFormat="1" hidden="1">
      <c r="AT245" s="367"/>
      <c r="BB245" s="35"/>
      <c r="BF245" t="s">
        <v>580</v>
      </c>
      <c r="BN245" s="367">
        <v>198.51</v>
      </c>
    </row>
    <row r="246" spans="12:68" customFormat="1" hidden="1">
      <c r="BB246" s="35"/>
      <c r="BF246" t="s">
        <v>581</v>
      </c>
      <c r="BN246" s="367">
        <v>35</v>
      </c>
    </row>
    <row r="247" spans="12:68" customFormat="1" hidden="1">
      <c r="BF247" t="s">
        <v>269</v>
      </c>
      <c r="BN247" s="367">
        <f>BN222-BF222-BD222</f>
        <v>-2135</v>
      </c>
    </row>
    <row r="248" spans="12:68" customFormat="1" hidden="1">
      <c r="BF248" t="s">
        <v>589</v>
      </c>
      <c r="BN248" s="367">
        <v>1233742</v>
      </c>
    </row>
    <row r="249" spans="12:68" customFormat="1" hidden="1">
      <c r="BF249" t="s">
        <v>582</v>
      </c>
      <c r="BN249" s="367"/>
    </row>
    <row r="250" spans="12:68" customFormat="1" hidden="1">
      <c r="BF250" t="s">
        <v>587</v>
      </c>
      <c r="BN250" s="367"/>
    </row>
    <row r="251" spans="12:68" customFormat="1" hidden="1">
      <c r="BN251" s="367"/>
    </row>
    <row r="252" spans="12:68" customFormat="1" hidden="1">
      <c r="BN252" s="369">
        <f>SUM(BN241:BN250)</f>
        <v>167843447.44129285</v>
      </c>
    </row>
    <row r="253" spans="12:68" customFormat="1" hidden="1">
      <c r="BF253" t="s">
        <v>576</v>
      </c>
      <c r="BN253" s="38">
        <f>BN225-BN252</f>
        <v>0.20237463712692261</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5"/>
  <sheetViews>
    <sheetView tabSelected="1" zoomScale="80" zoomScaleNormal="66" workbookViewId="0">
      <pane xSplit="19" ySplit="7" topLeftCell="T81" activePane="bottomRight" state="frozen"/>
      <selection activeCell="E32" sqref="E32"/>
      <selection pane="topRight" activeCell="E32" sqref="E32"/>
      <selection pane="bottomLeft" activeCell="E32" sqref="E32"/>
      <selection pane="bottomRight" activeCell="E32" sqref="E3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554687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1.44140625" style="6" hidden="1" customWidth="1"/>
    <col min="38" max="38" width="16" style="6" hidden="1" customWidth="1"/>
    <col min="39" max="39" width="1.4414062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- 0531.xls]Wilton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36717.624620833332</v>
      </c>
      <c r="BR3" s="23"/>
      <c r="BT3" s="78" t="str">
        <f>Summary!A5</f>
        <v>Revision # 58</v>
      </c>
      <c r="BV3" s="18" t="str">
        <f>Summary!A5</f>
        <v>Revision # 58</v>
      </c>
    </row>
    <row r="4" spans="1:74" s="18" customFormat="1" ht="15.6">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58</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06/30/00</v>
      </c>
      <c r="U7" s="96"/>
      <c r="V7" s="82" t="str">
        <f>+Summary!$O$4</f>
        <v xml:space="preserve"> As of 06/30/00</v>
      </c>
      <c r="W7" s="69"/>
      <c r="X7" s="82" t="str">
        <f>+Summary!$O$4</f>
        <v xml:space="preserve"> As of 06/30/00</v>
      </c>
      <c r="Y7" s="69"/>
      <c r="Z7" s="82" t="str">
        <f>+Summary!$O$4</f>
        <v xml:space="preserve"> As of 06/30/00</v>
      </c>
      <c r="AA7" s="69"/>
      <c r="AB7" s="82" t="str">
        <f>+Summary!$O$4</f>
        <v xml:space="preserve"> As of 06/30/00</v>
      </c>
      <c r="AC7" s="69"/>
      <c r="AD7" s="82" t="str">
        <f>+Summary!$O$4</f>
        <v xml:space="preserve"> As of 06/30/00</v>
      </c>
      <c r="AE7" s="69"/>
      <c r="AF7" s="82" t="str">
        <f>+Summary!$O$4</f>
        <v xml:space="preserve"> As of 06/30/00</v>
      </c>
      <c r="AG7" s="69"/>
      <c r="AH7" s="82" t="str">
        <f>+Summary!$O$4</f>
        <v xml:space="preserve"> As of 06/30/00</v>
      </c>
      <c r="AI7" s="69"/>
      <c r="AJ7" s="82" t="str">
        <f>+Summary!$O$4</f>
        <v xml:space="preserve"> As of 06/30/00</v>
      </c>
      <c r="AK7" s="69"/>
      <c r="AL7" s="82" t="str">
        <f>+Summary!$O$4</f>
        <v xml:space="preserve"> As of 06/30/00</v>
      </c>
      <c r="AM7" s="69"/>
      <c r="AN7" s="82" t="str">
        <f>+Summary!$O$4</f>
        <v xml:space="preserve"> As of 06/30/00</v>
      </c>
      <c r="AO7" s="69"/>
      <c r="AP7" s="82" t="str">
        <f>+Summary!$O$4</f>
        <v xml:space="preserve"> As of 06/30/00</v>
      </c>
      <c r="AQ7" s="69"/>
      <c r="AR7" s="82" t="str">
        <f>+Summary!$O$4</f>
        <v xml:space="preserve"> As of 06/30/00</v>
      </c>
      <c r="AS7" s="69"/>
      <c r="AT7" s="82" t="str">
        <f>+Summary!$O$4</f>
        <v xml:space="preserve"> As of 06/30/00</v>
      </c>
      <c r="AU7" s="82"/>
      <c r="AV7" s="82" t="str">
        <f>+Summary!$O$4</f>
        <v xml:space="preserve"> As of 06/30/00</v>
      </c>
      <c r="AW7" s="82"/>
      <c r="AX7" s="82" t="str">
        <f>+Summary!$O$4</f>
        <v xml:space="preserve"> As of 06/30/00</v>
      </c>
      <c r="AY7" s="82"/>
      <c r="AZ7" s="82" t="str">
        <f>+Summary!$O$4</f>
        <v xml:space="preserve"> As of 06/30/00</v>
      </c>
      <c r="BA7" s="82"/>
      <c r="BB7" s="82" t="str">
        <f>+Summary!$O$4</f>
        <v xml:space="preserve"> As of 06/30/00</v>
      </c>
      <c r="BC7" s="82"/>
      <c r="BD7" s="82" t="str">
        <f>+Summary!$O$4</f>
        <v xml:space="preserve"> As of 06/30/00</v>
      </c>
      <c r="BE7" s="82"/>
      <c r="BF7" s="82" t="str">
        <f>+Summary!$O$4</f>
        <v xml:space="preserve"> As of 06/30/00</v>
      </c>
      <c r="BG7" s="82"/>
      <c r="BH7" s="82" t="str">
        <f>+Summary!$O$4</f>
        <v xml:space="preserve"> As of 06/30/00</v>
      </c>
      <c r="BI7" s="82"/>
      <c r="BJ7" s="82" t="str">
        <f>+Summary!$O$4</f>
        <v xml:space="preserve"> As of 06/30/00</v>
      </c>
      <c r="BL7" s="71" t="str">
        <f>+Summary!$O$4</f>
        <v xml:space="preserve"> As of 06/30/00</v>
      </c>
      <c r="BN7" s="64" t="str">
        <f>+Summary!$O$4</f>
        <v xml:space="preserve"> As of 06/30/00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-44631643+43494000</f>
        <v>-1137643</v>
      </c>
      <c r="BS89" s="6"/>
      <c r="BT89" s="6">
        <f>+R89-BR89</f>
        <v>1137643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0</v>
      </c>
      <c r="BG91" s="244">
        <f t="shared" si="21"/>
        <v>0</v>
      </c>
      <c r="BH91" s="244">
        <f t="shared" si="21"/>
        <v>0</v>
      </c>
      <c r="BI91" s="244">
        <f t="shared" si="21"/>
        <v>0</v>
      </c>
      <c r="BJ91" s="244">
        <f t="shared" si="21"/>
        <v>0</v>
      </c>
      <c r="BK91" s="244">
        <f t="shared" si="21"/>
        <v>0</v>
      </c>
      <c r="BL91" s="244">
        <f t="shared" si="21"/>
        <v>40859039.620000005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0</v>
      </c>
      <c r="BH113" s="6">
        <v>0</v>
      </c>
      <c r="BJ113" s="6">
        <v>0</v>
      </c>
      <c r="BK113" s="6"/>
      <c r="BL113" s="6">
        <f>SUM(T113:BK113)</f>
        <v>624622.56000000006</v>
      </c>
      <c r="BM113" s="6"/>
      <c r="BN113" s="6">
        <v>0</v>
      </c>
      <c r="BO113" s="6"/>
      <c r="BP113" s="6">
        <f>+R113-BL113+BN113</f>
        <v>99163.439999999944</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0</v>
      </c>
      <c r="BG115" s="10"/>
      <c r="BH115" s="102">
        <f>SUM(BH112:BH114)</f>
        <v>0</v>
      </c>
      <c r="BI115" s="10"/>
      <c r="BJ115" s="102">
        <f>SUM(BJ112:BJ114)</f>
        <v>0</v>
      </c>
      <c r="BK115" s="9"/>
      <c r="BL115" s="102">
        <f>SUM(BL112:BL114)</f>
        <v>809622.56</v>
      </c>
      <c r="BM115" s="9"/>
      <c r="BN115" s="102">
        <f>SUM(BN112:BN114)</f>
        <v>0</v>
      </c>
      <c r="BO115" s="9"/>
      <c r="BP115" s="102">
        <f>SUM(BP112:BP114)</f>
        <v>99163.439999999944</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0</v>
      </c>
      <c r="BH135" s="6">
        <v>0</v>
      </c>
      <c r="BJ135" s="6">
        <v>0</v>
      </c>
      <c r="BK135" s="6"/>
      <c r="BL135" s="6">
        <f>SUM(T135:BK135)</f>
        <v>448935.30999999994</v>
      </c>
      <c r="BM135" s="6"/>
      <c r="BN135" s="6">
        <v>0</v>
      </c>
      <c r="BO135" s="6"/>
      <c r="BP135" s="6">
        <f>IF(+R135-BL135+BN135&gt;0,R135-BL135+BN135,0)</f>
        <v>1064.6900000000605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0</v>
      </c>
      <c r="BG137" s="10"/>
      <c r="BH137" s="102">
        <f>SUM(BH133:BH136)</f>
        <v>0</v>
      </c>
      <c r="BI137" s="10"/>
      <c r="BJ137" s="102">
        <f>SUM(BJ133:BJ136)</f>
        <v>0</v>
      </c>
      <c r="BK137" s="9"/>
      <c r="BL137" s="102">
        <f>SUM(BL133:BL136)</f>
        <v>448935.30999999994</v>
      </c>
      <c r="BM137" s="9"/>
      <c r="BN137" s="102">
        <f>SUM(BN133:BN136)</f>
        <v>0</v>
      </c>
      <c r="BO137" s="9"/>
      <c r="BP137" s="102">
        <f>SUM(BP133:BP136)</f>
        <v>1064.6900000000605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0</v>
      </c>
      <c r="BG139" s="9"/>
      <c r="BH139" s="9">
        <v>0</v>
      </c>
      <c r="BI139" s="9"/>
      <c r="BJ139" s="9">
        <v>0</v>
      </c>
      <c r="BK139" s="9"/>
      <c r="BL139" s="9">
        <f>SUM(T139:BK139)</f>
        <v>54121.05</v>
      </c>
      <c r="BM139" s="9"/>
      <c r="BN139" s="9">
        <v>0</v>
      </c>
      <c r="BO139" s="9"/>
      <c r="BP139" s="6">
        <f>IF(+R139-BL139+BN139&gt;0,R139-BL139+BN139,0)</f>
        <v>4945878.95</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0</v>
      </c>
      <c r="BG157" s="12"/>
      <c r="BH157" s="12">
        <v>0</v>
      </c>
      <c r="BI157" s="12"/>
      <c r="BJ157" s="12">
        <v>0</v>
      </c>
      <c r="BK157" s="12"/>
      <c r="BL157" s="12">
        <f t="shared" si="26"/>
        <v>440539.36999999994</v>
      </c>
      <c r="BM157" s="12"/>
      <c r="BN157" s="12">
        <v>0</v>
      </c>
      <c r="BO157" s="12"/>
      <c r="BP157" s="6">
        <f t="shared" si="27"/>
        <v>0</v>
      </c>
      <c r="BQ157" s="12"/>
      <c r="BR157" s="6">
        <f t="shared" si="28"/>
        <v>440539.36999999994</v>
      </c>
      <c r="BS157" s="12"/>
      <c r="BT157" s="6">
        <f t="shared" si="29"/>
        <v>-220539.36999999994</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0</v>
      </c>
      <c r="BG160" s="102">
        <f t="shared" si="30"/>
        <v>0</v>
      </c>
      <c r="BH160" s="102">
        <f t="shared" si="30"/>
        <v>0</v>
      </c>
      <c r="BI160" s="102">
        <f t="shared" si="30"/>
        <v>0</v>
      </c>
      <c r="BJ160" s="102">
        <f t="shared" si="30"/>
        <v>0</v>
      </c>
      <c r="BK160" s="102">
        <f t="shared" si="30"/>
        <v>0</v>
      </c>
      <c r="BL160" s="102">
        <f t="shared" si="30"/>
        <v>895471.55999999994</v>
      </c>
      <c r="BM160" s="102">
        <f t="shared" si="30"/>
        <v>0</v>
      </c>
      <c r="BN160" s="102">
        <f t="shared" si="30"/>
        <v>159233</v>
      </c>
      <c r="BO160" s="102">
        <f t="shared" si="30"/>
        <v>0</v>
      </c>
      <c r="BP160" s="102">
        <f t="shared" si="30"/>
        <v>88464.700000000012</v>
      </c>
      <c r="BQ160" s="102">
        <f t="shared" si="30"/>
        <v>0</v>
      </c>
      <c r="BR160" s="102">
        <f t="shared" si="30"/>
        <v>983936.25999999989</v>
      </c>
      <c r="BS160" s="102">
        <f t="shared" si="30"/>
        <v>0</v>
      </c>
      <c r="BT160" s="102">
        <f t="shared" si="30"/>
        <v>-583936.25999999989</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16256455.250295185</v>
      </c>
      <c r="BM171" s="120">
        <f t="shared" si="31"/>
        <v>0</v>
      </c>
      <c r="BN171" s="120">
        <f t="shared" si="31"/>
        <v>-566984</v>
      </c>
      <c r="BO171" s="120">
        <f t="shared" si="31"/>
        <v>0</v>
      </c>
      <c r="BP171" s="120">
        <f t="shared" si="31"/>
        <v>8245545.1899999995</v>
      </c>
      <c r="BQ171" s="120">
        <f t="shared" si="31"/>
        <v>0</v>
      </c>
      <c r="BR171" s="120">
        <f t="shared" si="31"/>
        <v>24502000.440295182</v>
      </c>
      <c r="BS171" s="120">
        <f t="shared" si="31"/>
        <v>0</v>
      </c>
      <c r="BT171" s="120">
        <f t="shared" si="31"/>
        <v>-918158.44029518298</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151476000.32029521</v>
      </c>
      <c r="BM176" s="168">
        <f t="shared" si="33"/>
        <v>3202104</v>
      </c>
      <c r="BN176" s="168">
        <f t="shared" si="33"/>
        <v>6801999</v>
      </c>
      <c r="BO176" s="168">
        <f t="shared" si="33"/>
        <v>4673615</v>
      </c>
      <c r="BP176" s="168">
        <f t="shared" si="33"/>
        <v>11515023.88999998</v>
      </c>
      <c r="BQ176" s="168">
        <f t="shared" si="33"/>
        <v>7699097</v>
      </c>
      <c r="BR176" s="168">
        <f t="shared" si="33"/>
        <v>162991024.14029518</v>
      </c>
      <c r="BS176" s="168">
        <f t="shared" si="33"/>
        <v>14335953</v>
      </c>
      <c r="BT176" s="168">
        <f t="shared" si="33"/>
        <v>-4539776.0402951837</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346789.41306445783</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0</v>
      </c>
      <c r="BG185" s="10">
        <f t="shared" si="34"/>
        <v>0</v>
      </c>
      <c r="BH185" s="10">
        <f t="shared" si="34"/>
        <v>0</v>
      </c>
      <c r="BI185" s="10">
        <f t="shared" si="34"/>
        <v>0</v>
      </c>
      <c r="BJ185" s="10">
        <f t="shared" si="34"/>
        <v>0</v>
      </c>
      <c r="BK185" s="10">
        <f t="shared" si="34"/>
        <v>0</v>
      </c>
      <c r="BL185" s="10">
        <f t="shared" si="34"/>
        <v>151364778.83029521</v>
      </c>
      <c r="BM185" s="10">
        <f t="shared" si="34"/>
        <v>3202104</v>
      </c>
      <c r="BN185" s="10">
        <f>BN176+BN179+BN181+BN183</f>
        <v>6801999</v>
      </c>
      <c r="BO185" s="10">
        <f t="shared" si="34"/>
        <v>4673615</v>
      </c>
      <c r="BP185" s="10">
        <f t="shared" si="34"/>
        <v>11514923.37999998</v>
      </c>
      <c r="BQ185" s="10">
        <f t="shared" si="34"/>
        <v>7699097</v>
      </c>
      <c r="BR185" s="10">
        <f t="shared" si="34"/>
        <v>162879702.14029518</v>
      </c>
      <c r="BS185" s="10">
        <f t="shared" si="34"/>
        <v>14335953</v>
      </c>
      <c r="BT185" s="10">
        <f t="shared" si="34"/>
        <v>-4539776.0402951837</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151491100.32029521</v>
      </c>
      <c r="BM198" s="121">
        <f t="shared" si="36"/>
        <v>3202104</v>
      </c>
      <c r="BN198" s="121">
        <f t="shared" si="36"/>
        <v>6801999</v>
      </c>
      <c r="BO198" s="121">
        <f t="shared" si="36"/>
        <v>4673615</v>
      </c>
      <c r="BP198" s="121">
        <f t="shared" si="36"/>
        <v>11515023.88999998</v>
      </c>
      <c r="BQ198" s="121">
        <f t="shared" si="36"/>
        <v>7699097</v>
      </c>
      <c r="BR198" s="121">
        <f t="shared" si="36"/>
        <v>163006124.14029518</v>
      </c>
      <c r="BS198" s="121">
        <f t="shared" si="36"/>
        <v>14335953</v>
      </c>
      <c r="BT198" s="121">
        <f t="shared" si="36"/>
        <v>-4539776.0402951837</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151379878.83029521</v>
      </c>
      <c r="BM200" s="121">
        <f t="shared" si="37"/>
        <v>3202104</v>
      </c>
      <c r="BN200" s="121">
        <f t="shared" si="37"/>
        <v>6801999</v>
      </c>
      <c r="BO200" s="121">
        <f t="shared" si="37"/>
        <v>4673615</v>
      </c>
      <c r="BP200" s="121">
        <f t="shared" si="37"/>
        <v>11514923.37999998</v>
      </c>
      <c r="BQ200" s="121">
        <f t="shared" si="37"/>
        <v>7699097</v>
      </c>
      <c r="BR200" s="121">
        <f t="shared" si="37"/>
        <v>162894802.14029518</v>
      </c>
      <c r="BS200" s="121">
        <f t="shared" si="37"/>
        <v>14335953</v>
      </c>
      <c r="BT200" s="121">
        <f t="shared" si="37"/>
        <v>-4539776.0402951837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583</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592</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584</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590</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570</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585</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579</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586</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84">
        <f>BL185-BL212</f>
        <v>263.08711501955986</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8"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2000-07-10T20:01:11Z</cp:lastPrinted>
  <dcterms:created xsi:type="dcterms:W3CDTF">1998-11-04T14:40:39Z</dcterms:created>
  <dcterms:modified xsi:type="dcterms:W3CDTF">2023-09-10T11:54:53Z</dcterms:modified>
</cp:coreProperties>
</file>