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ummary Output" sheetId="2" r:id="rId1"/>
    <sheet name="Assumptions" sheetId="3" r:id="rId2"/>
    <sheet name="Power Curves" sheetId="4" r:id="rId3"/>
    <sheet name="IS" sheetId="5" r:id="rId4"/>
    <sheet name="Debt" sheetId="6" r:id="rId5"/>
    <sheet name="CF" sheetId="7" r:id="rId6"/>
    <sheet name="Depreciation" sheetId="8" r:id="rId7"/>
    <sheet name="Tax" sheetId="9" r:id="rId8"/>
    <sheet name="Gleason" sheetId="10" r:id="rId9"/>
    <sheet name="Wheatland" sheetId="11" r:id="rId10"/>
    <sheet name="Wilton" sheetId="12" r:id="rId11"/>
    <sheet name="Allocation" sheetId="13" r:id="rId12"/>
  </sheets>
  <definedNames>
    <definedName name="Choices_Wrapper" localSheetId="11">Allocation!Choices_Wrapper</definedName>
    <definedName name="Choices_Wrapper" localSheetId="1">Assumptions!Choices_Wrapper</definedName>
    <definedName name="Choices_Wrapper" localSheetId="5">CF!Choices_Wrapper</definedName>
    <definedName name="Choices_Wrapper" localSheetId="4">Debt!Choices_Wrapper</definedName>
    <definedName name="Choices_Wrapper" localSheetId="6">Depreciation!Choices_Wrapper</definedName>
    <definedName name="Choices_Wrapper" localSheetId="8">Gleason!Choices_Wrapper</definedName>
    <definedName name="Choices_Wrapper" localSheetId="3">IS!Choices_Wrapper</definedName>
    <definedName name="Choices_Wrapper" localSheetId="2">'Power Curves'!Choices_Wrapper</definedName>
    <definedName name="Choices_Wrapper" localSheetId="7">Tax!Choices_Wrapper</definedName>
    <definedName name="Choices_Wrapper" localSheetId="9">Wheatland!Choices_Wrapper</definedName>
    <definedName name="Choices_Wrapper" localSheetId="10">Wilton!Choices_Wrapper</definedName>
    <definedName name="_xlnm.Print_Area" localSheetId="11">Allocation!$A$1:$E$10</definedName>
    <definedName name="_xlnm.Print_Area" localSheetId="1">Assumptions!$A$1:$G$41</definedName>
    <definedName name="_xlnm.Print_Area" localSheetId="5">CF!$A$1:$V$32</definedName>
    <definedName name="_xlnm.Print_Area" localSheetId="4">Debt!$A$1:$U$81</definedName>
    <definedName name="_xlnm.Print_Area" localSheetId="6">Depreciation!$A$2:$V$64</definedName>
    <definedName name="_xlnm.Print_Area" localSheetId="8">Gleason!$A$2:$U$85</definedName>
    <definedName name="_xlnm.Print_Area" localSheetId="3">IS!$A$2:$U$40</definedName>
    <definedName name="_xlnm.Print_Area" localSheetId="7">Tax!$A$2:$U$20</definedName>
    <definedName name="_xlnm.Print_Area" localSheetId="9">Wheatland!$A$2:$U$87</definedName>
    <definedName name="_xlnm.Print_Area" localSheetId="10">Wilton!$A$2:$U$79</definedName>
  </definedNames>
  <calcPr calcId="0" calcMode="autoNoTable" iterate="1"/>
</workbook>
</file>

<file path=xl/calcChain.xml><?xml version="1.0" encoding="utf-8"?>
<calcChain xmlns="http://schemas.openxmlformats.org/spreadsheetml/2006/main">
  <c r="C10" i="13" l="1"/>
  <c r="E10" i="13"/>
  <c r="G8" i="3"/>
  <c r="G9" i="3"/>
  <c r="G10" i="3"/>
  <c r="G11" i="3"/>
  <c r="C16" i="3"/>
  <c r="D16" i="3"/>
  <c r="E16" i="3"/>
  <c r="C17" i="3"/>
  <c r="D17" i="3"/>
  <c r="E17" i="3"/>
  <c r="D24" i="3"/>
  <c r="E24" i="3"/>
  <c r="C28" i="3"/>
  <c r="D28" i="3"/>
  <c r="E28" i="3"/>
  <c r="C29" i="3"/>
  <c r="D29" i="3"/>
  <c r="E29" i="3"/>
  <c r="C31" i="3"/>
  <c r="D31" i="3"/>
  <c r="E31" i="3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B8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B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V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B32" i="7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B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W14" i="6"/>
  <c r="X14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B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W34" i="6"/>
  <c r="X34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B45" i="6"/>
  <c r="C45" i="6"/>
  <c r="D45" i="6"/>
  <c r="E45" i="6"/>
  <c r="F45" i="6"/>
  <c r="G45" i="6"/>
  <c r="H45" i="6"/>
  <c r="I45" i="6"/>
  <c r="J45" i="6"/>
  <c r="K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B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W54" i="6"/>
  <c r="X54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L65" i="6"/>
  <c r="M65" i="6"/>
  <c r="N65" i="6"/>
  <c r="O65" i="6"/>
  <c r="P65" i="6"/>
  <c r="Q65" i="6"/>
  <c r="R65" i="6"/>
  <c r="S65" i="6"/>
  <c r="T65" i="6"/>
  <c r="U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B80" i="6"/>
  <c r="B81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E87" i="6"/>
  <c r="J87" i="6"/>
  <c r="O87" i="6"/>
  <c r="E88" i="6"/>
  <c r="J88" i="6"/>
  <c r="O88" i="6"/>
  <c r="E89" i="6"/>
  <c r="J89" i="6"/>
  <c r="O89" i="6"/>
  <c r="E90" i="6"/>
  <c r="J90" i="6"/>
  <c r="O90" i="6"/>
  <c r="E91" i="6"/>
  <c r="J91" i="6"/>
  <c r="O91" i="6"/>
  <c r="E92" i="6"/>
  <c r="J92" i="6"/>
  <c r="O92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B101" i="6"/>
  <c r="B102" i="6"/>
  <c r="B103" i="6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Y37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W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W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W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W11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W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W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W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W17" i="10"/>
  <c r="W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W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W20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W22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W24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W26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W28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W30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W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W33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W35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W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W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W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W44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W46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W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W49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W51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W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W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W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W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W63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W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W67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W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W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W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W74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S79" i="10"/>
  <c r="T79" i="10"/>
  <c r="U79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T81" i="10"/>
  <c r="U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W85" i="10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W12" i="5"/>
  <c r="X12" i="5"/>
  <c r="Y12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W15" i="5"/>
  <c r="X15" i="5"/>
  <c r="Y15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W18" i="5"/>
  <c r="X18" i="5"/>
  <c r="Y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W19" i="5"/>
  <c r="X19" i="5"/>
  <c r="Y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W20" i="5"/>
  <c r="X20" i="5"/>
  <c r="Y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W21" i="5"/>
  <c r="X21" i="5"/>
  <c r="Y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W22" i="5"/>
  <c r="X22" i="5"/>
  <c r="Y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W23" i="5"/>
  <c r="X23" i="5"/>
  <c r="Y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W24" i="5"/>
  <c r="X24" i="5"/>
  <c r="Y24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W27" i="5"/>
  <c r="X27" i="5"/>
  <c r="Y27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W29" i="5"/>
  <c r="X29" i="5"/>
  <c r="Y29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W31" i="5"/>
  <c r="X31" i="5"/>
  <c r="Y31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W33" i="5"/>
  <c r="X33" i="5"/>
  <c r="Y33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W35" i="5"/>
  <c r="X35" i="5"/>
  <c r="Y35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W37" i="5"/>
  <c r="X37" i="5"/>
  <c r="Y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W38" i="5"/>
  <c r="X38" i="5"/>
  <c r="Y38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W40" i="5"/>
  <c r="X40" i="5"/>
  <c r="Y40" i="5"/>
  <c r="C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B7" i="2"/>
  <c r="C7" i="2"/>
  <c r="F7" i="2"/>
  <c r="G7" i="2"/>
  <c r="B8" i="2"/>
  <c r="C8" i="2"/>
  <c r="B9" i="2"/>
  <c r="C9" i="2"/>
  <c r="F9" i="2"/>
  <c r="G9" i="2"/>
  <c r="E15" i="2"/>
  <c r="B16" i="2"/>
  <c r="C16" i="2"/>
  <c r="D16" i="2"/>
  <c r="B18" i="2"/>
  <c r="C18" i="2"/>
  <c r="D18" i="2"/>
  <c r="E20" i="2"/>
  <c r="E21" i="2"/>
  <c r="B22" i="2"/>
  <c r="C22" i="2"/>
  <c r="D22" i="2"/>
  <c r="E22" i="2"/>
  <c r="B34" i="2"/>
  <c r="B37" i="2"/>
  <c r="D42" i="2"/>
  <c r="E42" i="2"/>
  <c r="D44" i="2"/>
  <c r="D46" i="2"/>
  <c r="D48" i="2"/>
  <c r="D50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W8" i="9"/>
  <c r="X8" i="9"/>
  <c r="Y8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W24" i="9"/>
  <c r="X24" i="9"/>
  <c r="Y24" i="9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W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W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W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W11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W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W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W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W17" i="11"/>
  <c r="W18" i="11"/>
  <c r="W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W20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W22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W24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W26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W28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W30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W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W33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W35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W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W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W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W44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W46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W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W49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W51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W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W75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W76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S81" i="11"/>
  <c r="T81" i="11"/>
  <c r="U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T83" i="11"/>
  <c r="U83" i="11"/>
  <c r="B84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W87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W89" i="11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W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W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W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W11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W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W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W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W17" i="12"/>
  <c r="W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W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W20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W22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W24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W26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W28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W30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W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W33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W35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W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W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W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W44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W46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W48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W49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W51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W65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W66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W67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W68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S73" i="12"/>
  <c r="T73" i="12"/>
  <c r="U73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T75" i="12"/>
  <c r="U75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W79" i="12"/>
</calcChain>
</file>

<file path=xl/sharedStrings.xml><?xml version="1.0" encoding="utf-8"?>
<sst xmlns="http://schemas.openxmlformats.org/spreadsheetml/2006/main" count="494" uniqueCount="242">
  <si>
    <t>SUMMARY OUTPUT</t>
  </si>
  <si>
    <t>%</t>
  </si>
  <si>
    <t>000 $</t>
  </si>
  <si>
    <t>Uses of Funds</t>
  </si>
  <si>
    <t>2000 Plants</t>
  </si>
  <si>
    <t>SOURCES &amp; USES:</t>
  </si>
  <si>
    <t>Sources of Funds</t>
  </si>
  <si>
    <t xml:space="preserve">Total Equity </t>
  </si>
  <si>
    <t>Bond Proceeds</t>
  </si>
  <si>
    <t>Total Sources</t>
  </si>
  <si>
    <t>Total Uses</t>
  </si>
  <si>
    <t>FINANCING ASSUMPTIONS:</t>
  </si>
  <si>
    <t>Tranche 1</t>
  </si>
  <si>
    <t>Tranche 2</t>
  </si>
  <si>
    <t>Tranche 3</t>
  </si>
  <si>
    <t>Total</t>
  </si>
  <si>
    <t>Debt Financing Summary:</t>
  </si>
  <si>
    <t>Debt Closing Date</t>
  </si>
  <si>
    <t>Amount ('000 $)</t>
  </si>
  <si>
    <t>Term (yrs)</t>
  </si>
  <si>
    <t>Final Maturity</t>
  </si>
  <si>
    <t>Average Life (yrs)</t>
  </si>
  <si>
    <t xml:space="preserve">Treasury Rate (%) </t>
  </si>
  <si>
    <t>Spread (%)</t>
  </si>
  <si>
    <t>All-in Coupon Rate (%)</t>
  </si>
  <si>
    <t>Interest Income Rate</t>
  </si>
  <si>
    <t>Equity Financing Summary:</t>
  </si>
  <si>
    <t>Equity Closing Date</t>
  </si>
  <si>
    <t>DEPRECIATION ASSUMPTIONS:</t>
  </si>
  <si>
    <t>2000 Basis</t>
  </si>
  <si>
    <t>Year</t>
  </si>
  <si>
    <t>Method</t>
  </si>
  <si>
    <t>Residual (%)</t>
  </si>
  <si>
    <t>Federal &amp; State Tax Depreciation</t>
  </si>
  <si>
    <t>Total Project Cost</t>
  </si>
  <si>
    <t>MACRS</t>
  </si>
  <si>
    <t>Book Depreciation</t>
  </si>
  <si>
    <t>SL</t>
  </si>
  <si>
    <t>SUMMARY OUTPUT:</t>
  </si>
  <si>
    <t>Min</t>
  </si>
  <si>
    <t>Avg.</t>
  </si>
  <si>
    <t>DSCR</t>
  </si>
  <si>
    <t>Merchant Price Period</t>
  </si>
  <si>
    <t>Weighted Average Heat Rate (Btu/kWh)</t>
  </si>
  <si>
    <t>Summer Capacity (MW)</t>
  </si>
  <si>
    <t>Salvage Value (2 x EBITDA) at the end of 20 years ($/kW)</t>
  </si>
  <si>
    <t>Equity's After-Tax Returns with Salvage Value (20 yrs)</t>
  </si>
  <si>
    <t>GenCo EBITDA (000 $)</t>
  </si>
  <si>
    <t>GenCo Net Income (000 $)</t>
  </si>
  <si>
    <t>GenCo Pre-Tax Cashflow (000 $)</t>
  </si>
  <si>
    <t>GenCo After-Tax Cashflow (000 $)</t>
  </si>
  <si>
    <t>ASSUMPTIONS</t>
  </si>
  <si>
    <t>TECHNICAL ASSUMPTIONS:</t>
  </si>
  <si>
    <t>2000 PROJECTS</t>
  </si>
  <si>
    <t>Gleason</t>
  </si>
  <si>
    <t>Wheatland</t>
  </si>
  <si>
    <t>Wilton</t>
  </si>
  <si>
    <t>Number of Turbines</t>
  </si>
  <si>
    <t>Summer Heat Rate (HHV, Btu/kWh)</t>
  </si>
  <si>
    <t>Numbers of Starts</t>
  </si>
  <si>
    <t>PRICING ASSUMPTIONS:</t>
  </si>
  <si>
    <t>Energy Charge ($/MWh)</t>
  </si>
  <si>
    <t>Start Charge ($/Start/Turbine)</t>
  </si>
  <si>
    <t>Annual Generation (MWh)</t>
  </si>
  <si>
    <t>OPERATING COSTS ASSUMPTIONS:</t>
  </si>
  <si>
    <t>Variable O&amp;M ($/MWh)</t>
  </si>
  <si>
    <t>Major Maintenance ($/Start/Turbine)</t>
  </si>
  <si>
    <t>Annual Escalator</t>
  </si>
  <si>
    <t>Annual Cost (000$ in Year 2000)</t>
  </si>
  <si>
    <t>Fixed O&amp;M</t>
  </si>
  <si>
    <t>Variable O&amp;M</t>
  </si>
  <si>
    <t>Major Maintenance Per Plant</t>
  </si>
  <si>
    <t>Owner's Expense</t>
  </si>
  <si>
    <t>Property Tax Liability</t>
  </si>
  <si>
    <t>TAX ASSUMPTIONS:</t>
  </si>
  <si>
    <t>N/A</t>
  </si>
  <si>
    <t>Federal Income Tax Rate</t>
  </si>
  <si>
    <t>State Income Tax Rate</t>
  </si>
  <si>
    <t>Adjusted Gross Income Tax</t>
  </si>
  <si>
    <t>Gross Receipts Tax Rate</t>
  </si>
  <si>
    <t>Franchise Tax Rate (Year 1)</t>
  </si>
  <si>
    <t>Franchise Tax Rate (Year 2-20)</t>
  </si>
  <si>
    <t>POWER PRICE ASSUMPTION</t>
  </si>
  <si>
    <t>MERCHANT PRICE PERIOD</t>
  </si>
  <si>
    <t>ICF Capacity Price Escalator</t>
  </si>
  <si>
    <t>TVA Capacity Curves:</t>
  </si>
  <si>
    <t>(for Gleason)</t>
  </si>
  <si>
    <t>1998 $</t>
  </si>
  <si>
    <t>ICF Base ($/kW-year)</t>
  </si>
  <si>
    <t>Nominal $</t>
  </si>
  <si>
    <t>ICF Base ($/kW-year )</t>
  </si>
  <si>
    <t>Gleason Capacity Price Curve</t>
  </si>
  <si>
    <t>Southern ECAR Capacity Curves:</t>
  </si>
  <si>
    <t>(for Wheatland)</t>
  </si>
  <si>
    <t>Wheatland Capacity Price Curve</t>
  </si>
  <si>
    <t>Com Ed Capacity Curves:</t>
  </si>
  <si>
    <t>(for Wilton Center)</t>
  </si>
  <si>
    <t>Wilton Capacity Price Curve</t>
  </si>
  <si>
    <t>GENCO INCOME STATEMENT</t>
  </si>
  <si>
    <t>('000 $)</t>
  </si>
  <si>
    <t>Revenue</t>
  </si>
  <si>
    <t>Merchant Period:</t>
  </si>
  <si>
    <t>Demand Payment</t>
  </si>
  <si>
    <t xml:space="preserve">Variable Revenue </t>
  </si>
  <si>
    <t>Interest Income</t>
  </si>
  <si>
    <t>Total Revenue</t>
  </si>
  <si>
    <t>Expense</t>
  </si>
  <si>
    <t>Major Maintenance</t>
  </si>
  <si>
    <t>Property Taxes</t>
  </si>
  <si>
    <t xml:space="preserve">Franchise Tax 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</si>
  <si>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</si>
  <si>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</si>
  <si>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</si>
  <si>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</si>
  <si>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</si>
  <si>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</si>
  <si>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(Exp)</t>
  </si>
  <si>
    <t>Shareholder Fed. Tax Benefit / (Exp)</t>
  </si>
  <si>
    <t>Net Income</t>
  </si>
  <si>
    <t>DEBT ISSUANCE</t>
  </si>
  <si>
    <t>Principal</t>
  </si>
  <si>
    <t>Check</t>
  </si>
  <si>
    <t>Beginning Balance</t>
  </si>
  <si>
    <t xml:space="preserve">Interest Payment </t>
  </si>
  <si>
    <t>Ending Balance</t>
  </si>
  <si>
    <t>Amortization %</t>
  </si>
  <si>
    <t xml:space="preserve">Principal Payment </t>
  </si>
  <si>
    <t>Total Debt</t>
  </si>
  <si>
    <t>Principal Payments</t>
  </si>
  <si>
    <t>Net Debt Service</t>
  </si>
  <si>
    <t>ACTUAL DSCR</t>
  </si>
  <si>
    <t>Minimum</t>
  </si>
  <si>
    <t>Average</t>
  </si>
  <si>
    <t>Accrued Interest</t>
  </si>
  <si>
    <t>Treasury (%)</t>
  </si>
  <si>
    <t>All In Coupon Rate (%)</t>
  </si>
  <si>
    <t>Term (years)</t>
  </si>
  <si>
    <t>Average Life (years)</t>
  </si>
  <si>
    <t>Total amount ($ '000)</t>
  </si>
  <si>
    <t>Time Factor</t>
  </si>
  <si>
    <t>Average Life</t>
  </si>
  <si>
    <t>ANNUAL CASH FLOW AND IRR</t>
  </si>
  <si>
    <t>GENCO CASH FLOW</t>
  </si>
  <si>
    <t>Close</t>
  </si>
  <si>
    <t>Plus Property Tax Liability</t>
  </si>
  <si>
    <t>Less Property Tax Expense</t>
  </si>
  <si>
    <t>Less Principal Payments</t>
  </si>
  <si>
    <t>Less Interest Payments</t>
  </si>
  <si>
    <t>Pre-Tax Cash Flow</t>
  </si>
  <si>
    <t xml:space="preserve">  GenCo's State Tax Benefit/(Exp)</t>
  </si>
  <si>
    <t xml:space="preserve">  GenCo's Federal Tax Benefit/(Exp)</t>
  </si>
  <si>
    <t>After-Tax Cash Flow</t>
  </si>
  <si>
    <t>IRR Calculation</t>
  </si>
  <si>
    <t>Equity's Contribution</t>
  </si>
  <si>
    <t>Equity's After-Tax Cashflow</t>
  </si>
  <si>
    <t>Salvage Value</t>
  </si>
  <si>
    <t>Equity's Net Cashflow</t>
  </si>
  <si>
    <t xml:space="preserve">   IRR</t>
  </si>
  <si>
    <t>GENCO DEPRECIATION</t>
  </si>
  <si>
    <t>Initial</t>
  </si>
  <si>
    <t>Book Value</t>
  </si>
  <si>
    <t>No. of Months in Operation</t>
  </si>
  <si>
    <t>% Depreciated</t>
  </si>
  <si>
    <t>Beginning Book Value</t>
  </si>
  <si>
    <t>Depreciation</t>
  </si>
  <si>
    <t>Ending Book Value</t>
  </si>
  <si>
    <t>15 Year MACRS Table</t>
  </si>
  <si>
    <t>GenCo</t>
  </si>
  <si>
    <t>Tax Depreciation</t>
  </si>
  <si>
    <t>Project Cost</t>
  </si>
  <si>
    <t>Beginning Value</t>
  </si>
  <si>
    <t>Ending Value</t>
  </si>
  <si>
    <t>Tax Depreciation From Above</t>
  </si>
  <si>
    <t>Tax Depreciation From 3 Plants</t>
  </si>
  <si>
    <t>Difference</t>
  </si>
  <si>
    <t>GENCO FEDERAL TAXES</t>
  </si>
  <si>
    <t>STATE TAXES</t>
  </si>
  <si>
    <t>Total State Taxes Utilizing NOLs</t>
  </si>
  <si>
    <t>FEDERAL TAXES</t>
  </si>
  <si>
    <t>Pretax Book Income</t>
  </si>
  <si>
    <t>Plus Book Depreciation &amp; Amortization</t>
  </si>
  <si>
    <t>Less: Tax Depreciation</t>
  </si>
  <si>
    <t>Less: State Taxes</t>
  </si>
  <si>
    <t>Federal Taxable Income</t>
  </si>
  <si>
    <t>Federal Tax Rate</t>
  </si>
  <si>
    <t>Federal Tax Expense/ (Benefit)</t>
  </si>
  <si>
    <t>NOL Carryforward</t>
  </si>
  <si>
    <t>NOL Utilization</t>
  </si>
  <si>
    <t>Fed Cash Taxes Payable/(Benefit)</t>
  </si>
  <si>
    <t>INCOME STATEMENT - GLEASON</t>
  </si>
  <si>
    <t>Property Taxes Liability</t>
  </si>
  <si>
    <t>Franchise Tax</t>
  </si>
  <si>
    <t>Book State Tax Benefit / (Expense)</t>
  </si>
  <si>
    <t>Shareholder Fed. Tax Benefit / (Expense)</t>
  </si>
  <si>
    <t>After Tax Book Income</t>
  </si>
  <si>
    <t>CASH FLOW - GLEASON</t>
  </si>
  <si>
    <t>Debt Service</t>
  </si>
  <si>
    <t>Pre Tax Cash Flow</t>
  </si>
  <si>
    <t xml:space="preserve"> State Cash Taxes Benefit (Expense)</t>
  </si>
  <si>
    <t xml:space="preserve"> Federal Cash Taxes Benefit (Expense)</t>
  </si>
  <si>
    <t>After Tax Cash Flow</t>
  </si>
  <si>
    <t>STATE TAX &amp; FRANCHISE TAX - GLEASON</t>
  </si>
  <si>
    <t>FRANCHISE TAX</t>
  </si>
  <si>
    <t>Book Value of Assets</t>
  </si>
  <si>
    <t>Paid-In-Capital</t>
  </si>
  <si>
    <t>Retained Earnings</t>
  </si>
  <si>
    <t>Outstanding Debt</t>
  </si>
  <si>
    <t>Total Capitalization</t>
  </si>
  <si>
    <t>Greater of Book Value and Capitalization</t>
  </si>
  <si>
    <t>State Franchise Tax Rate</t>
  </si>
  <si>
    <t>State Franchise Tax Liability</t>
  </si>
  <si>
    <t>Less Tax Depreciation</t>
  </si>
  <si>
    <t>State Taxable Income</t>
  </si>
  <si>
    <t>Current State Income Tax Expense (Benefit)</t>
  </si>
  <si>
    <t>Beginning NOLs</t>
  </si>
  <si>
    <t>New NOLs</t>
  </si>
  <si>
    <t>Expired NOLs</t>
  </si>
  <si>
    <t>Ending NOLs</t>
  </si>
  <si>
    <t>INCOME STATEMENT - WHEATLAND</t>
  </si>
  <si>
    <t>CASH FLOW - WHEATLAND</t>
  </si>
  <si>
    <t>STATE TAX &amp; SUPPLEMENTAL TAX - WHEATLAND</t>
  </si>
  <si>
    <t>SUPPLEMENTAL TAXES</t>
  </si>
  <si>
    <t>Adjusted Gross Income Rate</t>
  </si>
  <si>
    <t>State Adjusted Gross Income Tax</t>
  </si>
  <si>
    <t>State Gross Receipts Taxes</t>
  </si>
  <si>
    <t>Gross Receipts</t>
  </si>
  <si>
    <t>Gross Receipts Tax Liability</t>
  </si>
  <si>
    <t>Greater of Adjusted or Gross Receipts</t>
  </si>
  <si>
    <t>Current State Income Tax Exp/(Benefit)</t>
  </si>
  <si>
    <t>Total State &amp; Misc. Taxes</t>
  </si>
  <si>
    <t>INCOME STATEMENT - WILTON</t>
  </si>
  <si>
    <t>CASH FLOW - WILTON</t>
  </si>
  <si>
    <t>STATE TAX &amp; FRANCHISE TAX - WILTON</t>
  </si>
  <si>
    <t>Beginning NOL's</t>
  </si>
  <si>
    <t>New NOL's</t>
  </si>
  <si>
    <t>Expired NOL's</t>
  </si>
  <si>
    <t>Ending NOL's</t>
  </si>
  <si>
    <t>ALLOCATION</t>
  </si>
  <si>
    <t>Project</t>
  </si>
  <si>
    <t>By Project Cost</t>
  </si>
  <si>
    <t>By Cashflow</t>
  </si>
  <si>
    <t>Required After-Tax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</si>
</sst>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6" formatCode="&quot;$&quot;#,##0_);[Red]\(&quot;$&quot;#,##0\)"/>
    <numFmt numFmtId="7" formatCode="&quot;$&quot;#,##0.00_);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0.000000000000000%"/>
    <numFmt numFmtId="167" formatCode="0.00\x"/>
    <numFmt numFmtId="168" formatCode="_(* #,##0_);_(* \(#,##0\);_(* &quot;-&quot;??_);_(@_)"/>
    <numFmt numFmtId="169" formatCode="0.0"/>
    <numFmt numFmtId="170" formatCode="0.00\x_);\(0.00\x\)"/>
    <numFmt numFmtId="171" formatCode="_(* #,##0.0_);_(* \(#,##0.0\);_(* &quot;-&quot;??_);_(@_)"/>
    <numFmt numFmtId="172" formatCode="yyyy"/>
    <numFmt numFmtId="173" formatCode="0.0000"/>
    <numFmt numFmtId="174" formatCode="0.000"/>
    <numFmt numFmtId="175" formatCode="_(&quot;$&quot;* #,##0_);_(&quot;$&quot;* \(#,##0\);_(&quot;$&quot;* &quot;-&quot;??_);_(@_)"/>
  </numFmts>
  <fonts count="3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i/>
      <u/>
      <sz val="10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b/>
      <sz val="10"/>
      <color indexed="20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i/>
      <sz val="10"/>
      <name val="Arial"/>
      <family val="2"/>
    </font>
    <font>
      <b/>
      <sz val="10"/>
      <color indexed="9"/>
      <name val="Arial"/>
      <family val="2"/>
    </font>
    <font>
      <b/>
      <i/>
      <sz val="10"/>
      <color indexed="10"/>
      <name val="Arial"/>
      <family val="2"/>
    </font>
    <font>
      <i/>
      <sz val="10"/>
      <color indexed="10"/>
      <name val="Arial"/>
      <family val="2"/>
    </font>
    <font>
      <sz val="10"/>
      <color indexed="8"/>
      <name val="Arial"/>
      <family val="2"/>
    </font>
    <font>
      <b/>
      <u/>
      <sz val="10"/>
      <color indexed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sz val="8"/>
      <name val="Arial"/>
    </font>
    <font>
      <sz val="10"/>
      <color indexed="9"/>
      <name val="Arial"/>
      <family val="2"/>
    </font>
    <font>
      <b/>
      <sz val="8"/>
      <name val="Arial"/>
      <family val="2"/>
    </font>
    <font>
      <u val="singleAccounting"/>
      <sz val="10"/>
      <name val="Arial"/>
      <family val="2"/>
    </font>
    <font>
      <u val="singleAccounting"/>
      <sz val="8"/>
      <name val="Arial"/>
      <family val="2"/>
    </font>
    <font>
      <u/>
      <sz val="10"/>
      <color indexed="8"/>
      <name val="Arial"/>
      <family val="2"/>
    </font>
    <font>
      <i/>
      <u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37" fontId="26" fillId="0" borderId="0" applyBorder="0" applyAlignment="0" applyProtection="0">
      <alignment horizontal="center"/>
    </xf>
    <xf numFmtId="9" fontId="1" fillId="0" borderId="0" applyFont="0" applyFill="0" applyBorder="0" applyAlignment="0" applyProtection="0"/>
  </cellStyleXfs>
  <cellXfs count="398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3" applyFont="1" applyFill="1" applyBorder="1"/>
    <xf numFmtId="0" fontId="3" fillId="0" borderId="0" xfId="0" applyFont="1" applyFill="1"/>
    <xf numFmtId="0" fontId="4" fillId="0" borderId="1" xfId="0" applyFont="1" applyFill="1" applyBorder="1" applyAlignment="1" applyProtection="1">
      <alignment horizontal="left"/>
    </xf>
    <xf numFmtId="0" fontId="3" fillId="0" borderId="2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5" fillId="0" borderId="4" xfId="0" applyFont="1" applyBorder="1" applyAlignment="1" applyProtection="1">
      <alignment horizontal="left"/>
    </xf>
    <xf numFmtId="0" fontId="5" fillId="0" borderId="0" xfId="0" applyFont="1" applyBorder="1" applyAlignment="1">
      <alignment horizontal="center"/>
    </xf>
    <xf numFmtId="6" fontId="5" fillId="0" borderId="0" xfId="0" quotePrefix="1" applyNumberFormat="1" applyFont="1" applyBorder="1" applyAlignment="1">
      <alignment horizontal="center"/>
    </xf>
    <xf numFmtId="0" fontId="3" fillId="0" borderId="0" xfId="0" applyFont="1" applyBorder="1"/>
    <xf numFmtId="0" fontId="5" fillId="0" borderId="0" xfId="0" applyFont="1" applyBorder="1" applyAlignment="1" applyProtection="1">
      <alignment horizontal="left"/>
    </xf>
    <xf numFmtId="0" fontId="5" fillId="0" borderId="5" xfId="0" quotePrefix="1" applyFont="1" applyBorder="1" applyAlignment="1">
      <alignment horizontal="center"/>
    </xf>
    <xf numFmtId="0" fontId="3" fillId="0" borderId="4" xfId="0" applyFont="1" applyBorder="1" applyAlignment="1" applyProtection="1">
      <alignment horizontal="left"/>
    </xf>
    <xf numFmtId="9" fontId="3" fillId="0" borderId="0" xfId="0" applyNumberFormat="1" applyFont="1" applyFill="1" applyBorder="1" applyAlignment="1">
      <alignment horizontal="center"/>
    </xf>
    <xf numFmtId="38" fontId="3" fillId="0" borderId="0" xfId="1" applyNumberFormat="1" applyFont="1" applyBorder="1" applyAlignment="1">
      <alignment horizontal="center"/>
    </xf>
    <xf numFmtId="10" fontId="3" fillId="0" borderId="0" xfId="0" applyNumberFormat="1" applyFont="1" applyBorder="1"/>
    <xf numFmtId="9" fontId="5" fillId="0" borderId="0" xfId="0" applyNumberFormat="1" applyFont="1" applyBorder="1" applyAlignment="1">
      <alignment horizontal="center"/>
    </xf>
    <xf numFmtId="38" fontId="5" fillId="0" borderId="5" xfId="1" applyNumberFormat="1" applyFont="1" applyBorder="1" applyAlignment="1">
      <alignment horizontal="center"/>
    </xf>
    <xf numFmtId="9" fontId="5" fillId="0" borderId="0" xfId="0" applyNumberFormat="1" applyFont="1" applyFill="1" applyBorder="1" applyAlignment="1">
      <alignment horizontal="center"/>
    </xf>
    <xf numFmtId="38" fontId="5" fillId="0" borderId="0" xfId="1" applyNumberFormat="1" applyFont="1" applyBorder="1" applyAlignment="1">
      <alignment horizontal="center"/>
    </xf>
    <xf numFmtId="38" fontId="5" fillId="0" borderId="0" xfId="0" applyNumberFormat="1" applyFont="1" applyBorder="1"/>
    <xf numFmtId="0" fontId="3" fillId="0" borderId="0" xfId="0" applyFont="1" applyBorder="1" applyAlignment="1" applyProtection="1">
      <alignment horizontal="left"/>
    </xf>
    <xf numFmtId="0" fontId="3" fillId="0" borderId="5" xfId="0" applyFont="1" applyBorder="1"/>
    <xf numFmtId="0" fontId="4" fillId="0" borderId="6" xfId="0" applyFont="1" applyBorder="1" applyAlignment="1">
      <alignment horizontal="left"/>
    </xf>
    <xf numFmtId="9" fontId="4" fillId="0" borderId="7" xfId="0" applyNumberFormat="1" applyFont="1" applyBorder="1" applyAlignment="1" applyProtection="1">
      <alignment horizontal="center"/>
    </xf>
    <xf numFmtId="38" fontId="4" fillId="0" borderId="7" xfId="1" applyNumberFormat="1" applyFont="1" applyBorder="1" applyAlignment="1" applyProtection="1">
      <alignment horizontal="center"/>
    </xf>
    <xf numFmtId="0" fontId="3" fillId="0" borderId="7" xfId="0" applyFont="1" applyBorder="1"/>
    <xf numFmtId="0" fontId="4" fillId="0" borderId="7" xfId="0" applyFont="1" applyBorder="1"/>
    <xf numFmtId="9" fontId="4" fillId="0" borderId="7" xfId="0" applyNumberFormat="1" applyFont="1" applyBorder="1" applyAlignment="1">
      <alignment horizontal="center"/>
    </xf>
    <xf numFmtId="38" fontId="4" fillId="0" borderId="8" xfId="1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left"/>
    </xf>
    <xf numFmtId="10" fontId="5" fillId="0" borderId="0" xfId="0" applyNumberFormat="1" applyFont="1" applyBorder="1" applyAlignment="1" applyProtection="1">
      <alignment horizontal="center"/>
    </xf>
    <xf numFmtId="164" fontId="3" fillId="0" borderId="0" xfId="5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3" fillId="0" borderId="4" xfId="0" applyFont="1" applyBorder="1"/>
    <xf numFmtId="0" fontId="6" fillId="2" borderId="0" xfId="0" applyFont="1" applyFill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0" fontId="4" fillId="0" borderId="4" xfId="0" applyFont="1" applyBorder="1"/>
    <xf numFmtId="0" fontId="2" fillId="0" borderId="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5" fontId="3" fillId="3" borderId="0" xfId="0" applyNumberFormat="1" applyFont="1" applyFill="1" applyBorder="1" applyAlignment="1">
      <alignment horizontal="center"/>
    </xf>
    <xf numFmtId="37" fontId="3" fillId="3" borderId="0" xfId="0" applyNumberFormat="1" applyFont="1" applyFill="1" applyBorder="1" applyAlignment="1">
      <alignment horizontal="center"/>
    </xf>
    <xf numFmtId="37" fontId="2" fillId="0" borderId="0" xfId="0" applyNumberFormat="1" applyFont="1" applyFill="1" applyBorder="1" applyAlignment="1">
      <alignment horizontal="center"/>
    </xf>
    <xf numFmtId="40" fontId="3" fillId="0" borderId="0" xfId="0" applyNumberFormat="1" applyFont="1" applyBorder="1"/>
    <xf numFmtId="40" fontId="3" fillId="0" borderId="5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 applyAlignment="1">
      <alignment horizontal="center"/>
    </xf>
    <xf numFmtId="165" fontId="3" fillId="3" borderId="0" xfId="0" applyNumberFormat="1" applyFont="1" applyFill="1" applyBorder="1" applyAlignment="1">
      <alignment horizontal="center"/>
    </xf>
    <xf numFmtId="165" fontId="2" fillId="0" borderId="0" xfId="5" applyNumberFormat="1" applyFont="1" applyFill="1" applyBorder="1" applyAlignment="1">
      <alignment horizontal="center"/>
    </xf>
    <xf numFmtId="0" fontId="5" fillId="0" borderId="4" xfId="0" applyFont="1" applyBorder="1"/>
    <xf numFmtId="165" fontId="5" fillId="3" borderId="0" xfId="0" applyNumberFormat="1" applyFont="1" applyFill="1" applyBorder="1" applyAlignment="1">
      <alignment horizontal="center"/>
    </xf>
    <xf numFmtId="165" fontId="4" fillId="0" borderId="0" xfId="5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0" fontId="3" fillId="3" borderId="0" xfId="0" applyNumberFormat="1" applyFont="1" applyFill="1" applyBorder="1" applyAlignment="1">
      <alignment horizontal="center"/>
    </xf>
    <xf numFmtId="2" fontId="3" fillId="0" borderId="0" xfId="0" applyNumberFormat="1" applyFont="1" applyBorder="1"/>
    <xf numFmtId="9" fontId="3" fillId="0" borderId="0" xfId="0" applyNumberFormat="1" applyFont="1" applyBorder="1"/>
    <xf numFmtId="166" fontId="3" fillId="0" borderId="5" xfId="0" applyNumberFormat="1" applyFont="1" applyBorder="1"/>
    <xf numFmtId="37" fontId="2" fillId="3" borderId="0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left"/>
    </xf>
    <xf numFmtId="164" fontId="2" fillId="3" borderId="7" xfId="5" applyNumberFormat="1" applyFont="1" applyFill="1" applyBorder="1" applyAlignment="1">
      <alignment horizontal="center"/>
    </xf>
    <xf numFmtId="0" fontId="3" fillId="0" borderId="8" xfId="0" applyFont="1" applyBorder="1"/>
    <xf numFmtId="0" fontId="4" fillId="0" borderId="1" xfId="0" applyFont="1" applyFill="1" applyBorder="1"/>
    <xf numFmtId="0" fontId="4" fillId="0" borderId="2" xfId="0" applyFont="1" applyFill="1" applyBorder="1" applyAlignment="1">
      <alignment horizontal="centerContinuous"/>
    </xf>
    <xf numFmtId="0" fontId="5" fillId="0" borderId="0" xfId="0" applyFont="1" applyFill="1" applyBorder="1" applyAlignment="1">
      <alignment horizontal="center"/>
    </xf>
    <xf numFmtId="0" fontId="5" fillId="0" borderId="4" xfId="0" applyFont="1" applyFill="1" applyBorder="1"/>
    <xf numFmtId="10" fontId="2" fillId="0" borderId="0" xfId="0" applyNumberFormat="1" applyFont="1" applyFill="1" applyBorder="1"/>
    <xf numFmtId="0" fontId="3" fillId="0" borderId="4" xfId="0" applyFont="1" applyFill="1" applyBorder="1"/>
    <xf numFmtId="38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9" fontId="3" fillId="0" borderId="0" xfId="5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0" fontId="3" fillId="0" borderId="0" xfId="5" applyNumberFormat="1" applyFont="1" applyFill="1" applyBorder="1" applyAlignment="1">
      <alignment horizontal="center"/>
    </xf>
    <xf numFmtId="0" fontId="3" fillId="0" borderId="6" xfId="0" applyFont="1" applyFill="1" applyBorder="1"/>
    <xf numFmtId="38" fontId="3" fillId="0" borderId="7" xfId="0" applyNumberFormat="1" applyFont="1" applyBorder="1" applyAlignment="1">
      <alignment horizontal="center"/>
    </xf>
    <xf numFmtId="38" fontId="3" fillId="0" borderId="7" xfId="0" applyNumberFormat="1" applyFont="1" applyFill="1" applyBorder="1" applyAlignment="1">
      <alignment horizontal="center"/>
    </xf>
    <xf numFmtId="43" fontId="3" fillId="0" borderId="7" xfId="1" applyFont="1" applyFill="1" applyBorder="1" applyAlignment="1">
      <alignment horizontal="center"/>
    </xf>
    <xf numFmtId="9" fontId="3" fillId="0" borderId="7" xfId="5" applyFont="1" applyFill="1" applyBorder="1" applyAlignment="1">
      <alignment horizontal="center"/>
    </xf>
    <xf numFmtId="0" fontId="5" fillId="0" borderId="0" xfId="0" applyFont="1" applyBorder="1"/>
    <xf numFmtId="167" fontId="3" fillId="0" borderId="0" xfId="1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38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0" fontId="3" fillId="0" borderId="6" xfId="0" applyFont="1" applyBorder="1"/>
    <xf numFmtId="0" fontId="4" fillId="0" borderId="3" xfId="0" applyFont="1" applyBorder="1" applyAlignment="1">
      <alignment horizontal="centerContinuous"/>
    </xf>
    <xf numFmtId="0" fontId="3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38" fontId="3" fillId="0" borderId="5" xfId="0" applyNumberFormat="1" applyFont="1" applyFill="1" applyBorder="1" applyAlignment="1">
      <alignment horizontal="center"/>
    </xf>
    <xf numFmtId="3" fontId="3" fillId="0" borderId="0" xfId="1" applyNumberFormat="1" applyFont="1" applyBorder="1" applyAlignment="1">
      <alignment horizontal="center"/>
    </xf>
    <xf numFmtId="38" fontId="3" fillId="3" borderId="7" xfId="0" applyNumberFormat="1" applyFont="1" applyFill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3" xfId="0" applyFont="1" applyFill="1" applyBorder="1"/>
    <xf numFmtId="0" fontId="3" fillId="0" borderId="5" xfId="0" applyFont="1" applyFill="1" applyBorder="1"/>
    <xf numFmtId="39" fontId="3" fillId="0" borderId="0" xfId="1" applyNumberFormat="1" applyFont="1" applyFill="1" applyBorder="1" applyAlignment="1">
      <alignment horizontal="center"/>
    </xf>
    <xf numFmtId="3" fontId="3" fillId="3" borderId="7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40" fontId="3" fillId="0" borderId="2" xfId="0" applyNumberFormat="1" applyFont="1" applyFill="1" applyBorder="1" applyAlignment="1">
      <alignment horizontal="center"/>
    </xf>
    <xf numFmtId="40" fontId="3" fillId="0" borderId="3" xfId="0" applyNumberFormat="1" applyFont="1" applyFill="1" applyBorder="1" applyAlignment="1">
      <alignment horizontal="center"/>
    </xf>
    <xf numFmtId="0" fontId="3" fillId="0" borderId="4" xfId="0" applyFont="1" applyFill="1" applyBorder="1" applyAlignment="1" applyProtection="1">
      <alignment horizontal="left"/>
    </xf>
    <xf numFmtId="39" fontId="3" fillId="3" borderId="0" xfId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10" fontId="3" fillId="0" borderId="5" xfId="0" applyNumberFormat="1" applyFont="1" applyFill="1" applyBorder="1" applyAlignment="1">
      <alignment horizontal="center"/>
    </xf>
    <xf numFmtId="10" fontId="3" fillId="0" borderId="5" xfId="5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68" fontId="3" fillId="0" borderId="0" xfId="1" applyNumberFormat="1" applyFont="1" applyBorder="1" applyAlignment="1">
      <alignment horizontal="center"/>
    </xf>
    <xf numFmtId="3" fontId="3" fillId="3" borderId="0" xfId="1" applyNumberFormat="1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3" fontId="3" fillId="0" borderId="7" xfId="1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0" fontId="3" fillId="3" borderId="0" xfId="5" applyNumberFormat="1" applyFont="1" applyFill="1" applyBorder="1" applyAlignment="1">
      <alignment horizontal="center"/>
    </xf>
    <xf numFmtId="10" fontId="3" fillId="3" borderId="7" xfId="5" applyNumberFormat="1" applyFont="1" applyFill="1" applyBorder="1" applyAlignment="1">
      <alignment horizontal="center"/>
    </xf>
    <xf numFmtId="44" fontId="3" fillId="0" borderId="0" xfId="2" applyFont="1" applyFill="1" applyBorder="1"/>
    <xf numFmtId="7" fontId="3" fillId="0" borderId="0" xfId="1" applyNumberFormat="1" applyFont="1" applyBorder="1"/>
    <xf numFmtId="0" fontId="4" fillId="0" borderId="0" xfId="1" applyNumberFormat="1" applyFont="1" applyBorder="1" applyAlignment="1">
      <alignment horizontal="right"/>
    </xf>
    <xf numFmtId="0" fontId="4" fillId="0" borderId="0" xfId="0" applyFont="1" applyBorder="1"/>
    <xf numFmtId="10" fontId="7" fillId="0" borderId="9" xfId="5" applyNumberFormat="1" applyFont="1" applyFill="1" applyBorder="1" applyAlignment="1">
      <alignment horizontal="right"/>
    </xf>
    <xf numFmtId="43" fontId="3" fillId="0" borderId="0" xfId="0" applyNumberFormat="1" applyFont="1" applyBorder="1"/>
    <xf numFmtId="10" fontId="7" fillId="0" borderId="0" xfId="5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8" fillId="0" borderId="0" xfId="0" applyFont="1" applyBorder="1"/>
    <xf numFmtId="2" fontId="9" fillId="0" borderId="0" xfId="1" applyNumberFormat="1" applyFont="1" applyFill="1" applyBorder="1" applyAlignment="1">
      <alignment horizontal="right"/>
    </xf>
    <xf numFmtId="43" fontId="3" fillId="0" borderId="0" xfId="1" applyNumberFormat="1" applyFont="1" applyBorder="1" applyAlignment="1">
      <alignment horizontal="right"/>
    </xf>
    <xf numFmtId="9" fontId="9" fillId="0" borderId="0" xfId="0" applyNumberFormat="1" applyFont="1" applyBorder="1"/>
    <xf numFmtId="43" fontId="3" fillId="0" borderId="0" xfId="1" applyFont="1" applyFill="1" applyBorder="1" applyAlignment="1">
      <alignment horizontal="right"/>
    </xf>
    <xf numFmtId="0" fontId="2" fillId="0" borderId="10" xfId="0" applyFont="1" applyBorder="1"/>
    <xf numFmtId="0" fontId="3" fillId="0" borderId="11" xfId="0" applyFont="1" applyBorder="1"/>
    <xf numFmtId="40" fontId="3" fillId="4" borderId="11" xfId="1" applyNumberFormat="1" applyFont="1" applyFill="1" applyBorder="1" applyAlignment="1">
      <alignment horizontal="right"/>
    </xf>
    <xf numFmtId="40" fontId="3" fillId="0" borderId="0" xfId="1" applyNumberFormat="1" applyFont="1" applyFill="1" applyBorder="1" applyAlignment="1">
      <alignment horizontal="right"/>
    </xf>
    <xf numFmtId="1" fontId="9" fillId="0" borderId="0" xfId="1" applyNumberFormat="1" applyFont="1" applyFill="1" applyBorder="1" applyAlignment="1">
      <alignment horizontal="right"/>
    </xf>
    <xf numFmtId="43" fontId="5" fillId="0" borderId="0" xfId="1" applyNumberFormat="1" applyFont="1" applyBorder="1" applyAlignment="1">
      <alignment horizontal="right"/>
    </xf>
    <xf numFmtId="43" fontId="3" fillId="0" borderId="0" xfId="1" applyFont="1" applyBorder="1" applyAlignment="1">
      <alignment horizontal="right"/>
    </xf>
    <xf numFmtId="40" fontId="3" fillId="0" borderId="0" xfId="1" applyNumberFormat="1" applyFont="1" applyBorder="1" applyAlignment="1">
      <alignment horizontal="right"/>
    </xf>
    <xf numFmtId="40" fontId="5" fillId="0" borderId="0" xfId="1" applyNumberFormat="1" applyFont="1" applyBorder="1" applyAlignment="1">
      <alignment horizontal="right"/>
    </xf>
    <xf numFmtId="43" fontId="5" fillId="0" borderId="0" xfId="1" applyFont="1" applyBorder="1" applyAlignment="1">
      <alignment horizontal="right"/>
    </xf>
    <xf numFmtId="0" fontId="10" fillId="2" borderId="0" xfId="0" applyFont="1" applyFill="1"/>
    <xf numFmtId="0" fontId="3" fillId="2" borderId="0" xfId="0" applyFont="1" applyFill="1"/>
    <xf numFmtId="168" fontId="2" fillId="0" borderId="0" xfId="0" applyNumberFormat="1" applyFont="1" applyFill="1"/>
    <xf numFmtId="168" fontId="3" fillId="0" borderId="0" xfId="0" applyNumberFormat="1" applyFont="1" applyFill="1"/>
    <xf numFmtId="38" fontId="3" fillId="0" borderId="0" xfId="0" applyNumberFormat="1" applyFont="1" applyFill="1"/>
    <xf numFmtId="0" fontId="2" fillId="0" borderId="7" xfId="0" applyNumberFormat="1" applyFont="1" applyFill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8" fontId="2" fillId="5" borderId="0" xfId="0" applyNumberFormat="1" applyFont="1" applyFill="1"/>
    <xf numFmtId="168" fontId="3" fillId="5" borderId="0" xfId="0" applyNumberFormat="1" applyFont="1" applyFill="1"/>
    <xf numFmtId="0" fontId="2" fillId="0" borderId="0" xfId="0" applyFont="1" applyFill="1" applyBorder="1" applyAlignment="1">
      <alignment horizontal="left"/>
    </xf>
    <xf numFmtId="168" fontId="2" fillId="0" borderId="0" xfId="1" applyNumberFormat="1" applyFont="1" applyFill="1"/>
    <xf numFmtId="38" fontId="3" fillId="5" borderId="0" xfId="0" applyNumberFormat="1" applyFont="1" applyFill="1"/>
    <xf numFmtId="168" fontId="2" fillId="0" borderId="0" xfId="1" applyNumberFormat="1" applyFont="1" applyFill="1" applyBorder="1" applyAlignment="1">
      <alignment horizontal="centerContinuous"/>
    </xf>
    <xf numFmtId="0" fontId="2" fillId="0" borderId="0" xfId="0" applyFont="1" applyFill="1"/>
    <xf numFmtId="38" fontId="3" fillId="0" borderId="0" xfId="0" applyNumberFormat="1" applyFont="1" applyFill="1" applyBorder="1"/>
    <xf numFmtId="0" fontId="5" fillId="0" borderId="0" xfId="0" applyFont="1" applyFill="1"/>
    <xf numFmtId="38" fontId="3" fillId="0" borderId="0" xfId="0" applyNumberFormat="1" applyFont="1"/>
    <xf numFmtId="38" fontId="11" fillId="0" borderId="0" xfId="0" applyNumberFormat="1" applyFont="1" applyFill="1" applyBorder="1"/>
    <xf numFmtId="0" fontId="11" fillId="0" borderId="0" xfId="0" applyFont="1"/>
    <xf numFmtId="0" fontId="3" fillId="0" borderId="0" xfId="0" applyFont="1" applyFill="1" applyAlignment="1">
      <alignment horizontal="left"/>
    </xf>
    <xf numFmtId="38" fontId="11" fillId="0" borderId="0" xfId="0" applyNumberFormat="1" applyFont="1"/>
    <xf numFmtId="38" fontId="3" fillId="0" borderId="12" xfId="0" applyNumberFormat="1" applyFont="1" applyBorder="1"/>
    <xf numFmtId="168" fontId="3" fillId="0" borderId="0" xfId="1" applyNumberFormat="1" applyFont="1"/>
    <xf numFmtId="38" fontId="12" fillId="0" borderId="0" xfId="0" applyNumberFormat="1" applyFont="1" applyFill="1" applyAlignment="1">
      <alignment horizontal="left"/>
    </xf>
    <xf numFmtId="38" fontId="13" fillId="0" borderId="0" xfId="0" applyNumberFormat="1" applyFont="1"/>
    <xf numFmtId="0" fontId="12" fillId="0" borderId="0" xfId="0" applyFont="1" applyFill="1" applyAlignment="1">
      <alignment horizontal="left"/>
    </xf>
    <xf numFmtId="38" fontId="14" fillId="0" borderId="0" xfId="0" applyNumberFormat="1" applyFont="1"/>
    <xf numFmtId="38" fontId="2" fillId="0" borderId="0" xfId="0" applyNumberFormat="1" applyFont="1"/>
    <xf numFmtId="0" fontId="15" fillId="0" borderId="0" xfId="0" applyFont="1" applyFill="1"/>
    <xf numFmtId="38" fontId="15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168" fontId="16" fillId="0" borderId="0" xfId="0" applyNumberFormat="1" applyFont="1" applyFill="1" applyBorder="1" applyAlignment="1">
      <alignment horizontal="left"/>
    </xf>
    <xf numFmtId="0" fontId="11" fillId="0" borderId="0" xfId="0" applyFont="1" applyBorder="1"/>
    <xf numFmtId="0" fontId="6" fillId="0" borderId="0" xfId="0" applyFont="1" applyBorder="1"/>
    <xf numFmtId="169" fontId="17" fillId="0" borderId="0" xfId="0" applyNumberFormat="1" applyFont="1" applyBorder="1" applyAlignment="1">
      <alignment horizontal="center"/>
    </xf>
    <xf numFmtId="0" fontId="17" fillId="0" borderId="0" xfId="0" applyFont="1" applyBorder="1"/>
    <xf numFmtId="0" fontId="2" fillId="0" borderId="7" xfId="0" applyNumberFormat="1" applyFont="1" applyFill="1" applyBorder="1" applyAlignment="1">
      <alignment horizontal="center"/>
    </xf>
    <xf numFmtId="14" fontId="18" fillId="0" borderId="0" xfId="0" applyNumberFormat="1" applyFont="1" applyFill="1" applyBorder="1" applyAlignment="1">
      <alignment horizontal="center"/>
    </xf>
    <xf numFmtId="14" fontId="17" fillId="0" borderId="0" xfId="0" applyNumberFormat="1" applyFont="1" applyFill="1" applyAlignment="1">
      <alignment horizontal="center"/>
    </xf>
    <xf numFmtId="0" fontId="7" fillId="0" borderId="0" xfId="0" applyFont="1"/>
    <xf numFmtId="0" fontId="11" fillId="0" borderId="0" xfId="0" applyFont="1" applyFill="1"/>
    <xf numFmtId="0" fontId="4" fillId="0" borderId="0" xfId="0" applyFont="1"/>
    <xf numFmtId="14" fontId="5" fillId="0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3" fontId="3" fillId="0" borderId="0" xfId="0" applyNumberFormat="1" applyFont="1"/>
    <xf numFmtId="168" fontId="3" fillId="0" borderId="0" xfId="1" applyNumberFormat="1" applyFont="1" applyFill="1"/>
    <xf numFmtId="0" fontId="20" fillId="0" borderId="0" xfId="0" applyFont="1"/>
    <xf numFmtId="168" fontId="5" fillId="0" borderId="0" xfId="1" applyNumberFormat="1" applyFont="1" applyFill="1"/>
    <xf numFmtId="168" fontId="5" fillId="0" borderId="0" xfId="1" applyNumberFormat="1" applyFont="1" applyFill="1" applyBorder="1"/>
    <xf numFmtId="168" fontId="3" fillId="0" borderId="0" xfId="1" applyNumberFormat="1" applyFont="1" applyFill="1" applyBorder="1"/>
    <xf numFmtId="168" fontId="19" fillId="0" borderId="0" xfId="0" applyNumberFormat="1" applyFont="1"/>
    <xf numFmtId="168" fontId="20" fillId="0" borderId="0" xfId="0" applyNumberFormat="1" applyFont="1"/>
    <xf numFmtId="3" fontId="2" fillId="0" borderId="0" xfId="0" applyNumberFormat="1" applyFont="1" applyFill="1" applyBorder="1"/>
    <xf numFmtId="164" fontId="3" fillId="0" borderId="0" xfId="5" applyNumberFormat="1" applyFont="1" applyFill="1"/>
    <xf numFmtId="0" fontId="20" fillId="0" borderId="0" xfId="0" applyFont="1" applyFill="1"/>
    <xf numFmtId="3" fontId="3" fillId="0" borderId="0" xfId="0" applyNumberFormat="1" applyFont="1" applyFill="1" applyBorder="1"/>
    <xf numFmtId="3" fontId="3" fillId="0" borderId="0" xfId="0" applyNumberFormat="1" applyFont="1" applyFill="1"/>
    <xf numFmtId="0" fontId="17" fillId="0" borderId="0" xfId="0" applyFont="1"/>
    <xf numFmtId="3" fontId="4" fillId="0" borderId="0" xfId="0" applyNumberFormat="1" applyFont="1"/>
    <xf numFmtId="3" fontId="2" fillId="0" borderId="0" xfId="0" applyNumberFormat="1" applyFont="1"/>
    <xf numFmtId="3" fontId="5" fillId="0" borderId="0" xfId="0" applyNumberFormat="1" applyFont="1"/>
    <xf numFmtId="3" fontId="5" fillId="0" borderId="0" xfId="0" applyNumberFormat="1" applyFont="1" applyFill="1" applyBorder="1"/>
    <xf numFmtId="0" fontId="7" fillId="0" borderId="10" xfId="0" applyFont="1" applyBorder="1"/>
    <xf numFmtId="170" fontId="7" fillId="6" borderId="11" xfId="0" applyNumberFormat="1" applyFont="1" applyFill="1" applyBorder="1" applyAlignment="1">
      <alignment horizontal="right"/>
    </xf>
    <xf numFmtId="170" fontId="7" fillId="6" borderId="13" xfId="0" applyNumberFormat="1" applyFont="1" applyFill="1" applyBorder="1" applyAlignment="1">
      <alignment horizontal="right"/>
    </xf>
    <xf numFmtId="0" fontId="2" fillId="0" borderId="14" xfId="0" applyFont="1" applyBorder="1" applyAlignment="1">
      <alignment horizontal="left"/>
    </xf>
    <xf numFmtId="170" fontId="2" fillId="0" borderId="15" xfId="0" applyNumberFormat="1" applyFont="1" applyBorder="1"/>
    <xf numFmtId="168" fontId="7" fillId="0" borderId="0" xfId="1" applyNumberFormat="1" applyFont="1" applyBorder="1" applyAlignment="1">
      <alignment horizontal="right"/>
    </xf>
    <xf numFmtId="0" fontId="2" fillId="0" borderId="16" xfId="0" applyFont="1" applyBorder="1" applyAlignment="1">
      <alignment horizontal="left"/>
    </xf>
    <xf numFmtId="170" fontId="2" fillId="0" borderId="17" xfId="0" applyNumberFormat="1" applyFont="1" applyBorder="1"/>
    <xf numFmtId="168" fontId="7" fillId="0" borderId="0" xfId="1" applyNumberFormat="1" applyFont="1" applyBorder="1" applyAlignment="1">
      <alignment horizontal="center"/>
    </xf>
    <xf numFmtId="0" fontId="7" fillId="0" borderId="0" xfId="0" applyFont="1" applyBorder="1"/>
    <xf numFmtId="168" fontId="3" fillId="0" borderId="0" xfId="0" applyNumberFormat="1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/>
    <xf numFmtId="165" fontId="3" fillId="0" borderId="20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left"/>
    </xf>
    <xf numFmtId="165" fontId="5" fillId="0" borderId="15" xfId="0" applyNumberFormat="1" applyFont="1" applyFill="1" applyBorder="1" applyAlignment="1">
      <alignment horizontal="center"/>
    </xf>
    <xf numFmtId="0" fontId="3" fillId="0" borderId="16" xfId="0" applyFont="1" applyBorder="1" applyAlignment="1">
      <alignment horizontal="left"/>
    </xf>
    <xf numFmtId="0" fontId="3" fillId="0" borderId="12" xfId="0" applyFont="1" applyBorder="1"/>
    <xf numFmtId="165" fontId="3" fillId="0" borderId="17" xfId="0" applyNumberFormat="1" applyFont="1" applyBorder="1" applyAlignment="1">
      <alignment horizontal="center"/>
    </xf>
    <xf numFmtId="0" fontId="21" fillId="0" borderId="18" xfId="0" applyFont="1" applyBorder="1"/>
    <xf numFmtId="2" fontId="21" fillId="0" borderId="20" xfId="0" applyNumberFormat="1" applyFont="1" applyBorder="1" applyAlignment="1">
      <alignment horizontal="center"/>
    </xf>
    <xf numFmtId="0" fontId="21" fillId="0" borderId="14" xfId="0" applyFont="1" applyBorder="1"/>
    <xf numFmtId="4" fontId="3" fillId="0" borderId="15" xfId="0" applyNumberFormat="1" applyFont="1" applyBorder="1" applyAlignment="1">
      <alignment horizontal="center"/>
    </xf>
    <xf numFmtId="37" fontId="3" fillId="0" borderId="17" xfId="0" applyNumberFormat="1" applyFont="1" applyFill="1" applyBorder="1" applyAlignment="1">
      <alignment horizontal="center"/>
    </xf>
    <xf numFmtId="43" fontId="3" fillId="0" borderId="0" xfId="1" applyFont="1"/>
    <xf numFmtId="171" fontId="5" fillId="0" borderId="0" xfId="1" applyNumberFormat="1" applyFont="1"/>
    <xf numFmtId="43" fontId="3" fillId="0" borderId="0" xfId="1" applyNumberFormat="1" applyFont="1"/>
    <xf numFmtId="0" fontId="10" fillId="0" borderId="0" xfId="0" applyFont="1"/>
    <xf numFmtId="14" fontId="17" fillId="0" borderId="0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172" fontId="17" fillId="0" borderId="0" xfId="0" applyNumberFormat="1" applyFont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1" fillId="0" borderId="0" xfId="0" applyFont="1" applyFill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43" fontId="2" fillId="0" borderId="0" xfId="1" applyFont="1" applyFill="1" applyAlignment="1">
      <alignment horizontal="left"/>
    </xf>
    <xf numFmtId="168" fontId="3" fillId="3" borderId="0" xfId="1" applyNumberFormat="1" applyFont="1" applyFill="1"/>
    <xf numFmtId="168" fontId="11" fillId="0" borderId="0" xfId="1" applyNumberFormat="1" applyFont="1" applyFill="1" applyBorder="1"/>
    <xf numFmtId="168" fontId="11" fillId="0" borderId="0" xfId="0" applyNumberFormat="1" applyFont="1"/>
    <xf numFmtId="43" fontId="3" fillId="0" borderId="0" xfId="1" applyFont="1" applyFill="1" applyAlignment="1">
      <alignment horizontal="left"/>
    </xf>
    <xf numFmtId="168" fontId="3" fillId="0" borderId="0" xfId="1" applyNumberFormat="1" applyFont="1" applyBorder="1"/>
    <xf numFmtId="38" fontId="3" fillId="0" borderId="0" xfId="1" applyNumberFormat="1" applyFont="1" applyFill="1"/>
    <xf numFmtId="168" fontId="3" fillId="0" borderId="12" xfId="1" applyNumberFormat="1" applyFont="1" applyFill="1" applyBorder="1"/>
    <xf numFmtId="168" fontId="3" fillId="3" borderId="12" xfId="1" applyNumberFormat="1" applyFont="1" applyFill="1" applyBorder="1"/>
    <xf numFmtId="168" fontId="2" fillId="0" borderId="0" xfId="1" applyNumberFormat="1" applyFont="1"/>
    <xf numFmtId="168" fontId="3" fillId="0" borderId="12" xfId="1" applyNumberFormat="1" applyFont="1" applyBorder="1"/>
    <xf numFmtId="168" fontId="5" fillId="0" borderId="0" xfId="1" applyNumberFormat="1" applyFont="1"/>
    <xf numFmtId="168" fontId="22" fillId="0" borderId="0" xfId="1" applyNumberFormat="1" applyFont="1" applyFill="1" applyBorder="1"/>
    <xf numFmtId="168" fontId="2" fillId="3" borderId="0" xfId="1" applyNumberFormat="1" applyFont="1" applyFill="1"/>
    <xf numFmtId="164" fontId="2" fillId="7" borderId="9" xfId="5" applyNumberFormat="1" applyFont="1" applyFill="1" applyBorder="1" applyAlignment="1">
      <alignment horizontal="center"/>
    </xf>
    <xf numFmtId="164" fontId="23" fillId="0" borderId="0" xfId="5" applyNumberFormat="1" applyFont="1"/>
    <xf numFmtId="0" fontId="23" fillId="0" borderId="0" xfId="0" applyFont="1"/>
    <xf numFmtId="0" fontId="2" fillId="0" borderId="0" xfId="0" applyNumberFormat="1" applyFont="1" applyFill="1" applyBorder="1" applyAlignment="1">
      <alignment horizontal="center"/>
    </xf>
    <xf numFmtId="0" fontId="2" fillId="0" borderId="7" xfId="1" applyNumberFormat="1" applyFont="1" applyFill="1" applyBorder="1" applyAlignment="1">
      <alignment horizontal="center"/>
    </xf>
    <xf numFmtId="0" fontId="21" fillId="0" borderId="0" xfId="0" applyFont="1"/>
    <xf numFmtId="168" fontId="21" fillId="0" borderId="0" xfId="1" applyNumberFormat="1" applyFont="1"/>
    <xf numFmtId="0" fontId="2" fillId="2" borderId="0" xfId="0" applyFont="1" applyFill="1" applyAlignment="1" applyProtection="1">
      <alignment horizontal="left"/>
      <protection locked="0"/>
    </xf>
    <xf numFmtId="0" fontId="24" fillId="0" borderId="0" xfId="0" applyFont="1"/>
    <xf numFmtId="169" fontId="3" fillId="0" borderId="0" xfId="0" applyNumberFormat="1" applyFont="1"/>
    <xf numFmtId="164" fontId="3" fillId="0" borderId="0" xfId="5" applyNumberFormat="1" applyFont="1"/>
    <xf numFmtId="0" fontId="2" fillId="0" borderId="18" xfId="0" applyFont="1" applyBorder="1" applyAlignment="1"/>
    <xf numFmtId="0" fontId="3" fillId="0" borderId="20" xfId="0" applyFont="1" applyBorder="1"/>
    <xf numFmtId="0" fontId="2" fillId="0" borderId="14" xfId="0" applyFont="1" applyBorder="1" applyAlignment="1"/>
    <xf numFmtId="0" fontId="3" fillId="0" borderId="15" xfId="0" applyFont="1" applyBorder="1"/>
    <xf numFmtId="0" fontId="3" fillId="0" borderId="14" xfId="0" applyFont="1" applyBorder="1"/>
    <xf numFmtId="164" fontId="3" fillId="0" borderId="15" xfId="5" applyNumberFormat="1" applyFont="1" applyBorder="1"/>
    <xf numFmtId="168" fontId="3" fillId="0" borderId="0" xfId="1" applyNumberFormat="1" applyFont="1" applyBorder="1" applyAlignment="1" applyProtection="1">
      <alignment horizontal="left"/>
    </xf>
    <xf numFmtId="168" fontId="3" fillId="0" borderId="12" xfId="1" applyNumberFormat="1" applyFont="1" applyBorder="1" applyAlignment="1" applyProtection="1">
      <alignment horizontal="left"/>
    </xf>
    <xf numFmtId="173" fontId="3" fillId="0" borderId="0" xfId="0" applyNumberFormat="1" applyFont="1"/>
    <xf numFmtId="174" fontId="3" fillId="0" borderId="0" xfId="0" applyNumberFormat="1" applyFont="1"/>
    <xf numFmtId="168" fontId="24" fillId="0" borderId="16" xfId="1" applyNumberFormat="1" applyFont="1" applyBorder="1"/>
    <xf numFmtId="164" fontId="3" fillId="0" borderId="17" xfId="5" applyNumberFormat="1" applyFont="1" applyBorder="1"/>
    <xf numFmtId="0" fontId="5" fillId="0" borderId="0" xfId="0" applyFont="1"/>
    <xf numFmtId="168" fontId="3" fillId="0" borderId="0" xfId="0" applyNumberFormat="1" applyFont="1"/>
    <xf numFmtId="9" fontId="3" fillId="0" borderId="0" xfId="5" applyFont="1"/>
    <xf numFmtId="168" fontId="11" fillId="0" borderId="0" xfId="1" applyNumberFormat="1" applyFont="1"/>
    <xf numFmtId="0" fontId="22" fillId="0" borderId="0" xfId="0" applyFont="1"/>
    <xf numFmtId="168" fontId="22" fillId="0" borderId="0" xfId="1" applyNumberFormat="1" applyFont="1"/>
    <xf numFmtId="0" fontId="25" fillId="2" borderId="0" xfId="3" applyFont="1" applyFill="1" applyBorder="1"/>
    <xf numFmtId="0" fontId="24" fillId="0" borderId="0" xfId="0" applyFont="1" applyFill="1"/>
    <xf numFmtId="0" fontId="2" fillId="0" borderId="0" xfId="0" applyFont="1" applyFill="1" applyBorder="1"/>
    <xf numFmtId="37" fontId="24" fillId="0" borderId="0" xfId="4" applyFont="1" applyAlignment="1"/>
    <xf numFmtId="37" fontId="24" fillId="0" borderId="0" xfId="4" applyFont="1" applyAlignment="1">
      <alignment horizontal="right"/>
    </xf>
    <xf numFmtId="37" fontId="24" fillId="0" borderId="0" xfId="4" applyFont="1" applyFill="1" applyAlignment="1"/>
    <xf numFmtId="37" fontId="27" fillId="0" borderId="0" xfId="4" applyFont="1" applyBorder="1" applyAlignment="1"/>
    <xf numFmtId="37" fontId="27" fillId="0" borderId="0" xfId="4" applyFont="1" applyBorder="1" applyAlignment="1">
      <alignment horizontal="right"/>
    </xf>
    <xf numFmtId="37" fontId="24" fillId="0" borderId="0" xfId="4" applyFont="1" applyFill="1" applyAlignment="1">
      <alignment horizontal="right"/>
    </xf>
    <xf numFmtId="0" fontId="21" fillId="0" borderId="0" xfId="0" applyFont="1" applyBorder="1"/>
    <xf numFmtId="0" fontId="4" fillId="0" borderId="0" xfId="0" applyFont="1" applyBorder="1" applyAlignment="1" applyProtection="1">
      <alignment horizontal="left"/>
    </xf>
    <xf numFmtId="0" fontId="24" fillId="0" borderId="0" xfId="0" applyFont="1" applyFill="1" applyBorder="1"/>
    <xf numFmtId="168" fontId="2" fillId="0" borderId="21" xfId="1" applyNumberFormat="1" applyFont="1" applyBorder="1"/>
    <xf numFmtId="168" fontId="28" fillId="0" borderId="0" xfId="1" applyNumberFormat="1" applyFont="1" applyFill="1" applyBorder="1"/>
    <xf numFmtId="168" fontId="2" fillId="0" borderId="0" xfId="1" applyNumberFormat="1" applyFont="1" applyFill="1" applyBorder="1" applyProtection="1"/>
    <xf numFmtId="168" fontId="11" fillId="0" borderId="0" xfId="1" applyNumberFormat="1" applyFont="1" applyFill="1"/>
    <xf numFmtId="168" fontId="2" fillId="0" borderId="0" xfId="1" applyNumberFormat="1" applyFont="1" applyBorder="1"/>
    <xf numFmtId="168" fontId="3" fillId="0" borderId="0" xfId="1" applyNumberFormat="1" applyFont="1" applyBorder="1" applyProtection="1"/>
    <xf numFmtId="168" fontId="24" fillId="0" borderId="0" xfId="1" applyNumberFormat="1" applyFont="1" applyFill="1" applyBorder="1" applyProtection="1"/>
    <xf numFmtId="168" fontId="24" fillId="0" borderId="0" xfId="1" applyNumberFormat="1" applyFont="1" applyFill="1" applyBorder="1"/>
    <xf numFmtId="168" fontId="29" fillId="0" borderId="0" xfId="1" applyNumberFormat="1" applyFont="1" applyBorder="1" applyProtection="1"/>
    <xf numFmtId="168" fontId="30" fillId="0" borderId="0" xfId="1" applyNumberFormat="1" applyFont="1" applyFill="1" applyBorder="1" applyProtection="1"/>
    <xf numFmtId="0" fontId="2" fillId="0" borderId="0" xfId="0" applyFont="1" applyBorder="1" applyAlignment="1" applyProtection="1">
      <alignment horizontal="left"/>
    </xf>
    <xf numFmtId="168" fontId="2" fillId="0" borderId="0" xfId="1" applyNumberFormat="1" applyFont="1" applyBorder="1" applyProtection="1"/>
    <xf numFmtId="168" fontId="28" fillId="0" borderId="0" xfId="1" applyNumberFormat="1" applyFont="1" applyFill="1" applyBorder="1" applyProtection="1"/>
    <xf numFmtId="9" fontId="5" fillId="0" borderId="0" xfId="1" applyNumberFormat="1" applyFont="1" applyBorder="1"/>
    <xf numFmtId="9" fontId="24" fillId="0" borderId="0" xfId="1" applyNumberFormat="1" applyFont="1" applyFill="1" applyBorder="1"/>
    <xf numFmtId="168" fontId="3" fillId="0" borderId="0" xfId="1" applyNumberFormat="1" applyFont="1" applyFill="1" applyBorder="1" applyProtection="1"/>
    <xf numFmtId="38" fontId="3" fillId="0" borderId="0" xfId="2" applyNumberFormat="1" applyFont="1" applyFill="1" applyBorder="1" applyProtection="1"/>
    <xf numFmtId="168" fontId="2" fillId="0" borderId="22" xfId="1" quotePrefix="1" applyNumberFormat="1" applyFont="1" applyBorder="1" applyProtection="1"/>
    <xf numFmtId="168" fontId="28" fillId="0" borderId="0" xfId="1" quotePrefix="1" applyNumberFormat="1" applyFont="1" applyFill="1" applyBorder="1" applyProtection="1"/>
    <xf numFmtId="38" fontId="3" fillId="2" borderId="0" xfId="0" applyNumberFormat="1" applyFont="1" applyFill="1"/>
    <xf numFmtId="0" fontId="27" fillId="0" borderId="0" xfId="0" applyFont="1" applyFill="1" applyBorder="1"/>
    <xf numFmtId="168" fontId="4" fillId="5" borderId="0" xfId="0" applyNumberFormat="1" applyFont="1" applyFill="1"/>
    <xf numFmtId="38" fontId="5" fillId="5" borderId="0" xfId="0" applyNumberFormat="1" applyFont="1" applyFill="1"/>
    <xf numFmtId="0" fontId="12" fillId="0" borderId="0" xfId="0" applyFont="1" applyFill="1" applyBorder="1"/>
    <xf numFmtId="168" fontId="3" fillId="5" borderId="0" xfId="1" applyNumberFormat="1" applyFont="1" applyFill="1"/>
    <xf numFmtId="0" fontId="12" fillId="0" borderId="0" xfId="0" applyFont="1" applyFill="1"/>
    <xf numFmtId="38" fontId="3" fillId="3" borderId="0" xfId="0" applyNumberFormat="1" applyFont="1" applyFill="1"/>
    <xf numFmtId="38" fontId="12" fillId="0" borderId="0" xfId="1" applyNumberFormat="1" applyFont="1" applyFill="1"/>
    <xf numFmtId="38" fontId="12" fillId="0" borderId="0" xfId="1" applyNumberFormat="1" applyFont="1" applyFill="1" applyBorder="1"/>
    <xf numFmtId="38" fontId="2" fillId="0" borderId="0" xfId="0" applyNumberFormat="1" applyFont="1" applyFill="1"/>
    <xf numFmtId="38" fontId="2" fillId="0" borderId="0" xfId="0" applyNumberFormat="1" applyFont="1" applyFill="1" applyBorder="1"/>
    <xf numFmtId="38" fontId="3" fillId="0" borderId="0" xfId="1" applyNumberFormat="1" applyFont="1" applyFill="1" applyBorder="1"/>
    <xf numFmtId="38" fontId="5" fillId="0" borderId="0" xfId="0" applyNumberFormat="1" applyFont="1" applyFill="1"/>
    <xf numFmtId="38" fontId="15" fillId="0" borderId="0" xfId="0" applyNumberFormat="1" applyFont="1" applyFill="1"/>
    <xf numFmtId="0" fontId="15" fillId="0" borderId="0" xfId="0" applyFont="1" applyFill="1" applyBorder="1"/>
    <xf numFmtId="0" fontId="10" fillId="0" borderId="0" xfId="0" applyFont="1" applyFill="1"/>
    <xf numFmtId="38" fontId="3" fillId="3" borderId="0" xfId="1" applyNumberFormat="1" applyFont="1" applyFill="1"/>
    <xf numFmtId="38" fontId="5" fillId="0" borderId="12" xfId="1" applyNumberFormat="1" applyFont="1" applyFill="1" applyBorder="1"/>
    <xf numFmtId="38" fontId="5" fillId="0" borderId="0" xfId="1" applyNumberFormat="1" applyFont="1" applyFill="1"/>
    <xf numFmtId="38" fontId="2" fillId="0" borderId="0" xfId="1" applyNumberFormat="1" applyFont="1" applyFill="1" applyBorder="1"/>
    <xf numFmtId="38" fontId="29" fillId="0" borderId="0" xfId="1" applyNumberFormat="1" applyFont="1" applyFill="1"/>
    <xf numFmtId="38" fontId="3" fillId="0" borderId="12" xfId="1" applyNumberFormat="1" applyFont="1" applyFill="1" applyBorder="1"/>
    <xf numFmtId="43" fontId="15" fillId="0" borderId="0" xfId="1" applyFont="1" applyFill="1"/>
    <xf numFmtId="38" fontId="15" fillId="0" borderId="0" xfId="1" applyNumberFormat="1" applyFont="1" applyFill="1"/>
    <xf numFmtId="43" fontId="3" fillId="0" borderId="0" xfId="1" applyFont="1" applyFill="1" applyBorder="1"/>
    <xf numFmtId="168" fontId="21" fillId="0" borderId="0" xfId="1" applyNumberFormat="1" applyFont="1" applyBorder="1"/>
    <xf numFmtId="168" fontId="11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38" fontId="21" fillId="0" borderId="0" xfId="0" applyNumberFormat="1" applyFont="1" applyBorder="1"/>
    <xf numFmtId="168" fontId="31" fillId="0" borderId="0" xfId="1" applyNumberFormat="1" applyFont="1" applyBorder="1"/>
    <xf numFmtId="168" fontId="21" fillId="0" borderId="0" xfId="0" applyNumberFormat="1" applyFont="1" applyBorder="1"/>
    <xf numFmtId="10" fontId="31" fillId="0" borderId="0" xfId="0" applyNumberFormat="1" applyFont="1" applyBorder="1"/>
    <xf numFmtId="168" fontId="7" fillId="3" borderId="0" xfId="1" applyNumberFormat="1" applyFont="1" applyFill="1" applyBorder="1"/>
    <xf numFmtId="168" fontId="29" fillId="0" borderId="0" xfId="1" applyNumberFormat="1" applyFont="1" applyBorder="1"/>
    <xf numFmtId="168" fontId="22" fillId="0" borderId="0" xfId="0" applyNumberFormat="1" applyFont="1" applyFill="1" applyBorder="1"/>
    <xf numFmtId="10" fontId="5" fillId="0" borderId="0" xfId="1" applyNumberFormat="1" applyFont="1" applyFill="1" applyBorder="1"/>
    <xf numFmtId="168" fontId="14" fillId="0" borderId="0" xfId="1" applyNumberFormat="1" applyFont="1" applyBorder="1" applyProtection="1"/>
    <xf numFmtId="168" fontId="5" fillId="0" borderId="0" xfId="1" applyNumberFormat="1" applyFont="1" applyBorder="1" applyProtection="1"/>
    <xf numFmtId="168" fontId="12" fillId="0" borderId="0" xfId="1" applyNumberFormat="1" applyFont="1" applyFill="1"/>
    <xf numFmtId="168" fontId="12" fillId="0" borderId="0" xfId="1" applyNumberFormat="1" applyFont="1" applyFill="1" applyBorder="1"/>
    <xf numFmtId="168" fontId="2" fillId="0" borderId="0" xfId="1" applyNumberFormat="1" applyFont="1" applyFill="1" applyBorder="1"/>
    <xf numFmtId="168" fontId="29" fillId="0" borderId="0" xfId="1" applyNumberFormat="1" applyFont="1" applyFill="1"/>
    <xf numFmtId="43" fontId="2" fillId="0" borderId="0" xfId="1" applyFont="1" applyFill="1" applyBorder="1" applyAlignment="1">
      <alignment horizontal="left"/>
    </xf>
    <xf numFmtId="0" fontId="24" fillId="0" borderId="0" xfId="0" applyFont="1" applyBorder="1"/>
    <xf numFmtId="175" fontId="24" fillId="0" borderId="0" xfId="2" applyNumberFormat="1" applyFont="1" applyBorder="1" applyProtection="1"/>
    <xf numFmtId="175" fontId="3" fillId="0" borderId="0" xfId="2" applyNumberFormat="1" applyFont="1" applyBorder="1" applyProtection="1"/>
    <xf numFmtId="10" fontId="5" fillId="0" borderId="0" xfId="0" applyNumberFormat="1" applyFont="1" applyBorder="1"/>
    <xf numFmtId="175" fontId="2" fillId="0" borderId="0" xfId="2" applyNumberFormat="1" applyFont="1" applyBorder="1" applyProtection="1"/>
    <xf numFmtId="41" fontId="3" fillId="0" borderId="0" xfId="0" applyNumberFormat="1" applyFont="1" applyBorder="1"/>
    <xf numFmtId="168" fontId="3" fillId="0" borderId="0" xfId="0" applyNumberFormat="1" applyFont="1" applyBorder="1"/>
    <xf numFmtId="1" fontId="24" fillId="0" borderId="0" xfId="0" applyNumberFormat="1" applyFont="1" applyBorder="1"/>
    <xf numFmtId="168" fontId="2" fillId="3" borderId="0" xfId="0" applyNumberFormat="1" applyFont="1" applyFill="1" applyBorder="1"/>
    <xf numFmtId="0" fontId="24" fillId="0" borderId="0" xfId="0" applyFont="1" applyBorder="1" applyAlignment="1" applyProtection="1">
      <alignment horizontal="left"/>
    </xf>
    <xf numFmtId="0" fontId="28" fillId="0" borderId="0" xfId="0" applyFont="1" applyBorder="1" applyAlignment="1" applyProtection="1">
      <alignment horizontal="left"/>
    </xf>
    <xf numFmtId="168" fontId="2" fillId="0" borderId="22" xfId="1" applyNumberFormat="1" applyFont="1" applyFill="1" applyBorder="1"/>
    <xf numFmtId="43" fontId="2" fillId="0" borderId="0" xfId="1" applyFont="1" applyFill="1" applyBorder="1"/>
    <xf numFmtId="0" fontId="3" fillId="0" borderId="12" xfId="0" applyFont="1" applyFill="1" applyBorder="1" applyAlignment="1">
      <alignment horizontal="left"/>
    </xf>
    <xf numFmtId="171" fontId="3" fillId="0" borderId="0" xfId="1" applyNumberFormat="1" applyFont="1" applyFill="1"/>
    <xf numFmtId="0" fontId="32" fillId="0" borderId="0" xfId="0" applyFont="1" applyBorder="1" applyAlignment="1" applyProtection="1">
      <alignment horizontal="left"/>
    </xf>
    <xf numFmtId="0" fontId="28" fillId="0" borderId="0" xfId="0" applyFont="1" applyBorder="1"/>
    <xf numFmtId="175" fontId="28" fillId="0" borderId="0" xfId="2" applyNumberFormat="1" applyFont="1" applyBorder="1" applyProtection="1"/>
    <xf numFmtId="0" fontId="10" fillId="2" borderId="0" xfId="3" applyFont="1" applyFill="1" applyBorder="1"/>
    <xf numFmtId="0" fontId="15" fillId="0" borderId="0" xfId="3" applyFont="1" applyFill="1" applyBorder="1"/>
    <xf numFmtId="0" fontId="2" fillId="0" borderId="12" xfId="0" applyFont="1" applyBorder="1" applyAlignment="1">
      <alignment horizontal="center"/>
    </xf>
    <xf numFmtId="10" fontId="3" fillId="0" borderId="0" xfId="5" applyNumberFormat="1" applyFont="1"/>
    <xf numFmtId="10" fontId="3" fillId="0" borderId="0" xfId="5" applyNumberFormat="1" applyFont="1" applyFill="1"/>
    <xf numFmtId="10" fontId="5" fillId="0" borderId="0" xfId="5" applyNumberFormat="1" applyFont="1" applyFill="1"/>
    <xf numFmtId="10" fontId="2" fillId="0" borderId="0" xfId="5" applyNumberFormat="1" applyFont="1" applyFill="1"/>
    <xf numFmtId="0" fontId="2" fillId="0" borderId="22" xfId="0" applyFont="1" applyBorder="1"/>
    <xf numFmtId="0" fontId="3" fillId="0" borderId="22" xfId="0" applyFont="1" applyBorder="1"/>
    <xf numFmtId="10" fontId="2" fillId="0" borderId="22" xfId="5" applyNumberFormat="1" applyFont="1" applyFill="1" applyBorder="1"/>
    <xf numFmtId="0" fontId="4" fillId="0" borderId="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cf0402_ndf" xfId="3"/>
    <cellStyle name="Normal_Curve_Economics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335280</xdr:colOff>
          <xdr:row>26</xdr:row>
          <xdr:rowOff>15240</xdr:rowOff>
        </xdr:from>
        <xdr:to>
          <xdr:col>3</xdr:col>
          <xdr:colOff>548640</xdr:colOff>
          <xdr:row>29</xdr:row>
          <xdr:rowOff>0</xdr:rowOff>
        </xdr:to>
        <xdr:sp macro="" textlink="">
          <xdr:nvSpPr>
            <xdr:cNvPr id="1025" name="Button 42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Equity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G56"/>
  <sheetViews>
    <sheetView tabSelected="1" workbookViewId="0"/>
  </sheetViews>
  <sheetFormatPr defaultRowHeight="13.2" x14ac:dyDescent="0.25"/>
  <cols>
    <col min="1" max="1" width="28.88671875" customWidth="1"/>
    <col min="2" max="4" width="10.33203125" customWidth="1"/>
    <col min="5" max="5" width="13" customWidth="1"/>
    <col min="6" max="7" width="8.109375" customWidth="1"/>
  </cols>
  <sheetData>
    <row r="1" spans="1:7" ht="12.75" customHeight="1" x14ac:dyDescent="0.25">
      <c r="A1" s="1"/>
      <c r="B1" s="2"/>
      <c r="C1" s="2"/>
      <c r="D1" s="2"/>
      <c r="E1" s="2"/>
      <c r="F1" s="2"/>
      <c r="G1" s="2"/>
    </row>
    <row r="2" spans="1:7" ht="12.75" customHeight="1" x14ac:dyDescent="0.25">
      <c r="A2" s="3" t="s">
        <v>0</v>
      </c>
      <c r="B2" s="4"/>
      <c r="C2" s="4"/>
      <c r="D2" s="4"/>
      <c r="E2" s="2"/>
      <c r="F2" s="2"/>
      <c r="G2" s="2"/>
    </row>
    <row r="3" spans="1:7" ht="12.75" customHeight="1" x14ac:dyDescent="0.25">
      <c r="A3" s="2"/>
      <c r="B3" s="2"/>
      <c r="C3" s="2"/>
      <c r="D3" s="2"/>
      <c r="E3" s="2"/>
      <c r="F3" s="2"/>
      <c r="G3" s="2"/>
    </row>
    <row r="4" spans="1:7" ht="13.5" customHeight="1" thickBot="1" x14ac:dyDescent="0.3">
      <c r="A4" s="2"/>
      <c r="B4" s="2"/>
      <c r="C4" s="2"/>
      <c r="D4" s="2"/>
      <c r="E4" s="2"/>
      <c r="F4" s="2"/>
      <c r="G4" s="2"/>
    </row>
    <row r="5" spans="1:7" ht="12.75" customHeight="1" x14ac:dyDescent="0.25">
      <c r="A5" s="5" t="s">
        <v>5</v>
      </c>
      <c r="B5" s="6"/>
      <c r="C5" s="6"/>
      <c r="D5" s="6"/>
      <c r="E5" s="7"/>
      <c r="F5" s="7"/>
      <c r="G5" s="8"/>
    </row>
    <row r="6" spans="1:7" ht="12.75" customHeight="1" x14ac:dyDescent="0.25">
      <c r="A6" s="9" t="s">
        <v>6</v>
      </c>
      <c r="B6" s="10" t="s">
        <v>1</v>
      </c>
      <c r="C6" s="11" t="s">
        <v>2</v>
      </c>
      <c r="D6" s="12"/>
      <c r="E6" s="13" t="s">
        <v>3</v>
      </c>
      <c r="F6" s="10" t="s">
        <v>1</v>
      </c>
      <c r="G6" s="14" t="s">
        <v>2</v>
      </c>
    </row>
    <row r="7" spans="1:7" ht="12.75" customHeight="1" x14ac:dyDescent="0.25">
      <c r="A7" s="15" t="s">
        <v>7</v>
      </c>
      <c r="B7" s="16">
        <f>C7/$C$9</f>
        <v>0.55805153036037136</v>
      </c>
      <c r="C7" s="17">
        <f>B28</f>
        <v>448708.0669865901</v>
      </c>
      <c r="D7" s="18"/>
      <c r="E7" s="13" t="s">
        <v>4</v>
      </c>
      <c r="F7" s="19">
        <f>G7/G9</f>
        <v>1</v>
      </c>
      <c r="G7" s="20">
        <f>C9</f>
        <v>804062.06698659016</v>
      </c>
    </row>
    <row r="8" spans="1:7" ht="12.75" customHeight="1" x14ac:dyDescent="0.25">
      <c r="A8" s="9" t="s">
        <v>8</v>
      </c>
      <c r="B8" s="21">
        <f>C8/$C$9</f>
        <v>0.44194846963962853</v>
      </c>
      <c r="C8" s="22">
        <f>E15</f>
        <v>355354</v>
      </c>
      <c r="D8" s="23"/>
      <c r="E8" s="24"/>
      <c r="F8" s="2"/>
      <c r="G8" s="25"/>
    </row>
    <row r="9" spans="1:7" ht="13.5" customHeight="1" thickBot="1" x14ac:dyDescent="0.3">
      <c r="A9" s="26" t="s">
        <v>9</v>
      </c>
      <c r="B9" s="27">
        <f>SUM(B7:B8)</f>
        <v>0.99999999999999989</v>
      </c>
      <c r="C9" s="28">
        <f>SUM(C7:C8)</f>
        <v>804062.06698659016</v>
      </c>
      <c r="D9" s="29"/>
      <c r="E9" s="30" t="s">
        <v>10</v>
      </c>
      <c r="F9" s="31">
        <f>SUM(F7:F7)</f>
        <v>1</v>
      </c>
      <c r="G9" s="32">
        <f>SUM(G7:G7)</f>
        <v>804062.06698659016</v>
      </c>
    </row>
    <row r="10" spans="1:7" ht="13.5" customHeight="1" thickBot="1" x14ac:dyDescent="0.3">
      <c r="A10" s="33"/>
      <c r="B10" s="34"/>
      <c r="C10" s="22"/>
      <c r="D10" s="12"/>
      <c r="E10" s="12"/>
      <c r="F10" s="35"/>
      <c r="G10" s="36"/>
    </row>
    <row r="11" spans="1:7" ht="12.75" customHeight="1" x14ac:dyDescent="0.25">
      <c r="A11" s="5" t="s">
        <v>11</v>
      </c>
      <c r="B11" s="7"/>
      <c r="C11" s="7"/>
      <c r="D11" s="37"/>
      <c r="E11" s="7"/>
      <c r="F11" s="7"/>
      <c r="G11" s="8"/>
    </row>
    <row r="12" spans="1:7" ht="12.75" customHeight="1" x14ac:dyDescent="0.25">
      <c r="A12" s="38"/>
      <c r="B12" s="39" t="s">
        <v>12</v>
      </c>
      <c r="C12" s="39" t="s">
        <v>13</v>
      </c>
      <c r="D12" s="39" t="s">
        <v>14</v>
      </c>
      <c r="E12" s="39" t="s">
        <v>15</v>
      </c>
      <c r="F12" s="40"/>
      <c r="G12" s="41"/>
    </row>
    <row r="13" spans="1:7" ht="12.75" customHeight="1" x14ac:dyDescent="0.25">
      <c r="A13" s="42" t="s">
        <v>16</v>
      </c>
      <c r="B13" s="43"/>
      <c r="C13" s="43"/>
      <c r="D13" s="43"/>
      <c r="E13" s="12"/>
      <c r="F13" s="12"/>
      <c r="G13" s="25"/>
    </row>
    <row r="14" spans="1:7" ht="12.75" customHeight="1" x14ac:dyDescent="0.25">
      <c r="A14" s="44" t="s">
        <v>17</v>
      </c>
      <c r="B14" s="2"/>
      <c r="C14" s="45">
        <v>36892</v>
      </c>
      <c r="D14" s="12"/>
      <c r="E14" s="12"/>
      <c r="F14" s="12"/>
      <c r="G14" s="25"/>
    </row>
    <row r="15" spans="1:7" ht="12.75" customHeight="1" x14ac:dyDescent="0.25">
      <c r="A15" s="44" t="s">
        <v>18</v>
      </c>
      <c r="B15" s="46">
        <v>0</v>
      </c>
      <c r="C15" s="46">
        <v>114987</v>
      </c>
      <c r="D15" s="46">
        <v>240367</v>
      </c>
      <c r="E15" s="47">
        <f>SUM(B15:D15)</f>
        <v>355354</v>
      </c>
      <c r="F15" s="48"/>
      <c r="G15" s="49"/>
    </row>
    <row r="16" spans="1:7" ht="12.75" customHeight="1" x14ac:dyDescent="0.25">
      <c r="A16" s="44" t="s">
        <v>19</v>
      </c>
      <c r="B16" s="50" t="e">
        <f>Debt!E90</f>
        <v>#N/A</v>
      </c>
      <c r="C16" s="50">
        <f>Debt!J90</f>
        <v>9.9958932238193015</v>
      </c>
      <c r="D16" s="50">
        <f>Debt!O90</f>
        <v>19.997262149212869</v>
      </c>
      <c r="E16" s="51"/>
      <c r="F16" s="48"/>
      <c r="G16" s="49"/>
    </row>
    <row r="17" spans="1:7" ht="12.75" customHeight="1" x14ac:dyDescent="0.25">
      <c r="A17" s="44" t="s">
        <v>20</v>
      </c>
      <c r="B17" s="45" t="e">
        <v>#N/A</v>
      </c>
      <c r="C17" s="45">
        <v>40543</v>
      </c>
      <c r="D17" s="45">
        <v>44196</v>
      </c>
      <c r="E17" s="47"/>
      <c r="F17" s="12"/>
      <c r="G17" s="25"/>
    </row>
    <row r="18" spans="1:7" ht="12.75" customHeight="1" x14ac:dyDescent="0.25">
      <c r="A18" s="44" t="s">
        <v>21</v>
      </c>
      <c r="B18" s="52" t="str">
        <f>Debt!E91</f>
        <v/>
      </c>
      <c r="C18" s="52">
        <f>Debt!J91</f>
        <v>5.8765645448323065</v>
      </c>
      <c r="D18" s="52">
        <f>Debt!O91</f>
        <v>15.957775222450378</v>
      </c>
      <c r="E18" s="53"/>
      <c r="F18" s="12"/>
      <c r="G18" s="25"/>
    </row>
    <row r="19" spans="1:7" ht="12.75" customHeight="1" x14ac:dyDescent="0.25">
      <c r="A19" s="44"/>
      <c r="B19" s="12"/>
      <c r="C19" s="12"/>
      <c r="D19" s="12"/>
      <c r="E19" s="47"/>
      <c r="F19" s="12"/>
      <c r="G19" s="25"/>
    </row>
    <row r="20" spans="1:7" ht="12.75" customHeight="1" x14ac:dyDescent="0.25">
      <c r="A20" s="38" t="s">
        <v>22</v>
      </c>
      <c r="B20" s="54">
        <v>6.8000000000000005E-2</v>
      </c>
      <c r="C20" s="54">
        <v>6.5000000000000002E-2</v>
      </c>
      <c r="D20" s="54">
        <v>6.2E-2</v>
      </c>
      <c r="E20" s="55">
        <f>SUMPRODUCT(B20:D20,$B$15:$D$15)/E15</f>
        <v>6.2970753108168187E-2</v>
      </c>
      <c r="F20" s="12"/>
      <c r="G20" s="25"/>
    </row>
    <row r="21" spans="1:7" ht="12.75" customHeight="1" x14ac:dyDescent="0.25">
      <c r="A21" s="56" t="s">
        <v>23</v>
      </c>
      <c r="B21" s="57">
        <v>2.2499999999999999E-2</v>
      </c>
      <c r="C21" s="57">
        <v>4.4999999999999998E-2</v>
      </c>
      <c r="D21" s="57">
        <v>0.05</v>
      </c>
      <c r="E21" s="58">
        <f>SUMPRODUCT(B21:D21,$B$15:$D$15)/E15</f>
        <v>4.838207815305301E-2</v>
      </c>
      <c r="F21" s="12"/>
      <c r="G21" s="25"/>
    </row>
    <row r="22" spans="1:7" ht="12.75" customHeight="1" x14ac:dyDescent="0.25">
      <c r="A22" s="44" t="s">
        <v>24</v>
      </c>
      <c r="B22" s="59">
        <f>SUM(B20:B21)</f>
        <v>9.0499999999999997E-2</v>
      </c>
      <c r="C22" s="59">
        <f>SUM(C20:C21)</f>
        <v>0.11</v>
      </c>
      <c r="D22" s="59">
        <f>SUM(D20:D21)</f>
        <v>0.112</v>
      </c>
      <c r="E22" s="55">
        <f>SUMPRODUCT(B22:D22,$B$15:$D$15)/E15</f>
        <v>0.1113528312612212</v>
      </c>
      <c r="F22" s="12"/>
      <c r="G22" s="25"/>
    </row>
    <row r="23" spans="1:7" ht="12.75" customHeight="1" x14ac:dyDescent="0.25">
      <c r="A23" s="38"/>
      <c r="B23" s="12"/>
      <c r="C23" s="12"/>
      <c r="D23" s="12"/>
      <c r="E23" s="59"/>
      <c r="F23" s="12"/>
      <c r="G23" s="25"/>
    </row>
    <row r="24" spans="1:7" ht="12.75" customHeight="1" x14ac:dyDescent="0.25">
      <c r="A24" s="38" t="s">
        <v>25</v>
      </c>
      <c r="B24" s="60">
        <v>0.05</v>
      </c>
      <c r="C24" s="12"/>
      <c r="D24" s="12"/>
      <c r="E24" s="61"/>
      <c r="F24" s="62"/>
      <c r="G24" s="63"/>
    </row>
    <row r="25" spans="1:7" ht="12.75" customHeight="1" x14ac:dyDescent="0.25">
      <c r="A25" s="38"/>
      <c r="B25" s="12"/>
      <c r="C25" s="12"/>
      <c r="D25" s="12"/>
      <c r="E25" s="12"/>
      <c r="F25" s="18"/>
      <c r="G25" s="25"/>
    </row>
    <row r="26" spans="1:7" ht="12.75" customHeight="1" x14ac:dyDescent="0.25">
      <c r="A26" s="42" t="s">
        <v>26</v>
      </c>
      <c r="B26" s="12"/>
      <c r="C26" s="12"/>
      <c r="D26" s="12"/>
      <c r="E26" s="12"/>
      <c r="F26" s="12"/>
      <c r="G26" s="25"/>
    </row>
    <row r="27" spans="1:7" ht="12.75" customHeight="1" x14ac:dyDescent="0.25">
      <c r="A27" s="44" t="s">
        <v>27</v>
      </c>
      <c r="B27" s="45">
        <v>36892</v>
      </c>
      <c r="C27" s="12"/>
      <c r="D27" s="12"/>
      <c r="E27" s="12"/>
      <c r="F27" s="12"/>
      <c r="G27" s="25"/>
    </row>
    <row r="28" spans="1:7" ht="12.75" customHeight="1" x14ac:dyDescent="0.25">
      <c r="A28" s="44" t="s">
        <v>18</v>
      </c>
      <c r="B28" s="64">
        <v>448708.0669865901</v>
      </c>
      <c r="C28" s="12"/>
      <c r="D28" s="12"/>
      <c r="E28" s="12"/>
      <c r="F28" s="12"/>
      <c r="G28" s="25"/>
    </row>
    <row r="29" spans="1:7" ht="13.5" customHeight="1" thickBot="1" x14ac:dyDescent="0.3">
      <c r="A29" s="65" t="s">
        <v>241</v>
      </c>
      <c r="B29" s="66">
        <v>0.14000000000000001</v>
      </c>
      <c r="C29" s="29"/>
      <c r="D29" s="29"/>
      <c r="E29" s="29"/>
      <c r="F29" s="29"/>
      <c r="G29" s="67"/>
    </row>
    <row r="30" spans="1:7" ht="13.5" customHeight="1" thickBot="1" x14ac:dyDescent="0.3">
      <c r="A30" s="12"/>
      <c r="B30" s="12"/>
      <c r="C30" s="12"/>
      <c r="D30" s="12"/>
      <c r="E30" s="12"/>
      <c r="F30" s="12"/>
      <c r="G30" s="12"/>
    </row>
    <row r="31" spans="1:7" ht="12.75" customHeight="1" x14ac:dyDescent="0.25">
      <c r="A31" s="68" t="s">
        <v>28</v>
      </c>
      <c r="B31" s="6"/>
      <c r="C31" s="69"/>
      <c r="D31" s="69"/>
      <c r="E31" s="7"/>
      <c r="F31" s="7"/>
      <c r="G31" s="8"/>
    </row>
    <row r="32" spans="1:7" ht="12.75" customHeight="1" x14ac:dyDescent="0.25">
      <c r="A32" s="38"/>
      <c r="B32" s="70" t="s">
        <v>29</v>
      </c>
      <c r="C32" s="70" t="s">
        <v>30</v>
      </c>
      <c r="D32" s="70" t="s">
        <v>31</v>
      </c>
      <c r="E32" s="10" t="s">
        <v>32</v>
      </c>
      <c r="F32" s="2"/>
      <c r="G32" s="25"/>
    </row>
    <row r="33" spans="1:7" ht="12.75" customHeight="1" x14ac:dyDescent="0.25">
      <c r="A33" s="71" t="s">
        <v>33</v>
      </c>
      <c r="B33" s="12"/>
      <c r="C33" s="72"/>
      <c r="D33" s="72"/>
      <c r="E33" s="12"/>
      <c r="F33" s="2"/>
      <c r="G33" s="25"/>
    </row>
    <row r="34" spans="1:7" ht="12.75" customHeight="1" x14ac:dyDescent="0.25">
      <c r="A34" s="73" t="s">
        <v>34</v>
      </c>
      <c r="B34" s="36">
        <f>G7</f>
        <v>804062.06698659016</v>
      </c>
      <c r="C34" s="74">
        <v>15</v>
      </c>
      <c r="D34" s="75" t="s">
        <v>35</v>
      </c>
      <c r="E34" s="76">
        <v>0</v>
      </c>
      <c r="F34" s="2"/>
      <c r="G34" s="25"/>
    </row>
    <row r="35" spans="1:7" ht="12.75" customHeight="1" x14ac:dyDescent="0.25">
      <c r="A35" s="73"/>
      <c r="B35" s="36"/>
      <c r="C35" s="74"/>
      <c r="D35" s="75"/>
      <c r="E35" s="76"/>
      <c r="F35" s="2"/>
      <c r="G35" s="25"/>
    </row>
    <row r="36" spans="1:7" ht="12.75" customHeight="1" x14ac:dyDescent="0.25">
      <c r="A36" s="71" t="s">
        <v>36</v>
      </c>
      <c r="B36" s="77"/>
      <c r="C36" s="78"/>
      <c r="D36" s="78"/>
      <c r="E36" s="76"/>
      <c r="F36" s="2"/>
      <c r="G36" s="25"/>
    </row>
    <row r="37" spans="1:7" ht="13.5" customHeight="1" thickBot="1" x14ac:dyDescent="0.3">
      <c r="A37" s="79" t="s">
        <v>34</v>
      </c>
      <c r="B37" s="80">
        <f>G7</f>
        <v>804062.06698659016</v>
      </c>
      <c r="C37" s="81">
        <v>30</v>
      </c>
      <c r="D37" s="82" t="s">
        <v>37</v>
      </c>
      <c r="E37" s="83">
        <v>0.1</v>
      </c>
      <c r="F37" s="82"/>
      <c r="G37" s="67"/>
    </row>
    <row r="38" spans="1:7" ht="13.5" customHeight="1" thickBot="1" x14ac:dyDescent="0.3">
      <c r="A38" s="2"/>
      <c r="B38" s="2"/>
      <c r="C38" s="2"/>
      <c r="D38" s="2"/>
      <c r="E38" s="2"/>
      <c r="F38" s="2"/>
      <c r="G38" s="2"/>
    </row>
    <row r="39" spans="1:7" ht="12.75" customHeight="1" x14ac:dyDescent="0.25">
      <c r="A39" s="5" t="s">
        <v>38</v>
      </c>
      <c r="B39" s="7"/>
      <c r="C39" s="7"/>
      <c r="D39" s="7"/>
      <c r="E39" s="7"/>
      <c r="F39" s="7"/>
      <c r="G39" s="8"/>
    </row>
    <row r="40" spans="1:7" ht="12.75" customHeight="1" x14ac:dyDescent="0.25">
      <c r="A40" s="38"/>
      <c r="B40" s="12"/>
      <c r="C40" s="12"/>
      <c r="D40" s="12"/>
      <c r="E40" s="12"/>
      <c r="F40" s="12"/>
      <c r="G40" s="25"/>
    </row>
    <row r="41" spans="1:7" ht="12.75" customHeight="1" x14ac:dyDescent="0.25">
      <c r="A41" s="56" t="s">
        <v>41</v>
      </c>
      <c r="B41" s="84"/>
      <c r="C41" s="12"/>
      <c r="D41" s="10" t="s">
        <v>39</v>
      </c>
      <c r="E41" s="10" t="s">
        <v>40</v>
      </c>
      <c r="F41" s="12"/>
      <c r="G41" s="25"/>
    </row>
    <row r="42" spans="1:7" ht="12.75" customHeight="1" x14ac:dyDescent="0.25">
      <c r="A42" s="38" t="s">
        <v>42</v>
      </c>
      <c r="B42" s="12"/>
      <c r="C42" s="12"/>
      <c r="D42" s="85">
        <f>Debt!B80</f>
        <v>2.2559363862686728</v>
      </c>
      <c r="E42" s="85">
        <f>Debt!B81</f>
        <v>3.2478748751278586</v>
      </c>
      <c r="F42" s="12"/>
      <c r="G42" s="25"/>
    </row>
    <row r="43" spans="1:7" ht="12.75" customHeight="1" x14ac:dyDescent="0.25">
      <c r="A43" s="38"/>
      <c r="B43" s="12"/>
      <c r="C43" s="12"/>
      <c r="D43" s="12"/>
      <c r="E43" s="12"/>
      <c r="F43" s="12"/>
      <c r="G43" s="25"/>
    </row>
    <row r="44" spans="1:7" ht="12.75" customHeight="1" x14ac:dyDescent="0.25">
      <c r="A44" s="38" t="s">
        <v>43</v>
      </c>
      <c r="B44" s="12"/>
      <c r="C44" s="12"/>
      <c r="D44" s="36">
        <f>SUMPRODUCT(Assumptions!C9:E9,Assumptions!C10:E10)/SUM(Assumptions!C9:E9)</f>
        <v>11421.013597033374</v>
      </c>
      <c r="E44" s="2"/>
      <c r="F44" s="36"/>
      <c r="G44" s="25"/>
    </row>
    <row r="45" spans="1:7" ht="12.75" customHeight="1" x14ac:dyDescent="0.25">
      <c r="A45" s="38"/>
      <c r="B45" s="12"/>
      <c r="C45" s="12"/>
      <c r="D45" s="12"/>
      <c r="E45" s="2"/>
      <c r="F45" s="12"/>
      <c r="G45" s="25"/>
    </row>
    <row r="46" spans="1:7" ht="12.75" customHeight="1" x14ac:dyDescent="0.25">
      <c r="A46" s="38" t="s">
        <v>44</v>
      </c>
      <c r="B46" s="12"/>
      <c r="C46" s="12"/>
      <c r="D46" s="36">
        <f>SUM(Assumptions!C9:E9)</f>
        <v>1618</v>
      </c>
      <c r="E46" s="2"/>
      <c r="F46" s="36"/>
      <c r="G46" s="25"/>
    </row>
    <row r="47" spans="1:7" ht="12.75" customHeight="1" x14ac:dyDescent="0.25">
      <c r="A47" s="38"/>
      <c r="B47" s="12"/>
      <c r="C47" s="12"/>
      <c r="D47" s="36"/>
      <c r="E47" s="36"/>
      <c r="F47" s="36"/>
      <c r="G47" s="25"/>
    </row>
    <row r="48" spans="1:7" ht="12.75" customHeight="1" x14ac:dyDescent="0.25">
      <c r="A48" s="38" t="s">
        <v>45</v>
      </c>
      <c r="B48" s="12"/>
      <c r="C48" s="12"/>
      <c r="D48" s="36">
        <f>CF!V30/D46</f>
        <v>199.00721329115552</v>
      </c>
      <c r="E48" s="12"/>
      <c r="F48" s="12"/>
      <c r="G48" s="25"/>
    </row>
    <row r="49" spans="1:7" ht="12.75" customHeight="1" x14ac:dyDescent="0.25">
      <c r="A49" s="38"/>
      <c r="B49" s="12"/>
      <c r="C49" s="12"/>
      <c r="D49" s="12"/>
      <c r="E49" s="12"/>
      <c r="F49" s="12"/>
      <c r="G49" s="25"/>
    </row>
    <row r="50" spans="1:7" ht="12.75" customHeight="1" x14ac:dyDescent="0.25">
      <c r="A50" s="38" t="s">
        <v>46</v>
      </c>
      <c r="B50" s="12"/>
      <c r="C50" s="12"/>
      <c r="D50" s="86">
        <f>CF!B32</f>
        <v>0.14038297533988953</v>
      </c>
      <c r="E50" s="12"/>
      <c r="F50" s="12"/>
      <c r="G50" s="25"/>
    </row>
    <row r="51" spans="1:7" ht="12.75" customHeight="1" x14ac:dyDescent="0.25">
      <c r="A51" s="38"/>
      <c r="B51" s="72"/>
      <c r="C51" s="87"/>
      <c r="D51" s="88"/>
      <c r="E51" s="12"/>
      <c r="F51" s="12"/>
      <c r="G51" s="25"/>
    </row>
    <row r="52" spans="1:7" ht="12.75" customHeight="1" x14ac:dyDescent="0.25">
      <c r="A52" s="38"/>
      <c r="B52" s="10">
        <v>2001</v>
      </c>
      <c r="C52" s="10">
        <v>2002</v>
      </c>
      <c r="D52" s="10">
        <v>2003</v>
      </c>
      <c r="E52" s="10">
        <v>2004</v>
      </c>
      <c r="F52" s="10">
        <v>2005</v>
      </c>
      <c r="G52" s="25"/>
    </row>
    <row r="53" spans="1:7" ht="12.75" customHeight="1" x14ac:dyDescent="0.25">
      <c r="A53" s="38" t="s">
        <v>47</v>
      </c>
      <c r="B53" s="36">
        <f>IS!B27</f>
        <v>104396.79144458694</v>
      </c>
      <c r="C53" s="36">
        <f>IS!C27</f>
        <v>109598.94601289775</v>
      </c>
      <c r="D53" s="36">
        <f>IS!D27</f>
        <v>115076.91361189363</v>
      </c>
      <c r="E53" s="36">
        <f>IS!E27</f>
        <v>120948.44064066114</v>
      </c>
      <c r="F53" s="36">
        <f>IS!F27</f>
        <v>127148.83649557091</v>
      </c>
      <c r="G53" s="25"/>
    </row>
    <row r="54" spans="1:7" ht="12.75" customHeight="1" x14ac:dyDescent="0.25">
      <c r="A54" s="38" t="s">
        <v>48</v>
      </c>
      <c r="B54" s="36">
        <f>IS!B40</f>
        <v>25094.354766614095</v>
      </c>
      <c r="C54" s="36">
        <f>IS!C40</f>
        <v>28695.270225210093</v>
      </c>
      <c r="D54" s="36">
        <f>IS!D40</f>
        <v>32598.474388983981</v>
      </c>
      <c r="E54" s="36">
        <f>IS!E40</f>
        <v>36761.541033041751</v>
      </c>
      <c r="F54" s="36">
        <f>IS!F40</f>
        <v>41349.20270990525</v>
      </c>
      <c r="G54" s="25"/>
    </row>
    <row r="55" spans="1:7" ht="12.75" customHeight="1" x14ac:dyDescent="0.25">
      <c r="A55" s="38" t="s">
        <v>49</v>
      </c>
      <c r="B55" s="36">
        <f>CF!C17</f>
        <v>58237.574946001449</v>
      </c>
      <c r="C55" s="36">
        <f>CF!D17</f>
        <v>63374.772793721837</v>
      </c>
      <c r="D55" s="36">
        <f>CF!E17</f>
        <v>68528.239037432286</v>
      </c>
      <c r="E55" s="36">
        <f>CF!F17</f>
        <v>73806.699614459896</v>
      </c>
      <c r="F55" s="36">
        <f>CF!G17</f>
        <v>79627.370855351881</v>
      </c>
      <c r="G55" s="25"/>
    </row>
    <row r="56" spans="1:7" ht="13.5" customHeight="1" thickBot="1" x14ac:dyDescent="0.3">
      <c r="A56" s="89" t="s">
        <v>50</v>
      </c>
      <c r="B56" s="80">
        <f>CF!C22</f>
        <v>48269.963209073314</v>
      </c>
      <c r="C56" s="80">
        <f>CF!D22</f>
        <v>62815.016781730388</v>
      </c>
      <c r="D56" s="80">
        <f>CF!E22</f>
        <v>66857.168374455374</v>
      </c>
      <c r="E56" s="80">
        <f>CF!F22</f>
        <v>64969.478542010387</v>
      </c>
      <c r="F56" s="80">
        <f>CF!G22</f>
        <v>65285.044183788857</v>
      </c>
      <c r="G56" s="67"/>
    </row>
  </sheetData>
  <dataConsolidate/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422">
              <controlPr defaultSize="0" print="0" autoFill="0" autoPict="0" macro="[0]!Equity">
                <anchor moveWithCells="1" sizeWithCells="1">
                  <from>
                    <xdr:col>2</xdr:col>
                    <xdr:colOff>335280</xdr:colOff>
                    <xdr:row>26</xdr:row>
                    <xdr:rowOff>15240</xdr:rowOff>
                  </from>
                  <to>
                    <xdr:col>3</xdr:col>
                    <xdr:colOff>548640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AS90"/>
  <sheetViews>
    <sheetView topLeftCell="A72" workbookViewId="0">
      <selection activeCell="D101" sqref="D101"/>
    </sheetView>
  </sheetViews>
  <sheetFormatPr defaultRowHeight="13.2" x14ac:dyDescent="0.25"/>
  <cols>
    <col min="1" max="1" width="35.109375" customWidth="1"/>
    <col min="2" max="21" width="9" customWidth="1"/>
    <col min="23" max="23" width="11" customWidth="1"/>
    <col min="26" max="26" width="7.88671875" customWidth="1"/>
  </cols>
  <sheetData>
    <row r="1" spans="1:45" ht="12.75" customHeight="1" x14ac:dyDescent="0.25">
      <c r="A1" s="4"/>
      <c r="B1" s="4"/>
      <c r="C1" s="4"/>
      <c r="D1" s="4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</row>
    <row r="2" spans="1:45" ht="18" customHeight="1" x14ac:dyDescent="0.3">
      <c r="A2" s="146" t="s">
        <v>218</v>
      </c>
      <c r="B2" s="321"/>
      <c r="C2" s="321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</row>
    <row r="3" spans="1:45" ht="12.7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</row>
    <row r="4" spans="1:45" ht="12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</row>
    <row r="5" spans="1:45" ht="13.5" customHeight="1" thickBot="1" x14ac:dyDescent="0.3">
      <c r="A5" s="151" t="s">
        <v>99</v>
      </c>
      <c r="B5" s="152">
        <v>2001</v>
      </c>
      <c r="C5" s="152">
        <v>2002</v>
      </c>
      <c r="D5" s="152">
        <v>2003</v>
      </c>
      <c r="E5" s="152">
        <v>2004</v>
      </c>
      <c r="F5" s="152">
        <v>2005</v>
      </c>
      <c r="G5" s="152">
        <v>2006</v>
      </c>
      <c r="H5" s="152">
        <v>2007</v>
      </c>
      <c r="I5" s="152">
        <v>2008</v>
      </c>
      <c r="J5" s="152">
        <v>2009</v>
      </c>
      <c r="K5" s="152">
        <v>2010</v>
      </c>
      <c r="L5" s="152">
        <v>2011</v>
      </c>
      <c r="M5" s="152">
        <v>2012</v>
      </c>
      <c r="N5" s="152">
        <v>2013</v>
      </c>
      <c r="O5" s="152">
        <v>2014</v>
      </c>
      <c r="P5" s="152">
        <v>2015</v>
      </c>
      <c r="Q5" s="152">
        <v>2016</v>
      </c>
      <c r="R5" s="152">
        <v>2017</v>
      </c>
      <c r="S5" s="152">
        <v>2018</v>
      </c>
      <c r="T5" s="152">
        <v>2019</v>
      </c>
      <c r="U5" s="152">
        <v>2020</v>
      </c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</row>
    <row r="6" spans="1:45" ht="12.75" customHeight="1" x14ac:dyDescent="0.25">
      <c r="A6" s="156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91"/>
      <c r="W6" s="91"/>
      <c r="X6" s="91"/>
      <c r="Y6" s="154">
        <f>SUM(Z6:AS6)-SUM(Z7:AS7)</f>
        <v>0</v>
      </c>
      <c r="Z6" s="155">
        <f t="shared" ref="Z6:AS6" si="0">B9</f>
        <v>1579.9563105357154</v>
      </c>
      <c r="AA6" s="155">
        <f t="shared" si="0"/>
        <v>1627.3549998517869</v>
      </c>
      <c r="AB6" s="155">
        <f t="shared" si="0"/>
        <v>1676.1756498473405</v>
      </c>
      <c r="AC6" s="155">
        <f t="shared" si="0"/>
        <v>1726.4609193427605</v>
      </c>
      <c r="AD6" s="155">
        <f t="shared" si="0"/>
        <v>1778.2547469230433</v>
      </c>
      <c r="AE6" s="155">
        <f t="shared" si="0"/>
        <v>1831.6023893307347</v>
      </c>
      <c r="AF6" s="155">
        <f t="shared" si="0"/>
        <v>1886.5504610106568</v>
      </c>
      <c r="AG6" s="155">
        <f t="shared" si="0"/>
        <v>1943.1469748409763</v>
      </c>
      <c r="AH6" s="155">
        <f t="shared" si="0"/>
        <v>2001.441384086206</v>
      </c>
      <c r="AI6" s="155">
        <f t="shared" si="0"/>
        <v>2061.4846256087922</v>
      </c>
      <c r="AJ6" s="155">
        <f t="shared" si="0"/>
        <v>2123.3291643770558</v>
      </c>
      <c r="AK6" s="155">
        <f t="shared" si="0"/>
        <v>2187.0290393083674</v>
      </c>
      <c r="AL6" s="155">
        <f t="shared" si="0"/>
        <v>2252.6399104876177</v>
      </c>
      <c r="AM6" s="155">
        <f t="shared" si="0"/>
        <v>2320.219107802247</v>
      </c>
      <c r="AN6" s="155">
        <f t="shared" si="0"/>
        <v>2389.8256810363146</v>
      </c>
      <c r="AO6" s="155">
        <f t="shared" si="0"/>
        <v>2461.5204514674033</v>
      </c>
      <c r="AP6" s="155">
        <f t="shared" si="0"/>
        <v>2535.3660650114257</v>
      </c>
      <c r="AQ6" s="155">
        <f t="shared" si="0"/>
        <v>2611.4270469617682</v>
      </c>
      <c r="AR6" s="155">
        <f t="shared" si="0"/>
        <v>2689.7698583706215</v>
      </c>
      <c r="AS6" s="155">
        <f t="shared" si="0"/>
        <v>2770.4629541217396</v>
      </c>
    </row>
    <row r="7" spans="1:45" ht="12.75" customHeight="1" x14ac:dyDescent="0.25">
      <c r="A7" s="160" t="s">
        <v>100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322"/>
      <c r="W7" s="322"/>
      <c r="X7" s="322"/>
      <c r="Y7" s="323">
        <v>0</v>
      </c>
      <c r="Z7" s="324">
        <f t="shared" ref="Z7:AS7" si="1">B15+1/3*B16</f>
        <v>1579.9563105357156</v>
      </c>
      <c r="AA7" s="324">
        <f t="shared" si="1"/>
        <v>1627.3549998517872</v>
      </c>
      <c r="AB7" s="324">
        <f t="shared" si="1"/>
        <v>1676.1756498473408</v>
      </c>
      <c r="AC7" s="324">
        <f t="shared" si="1"/>
        <v>1726.4609193427605</v>
      </c>
      <c r="AD7" s="324">
        <f t="shared" si="1"/>
        <v>1778.2547469230433</v>
      </c>
      <c r="AE7" s="324">
        <f t="shared" si="1"/>
        <v>1831.6023893307347</v>
      </c>
      <c r="AF7" s="324">
        <f t="shared" si="1"/>
        <v>1886.5504610106568</v>
      </c>
      <c r="AG7" s="324">
        <f t="shared" si="1"/>
        <v>1943.1469748409766</v>
      </c>
      <c r="AH7" s="324">
        <f t="shared" si="1"/>
        <v>2001.4413840862062</v>
      </c>
      <c r="AI7" s="324">
        <f t="shared" si="1"/>
        <v>2061.4846256087922</v>
      </c>
      <c r="AJ7" s="324">
        <f t="shared" si="1"/>
        <v>2123.3291643770558</v>
      </c>
      <c r="AK7" s="324">
        <f t="shared" si="1"/>
        <v>2187.0290393083674</v>
      </c>
      <c r="AL7" s="324">
        <f t="shared" si="1"/>
        <v>2252.6399104876182</v>
      </c>
      <c r="AM7" s="324">
        <f t="shared" si="1"/>
        <v>2320.219107802247</v>
      </c>
      <c r="AN7" s="324">
        <f t="shared" si="1"/>
        <v>2389.8256810363146</v>
      </c>
      <c r="AO7" s="324">
        <f t="shared" si="1"/>
        <v>2461.5204514674033</v>
      </c>
      <c r="AP7" s="324">
        <f t="shared" si="1"/>
        <v>2535.3660650114257</v>
      </c>
      <c r="AQ7" s="324">
        <f t="shared" si="1"/>
        <v>2611.4270469617686</v>
      </c>
      <c r="AR7" s="324">
        <f t="shared" si="1"/>
        <v>2689.7698583706215</v>
      </c>
      <c r="AS7" s="324">
        <f t="shared" si="1"/>
        <v>2770.46295412174</v>
      </c>
    </row>
    <row r="8" spans="1:45" ht="12.75" customHeight="1" x14ac:dyDescent="0.25">
      <c r="A8" s="166" t="s">
        <v>102</v>
      </c>
      <c r="B8" s="169">
        <f>'Power Curves'!C32*Assumptions!$D$9*12</f>
        <v>33399.502998638302</v>
      </c>
      <c r="C8" s="169">
        <f>'Power Curves'!D32*Assumptions!$D$9*12</f>
        <v>35170.320564873218</v>
      </c>
      <c r="D8" s="169">
        <f>'Power Curves'!E32*Assumptions!$D$9*12</f>
        <v>37035.025601619724</v>
      </c>
      <c r="E8" s="169">
        <f>'Power Curves'!F32*Assumptions!$D$9*12</f>
        <v>38998.595954866672</v>
      </c>
      <c r="F8" s="169">
        <f>'Power Curves'!G32*Assumptions!$D$9*12</f>
        <v>41066.273392407958</v>
      </c>
      <c r="G8" s="169">
        <f>'Power Curves'!H32*Assumptions!$D$9*12</f>
        <v>41900.401581799379</v>
      </c>
      <c r="H8" s="169">
        <f>'Power Curves'!I32*Assumptions!$D$9*12</f>
        <v>42751.472380754836</v>
      </c>
      <c r="I8" s="169">
        <f>'Power Curves'!J32*Assumptions!$D$9*12</f>
        <v>43619.829923452358</v>
      </c>
      <c r="J8" s="169">
        <f>'Power Curves'!K32*Assumptions!$D$9*12</f>
        <v>44505.825334040019</v>
      </c>
      <c r="K8" s="169">
        <f>'Power Curves'!L32*Assumptions!$D$9*12</f>
        <v>45409.816868614398</v>
      </c>
      <c r="L8" s="169">
        <f>'Power Curves'!M32*Assumptions!$D$9*12</f>
        <v>45992.13902195343</v>
      </c>
      <c r="M8" s="169">
        <f>'Power Curves'!N32*Assumptions!$D$9*12</f>
        <v>46581.928703541955</v>
      </c>
      <c r="N8" s="169">
        <f>'Power Curves'!O32*Assumptions!$D$9*12</f>
        <v>47179.281674768776</v>
      </c>
      <c r="O8" s="169">
        <f>'Power Curves'!P32*Assumptions!$D$9*12</f>
        <v>47784.294925038652</v>
      </c>
      <c r="P8" s="169">
        <f>'Power Curves'!Q32*Assumptions!$D$9*12</f>
        <v>48397.066687520033</v>
      </c>
      <c r="Q8" s="169">
        <f>'Power Curves'!R32*Assumptions!$D$9*12</f>
        <v>49128.83521327396</v>
      </c>
      <c r="R8" s="169">
        <f>'Power Curves'!S32*Assumptions!$D$9*12</f>
        <v>49871.668152884646</v>
      </c>
      <c r="S8" s="169">
        <f>'Power Curves'!T32*Assumptions!$D$9*12</f>
        <v>50625.73280140468</v>
      </c>
      <c r="T8" s="169">
        <f>'Power Curves'!U32*Assumptions!$D$9*12</f>
        <v>51391.198983404698</v>
      </c>
      <c r="U8" s="169">
        <f>'Power Curves'!V32*Assumptions!$D$9*12</f>
        <v>52168.239091219963</v>
      </c>
      <c r="V8" s="325"/>
      <c r="W8" s="161">
        <f>SUM(B8:U8)</f>
        <v>892977.44985607779</v>
      </c>
      <c r="X8" s="2"/>
      <c r="Y8" s="154"/>
      <c r="Z8" s="326">
        <f t="shared" ref="Z8:AS8" si="2">Z6-Z7</f>
        <v>0</v>
      </c>
      <c r="AA8" s="326">
        <f t="shared" si="2"/>
        <v>0</v>
      </c>
      <c r="AB8" s="326">
        <f t="shared" si="2"/>
        <v>0</v>
      </c>
      <c r="AC8" s="326">
        <f t="shared" si="2"/>
        <v>0</v>
      </c>
      <c r="AD8" s="326">
        <f t="shared" si="2"/>
        <v>0</v>
      </c>
      <c r="AE8" s="326">
        <f t="shared" si="2"/>
        <v>0</v>
      </c>
      <c r="AF8" s="326">
        <f t="shared" si="2"/>
        <v>0</v>
      </c>
      <c r="AG8" s="326">
        <f t="shared" si="2"/>
        <v>0</v>
      </c>
      <c r="AH8" s="326">
        <f t="shared" si="2"/>
        <v>0</v>
      </c>
      <c r="AI8" s="326">
        <f t="shared" si="2"/>
        <v>0</v>
      </c>
      <c r="AJ8" s="326">
        <f t="shared" si="2"/>
        <v>0</v>
      </c>
      <c r="AK8" s="326">
        <f t="shared" si="2"/>
        <v>0</v>
      </c>
      <c r="AL8" s="326">
        <f t="shared" si="2"/>
        <v>0</v>
      </c>
      <c r="AM8" s="326">
        <f t="shared" si="2"/>
        <v>0</v>
      </c>
      <c r="AN8" s="326">
        <f t="shared" si="2"/>
        <v>0</v>
      </c>
      <c r="AO8" s="326">
        <f t="shared" si="2"/>
        <v>0</v>
      </c>
      <c r="AP8" s="326">
        <f t="shared" si="2"/>
        <v>0</v>
      </c>
      <c r="AQ8" s="326">
        <f t="shared" si="2"/>
        <v>0</v>
      </c>
      <c r="AR8" s="326">
        <f t="shared" si="2"/>
        <v>0</v>
      </c>
      <c r="AS8" s="326">
        <f t="shared" si="2"/>
        <v>0</v>
      </c>
    </row>
    <row r="9" spans="1:45" ht="12.75" customHeight="1" x14ac:dyDescent="0.25">
      <c r="A9" s="166" t="s">
        <v>103</v>
      </c>
      <c r="B9" s="150">
        <f>1/3*Assumptions!$D$17*Assumptions!$D$11*Assumptions!$D$8/1000*(1+Assumptions!$D$24)^(B5-2000)+Assumptions!$D$18*Assumptions!$D$16*(1+Assumptions!$D$24)^(B5-2000)/1000</f>
        <v>1579.9563105357154</v>
      </c>
      <c r="C9" s="150">
        <f>1/3*Assumptions!$D$17*Assumptions!$D$11*Assumptions!$D$8/1000*(1+Assumptions!$D$24)^(C5-2000)+Assumptions!$D$18*Assumptions!$D$16*(1+Assumptions!$D$24)^(C5-2000)/1000</f>
        <v>1627.3549998517869</v>
      </c>
      <c r="D9" s="150">
        <f>1/3*Assumptions!$D$17*Assumptions!$D$11*Assumptions!$D$8/1000*(1+Assumptions!$D$24)^(D5-2000)+Assumptions!$D$18*Assumptions!$D$16*(1+Assumptions!$D$24)^(D5-2000)/1000</f>
        <v>1676.1756498473405</v>
      </c>
      <c r="E9" s="150">
        <f>1/3*Assumptions!$D$17*Assumptions!$D$11*Assumptions!$D$8/1000*(1+Assumptions!$D$24)^(E5-2000)+Assumptions!$D$18*Assumptions!$D$16*(1+Assumptions!$D$24)^(E5-2000)/1000</f>
        <v>1726.4609193427605</v>
      </c>
      <c r="F9" s="150">
        <f>1/3*Assumptions!$D$17*Assumptions!$D$11*Assumptions!$D$8/1000*(1+Assumptions!$D$24)^(F5-2000)+Assumptions!$D$18*Assumptions!$D$16*(1+Assumptions!$D$24)^(F5-2000)/1000</f>
        <v>1778.2547469230433</v>
      </c>
      <c r="G9" s="150">
        <f>1/3*Assumptions!$D$17*Assumptions!$D$11*Assumptions!$D$8/1000*(1+Assumptions!$D$24)^(G5-2000)+Assumptions!$D$18*Assumptions!$D$16*(1+Assumptions!$D$24)^(G5-2000)/1000</f>
        <v>1831.6023893307347</v>
      </c>
      <c r="H9" s="150">
        <f>1/3*Assumptions!$D$17*Assumptions!$D$11*Assumptions!$D$8/1000*(1+Assumptions!$D$24)^(H5-2000)+Assumptions!$D$18*Assumptions!$D$16*(1+Assumptions!$D$24)^(H5-2000)/1000</f>
        <v>1886.5504610106568</v>
      </c>
      <c r="I9" s="150">
        <f>1/3*Assumptions!$D$17*Assumptions!$D$11*Assumptions!$D$8/1000*(1+Assumptions!$D$24)^(I5-2000)+Assumptions!$D$18*Assumptions!$D$16*(1+Assumptions!$D$24)^(I5-2000)/1000</f>
        <v>1943.1469748409763</v>
      </c>
      <c r="J9" s="150">
        <f>1/3*Assumptions!$D$17*Assumptions!$D$11*Assumptions!$D$8/1000*(1+Assumptions!$D$24)^(J5-2000)+Assumptions!$D$18*Assumptions!$D$16*(1+Assumptions!$D$24)^(J5-2000)/1000</f>
        <v>2001.441384086206</v>
      </c>
      <c r="K9" s="150">
        <f>1/3*Assumptions!$D$17*Assumptions!$D$11*Assumptions!$D$8/1000*(1+Assumptions!$D$24)^(K5-2000)+Assumptions!$D$18*Assumptions!$D$16*(1+Assumptions!$D$24)^(K5-2000)/1000</f>
        <v>2061.4846256087922</v>
      </c>
      <c r="L9" s="150">
        <f>1/3*Assumptions!$D$17*Assumptions!$D$11*Assumptions!$D$8/1000*(1+Assumptions!$D$24)^(L5-2000)+Assumptions!$D$18*Assumptions!$D$16*(1+Assumptions!$D$24)^(L5-2000)/1000</f>
        <v>2123.3291643770558</v>
      </c>
      <c r="M9" s="150">
        <f>1/3*Assumptions!$D$17*Assumptions!$D$11*Assumptions!$D$8/1000*(1+Assumptions!$D$24)^(M5-2000)+Assumptions!$D$18*Assumptions!$D$16*(1+Assumptions!$D$24)^(M5-2000)/1000</f>
        <v>2187.0290393083674</v>
      </c>
      <c r="N9" s="150">
        <f>1/3*Assumptions!$D$17*Assumptions!$D$11*Assumptions!$D$8/1000*(1+Assumptions!$D$24)^(N5-2000)+Assumptions!$D$18*Assumptions!$D$16*(1+Assumptions!$D$24)^(N5-2000)/1000</f>
        <v>2252.6399104876177</v>
      </c>
      <c r="O9" s="150">
        <f>1/3*Assumptions!$D$17*Assumptions!$D$11*Assumptions!$D$8/1000*(1+Assumptions!$D$24)^(O5-2000)+Assumptions!$D$18*Assumptions!$D$16*(1+Assumptions!$D$24)^(O5-2000)/1000</f>
        <v>2320.219107802247</v>
      </c>
      <c r="P9" s="150">
        <f>1/3*Assumptions!$D$17*Assumptions!$D$11*Assumptions!$D$8/1000*(1+Assumptions!$D$24)^(P5-2000)+Assumptions!$D$18*Assumptions!$D$16*(1+Assumptions!$D$24)^(P5-2000)/1000</f>
        <v>2389.8256810363146</v>
      </c>
      <c r="Q9" s="150">
        <f>1/3*Assumptions!$D$17*Assumptions!$D$11*Assumptions!$D$8/1000*(1+Assumptions!$D$24)^(Q5-2000)+Assumptions!$D$18*Assumptions!$D$16*(1+Assumptions!$D$24)^(Q5-2000)/1000</f>
        <v>2461.5204514674033</v>
      </c>
      <c r="R9" s="150">
        <f>1/3*Assumptions!$D$17*Assumptions!$D$11*Assumptions!$D$8/1000*(1+Assumptions!$D$24)^(R5-2000)+Assumptions!$D$18*Assumptions!$D$16*(1+Assumptions!$D$24)^(R5-2000)/1000</f>
        <v>2535.3660650114257</v>
      </c>
      <c r="S9" s="150">
        <f>1/3*Assumptions!$D$17*Assumptions!$D$11*Assumptions!$D$8/1000*(1+Assumptions!$D$24)^(S5-2000)+Assumptions!$D$18*Assumptions!$D$16*(1+Assumptions!$D$24)^(S5-2000)/1000</f>
        <v>2611.4270469617682</v>
      </c>
      <c r="T9" s="150">
        <f>1/3*Assumptions!$D$17*Assumptions!$D$11*Assumptions!$D$8/1000*(1+Assumptions!$D$24)^(T5-2000)+Assumptions!$D$18*Assumptions!$D$16*(1+Assumptions!$D$24)^(T5-2000)/1000</f>
        <v>2689.7698583706215</v>
      </c>
      <c r="U9" s="150">
        <f>1/3*Assumptions!$D$17*Assumptions!$D$11*Assumptions!$D$8/1000*(1+Assumptions!$D$24)^(U5-2000)+Assumptions!$D$18*Assumptions!$D$16*(1+Assumptions!$D$24)^(U5-2000)/1000</f>
        <v>2770.4629541217396</v>
      </c>
      <c r="V9" s="325"/>
      <c r="W9" s="161">
        <f>SUM(B9:U9)</f>
        <v>42454.017740322575</v>
      </c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2"/>
    </row>
    <row r="10" spans="1:45" ht="12.75" customHeight="1" x14ac:dyDescent="0.25">
      <c r="A10" s="166" t="s">
        <v>104</v>
      </c>
      <c r="B10" s="257">
        <f>(SUM(B8:B9)-SUM(B14:B19))*'Summary Output'!$B$24/4</f>
        <v>390.17229073297881</v>
      </c>
      <c r="C10" s="257">
        <f>(SUM(C8:C9)-SUM(C14:C19))*'Summary Output'!$B$24/4</f>
        <v>410.01302790841521</v>
      </c>
      <c r="D10" s="257">
        <f>(SUM(D8:D9)-SUM(D14:D19))*'Summary Output'!$B$24/4</f>
        <v>431.24190661817158</v>
      </c>
      <c r="E10" s="257">
        <f>(SUM(E8:E9)-SUM(E14:E19))*'Summary Output'!$B$24/4</f>
        <v>453.9276997566962</v>
      </c>
      <c r="F10" s="257">
        <f>(SUM(F8:F9)-SUM(F14:F19))*'Summary Output'!$B$24/4</f>
        <v>478.24969461058811</v>
      </c>
      <c r="G10" s="257">
        <f>(SUM(G8:G9)-SUM(G14:G19))*'Summary Output'!$B$24/4</f>
        <v>486.22370441914558</v>
      </c>
      <c r="H10" s="257">
        <f>(SUM(H8:H9)-SUM(H14:H19))*'Summary Output'!$B$24/4</f>
        <v>493.75687132048836</v>
      </c>
      <c r="I10" s="257">
        <f>(SUM(I8:I9)-SUM(I14:I19))*'Summary Output'!$B$24/4</f>
        <v>502.23047922603894</v>
      </c>
      <c r="J10" s="257">
        <f>(SUM(J8:J9)-SUM(J14:J19))*'Summary Output'!$B$24/4</f>
        <v>512.1465120138713</v>
      </c>
      <c r="K10" s="257">
        <f>(SUM(K8:K9)-SUM(K14:K19))*'Summary Output'!$B$24/4</f>
        <v>523.23362955620212</v>
      </c>
      <c r="L10" s="257">
        <f>(SUM(L8:L9)-SUM(L14:L19))*'Summary Output'!$B$24/4</f>
        <v>527.50476828389571</v>
      </c>
      <c r="M10" s="257">
        <f>(SUM(M8:M9)-SUM(M14:M19))*'Summary Output'!$B$24/4</f>
        <v>533.7760175940366</v>
      </c>
      <c r="N10" s="257">
        <f>(SUM(N8:N9)-SUM(N14:N19))*'Summary Output'!$B$24/4</f>
        <v>540.10834949836476</v>
      </c>
      <c r="O10" s="257">
        <f>(SUM(O8:O9)-SUM(O14:O19))*'Summary Output'!$B$24/4</f>
        <v>546.50239748365073</v>
      </c>
      <c r="P10" s="257">
        <f>(SUM(P8:P9)-SUM(P14:P19))*'Summary Output'!$B$24/4</f>
        <v>552.95836834228817</v>
      </c>
      <c r="Q10" s="257">
        <f>(SUM(Q8:Q9)-SUM(Q14:Q19))*'Summary Output'!$B$24/4</f>
        <v>560.86568845666079</v>
      </c>
      <c r="R10" s="257">
        <f>(SUM(R8:R9)-SUM(R14:R19))*'Summary Output'!$B$24/4</f>
        <v>568.87412015051643</v>
      </c>
      <c r="S10" s="257">
        <f>(SUM(S8:S9)-SUM(S14:S19))*'Summary Output'!$B$24/4</f>
        <v>576.9846388042007</v>
      </c>
      <c r="T10" s="257">
        <f>(SUM(T8:T9)-SUM(T14:T19))*'Summary Output'!$B$24/4</f>
        <v>585.19821794280017</v>
      </c>
      <c r="U10" s="257">
        <f>(SUM(U8:U9)-SUM(U14:U19))*'Summary Output'!$B$24/4</f>
        <v>593.51582870999812</v>
      </c>
      <c r="V10" s="325"/>
      <c r="W10" s="161">
        <f>SUM(B10:U10)</f>
        <v>10267.484211429008</v>
      </c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12"/>
    </row>
    <row r="11" spans="1:45" ht="12.75" customHeight="1" x14ac:dyDescent="0.25">
      <c r="A11" s="166" t="s">
        <v>105</v>
      </c>
      <c r="B11" s="193">
        <f t="shared" ref="B11:U11" si="3">SUM(B8:B10)</f>
        <v>35369.631599906999</v>
      </c>
      <c r="C11" s="193">
        <f t="shared" si="3"/>
        <v>37207.688592633422</v>
      </c>
      <c r="D11" s="193">
        <f t="shared" si="3"/>
        <v>39142.443158085232</v>
      </c>
      <c r="E11" s="193">
        <f t="shared" si="3"/>
        <v>41178.984573966132</v>
      </c>
      <c r="F11" s="193">
        <f t="shared" si="3"/>
        <v>43322.777833941589</v>
      </c>
      <c r="G11" s="193">
        <f t="shared" si="3"/>
        <v>44218.227675549257</v>
      </c>
      <c r="H11" s="193">
        <f t="shared" si="3"/>
        <v>45131.779713085984</v>
      </c>
      <c r="I11" s="193">
        <f t="shared" si="3"/>
        <v>46065.207377519371</v>
      </c>
      <c r="J11" s="193">
        <f t="shared" si="3"/>
        <v>47019.413230140097</v>
      </c>
      <c r="K11" s="193">
        <f t="shared" si="3"/>
        <v>47994.535123779395</v>
      </c>
      <c r="L11" s="193">
        <f t="shared" si="3"/>
        <v>48642.972954614379</v>
      </c>
      <c r="M11" s="193">
        <f t="shared" si="3"/>
        <v>49302.73376044436</v>
      </c>
      <c r="N11" s="193">
        <f t="shared" si="3"/>
        <v>49972.029934754755</v>
      </c>
      <c r="O11" s="193">
        <f t="shared" si="3"/>
        <v>50651.016430324547</v>
      </c>
      <c r="P11" s="193">
        <f t="shared" si="3"/>
        <v>51339.850736898639</v>
      </c>
      <c r="Q11" s="193">
        <f t="shared" si="3"/>
        <v>52151.221353198023</v>
      </c>
      <c r="R11" s="193">
        <f t="shared" si="3"/>
        <v>52975.908338046589</v>
      </c>
      <c r="S11" s="193">
        <f t="shared" si="3"/>
        <v>53814.144487170648</v>
      </c>
      <c r="T11" s="193">
        <f t="shared" si="3"/>
        <v>54666.167059718122</v>
      </c>
      <c r="U11" s="193">
        <f t="shared" si="3"/>
        <v>55532.217874051697</v>
      </c>
      <c r="V11" s="325"/>
      <c r="W11" s="161">
        <f>SUM(B11:U11)</f>
        <v>945698.95180782909</v>
      </c>
      <c r="X11" s="2"/>
      <c r="Y11" s="2"/>
      <c r="Z11" s="2"/>
      <c r="AA11" s="2"/>
      <c r="AB11" s="12"/>
      <c r="AC11" s="1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ht="12.75" customHeight="1" x14ac:dyDescent="0.25">
      <c r="A12" s="327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325"/>
      <c r="W12" s="161"/>
      <c r="X12" s="2"/>
      <c r="Y12" s="2"/>
      <c r="Z12" s="2"/>
      <c r="AA12" s="2"/>
      <c r="AB12" s="12"/>
      <c r="AC12" s="1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ht="12.75" customHeight="1" x14ac:dyDescent="0.25">
      <c r="A13" s="160" t="s">
        <v>106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91"/>
      <c r="W13" s="161"/>
      <c r="X13" s="2"/>
      <c r="Y13" s="2"/>
      <c r="Z13" s="2"/>
      <c r="AA13" s="2"/>
      <c r="AB13" s="12"/>
      <c r="AC13" s="1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ht="12.75" customHeight="1" x14ac:dyDescent="0.25">
      <c r="A14" s="166" t="s">
        <v>69</v>
      </c>
      <c r="B14" s="150">
        <f>Assumptions!D27*(1+Assumptions!$D$24)</f>
        <v>1561.2639942857145</v>
      </c>
      <c r="C14" s="161">
        <f>B14*(1+Assumptions!$D$24)</f>
        <v>1608.101914114286</v>
      </c>
      <c r="D14" s="161">
        <f>C14*(1+Assumptions!$D$24)</f>
        <v>1656.3449715377146</v>
      </c>
      <c r="E14" s="161">
        <f>D14*(1+Assumptions!$D$24)</f>
        <v>1706.0353206838461</v>
      </c>
      <c r="F14" s="161">
        <f>E14*(1+Assumptions!$D$24)</f>
        <v>1757.2163803043616</v>
      </c>
      <c r="G14" s="161">
        <f>F14*(1+Assumptions!$D$24)</f>
        <v>1809.9328717134924</v>
      </c>
      <c r="H14" s="161">
        <f>G14*(1+Assumptions!$D$24)</f>
        <v>1864.2308578648972</v>
      </c>
      <c r="I14" s="161">
        <f>H14*(1+Assumptions!$D$24)</f>
        <v>1920.1577836008441</v>
      </c>
      <c r="J14" s="161">
        <f>I14*(1+Assumptions!$D$24)</f>
        <v>1977.7625171088696</v>
      </c>
      <c r="K14" s="161">
        <f>J14*(1+Assumptions!$D$24)</f>
        <v>2037.0953926221357</v>
      </c>
      <c r="L14" s="161">
        <f>K14*(1+Assumptions!$D$24)</f>
        <v>2098.2082544007999</v>
      </c>
      <c r="M14" s="161">
        <f>L14*(1+Assumptions!$D$24)</f>
        <v>2161.154502032824</v>
      </c>
      <c r="N14" s="161">
        <f>M14*(1+Assumptions!$D$24)</f>
        <v>2225.9891370938089</v>
      </c>
      <c r="O14" s="161">
        <f>N14*(1+Assumptions!$D$24)</f>
        <v>2292.7688112066235</v>
      </c>
      <c r="P14" s="161">
        <f>O14*(1+Assumptions!$D$24)</f>
        <v>2361.551875542822</v>
      </c>
      <c r="Q14" s="161">
        <f>P14*(1+Assumptions!$D$24)</f>
        <v>2432.3984318091066</v>
      </c>
      <c r="R14" s="161">
        <f>Q14*(1+Assumptions!$D$24)</f>
        <v>2505.3703847633797</v>
      </c>
      <c r="S14" s="161">
        <f>R14*(1+Assumptions!$D$24)</f>
        <v>2580.531496306281</v>
      </c>
      <c r="T14" s="161">
        <f>S14*(1+Assumptions!$D$24)</f>
        <v>2657.9474411954698</v>
      </c>
      <c r="U14" s="161">
        <f>T14*(1+Assumptions!$D$24)</f>
        <v>2737.6858644313338</v>
      </c>
      <c r="V14" s="91"/>
      <c r="W14" s="161">
        <f t="shared" ref="W14:W20" si="4">SUM(B14:U14)</f>
        <v>41951.748202618604</v>
      </c>
      <c r="X14" s="2"/>
      <c r="Y14" s="2"/>
      <c r="Z14" s="2"/>
      <c r="AA14" s="2"/>
      <c r="AB14" s="12"/>
      <c r="AC14" s="1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ht="12.75" customHeight="1" x14ac:dyDescent="0.25">
      <c r="A15" s="166" t="s">
        <v>70</v>
      </c>
      <c r="B15" s="150">
        <f>Assumptions!$D$28*(1+Assumptions!$D$24)</f>
        <v>1425.4563105357156</v>
      </c>
      <c r="C15" s="193">
        <f>B15*(1+Assumptions!$D$24)</f>
        <v>1468.2199998517872</v>
      </c>
      <c r="D15" s="193">
        <f>C15*(1+Assumptions!$D$24)</f>
        <v>1512.2665998473408</v>
      </c>
      <c r="E15" s="150">
        <f>Assumptions!$D$18*Assumptions!$D$22*(1+Assumptions!$D$24)^(E5-2000)/1000</f>
        <v>1557.6345978427605</v>
      </c>
      <c r="F15" s="150">
        <f>Assumptions!$D$18*Assumptions!$D$22*(1+Assumptions!$D$24)^(F5-2000)/1000</f>
        <v>1604.3636357780433</v>
      </c>
      <c r="G15" s="150">
        <f>Assumptions!$D$18*Assumptions!$D$22*(1+Assumptions!$D$24)^(G5-2000)/1000</f>
        <v>1652.4945448513847</v>
      </c>
      <c r="H15" s="150">
        <f>Assumptions!$D$18*Assumptions!$D$22*(1+Assumptions!$D$24)^(H5-2000)/1000</f>
        <v>1702.0693811969263</v>
      </c>
      <c r="I15" s="150">
        <f>Assumptions!$D$18*Assumptions!$D$22*(1+Assumptions!$D$24)^(I5-2000)/1000</f>
        <v>1753.131462632834</v>
      </c>
      <c r="J15" s="150">
        <f>Assumptions!$D$18*Assumptions!$D$22*(1+Assumptions!$D$24)^(J5-2000)/1000</f>
        <v>1805.7254065118193</v>
      </c>
      <c r="K15" s="150">
        <f>Assumptions!$D$18*Assumptions!$D$22*(1+Assumptions!$D$24)^(K5-2000)/1000</f>
        <v>1859.8971687071737</v>
      </c>
      <c r="L15" s="150">
        <f>Assumptions!$D$18*Assumptions!$D$22*(1+Assumptions!$D$24)^(L5-2000)/1000</f>
        <v>1915.694083768389</v>
      </c>
      <c r="M15" s="150">
        <f>Assumptions!$D$18*Assumptions!$D$22*(1+Assumptions!$D$24)^(M5-2000)/1000</f>
        <v>1973.1649062814404</v>
      </c>
      <c r="N15" s="150">
        <f>Assumptions!$D$18*Assumptions!$D$22*(1+Assumptions!$D$24)^(N5-2000)/1000</f>
        <v>2032.3598534698833</v>
      </c>
      <c r="O15" s="150">
        <f>Assumptions!$D$18*Assumptions!$D$22*(1+Assumptions!$D$24)^(O5-2000)/1000</f>
        <v>2093.3306490739801</v>
      </c>
      <c r="P15" s="150">
        <f>Assumptions!$D$18*Assumptions!$D$22*(1+Assumptions!$D$24)^(P5-2000)/1000</f>
        <v>2156.1305685461998</v>
      </c>
      <c r="Q15" s="150">
        <f>Assumptions!$D$18*Assumptions!$D$22*(1+Assumptions!$D$24)^(Q5-2000)/1000</f>
        <v>2220.8144856025851</v>
      </c>
      <c r="R15" s="150">
        <f>Assumptions!$D$18*Assumptions!$D$22*(1+Assumptions!$D$24)^(R5-2000)/1000</f>
        <v>2287.4389201706631</v>
      </c>
      <c r="S15" s="150">
        <f>Assumptions!$D$18*Assumptions!$D$22*(1+Assumptions!$D$24)^(S5-2000)/1000</f>
        <v>2356.0620877757829</v>
      </c>
      <c r="T15" s="150">
        <f>Assumptions!$D$18*Assumptions!$D$22*(1+Assumptions!$D$24)^(T5-2000)/1000</f>
        <v>2426.7439504090562</v>
      </c>
      <c r="U15" s="150">
        <f>Assumptions!$D$18*Assumptions!$D$22*(1+Assumptions!$D$24)^(U5-2000)/1000</f>
        <v>2499.5462689213277</v>
      </c>
      <c r="V15" s="91"/>
      <c r="W15" s="161">
        <f t="shared" si="4"/>
        <v>38302.544881775102</v>
      </c>
      <c r="X15" s="2"/>
      <c r="Y15" s="2"/>
      <c r="Z15" s="2"/>
      <c r="AA15" s="2"/>
      <c r="AB15" s="12"/>
      <c r="AC15" s="1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ht="12.75" customHeight="1" x14ac:dyDescent="0.25">
      <c r="A16" s="166" t="s">
        <v>107</v>
      </c>
      <c r="B16" s="150">
        <f>Assumptions!$D$23*Assumptions!$D$11*Assumptions!$D$8/1000*(1+Assumptions!$D$24)</f>
        <v>463.5</v>
      </c>
      <c r="C16" s="161">
        <f>B16*(1+Assumptions!$D$24)</f>
        <v>477.40500000000003</v>
      </c>
      <c r="D16" s="161">
        <f>C16*(1+Assumptions!$D$24)</f>
        <v>491.72715000000005</v>
      </c>
      <c r="E16" s="161">
        <f>D16*(1+Assumptions!$D$24)</f>
        <v>506.47896450000007</v>
      </c>
      <c r="F16" s="161">
        <f>E16*(1+Assumptions!$D$24)</f>
        <v>521.67333343500013</v>
      </c>
      <c r="G16" s="161">
        <f>F16*(1+Assumptions!$D$24)</f>
        <v>537.32353343805016</v>
      </c>
      <c r="H16" s="161">
        <f>G16*(1+Assumptions!$D$24)</f>
        <v>553.44323944119174</v>
      </c>
      <c r="I16" s="161">
        <f>H16*(1+Assumptions!$D$24)</f>
        <v>570.04653662442752</v>
      </c>
      <c r="J16" s="161">
        <f>I16*(1+Assumptions!$D$24)</f>
        <v>587.14793272316035</v>
      </c>
      <c r="K16" s="161">
        <f>J16*(1+Assumptions!$D$24)</f>
        <v>604.76237070485513</v>
      </c>
      <c r="L16" s="161">
        <f>K16*(1+Assumptions!$D$24)</f>
        <v>622.90524182600075</v>
      </c>
      <c r="M16" s="161">
        <f>L16*(1+Assumptions!$D$24)</f>
        <v>641.59239908078075</v>
      </c>
      <c r="N16" s="161">
        <f>M16*(1+Assumptions!$D$24)</f>
        <v>660.84017105320424</v>
      </c>
      <c r="O16" s="161">
        <f>N16*(1+Assumptions!$D$24)</f>
        <v>680.66537618480038</v>
      </c>
      <c r="P16" s="161">
        <f>O16*(1+Assumptions!$D$24)</f>
        <v>701.08533747034437</v>
      </c>
      <c r="Q16" s="161">
        <f>P16*(1+Assumptions!$D$24)</f>
        <v>722.11789759445469</v>
      </c>
      <c r="R16" s="161">
        <f>Q16*(1+Assumptions!$D$24)</f>
        <v>743.78143452228835</v>
      </c>
      <c r="S16" s="161">
        <f>R16*(1+Assumptions!$D$24)</f>
        <v>766.09487755795703</v>
      </c>
      <c r="T16" s="161">
        <f>S16*(1+Assumptions!$D$24)</f>
        <v>789.07772388469573</v>
      </c>
      <c r="U16" s="161">
        <f>T16*(1+Assumptions!$D$24)</f>
        <v>812.75005560123657</v>
      </c>
      <c r="V16" s="91"/>
      <c r="W16" s="161">
        <f t="shared" si="4"/>
        <v>12454.418575642445</v>
      </c>
      <c r="X16" s="2"/>
      <c r="Y16" s="2"/>
      <c r="Z16" s="2"/>
      <c r="AA16" s="2"/>
      <c r="AB16" s="12"/>
      <c r="AC16" s="1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ht="12.75" customHeight="1" x14ac:dyDescent="0.25">
      <c r="A17" s="166" t="s">
        <v>72</v>
      </c>
      <c r="B17" s="150">
        <f>Assumptions!D30*(1+Assumptions!$D$24)</f>
        <v>315.45574571428568</v>
      </c>
      <c r="C17" s="161">
        <f>B17*(1+Assumptions!$D$24)</f>
        <v>324.91941808571426</v>
      </c>
      <c r="D17" s="161">
        <f>C17*(1+Assumptions!$D$24)</f>
        <v>334.66700062828568</v>
      </c>
      <c r="E17" s="161">
        <f>D17*(1+Assumptions!$D$24)</f>
        <v>344.70701064713427</v>
      </c>
      <c r="F17" s="161">
        <f>E17*(1+Assumptions!$D$24)</f>
        <v>355.04822096654829</v>
      </c>
      <c r="G17" s="161">
        <f>F17*(1+Assumptions!$D$24)</f>
        <v>365.69966759554472</v>
      </c>
      <c r="H17" s="161">
        <f>G17*(1+Assumptions!$D$24)</f>
        <v>376.6706576234111</v>
      </c>
      <c r="I17" s="161">
        <f>H17*(1+Assumptions!$D$24)</f>
        <v>387.97077735211343</v>
      </c>
      <c r="J17" s="161">
        <f>I17*(1+Assumptions!$D$24)</f>
        <v>399.60990067267682</v>
      </c>
      <c r="K17" s="161">
        <f>J17*(1+Assumptions!$D$24)</f>
        <v>411.59819769285713</v>
      </c>
      <c r="L17" s="161">
        <f>K17*(1+Assumptions!$D$24)</f>
        <v>423.94614362364285</v>
      </c>
      <c r="M17" s="161">
        <f>L17*(1+Assumptions!$D$24)</f>
        <v>436.66452793235214</v>
      </c>
      <c r="N17" s="161">
        <f>M17*(1+Assumptions!$D$24)</f>
        <v>449.76446377032272</v>
      </c>
      <c r="O17" s="161">
        <f>N17*(1+Assumptions!$D$24)</f>
        <v>463.25739768343243</v>
      </c>
      <c r="P17" s="161">
        <f>O17*(1+Assumptions!$D$24)</f>
        <v>477.15511961393543</v>
      </c>
      <c r="Q17" s="161">
        <f>P17*(1+Assumptions!$D$24)</f>
        <v>491.46977320235351</v>
      </c>
      <c r="R17" s="161">
        <f>Q17*(1+Assumptions!$D$24)</f>
        <v>506.2138663984241</v>
      </c>
      <c r="S17" s="161">
        <f>R17*(1+Assumptions!$D$24)</f>
        <v>521.40028239037679</v>
      </c>
      <c r="T17" s="161">
        <f>S17*(1+Assumptions!$D$24)</f>
        <v>537.04229086208807</v>
      </c>
      <c r="U17" s="161">
        <f>T17*(1+Assumptions!$D$24)</f>
        <v>553.15355958795067</v>
      </c>
      <c r="V17" s="91"/>
      <c r="W17" s="161">
        <f t="shared" si="4"/>
        <v>8476.4140220434492</v>
      </c>
      <c r="X17" s="2"/>
      <c r="Y17" s="2"/>
      <c r="Z17" s="2"/>
      <c r="AA17" s="2"/>
      <c r="AB17" s="12"/>
      <c r="AC17" s="1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ht="12.75" customHeight="1" x14ac:dyDescent="0.25">
      <c r="A18" s="166" t="s">
        <v>190</v>
      </c>
      <c r="B18" s="328">
        <v>0</v>
      </c>
      <c r="C18" s="328">
        <v>117.98699999999999</v>
      </c>
      <c r="D18" s="328">
        <v>216.84299999999999</v>
      </c>
      <c r="E18" s="328">
        <v>295.98500000000001</v>
      </c>
      <c r="F18" s="328">
        <v>346.25099999999998</v>
      </c>
      <c r="G18" s="328">
        <v>468.65699999999998</v>
      </c>
      <c r="H18" s="328">
        <v>641.05899999999997</v>
      </c>
      <c r="I18" s="328">
        <v>753.23199999999997</v>
      </c>
      <c r="J18" s="328">
        <v>765.3</v>
      </c>
      <c r="K18" s="328">
        <v>699.25800000000004</v>
      </c>
      <c r="L18" s="328">
        <v>854.33299999999997</v>
      </c>
      <c r="M18" s="328">
        <v>854.3</v>
      </c>
      <c r="N18" s="328">
        <v>854.3</v>
      </c>
      <c r="O18" s="328">
        <v>854.3</v>
      </c>
      <c r="P18" s="328">
        <v>854.3</v>
      </c>
      <c r="Q18" s="328">
        <v>854.3</v>
      </c>
      <c r="R18" s="328">
        <v>854.3</v>
      </c>
      <c r="S18" s="328">
        <v>854.3</v>
      </c>
      <c r="T18" s="328">
        <v>854.3</v>
      </c>
      <c r="U18" s="328">
        <v>854.3</v>
      </c>
      <c r="V18" s="91"/>
      <c r="W18" s="161">
        <f t="shared" si="4"/>
        <v>12847.604999999996</v>
      </c>
      <c r="X18" s="325"/>
      <c r="Y18" s="325"/>
      <c r="Z18" s="325"/>
      <c r="AA18" s="325"/>
      <c r="AB18" s="325"/>
      <c r="AC18" s="325"/>
      <c r="AD18" s="325"/>
      <c r="AE18" s="325"/>
      <c r="AF18" s="325"/>
      <c r="AG18" s="325"/>
      <c r="AH18" s="325"/>
      <c r="AI18" s="325"/>
      <c r="AJ18" s="325"/>
      <c r="AK18" s="325"/>
      <c r="AL18" s="325"/>
      <c r="AM18" s="325"/>
      <c r="AN18" s="325"/>
      <c r="AO18" s="325"/>
      <c r="AP18" s="325"/>
      <c r="AQ18" s="325"/>
      <c r="AR18" s="325"/>
      <c r="AS18" s="325"/>
    </row>
    <row r="19" spans="1:45" ht="12.75" customHeight="1" x14ac:dyDescent="0.25">
      <c r="A19" s="166" t="s">
        <v>191</v>
      </c>
      <c r="B19" s="168">
        <v>0</v>
      </c>
      <c r="C19" s="168">
        <v>0</v>
      </c>
      <c r="D19" s="168">
        <v>0</v>
      </c>
      <c r="E19" s="168">
        <v>0</v>
      </c>
      <c r="F19" s="168">
        <v>0</v>
      </c>
      <c r="G19" s="168">
        <v>0</v>
      </c>
      <c r="H19" s="168">
        <v>0</v>
      </c>
      <c r="I19" s="168">
        <v>0</v>
      </c>
      <c r="J19" s="168">
        <v>0</v>
      </c>
      <c r="K19" s="168">
        <v>0</v>
      </c>
      <c r="L19" s="168">
        <v>0</v>
      </c>
      <c r="M19" s="168">
        <v>0</v>
      </c>
      <c r="N19" s="168">
        <v>0</v>
      </c>
      <c r="O19" s="168">
        <v>0</v>
      </c>
      <c r="P19" s="168">
        <v>0</v>
      </c>
      <c r="Q19" s="168">
        <v>0</v>
      </c>
      <c r="R19" s="168">
        <v>0</v>
      </c>
      <c r="S19" s="168">
        <v>0</v>
      </c>
      <c r="T19" s="168">
        <v>0</v>
      </c>
      <c r="U19" s="168">
        <v>0</v>
      </c>
      <c r="V19" s="161"/>
      <c r="W19" s="161">
        <f t="shared" si="4"/>
        <v>0</v>
      </c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</row>
    <row r="20" spans="1:45" ht="12.75" customHeight="1" x14ac:dyDescent="0.25">
      <c r="A20" s="166" t="s">
        <v>110</v>
      </c>
      <c r="B20" s="150">
        <f t="shared" ref="B20:U20" si="5">SUM(B14:B19)</f>
        <v>3765.6760505357156</v>
      </c>
      <c r="C20" s="150">
        <f t="shared" si="5"/>
        <v>3996.6333320517879</v>
      </c>
      <c r="D20" s="150">
        <f t="shared" si="5"/>
        <v>4211.8487220133411</v>
      </c>
      <c r="E20" s="150">
        <f t="shared" si="5"/>
        <v>4410.8408936737405</v>
      </c>
      <c r="F20" s="150">
        <f t="shared" si="5"/>
        <v>4584.5525704839529</v>
      </c>
      <c r="G20" s="150">
        <f t="shared" si="5"/>
        <v>4834.1076175984717</v>
      </c>
      <c r="H20" s="150">
        <f t="shared" si="5"/>
        <v>5137.4731361264267</v>
      </c>
      <c r="I20" s="150">
        <f t="shared" si="5"/>
        <v>5384.5385602102187</v>
      </c>
      <c r="J20" s="150">
        <f t="shared" si="5"/>
        <v>5535.5457570165263</v>
      </c>
      <c r="K20" s="150">
        <f t="shared" si="5"/>
        <v>5612.6111297270209</v>
      </c>
      <c r="L20" s="150">
        <f t="shared" si="5"/>
        <v>5915.0867236188315</v>
      </c>
      <c r="M20" s="150">
        <f t="shared" si="5"/>
        <v>6066.8763353273971</v>
      </c>
      <c r="N20" s="150">
        <f t="shared" si="5"/>
        <v>6223.2536253872195</v>
      </c>
      <c r="O20" s="150">
        <f t="shared" si="5"/>
        <v>6384.3222341488372</v>
      </c>
      <c r="P20" s="150">
        <f t="shared" si="5"/>
        <v>6550.2229011733016</v>
      </c>
      <c r="Q20" s="150">
        <f t="shared" si="5"/>
        <v>6721.1005882085001</v>
      </c>
      <c r="R20" s="150">
        <f t="shared" si="5"/>
        <v>6897.1046058547554</v>
      </c>
      <c r="S20" s="150">
        <f t="shared" si="5"/>
        <v>7078.3887440303979</v>
      </c>
      <c r="T20" s="150">
        <f t="shared" si="5"/>
        <v>7265.1114063513096</v>
      </c>
      <c r="U20" s="150">
        <f t="shared" si="5"/>
        <v>7457.4357485418486</v>
      </c>
      <c r="V20" s="91"/>
      <c r="W20" s="161">
        <f t="shared" si="4"/>
        <v>114032.73068207959</v>
      </c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</row>
    <row r="21" spans="1:45" ht="12.75" customHeight="1" x14ac:dyDescent="0.25">
      <c r="A21" s="172"/>
      <c r="B21" s="329"/>
      <c r="C21" s="330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5"/>
      <c r="W21" s="16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</row>
    <row r="22" spans="1:45" ht="12.75" customHeight="1" x14ac:dyDescent="0.25">
      <c r="A22" s="160" t="s">
        <v>111</v>
      </c>
      <c r="B22" s="157">
        <f t="shared" ref="B22:U22" si="6">B11-B20</f>
        <v>31603.955549371283</v>
      </c>
      <c r="C22" s="157">
        <f t="shared" si="6"/>
        <v>33211.055260581634</v>
      </c>
      <c r="D22" s="157">
        <f t="shared" si="6"/>
        <v>34930.594436071893</v>
      </c>
      <c r="E22" s="157">
        <f t="shared" si="6"/>
        <v>36768.143680292393</v>
      </c>
      <c r="F22" s="157">
        <f t="shared" si="6"/>
        <v>38738.225263457636</v>
      </c>
      <c r="G22" s="157">
        <f t="shared" si="6"/>
        <v>39384.120057950786</v>
      </c>
      <c r="H22" s="157">
        <f t="shared" si="6"/>
        <v>39994.306576959556</v>
      </c>
      <c r="I22" s="157">
        <f t="shared" si="6"/>
        <v>40680.668817309153</v>
      </c>
      <c r="J22" s="157">
        <f t="shared" si="6"/>
        <v>41483.867473123573</v>
      </c>
      <c r="K22" s="157">
        <f t="shared" si="6"/>
        <v>42381.923994052377</v>
      </c>
      <c r="L22" s="157">
        <f t="shared" si="6"/>
        <v>42727.886230995544</v>
      </c>
      <c r="M22" s="157">
        <f t="shared" si="6"/>
        <v>43235.857425116963</v>
      </c>
      <c r="N22" s="157">
        <f t="shared" si="6"/>
        <v>43748.776309367538</v>
      </c>
      <c r="O22" s="157">
        <f t="shared" si="6"/>
        <v>44266.694196175711</v>
      </c>
      <c r="P22" s="157">
        <f t="shared" si="6"/>
        <v>44789.62783572534</v>
      </c>
      <c r="Q22" s="157">
        <f t="shared" si="6"/>
        <v>45430.120764989522</v>
      </c>
      <c r="R22" s="157">
        <f t="shared" si="6"/>
        <v>46078.803732191831</v>
      </c>
      <c r="S22" s="157">
        <f t="shared" si="6"/>
        <v>46735.755743140253</v>
      </c>
      <c r="T22" s="157">
        <f t="shared" si="6"/>
        <v>47401.055653366813</v>
      </c>
      <c r="U22" s="157">
        <f t="shared" si="6"/>
        <v>48074.782125509846</v>
      </c>
      <c r="V22" s="292"/>
      <c r="W22" s="161">
        <f>SUM(B22:U22)</f>
        <v>831666.22112574964</v>
      </c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</row>
    <row r="23" spans="1:45" ht="12.75" customHeight="1" x14ac:dyDescent="0.25">
      <c r="A23" s="160"/>
      <c r="B23" s="331"/>
      <c r="C23" s="332"/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  <c r="Q23" s="331"/>
      <c r="R23" s="331"/>
      <c r="S23" s="331"/>
      <c r="T23" s="331"/>
      <c r="U23" s="331"/>
      <c r="V23" s="292"/>
      <c r="W23" s="16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</row>
    <row r="24" spans="1:45" ht="12.75" customHeight="1" x14ac:dyDescent="0.25">
      <c r="A24" s="166" t="s">
        <v>112</v>
      </c>
      <c r="B24" s="150">
        <f>Depreciation!C21</f>
        <v>6513.7740277473749</v>
      </c>
      <c r="C24" s="150">
        <f>Depreciation!D21</f>
        <v>6513.7740277473749</v>
      </c>
      <c r="D24" s="150">
        <f>Depreciation!E21</f>
        <v>6513.7740277473749</v>
      </c>
      <c r="E24" s="150">
        <f>Depreciation!F21</f>
        <v>6513.7740277473749</v>
      </c>
      <c r="F24" s="150">
        <f>Depreciation!G21</f>
        <v>6513.7740277473749</v>
      </c>
      <c r="G24" s="150">
        <f>Depreciation!H21</f>
        <v>6513.7740277473749</v>
      </c>
      <c r="H24" s="150">
        <f>Depreciation!I21</f>
        <v>6513.7740277473749</v>
      </c>
      <c r="I24" s="150">
        <f>Depreciation!J21</f>
        <v>6513.7740277473749</v>
      </c>
      <c r="J24" s="150">
        <f>Depreciation!K21</f>
        <v>6513.7740277473749</v>
      </c>
      <c r="K24" s="150">
        <f>Depreciation!L21</f>
        <v>6513.7740277473749</v>
      </c>
      <c r="L24" s="150">
        <f>Depreciation!M21</f>
        <v>6513.7740277473749</v>
      </c>
      <c r="M24" s="150">
        <f>Depreciation!N21</f>
        <v>6513.7740277473749</v>
      </c>
      <c r="N24" s="150">
        <f>Depreciation!O21</f>
        <v>6513.7740277473749</v>
      </c>
      <c r="O24" s="150">
        <f>Depreciation!P21</f>
        <v>6513.7740277473749</v>
      </c>
      <c r="P24" s="150">
        <f>Depreciation!Q21</f>
        <v>6513.7740277473749</v>
      </c>
      <c r="Q24" s="150">
        <f>Depreciation!R21</f>
        <v>6513.7740277473749</v>
      </c>
      <c r="R24" s="150">
        <f>Depreciation!S21</f>
        <v>6513.7740277473749</v>
      </c>
      <c r="S24" s="150">
        <f>Depreciation!T21</f>
        <v>6513.7740277473749</v>
      </c>
      <c r="T24" s="150">
        <f>Depreciation!U21</f>
        <v>6513.7740277473749</v>
      </c>
      <c r="U24" s="150">
        <f>Depreciation!V21</f>
        <v>6513.7740277473749</v>
      </c>
      <c r="V24" s="91"/>
      <c r="W24" s="161">
        <f>SUM(B24:U24)</f>
        <v>130275.48055494754</v>
      </c>
      <c r="X24" s="2"/>
      <c r="Y24" s="2"/>
      <c r="Z24" s="2"/>
      <c r="AA24" s="2"/>
      <c r="AB24" s="12"/>
      <c r="AC24" s="1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ht="12.75" customHeight="1" x14ac:dyDescent="0.25">
      <c r="A25" s="166"/>
      <c r="B25" s="150"/>
      <c r="C25" s="161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91"/>
      <c r="W25" s="16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</row>
    <row r="26" spans="1:45" ht="12.75" customHeight="1" x14ac:dyDescent="0.25">
      <c r="A26" s="160" t="s">
        <v>113</v>
      </c>
      <c r="B26" s="331">
        <f t="shared" ref="B26:U26" si="7">B22-B24</f>
        <v>25090.181521623908</v>
      </c>
      <c r="C26" s="331">
        <f t="shared" si="7"/>
        <v>26697.281232834259</v>
      </c>
      <c r="D26" s="331">
        <f t="shared" si="7"/>
        <v>28416.820408324518</v>
      </c>
      <c r="E26" s="331">
        <f t="shared" si="7"/>
        <v>30254.369652545018</v>
      </c>
      <c r="F26" s="331">
        <f t="shared" si="7"/>
        <v>32224.451235710261</v>
      </c>
      <c r="G26" s="331">
        <f t="shared" si="7"/>
        <v>32870.346030203407</v>
      </c>
      <c r="H26" s="331">
        <f t="shared" si="7"/>
        <v>33480.532549212177</v>
      </c>
      <c r="I26" s="331">
        <f t="shared" si="7"/>
        <v>34166.894789561775</v>
      </c>
      <c r="J26" s="331">
        <f t="shared" si="7"/>
        <v>34970.093445376202</v>
      </c>
      <c r="K26" s="331">
        <f t="shared" si="7"/>
        <v>35868.149966305005</v>
      </c>
      <c r="L26" s="331">
        <f t="shared" si="7"/>
        <v>36214.112203248165</v>
      </c>
      <c r="M26" s="331">
        <f t="shared" si="7"/>
        <v>36722.083397369584</v>
      </c>
      <c r="N26" s="331">
        <f t="shared" si="7"/>
        <v>37235.002281620167</v>
      </c>
      <c r="O26" s="331">
        <f t="shared" si="7"/>
        <v>37752.920168428333</v>
      </c>
      <c r="P26" s="331">
        <f t="shared" si="7"/>
        <v>38275.853807977968</v>
      </c>
      <c r="Q26" s="331">
        <f t="shared" si="7"/>
        <v>38916.346737242144</v>
      </c>
      <c r="R26" s="331">
        <f t="shared" si="7"/>
        <v>39565.02970444446</v>
      </c>
      <c r="S26" s="331">
        <f t="shared" si="7"/>
        <v>40221.981715392874</v>
      </c>
      <c r="T26" s="331">
        <f t="shared" si="7"/>
        <v>40887.281625619435</v>
      </c>
      <c r="U26" s="331">
        <f t="shared" si="7"/>
        <v>41561.008097762475</v>
      </c>
      <c r="V26" s="292"/>
      <c r="W26" s="161">
        <f>SUM(B26:U26)</f>
        <v>701390.74057080224</v>
      </c>
      <c r="X26" s="325"/>
      <c r="Y26" s="325"/>
      <c r="Z26" s="325"/>
      <c r="AA26" s="325"/>
      <c r="AB26" s="325"/>
      <c r="AC26" s="325"/>
      <c r="AD26" s="325"/>
      <c r="AE26" s="325"/>
      <c r="AF26" s="325"/>
      <c r="AG26" s="325"/>
      <c r="AH26" s="325"/>
      <c r="AI26" s="325"/>
      <c r="AJ26" s="325"/>
      <c r="AK26" s="325"/>
      <c r="AL26" s="325"/>
      <c r="AM26" s="325"/>
      <c r="AN26" s="325"/>
      <c r="AO26" s="325"/>
      <c r="AP26" s="325"/>
      <c r="AQ26" s="325"/>
      <c r="AR26" s="325"/>
      <c r="AS26" s="325"/>
    </row>
    <row r="27" spans="1:45" ht="12.75" customHeight="1" x14ac:dyDescent="0.25">
      <c r="A27" s="160"/>
      <c r="B27" s="331"/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  <c r="Q27" s="331"/>
      <c r="R27" s="331"/>
      <c r="S27" s="331"/>
      <c r="T27" s="331"/>
      <c r="U27" s="331"/>
      <c r="V27" s="292"/>
      <c r="W27" s="161"/>
      <c r="X27" s="325"/>
      <c r="Y27" s="325"/>
      <c r="Z27" s="325"/>
      <c r="AA27" s="325"/>
      <c r="AB27" s="325"/>
      <c r="AC27" s="325"/>
      <c r="AD27" s="325"/>
      <c r="AE27" s="325"/>
      <c r="AF27" s="325"/>
      <c r="AG27" s="325"/>
      <c r="AH27" s="325"/>
      <c r="AI27" s="325"/>
      <c r="AJ27" s="325"/>
      <c r="AK27" s="325"/>
      <c r="AL27" s="325"/>
      <c r="AM27" s="325"/>
      <c r="AN27" s="325"/>
      <c r="AO27" s="325"/>
      <c r="AP27" s="325"/>
      <c r="AQ27" s="325"/>
      <c r="AR27" s="325"/>
      <c r="AS27" s="325"/>
    </row>
    <row r="28" spans="1:45" ht="12.75" customHeight="1" x14ac:dyDescent="0.25">
      <c r="A28" s="4" t="s">
        <v>114</v>
      </c>
      <c r="B28" s="150">
        <f>IS!B33*Allocation!$E$7</f>
        <v>11823.261112256367</v>
      </c>
      <c r="C28" s="150">
        <f>IS!C33*Allocation!$E$7</f>
        <v>11614.948638693169</v>
      </c>
      <c r="D28" s="150">
        <f>IS!D33*Allocation!$E$7</f>
        <v>11341.227171960018</v>
      </c>
      <c r="E28" s="150">
        <f>IS!E33*Allocation!$E$7</f>
        <v>11058.139694207259</v>
      </c>
      <c r="F28" s="150">
        <f>IS!F33*Allocation!$E$7</f>
        <v>10664.998688033324</v>
      </c>
      <c r="G28" s="150">
        <f>IS!G33*Allocation!$E$7</f>
        <v>10258.987798996004</v>
      </c>
      <c r="H28" s="150">
        <f>IS!H33*Allocation!$E$7</f>
        <v>9842.4924238698713</v>
      </c>
      <c r="I28" s="150">
        <f>IS!I33*Allocation!$E$7</f>
        <v>9436.6546531744079</v>
      </c>
      <c r="J28" s="150">
        <f>IS!J33*Allocation!$E$7</f>
        <v>8958.6277082766119</v>
      </c>
      <c r="K28" s="150">
        <f>IS!K33*Allocation!$E$7</f>
        <v>8480.4024170463435</v>
      </c>
      <c r="L28" s="150">
        <f>IS!L33*Allocation!$E$7</f>
        <v>7969.2043892377878</v>
      </c>
      <c r="M28" s="150">
        <f>IS!M33*Allocation!$E$7</f>
        <v>7436.6004708385735</v>
      </c>
      <c r="N28" s="150">
        <f>IS!N33*Allocation!$E$7</f>
        <v>6820.799121069701</v>
      </c>
      <c r="O28" s="150">
        <f>IS!O33*Allocation!$E$7</f>
        <v>6178.280962284307</v>
      </c>
      <c r="P28" s="150">
        <f>IS!P33*Allocation!$E$7</f>
        <v>5481.0366515633195</v>
      </c>
      <c r="Q28" s="150">
        <f>IS!Q33*Allocation!$E$7</f>
        <v>4735.6576676399955</v>
      </c>
      <c r="R28" s="150">
        <f>IS!R33*Allocation!$E$7</f>
        <v>3890.722481339888</v>
      </c>
      <c r="S28" s="150">
        <f>IS!S33*Allocation!$E$7</f>
        <v>2980.6364796358976</v>
      </c>
      <c r="T28" s="150">
        <f>IS!T33*Allocation!$E$7</f>
        <v>1981.7653914096663</v>
      </c>
      <c r="U28" s="150">
        <f>IS!U33*Allocation!$E$7</f>
        <v>885.99423576789604</v>
      </c>
      <c r="V28" s="91"/>
      <c r="W28" s="161">
        <f>SUM(B28:U28)</f>
        <v>151840.43815730038</v>
      </c>
      <c r="X28" s="292"/>
      <c r="Y28" s="292"/>
      <c r="Z28" s="292"/>
      <c r="AA28" s="292"/>
      <c r="AB28" s="292"/>
      <c r="AC28" s="292"/>
      <c r="AD28" s="292"/>
      <c r="AE28" s="292"/>
      <c r="AF28" s="292"/>
      <c r="AG28" s="292"/>
      <c r="AH28" s="292"/>
      <c r="AI28" s="292"/>
      <c r="AJ28" s="292"/>
      <c r="AK28" s="292"/>
      <c r="AL28" s="292"/>
      <c r="AM28" s="292"/>
      <c r="AN28" s="292"/>
      <c r="AO28" s="292"/>
      <c r="AP28" s="292"/>
      <c r="AQ28" s="292"/>
      <c r="AR28" s="292"/>
      <c r="AS28" s="292"/>
    </row>
    <row r="29" spans="1:45" ht="12.75" customHeight="1" x14ac:dyDescent="0.25">
      <c r="A29" s="4"/>
      <c r="B29" s="25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  <c r="R29" s="333"/>
      <c r="S29" s="333"/>
      <c r="T29" s="333"/>
      <c r="U29" s="333"/>
      <c r="V29" s="91"/>
      <c r="W29" s="161"/>
      <c r="X29" s="292"/>
      <c r="Y29" s="292"/>
      <c r="Z29" s="292"/>
      <c r="AA29" s="292"/>
      <c r="AB29" s="292"/>
      <c r="AC29" s="292"/>
      <c r="AD29" s="292"/>
      <c r="AE29" s="292"/>
      <c r="AF29" s="292"/>
      <c r="AG29" s="292"/>
      <c r="AH29" s="292"/>
      <c r="AI29" s="292"/>
      <c r="AJ29" s="292"/>
      <c r="AK29" s="292"/>
      <c r="AL29" s="292"/>
      <c r="AM29" s="292"/>
      <c r="AN29" s="292"/>
      <c r="AO29" s="292"/>
      <c r="AP29" s="292"/>
      <c r="AQ29" s="292"/>
      <c r="AR29" s="292"/>
      <c r="AS29" s="292"/>
    </row>
    <row r="30" spans="1:45" ht="12.75" customHeight="1" x14ac:dyDescent="0.25">
      <c r="A30" s="160" t="s">
        <v>115</v>
      </c>
      <c r="B30" s="331">
        <f t="shared" ref="B30:U30" si="8">B26-B28</f>
        <v>13266.920409367542</v>
      </c>
      <c r="C30" s="331">
        <f t="shared" si="8"/>
        <v>15082.332594141089</v>
      </c>
      <c r="D30" s="331">
        <f t="shared" si="8"/>
        <v>17075.593236364501</v>
      </c>
      <c r="E30" s="331">
        <f t="shared" si="8"/>
        <v>19196.229958337761</v>
      </c>
      <c r="F30" s="331">
        <f t="shared" si="8"/>
        <v>21559.452547676938</v>
      </c>
      <c r="G30" s="331">
        <f t="shared" si="8"/>
        <v>22611.358231207403</v>
      </c>
      <c r="H30" s="331">
        <f t="shared" si="8"/>
        <v>23638.040125342304</v>
      </c>
      <c r="I30" s="331">
        <f t="shared" si="8"/>
        <v>24730.240136387365</v>
      </c>
      <c r="J30" s="331">
        <f t="shared" si="8"/>
        <v>26011.465737099592</v>
      </c>
      <c r="K30" s="331">
        <f t="shared" si="8"/>
        <v>27387.74754925866</v>
      </c>
      <c r="L30" s="331">
        <f t="shared" si="8"/>
        <v>28244.907814010377</v>
      </c>
      <c r="M30" s="331">
        <f t="shared" si="8"/>
        <v>29285.482926531011</v>
      </c>
      <c r="N30" s="331">
        <f t="shared" si="8"/>
        <v>30414.203160550467</v>
      </c>
      <c r="O30" s="331">
        <f t="shared" si="8"/>
        <v>31574.639206144027</v>
      </c>
      <c r="P30" s="331">
        <f t="shared" si="8"/>
        <v>32794.817156414647</v>
      </c>
      <c r="Q30" s="331">
        <f t="shared" si="8"/>
        <v>34180.689069602151</v>
      </c>
      <c r="R30" s="331">
        <f t="shared" si="8"/>
        <v>35674.307223104573</v>
      </c>
      <c r="S30" s="331">
        <f t="shared" si="8"/>
        <v>37241.345235756977</v>
      </c>
      <c r="T30" s="331">
        <f t="shared" si="8"/>
        <v>38905.516234209768</v>
      </c>
      <c r="U30" s="331">
        <f t="shared" si="8"/>
        <v>40675.013861994579</v>
      </c>
      <c r="V30" s="292"/>
      <c r="W30" s="161">
        <f>SUM(B30:U30)</f>
        <v>549550.30241350178</v>
      </c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</row>
    <row r="31" spans="1:45" ht="12.75" customHeight="1" x14ac:dyDescent="0.25">
      <c r="A31" s="160"/>
      <c r="B31" s="331"/>
      <c r="C31" s="331"/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1"/>
      <c r="Q31" s="331"/>
      <c r="R31" s="331"/>
      <c r="S31" s="331"/>
      <c r="T31" s="331"/>
      <c r="U31" s="331"/>
      <c r="V31" s="292"/>
      <c r="W31" s="16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</row>
    <row r="32" spans="1:45" ht="12.75" customHeight="1" x14ac:dyDescent="0.25">
      <c r="A32" s="166" t="s">
        <v>192</v>
      </c>
      <c r="B32" s="150">
        <f>B30*-Assumptions!$D$37</f>
        <v>-597.01141842153936</v>
      </c>
      <c r="C32" s="150">
        <f>C30*-Assumptions!$D$37</f>
        <v>-678.70496673634898</v>
      </c>
      <c r="D32" s="150">
        <f>D30*-Assumptions!$D$37</f>
        <v>-768.40169563640245</v>
      </c>
      <c r="E32" s="150">
        <f>E30*-Assumptions!$D$37</f>
        <v>-863.83034812519918</v>
      </c>
      <c r="F32" s="150">
        <f>F30*-Assumptions!$D$37</f>
        <v>-970.1753646454622</v>
      </c>
      <c r="G32" s="150">
        <f>G30*-Assumptions!$D$37</f>
        <v>-1017.5111204043332</v>
      </c>
      <c r="H32" s="150">
        <f>H30*-Assumptions!$D$37</f>
        <v>-1063.7118056404036</v>
      </c>
      <c r="I32" s="150">
        <f>I30*-Assumptions!$D$37</f>
        <v>-1112.8608061374314</v>
      </c>
      <c r="J32" s="150">
        <f>J30*-Assumptions!$D$37</f>
        <v>-1170.5159581694816</v>
      </c>
      <c r="K32" s="150">
        <f>K30*-Assumptions!$D$37</f>
        <v>-1232.4486397166397</v>
      </c>
      <c r="L32" s="150">
        <f>L30*-Assumptions!$D$37</f>
        <v>-1271.020851630467</v>
      </c>
      <c r="M32" s="150">
        <f>M30*-Assumptions!$D$37</f>
        <v>-1317.8467316938954</v>
      </c>
      <c r="N32" s="150">
        <f>N30*-Assumptions!$D$37</f>
        <v>-1368.6391422247709</v>
      </c>
      <c r="O32" s="150">
        <f>O30*-Assumptions!$D$37</f>
        <v>-1420.8587642764812</v>
      </c>
      <c r="P32" s="150">
        <f>P30*-Assumptions!$D$37</f>
        <v>-1475.7667720386592</v>
      </c>
      <c r="Q32" s="150">
        <f>Q30*-Assumptions!$D$37</f>
        <v>-1538.1310081320967</v>
      </c>
      <c r="R32" s="150">
        <f>R30*-Assumptions!$D$37</f>
        <v>-1605.3438250397057</v>
      </c>
      <c r="S32" s="150">
        <f>S30*-Assumptions!$D$37</f>
        <v>-1675.8605356090638</v>
      </c>
      <c r="T32" s="150">
        <f>T30*-Assumptions!$D$37</f>
        <v>-1750.7482305394394</v>
      </c>
      <c r="U32" s="150">
        <f>U30*-Assumptions!$D$37</f>
        <v>-1830.375623789756</v>
      </c>
      <c r="V32" s="91"/>
      <c r="W32" s="161">
        <f>SUM(B32:U32)</f>
        <v>-24729.763608607573</v>
      </c>
      <c r="X32" s="292"/>
      <c r="Y32" s="292"/>
      <c r="Z32" s="292"/>
      <c r="AA32" s="292"/>
      <c r="AB32" s="292"/>
      <c r="AC32" s="292"/>
      <c r="AD32" s="292"/>
      <c r="AE32" s="292"/>
      <c r="AF32" s="292"/>
      <c r="AG32" s="292"/>
      <c r="AH32" s="292"/>
      <c r="AI32" s="292"/>
      <c r="AJ32" s="292"/>
      <c r="AK32" s="292"/>
      <c r="AL32" s="292"/>
      <c r="AM32" s="292"/>
      <c r="AN32" s="292"/>
      <c r="AO32" s="292"/>
      <c r="AP32" s="292"/>
      <c r="AQ32" s="292"/>
      <c r="AR32" s="292"/>
      <c r="AS32" s="292"/>
    </row>
    <row r="33" spans="1:45" ht="12.75" customHeight="1" x14ac:dyDescent="0.25">
      <c r="A33" s="166" t="s">
        <v>193</v>
      </c>
      <c r="B33" s="334">
        <f>(B30+B32)*-Assumptions!$D$36</f>
        <v>-4434.4681468311001</v>
      </c>
      <c r="C33" s="334">
        <f>(C30+C32)*-Assumptions!$D$36</f>
        <v>-5041.2696695916593</v>
      </c>
      <c r="D33" s="334">
        <f>(D30+D32)*-Assumptions!$D$36</f>
        <v>-5707.5170392548334</v>
      </c>
      <c r="E33" s="334">
        <f>(E30+E32)*-Assumptions!$D$36</f>
        <v>-6416.3398635743961</v>
      </c>
      <c r="F33" s="334">
        <f>(F30+F32)*-Assumptions!$D$36</f>
        <v>-7206.2470140610158</v>
      </c>
      <c r="G33" s="334">
        <f>(G30+G32)*-Assumptions!$D$36</f>
        <v>-7557.8464887810742</v>
      </c>
      <c r="H33" s="334">
        <f>(H30+H32)*-Assumptions!$D$36</f>
        <v>-7901.0149118956651</v>
      </c>
      <c r="I33" s="334">
        <f>(I30+I32)*-Assumptions!$D$36</f>
        <v>-8266.0827655874764</v>
      </c>
      <c r="J33" s="334">
        <f>(J30+J32)*-Assumptions!$D$36</f>
        <v>-8694.3324226255372</v>
      </c>
      <c r="K33" s="334">
        <f>(K30+K32)*-Assumptions!$D$36</f>
        <v>-9154.3546183397066</v>
      </c>
      <c r="L33" s="334">
        <f>(L30+L32)*-Assumptions!$D$36</f>
        <v>-9440.8604368329688</v>
      </c>
      <c r="M33" s="334">
        <f>(M30+M32)*-Assumptions!$D$36</f>
        <v>-9788.6726681929904</v>
      </c>
      <c r="N33" s="334">
        <f>(N30+N32)*-Assumptions!$D$36</f>
        <v>-10165.947406413992</v>
      </c>
      <c r="O33" s="334">
        <f>(O30+O32)*-Assumptions!$D$36</f>
        <v>-10553.823154653641</v>
      </c>
      <c r="P33" s="334">
        <f>(P30+P32)*-Assumptions!$D$36</f>
        <v>-10961.667634531595</v>
      </c>
      <c r="Q33" s="334">
        <f>(Q30+Q32)*-Assumptions!$D$36</f>
        <v>-11424.895321514519</v>
      </c>
      <c r="R33" s="334">
        <f>(R30+R32)*-Assumptions!$D$36</f>
        <v>-11924.137189322702</v>
      </c>
      <c r="S33" s="334">
        <f>(S30+S32)*-Assumptions!$D$36</f>
        <v>-12447.919645051768</v>
      </c>
      <c r="T33" s="334">
        <f>(T30+T32)*-Assumptions!$D$36</f>
        <v>-13004.168801284615</v>
      </c>
      <c r="U33" s="334">
        <f>(U30+U32)*-Assumptions!$D$36</f>
        <v>-13595.623383371689</v>
      </c>
      <c r="V33" s="91"/>
      <c r="W33" s="161">
        <f>SUM(B33:U33)</f>
        <v>-183687.18858171295</v>
      </c>
      <c r="X33" s="292"/>
      <c r="Y33" s="292"/>
      <c r="Z33" s="292"/>
      <c r="AA33" s="292"/>
      <c r="AB33" s="292"/>
      <c r="AC33" s="292"/>
      <c r="AD33" s="292"/>
      <c r="AE33" s="292"/>
      <c r="AF33" s="292"/>
      <c r="AG33" s="292"/>
      <c r="AH33" s="292"/>
      <c r="AI33" s="292"/>
      <c r="AJ33" s="292"/>
      <c r="AK33" s="292"/>
      <c r="AL33" s="292"/>
      <c r="AM33" s="292"/>
      <c r="AN33" s="292"/>
      <c r="AO33" s="292"/>
      <c r="AP33" s="292"/>
      <c r="AQ33" s="292"/>
      <c r="AR33" s="292"/>
      <c r="AS33" s="292"/>
    </row>
    <row r="34" spans="1:45" ht="12.75" customHeight="1" x14ac:dyDescent="0.25">
      <c r="A34" s="4"/>
      <c r="B34" s="150"/>
      <c r="C34" s="161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91"/>
      <c r="W34" s="16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</row>
    <row r="35" spans="1:45" ht="15.75" customHeight="1" x14ac:dyDescent="0.3">
      <c r="A35" s="175" t="s">
        <v>194</v>
      </c>
      <c r="B35" s="335">
        <f t="shared" ref="B35:U35" si="9">SUM(B30:B33)</f>
        <v>8235.4408441149026</v>
      </c>
      <c r="C35" s="335">
        <f t="shared" si="9"/>
        <v>9362.3579578130812</v>
      </c>
      <c r="D35" s="335">
        <f t="shared" si="9"/>
        <v>10599.674501473264</v>
      </c>
      <c r="E35" s="335">
        <f t="shared" si="9"/>
        <v>11916.059746638164</v>
      </c>
      <c r="F35" s="335">
        <f t="shared" si="9"/>
        <v>13383.030168970457</v>
      </c>
      <c r="G35" s="335">
        <f t="shared" si="9"/>
        <v>14036.000622021998</v>
      </c>
      <c r="H35" s="335">
        <f t="shared" si="9"/>
        <v>14673.313407806236</v>
      </c>
      <c r="I35" s="335">
        <f t="shared" si="9"/>
        <v>15351.296564662456</v>
      </c>
      <c r="J35" s="335">
        <f t="shared" si="9"/>
        <v>16146.617356304572</v>
      </c>
      <c r="K35" s="335">
        <f t="shared" si="9"/>
        <v>17000.944291202315</v>
      </c>
      <c r="L35" s="335">
        <f t="shared" si="9"/>
        <v>17533.026525546942</v>
      </c>
      <c r="M35" s="335">
        <f t="shared" si="9"/>
        <v>18178.963526644126</v>
      </c>
      <c r="N35" s="335">
        <f t="shared" si="9"/>
        <v>18879.616611911704</v>
      </c>
      <c r="O35" s="335">
        <f t="shared" si="9"/>
        <v>19599.957287213907</v>
      </c>
      <c r="P35" s="335">
        <f t="shared" si="9"/>
        <v>20357.382749844393</v>
      </c>
      <c r="Q35" s="335">
        <f t="shared" si="9"/>
        <v>21217.662739955536</v>
      </c>
      <c r="R35" s="335">
        <f t="shared" si="9"/>
        <v>22144.826208742161</v>
      </c>
      <c r="S35" s="335">
        <f t="shared" si="9"/>
        <v>23117.565055096144</v>
      </c>
      <c r="T35" s="335">
        <f t="shared" si="9"/>
        <v>24150.599202385718</v>
      </c>
      <c r="U35" s="335">
        <f t="shared" si="9"/>
        <v>25249.014854833134</v>
      </c>
      <c r="V35" s="336"/>
      <c r="W35" s="161">
        <f>SUM(B35:U35)</f>
        <v>341133.35022318125</v>
      </c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</row>
    <row r="36" spans="1:45" ht="12.75" customHeight="1" x14ac:dyDescent="0.25">
      <c r="A36" s="327"/>
      <c r="B36" s="360"/>
      <c r="C36" s="361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25"/>
      <c r="W36" s="325"/>
      <c r="X36" s="292"/>
      <c r="Y36" s="292"/>
      <c r="Z36" s="292"/>
      <c r="AA36" s="292"/>
      <c r="AB36" s="292"/>
      <c r="AC36" s="292"/>
      <c r="AD36" s="292"/>
      <c r="AE36" s="292"/>
      <c r="AF36" s="292"/>
      <c r="AG36" s="292"/>
      <c r="AH36" s="292"/>
      <c r="AI36" s="292"/>
      <c r="AJ36" s="292"/>
      <c r="AK36" s="292"/>
      <c r="AL36" s="292"/>
      <c r="AM36" s="292"/>
      <c r="AN36" s="292"/>
      <c r="AO36" s="292"/>
      <c r="AP36" s="292"/>
      <c r="AQ36" s="292"/>
      <c r="AR36" s="292"/>
      <c r="AS36" s="292"/>
    </row>
    <row r="37" spans="1:45" ht="18" customHeight="1" x14ac:dyDescent="0.3">
      <c r="A37" s="337" t="s">
        <v>219</v>
      </c>
      <c r="B37" s="193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</row>
    <row r="38" spans="1:45" ht="12.75" customHeight="1" x14ac:dyDescent="0.25">
      <c r="A38" s="160"/>
      <c r="B38" s="193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91"/>
      <c r="W38" s="91"/>
      <c r="X38" s="325"/>
      <c r="Y38" s="325"/>
      <c r="Z38" s="325"/>
      <c r="AA38" s="325"/>
      <c r="AB38" s="325"/>
      <c r="AC38" s="325"/>
      <c r="AD38" s="325"/>
      <c r="AE38" s="325"/>
      <c r="AF38" s="325"/>
      <c r="AG38" s="325"/>
      <c r="AH38" s="325"/>
      <c r="AI38" s="325"/>
      <c r="AJ38" s="325"/>
      <c r="AK38" s="325"/>
      <c r="AL38" s="325"/>
      <c r="AM38" s="325"/>
      <c r="AN38" s="325"/>
      <c r="AO38" s="325"/>
      <c r="AP38" s="325"/>
      <c r="AQ38" s="325"/>
      <c r="AR38" s="325"/>
      <c r="AS38" s="325"/>
    </row>
    <row r="39" spans="1:45" ht="13.5" customHeight="1" thickBot="1" x14ac:dyDescent="0.3">
      <c r="A39" s="151" t="s">
        <v>99</v>
      </c>
      <c r="B39" s="152">
        <v>2001</v>
      </c>
      <c r="C39" s="152">
        <f t="shared" ref="C39:U39" si="10">B39+1</f>
        <v>2002</v>
      </c>
      <c r="D39" s="152">
        <f t="shared" si="10"/>
        <v>2003</v>
      </c>
      <c r="E39" s="152">
        <f t="shared" si="10"/>
        <v>2004</v>
      </c>
      <c r="F39" s="152">
        <f t="shared" si="10"/>
        <v>2005</v>
      </c>
      <c r="G39" s="152">
        <f t="shared" si="10"/>
        <v>2006</v>
      </c>
      <c r="H39" s="152">
        <f t="shared" si="10"/>
        <v>2007</v>
      </c>
      <c r="I39" s="152">
        <f t="shared" si="10"/>
        <v>2008</v>
      </c>
      <c r="J39" s="152">
        <f t="shared" si="10"/>
        <v>2009</v>
      </c>
      <c r="K39" s="152">
        <f t="shared" si="10"/>
        <v>2010</v>
      </c>
      <c r="L39" s="152">
        <f t="shared" si="10"/>
        <v>2011</v>
      </c>
      <c r="M39" s="152">
        <f t="shared" si="10"/>
        <v>2012</v>
      </c>
      <c r="N39" s="152">
        <f t="shared" si="10"/>
        <v>2013</v>
      </c>
      <c r="O39" s="152">
        <f t="shared" si="10"/>
        <v>2014</v>
      </c>
      <c r="P39" s="152">
        <f t="shared" si="10"/>
        <v>2015</v>
      </c>
      <c r="Q39" s="152">
        <f t="shared" si="10"/>
        <v>2016</v>
      </c>
      <c r="R39" s="152">
        <f t="shared" si="10"/>
        <v>2017</v>
      </c>
      <c r="S39" s="152">
        <f t="shared" si="10"/>
        <v>2018</v>
      </c>
      <c r="T39" s="152">
        <f t="shared" si="10"/>
        <v>2019</v>
      </c>
      <c r="U39" s="152">
        <f t="shared" si="10"/>
        <v>2020</v>
      </c>
      <c r="V39" s="91"/>
      <c r="W39" s="288" t="s">
        <v>121</v>
      </c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</row>
    <row r="40" spans="1:45" ht="12.75" customHeight="1" x14ac:dyDescent="0.25">
      <c r="A40" s="247"/>
      <c r="B40" s="193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91"/>
      <c r="W40" s="263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</row>
    <row r="41" spans="1:45" ht="12.75" customHeight="1" x14ac:dyDescent="0.25">
      <c r="A41" s="251" t="s">
        <v>111</v>
      </c>
      <c r="B41" s="193">
        <f t="shared" ref="B41:U41" si="11">B22</f>
        <v>31603.955549371283</v>
      </c>
      <c r="C41" s="193">
        <f t="shared" si="11"/>
        <v>33211.055260581634</v>
      </c>
      <c r="D41" s="193">
        <f t="shared" si="11"/>
        <v>34930.594436071893</v>
      </c>
      <c r="E41" s="193">
        <f t="shared" si="11"/>
        <v>36768.143680292393</v>
      </c>
      <c r="F41" s="193">
        <f t="shared" si="11"/>
        <v>38738.225263457636</v>
      </c>
      <c r="G41" s="193">
        <f t="shared" si="11"/>
        <v>39384.120057950786</v>
      </c>
      <c r="H41" s="193">
        <f t="shared" si="11"/>
        <v>39994.306576959556</v>
      </c>
      <c r="I41" s="193">
        <f t="shared" si="11"/>
        <v>40680.668817309153</v>
      </c>
      <c r="J41" s="193">
        <f t="shared" si="11"/>
        <v>41483.867473123573</v>
      </c>
      <c r="K41" s="193">
        <f t="shared" si="11"/>
        <v>42381.923994052377</v>
      </c>
      <c r="L41" s="193">
        <f t="shared" si="11"/>
        <v>42727.886230995544</v>
      </c>
      <c r="M41" s="193">
        <f t="shared" si="11"/>
        <v>43235.857425116963</v>
      </c>
      <c r="N41" s="193">
        <f t="shared" si="11"/>
        <v>43748.776309367538</v>
      </c>
      <c r="O41" s="193">
        <f t="shared" si="11"/>
        <v>44266.694196175711</v>
      </c>
      <c r="P41" s="193">
        <f t="shared" si="11"/>
        <v>44789.62783572534</v>
      </c>
      <c r="Q41" s="193">
        <f t="shared" si="11"/>
        <v>45430.120764989522</v>
      </c>
      <c r="R41" s="193">
        <f t="shared" si="11"/>
        <v>46078.803732191831</v>
      </c>
      <c r="S41" s="193">
        <f t="shared" si="11"/>
        <v>46735.755743140253</v>
      </c>
      <c r="T41" s="193">
        <f t="shared" si="11"/>
        <v>47401.055653366813</v>
      </c>
      <c r="U41" s="193">
        <f t="shared" si="11"/>
        <v>48074.782125509846</v>
      </c>
      <c r="V41" s="91"/>
      <c r="W41" s="167">
        <f>SUM(B41:U41)</f>
        <v>831666.22112574964</v>
      </c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</row>
    <row r="42" spans="1:45" ht="12.75" customHeight="1" x14ac:dyDescent="0.25">
      <c r="A42" s="251" t="s">
        <v>144</v>
      </c>
      <c r="B42" s="253">
        <f t="shared" ref="B42:U42" si="12">B18</f>
        <v>0</v>
      </c>
      <c r="C42" s="253">
        <f t="shared" si="12"/>
        <v>117.98699999999999</v>
      </c>
      <c r="D42" s="253">
        <f t="shared" si="12"/>
        <v>216.84299999999999</v>
      </c>
      <c r="E42" s="253">
        <f t="shared" si="12"/>
        <v>295.98500000000001</v>
      </c>
      <c r="F42" s="253">
        <f t="shared" si="12"/>
        <v>346.25099999999998</v>
      </c>
      <c r="G42" s="253">
        <f t="shared" si="12"/>
        <v>468.65699999999998</v>
      </c>
      <c r="H42" s="253">
        <f t="shared" si="12"/>
        <v>641.05899999999997</v>
      </c>
      <c r="I42" s="253">
        <f t="shared" si="12"/>
        <v>753.23199999999997</v>
      </c>
      <c r="J42" s="253">
        <f t="shared" si="12"/>
        <v>765.3</v>
      </c>
      <c r="K42" s="253">
        <f t="shared" si="12"/>
        <v>699.25800000000004</v>
      </c>
      <c r="L42" s="253">
        <f t="shared" si="12"/>
        <v>854.33299999999997</v>
      </c>
      <c r="M42" s="253">
        <f t="shared" si="12"/>
        <v>854.3</v>
      </c>
      <c r="N42" s="253">
        <f t="shared" si="12"/>
        <v>854.3</v>
      </c>
      <c r="O42" s="253">
        <f t="shared" si="12"/>
        <v>854.3</v>
      </c>
      <c r="P42" s="253">
        <f t="shared" si="12"/>
        <v>854.3</v>
      </c>
      <c r="Q42" s="253">
        <f t="shared" si="12"/>
        <v>854.3</v>
      </c>
      <c r="R42" s="253">
        <f t="shared" si="12"/>
        <v>854.3</v>
      </c>
      <c r="S42" s="253">
        <f t="shared" si="12"/>
        <v>854.3</v>
      </c>
      <c r="T42" s="253">
        <f t="shared" si="12"/>
        <v>854.3</v>
      </c>
      <c r="U42" s="253">
        <f t="shared" si="12"/>
        <v>854.3</v>
      </c>
      <c r="V42" s="91"/>
      <c r="W42" s="167">
        <f>SUM(B42:U42)</f>
        <v>12847.604999999996</v>
      </c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</row>
    <row r="43" spans="1:45" ht="12.75" customHeight="1" x14ac:dyDescent="0.25">
      <c r="A43" s="251" t="s">
        <v>145</v>
      </c>
      <c r="B43" s="338">
        <v>-203.273</v>
      </c>
      <c r="C43" s="253">
        <f t="shared" ref="C43:U43" si="13">-B42</f>
        <v>0</v>
      </c>
      <c r="D43" s="253">
        <f t="shared" si="13"/>
        <v>-117.98699999999999</v>
      </c>
      <c r="E43" s="253">
        <f t="shared" si="13"/>
        <v>-216.84299999999999</v>
      </c>
      <c r="F43" s="253">
        <f t="shared" si="13"/>
        <v>-295.98500000000001</v>
      </c>
      <c r="G43" s="253">
        <f t="shared" si="13"/>
        <v>-346.25099999999998</v>
      </c>
      <c r="H43" s="253">
        <f t="shared" si="13"/>
        <v>-468.65699999999998</v>
      </c>
      <c r="I43" s="253">
        <f t="shared" si="13"/>
        <v>-641.05899999999997</v>
      </c>
      <c r="J43" s="253">
        <f t="shared" si="13"/>
        <v>-753.23199999999997</v>
      </c>
      <c r="K43" s="253">
        <f t="shared" si="13"/>
        <v>-765.3</v>
      </c>
      <c r="L43" s="253">
        <f t="shared" si="13"/>
        <v>-699.25800000000004</v>
      </c>
      <c r="M43" s="253">
        <f t="shared" si="13"/>
        <v>-854.33299999999997</v>
      </c>
      <c r="N43" s="253">
        <f t="shared" si="13"/>
        <v>-854.3</v>
      </c>
      <c r="O43" s="253">
        <f t="shared" si="13"/>
        <v>-854.3</v>
      </c>
      <c r="P43" s="253">
        <f t="shared" si="13"/>
        <v>-854.3</v>
      </c>
      <c r="Q43" s="253">
        <f t="shared" si="13"/>
        <v>-854.3</v>
      </c>
      <c r="R43" s="253">
        <f t="shared" si="13"/>
        <v>-854.3</v>
      </c>
      <c r="S43" s="253">
        <f t="shared" si="13"/>
        <v>-854.3</v>
      </c>
      <c r="T43" s="253">
        <f t="shared" si="13"/>
        <v>-854.3</v>
      </c>
      <c r="U43" s="253">
        <f t="shared" si="13"/>
        <v>-854.3</v>
      </c>
      <c r="V43" s="91"/>
      <c r="W43" s="167">
        <f>SUM(B43:U43)</f>
        <v>-12196.577999999996</v>
      </c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</row>
    <row r="44" spans="1:45" ht="12.75" customHeight="1" x14ac:dyDescent="0.25">
      <c r="A44" s="251" t="s">
        <v>196</v>
      </c>
      <c r="B44" s="339">
        <f>-Debt!B77*Allocation!$E$7</f>
        <v>-13943.654703827078</v>
      </c>
      <c r="C44" s="339">
        <f>-Debt!C77*Allocation!$E$7</f>
        <v>-14019.447253971068</v>
      </c>
      <c r="D44" s="339">
        <f>-Debt!D77*Allocation!$E$7</f>
        <v>-14085.265937522114</v>
      </c>
      <c r="E44" s="339">
        <f>-Debt!E77*Allocation!$E$7</f>
        <v>-14231.800690741202</v>
      </c>
      <c r="F44" s="339">
        <f>-Debt!F77*Allocation!$E$7</f>
        <v>-14337.575823760371</v>
      </c>
      <c r="G44" s="339">
        <f>-Debt!G77*Allocation!$E$7</f>
        <v>-14014.717624588575</v>
      </c>
      <c r="H44" s="339">
        <f>-Debt!H77*Allocation!$E$7</f>
        <v>-13729.880675082844</v>
      </c>
      <c r="I44" s="339">
        <f>-Debt!I77*Allocation!$E$7</f>
        <v>-13490.348284118416</v>
      </c>
      <c r="J44" s="339">
        <f>-Debt!J77*Allocation!$E$7</f>
        <v>-13240.991236350796</v>
      </c>
      <c r="K44" s="339">
        <f>-Debt!K77*Allocation!$E$7</f>
        <v>-13033.012187183462</v>
      </c>
      <c r="L44" s="339">
        <f>-Debt!L77*Allocation!$E$7</f>
        <v>-12821.709072842001</v>
      </c>
      <c r="M44" s="339">
        <f>-Debt!M77*Allocation!$E$7</f>
        <v>-12651.232369637131</v>
      </c>
      <c r="N44" s="339">
        <f>-Debt!N77*Allocation!$E$7</f>
        <v>-12441.013500885923</v>
      </c>
      <c r="O44" s="339">
        <f>-Debt!O77*Allocation!$E$7</f>
        <v>-12276.503266157064</v>
      </c>
      <c r="P44" s="339">
        <f>-Debt!P77*Allocation!$E$7</f>
        <v>-12100.722145315933</v>
      </c>
      <c r="Q44" s="339">
        <f>-Debt!Q77*Allocation!$E$7</f>
        <v>-11992.687060134656</v>
      </c>
      <c r="R44" s="339">
        <f>-Debt!R77*Allocation!$E$7</f>
        <v>-11828.551038399915</v>
      </c>
      <c r="S44" s="339">
        <f>-Debt!S77*Allocation!$E$7</f>
        <v>-11686.174732907935</v>
      </c>
      <c r="T44" s="339">
        <f>-Debt!T77*Allocation!$E$7</f>
        <v>-11556.40896114813</v>
      </c>
      <c r="U44" s="339">
        <f>-Debt!U77*Allocation!$E$7</f>
        <v>-11431.138742227204</v>
      </c>
      <c r="V44" s="91"/>
      <c r="W44" s="167">
        <f>SUM(B44:U44)</f>
        <v>-258912.8353068018</v>
      </c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</row>
    <row r="45" spans="1:45" ht="12.75" customHeight="1" x14ac:dyDescent="0.25">
      <c r="A45" s="251"/>
      <c r="B45" s="340"/>
      <c r="C45" s="340"/>
      <c r="D45" s="340"/>
      <c r="E45" s="340"/>
      <c r="F45" s="340"/>
      <c r="G45" s="340"/>
      <c r="H45" s="340"/>
      <c r="I45" s="340"/>
      <c r="J45" s="340"/>
      <c r="K45" s="340"/>
      <c r="L45" s="340"/>
      <c r="M45" s="340"/>
      <c r="N45" s="340"/>
      <c r="O45" s="340"/>
      <c r="P45" s="340"/>
      <c r="Q45" s="340"/>
      <c r="R45" s="340"/>
      <c r="S45" s="340"/>
      <c r="T45" s="340"/>
      <c r="U45" s="340"/>
      <c r="V45" s="91"/>
      <c r="W45" s="244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</row>
    <row r="46" spans="1:45" ht="12.75" customHeight="1" x14ac:dyDescent="0.25">
      <c r="A46" s="247" t="s">
        <v>197</v>
      </c>
      <c r="B46" s="362">
        <f t="shared" ref="B46:U46" si="14">SUM(B41:B44)</f>
        <v>17457.027845544202</v>
      </c>
      <c r="C46" s="362">
        <f t="shared" si="14"/>
        <v>19309.595006610565</v>
      </c>
      <c r="D46" s="362">
        <f t="shared" si="14"/>
        <v>20944.184498549781</v>
      </c>
      <c r="E46" s="362">
        <f t="shared" si="14"/>
        <v>22615.484989551191</v>
      </c>
      <c r="F46" s="362">
        <f t="shared" si="14"/>
        <v>24450.915439697259</v>
      </c>
      <c r="G46" s="362">
        <f t="shared" si="14"/>
        <v>25491.808433362214</v>
      </c>
      <c r="H46" s="362">
        <f t="shared" si="14"/>
        <v>26436.827901876713</v>
      </c>
      <c r="I46" s="362">
        <f t="shared" si="14"/>
        <v>27302.49353319074</v>
      </c>
      <c r="J46" s="362">
        <f t="shared" si="14"/>
        <v>28254.944236772782</v>
      </c>
      <c r="K46" s="362">
        <f t="shared" si="14"/>
        <v>29282.869806868912</v>
      </c>
      <c r="L46" s="362">
        <f t="shared" si="14"/>
        <v>30061.25215815354</v>
      </c>
      <c r="M46" s="362">
        <f t="shared" si="14"/>
        <v>30584.592055479836</v>
      </c>
      <c r="N46" s="362">
        <f t="shared" si="14"/>
        <v>31307.762808481617</v>
      </c>
      <c r="O46" s="362">
        <f t="shared" si="14"/>
        <v>31990.190930018645</v>
      </c>
      <c r="P46" s="362">
        <f t="shared" si="14"/>
        <v>32688.905690409407</v>
      </c>
      <c r="Q46" s="362">
        <f t="shared" si="14"/>
        <v>33437.433704854862</v>
      </c>
      <c r="R46" s="362">
        <f t="shared" si="14"/>
        <v>34250.252693791917</v>
      </c>
      <c r="S46" s="362">
        <f t="shared" si="14"/>
        <v>35049.581010232316</v>
      </c>
      <c r="T46" s="362">
        <f t="shared" si="14"/>
        <v>35844.646692218681</v>
      </c>
      <c r="U46" s="362">
        <f t="shared" si="14"/>
        <v>36643.643383282644</v>
      </c>
      <c r="V46" s="292"/>
      <c r="W46" s="167">
        <f>SUM(B46:U46)</f>
        <v>573404.41281894781</v>
      </c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</row>
    <row r="47" spans="1:45" ht="12.75" customHeight="1" x14ac:dyDescent="0.25">
      <c r="A47" s="247"/>
      <c r="B47" s="197"/>
      <c r="C47" s="197"/>
      <c r="D47" s="197"/>
      <c r="E47" s="197"/>
      <c r="F47" s="197"/>
      <c r="G47" s="197"/>
      <c r="H47" s="197"/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7"/>
      <c r="V47" s="91"/>
      <c r="W47" s="244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</row>
    <row r="48" spans="1:45" ht="15" customHeight="1" x14ac:dyDescent="0.4">
      <c r="A48" s="251" t="s">
        <v>198</v>
      </c>
      <c r="B48" s="342">
        <f t="shared" ref="B48:U48" si="15">-B89</f>
        <v>-852.67349150761447</v>
      </c>
      <c r="C48" s="342">
        <f t="shared" si="15"/>
        <v>-556.4113072317773</v>
      </c>
      <c r="D48" s="342">
        <f t="shared" si="15"/>
        <v>-806.70017786282665</v>
      </c>
      <c r="E48" s="342">
        <f t="shared" si="15"/>
        <v>-1057.2810977524932</v>
      </c>
      <c r="F48" s="342">
        <f t="shared" si="15"/>
        <v>-1319.2097723307704</v>
      </c>
      <c r="G48" s="342">
        <f t="shared" si="15"/>
        <v>-1470.7049486210246</v>
      </c>
      <c r="H48" s="342">
        <f t="shared" si="15"/>
        <v>-1584.0559996950315</v>
      </c>
      <c r="I48" s="342">
        <f t="shared" si="15"/>
        <v>-1669.3627344634292</v>
      </c>
      <c r="J48" s="342">
        <f t="shared" si="15"/>
        <v>-1771.5566230238569</v>
      </c>
      <c r="K48" s="342">
        <f t="shared" si="15"/>
        <v>-1879.3058200802611</v>
      </c>
      <c r="L48" s="342">
        <f t="shared" si="15"/>
        <v>-1947.998547099809</v>
      </c>
      <c r="M48" s="342">
        <f t="shared" si="15"/>
        <v>-2029.2269148847772</v>
      </c>
      <c r="N48" s="342">
        <f t="shared" si="15"/>
        <v>-2119.3728794764761</v>
      </c>
      <c r="O48" s="342">
        <f t="shared" si="15"/>
        <v>-2210.0702609742057</v>
      </c>
      <c r="P48" s="342">
        <f t="shared" si="15"/>
        <v>-2307.4413851497466</v>
      </c>
      <c r="Q48" s="342">
        <f t="shared" si="15"/>
        <v>-2416.9252662915592</v>
      </c>
      <c r="R48" s="342">
        <f t="shared" si="15"/>
        <v>-3111.3901018738929</v>
      </c>
      <c r="S48" s="342">
        <f t="shared" si="15"/>
        <v>-3235.1861048734336</v>
      </c>
      <c r="T48" s="342">
        <f t="shared" si="15"/>
        <v>-3366.6556137512034</v>
      </c>
      <c r="U48" s="342">
        <f t="shared" si="15"/>
        <v>-3506.445926346204</v>
      </c>
      <c r="V48" s="91"/>
      <c r="W48" s="167">
        <f>SUM(B48:U48)</f>
        <v>-39217.974973290387</v>
      </c>
      <c r="X48" s="2"/>
      <c r="Y48" s="2"/>
      <c r="Z48" s="2"/>
      <c r="AA48" s="2"/>
      <c r="AB48" s="12"/>
      <c r="AC48" s="1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1:45" ht="12.75" customHeight="1" x14ac:dyDescent="0.25">
      <c r="A49" s="251" t="s">
        <v>199</v>
      </c>
      <c r="B49" s="343">
        <f>-Allocation!$E$7*Tax!B24</f>
        <v>-2431.531976324869</v>
      </c>
      <c r="C49" s="343">
        <f>-Allocation!$E$7*Tax!C24</f>
        <v>0</v>
      </c>
      <c r="D49" s="343">
        <f>-Allocation!$E$7*Tax!D24</f>
        <v>-182.43094617208678</v>
      </c>
      <c r="E49" s="343">
        <f>-Allocation!$E$7*Tax!E24</f>
        <v>-2190.0571142214053</v>
      </c>
      <c r="F49" s="343">
        <f>-Allocation!$E$7*Tax!F24</f>
        <v>-3519.058863639857</v>
      </c>
      <c r="G49" s="343">
        <f>-Allocation!$E$7*Tax!G24</f>
        <v>-4389.0133027183192</v>
      </c>
      <c r="H49" s="343">
        <f>-Allocation!$E$7*Tax!H24</f>
        <v>-4993.2304896895357</v>
      </c>
      <c r="I49" s="343">
        <f>-Allocation!$E$7*Tax!I24</f>
        <v>-5333.0442742000923</v>
      </c>
      <c r="J49" s="343">
        <f>-Allocation!$E$7*Tax!J24</f>
        <v>-5726.017553337254</v>
      </c>
      <c r="K49" s="343">
        <f>-Allocation!$E$7*Tax!K24</f>
        <v>-6114.7831254600778</v>
      </c>
      <c r="L49" s="343">
        <f>-Allocation!$E$7*Tax!L24</f>
        <v>-6504.2427722519533</v>
      </c>
      <c r="M49" s="343">
        <f>-Allocation!$E$7*Tax!M24</f>
        <v>-6903.773281122656</v>
      </c>
      <c r="N49" s="343">
        <f>-Allocation!$E$7*Tax!N24</f>
        <v>-7315.1087300950294</v>
      </c>
      <c r="O49" s="343">
        <f>-Allocation!$E$7*Tax!O24</f>
        <v>-7758.1318472817338</v>
      </c>
      <c r="P49" s="343">
        <f>-Allocation!$E$7*Tax!P24</f>
        <v>-8195.0665762676654</v>
      </c>
      <c r="Q49" s="343">
        <f>-Allocation!$E$7*Tax!Q24</f>
        <v>-8705.2265906088269</v>
      </c>
      <c r="R49" s="343">
        <f>-Allocation!$E$7*Tax!R24</f>
        <v>-13889.680820443582</v>
      </c>
      <c r="S49" s="343">
        <f>-Allocation!$E$7*Tax!S24</f>
        <v>-14400.647243363052</v>
      </c>
      <c r="T49" s="343">
        <f>-Allocation!$E$7*Tax!T24</f>
        <v>-14943.211681161785</v>
      </c>
      <c r="U49" s="343">
        <f>-Allocation!$E$7*Tax!U24</f>
        <v>-15520.040862935341</v>
      </c>
      <c r="V49" s="91"/>
      <c r="W49" s="167">
        <f>SUM(B49:U49)</f>
        <v>-139014.29805129513</v>
      </c>
      <c r="X49" s="2"/>
      <c r="Y49" s="2"/>
      <c r="Z49" s="2"/>
      <c r="AA49" s="2"/>
      <c r="AB49" s="12"/>
      <c r="AC49" s="1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1:45" ht="12.75" customHeight="1" x14ac:dyDescent="0.4">
      <c r="A50" s="251"/>
      <c r="B50" s="363"/>
      <c r="C50" s="363"/>
      <c r="D50" s="363"/>
      <c r="E50" s="363"/>
      <c r="F50" s="363"/>
      <c r="G50" s="363"/>
      <c r="H50" s="363"/>
      <c r="I50" s="363"/>
      <c r="J50" s="363"/>
      <c r="K50" s="363"/>
      <c r="L50" s="363"/>
      <c r="M50" s="363"/>
      <c r="N50" s="363"/>
      <c r="O50" s="363"/>
      <c r="P50" s="363"/>
      <c r="Q50" s="363"/>
      <c r="R50" s="363"/>
      <c r="S50" s="363"/>
      <c r="T50" s="363"/>
      <c r="U50" s="363"/>
      <c r="V50" s="91"/>
      <c r="W50" s="244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</row>
    <row r="51" spans="1:45" ht="15.75" customHeight="1" x14ac:dyDescent="0.3">
      <c r="A51" s="344" t="s">
        <v>200</v>
      </c>
      <c r="B51" s="345">
        <f t="shared" ref="B51:U51" si="16">B46+B49+B48</f>
        <v>14172.822377711718</v>
      </c>
      <c r="C51" s="345">
        <f t="shared" si="16"/>
        <v>18753.183699378787</v>
      </c>
      <c r="D51" s="345">
        <f t="shared" si="16"/>
        <v>19955.053374514868</v>
      </c>
      <c r="E51" s="345">
        <f t="shared" si="16"/>
        <v>19368.146777577291</v>
      </c>
      <c r="F51" s="345">
        <f t="shared" si="16"/>
        <v>19612.646803726631</v>
      </c>
      <c r="G51" s="345">
        <f t="shared" si="16"/>
        <v>19632.090182022872</v>
      </c>
      <c r="H51" s="345">
        <f t="shared" si="16"/>
        <v>19859.541412492144</v>
      </c>
      <c r="I51" s="345">
        <f t="shared" si="16"/>
        <v>20300.086524527218</v>
      </c>
      <c r="J51" s="345">
        <f t="shared" si="16"/>
        <v>20757.370060411671</v>
      </c>
      <c r="K51" s="345">
        <f t="shared" si="16"/>
        <v>21288.780861328571</v>
      </c>
      <c r="L51" s="345">
        <f t="shared" si="16"/>
        <v>21609.010838801776</v>
      </c>
      <c r="M51" s="345">
        <f t="shared" si="16"/>
        <v>21651.591859472403</v>
      </c>
      <c r="N51" s="345">
        <f t="shared" si="16"/>
        <v>21873.28119891011</v>
      </c>
      <c r="O51" s="345">
        <f t="shared" si="16"/>
        <v>22021.988821762709</v>
      </c>
      <c r="P51" s="345">
        <f t="shared" si="16"/>
        <v>22186.397728991993</v>
      </c>
      <c r="Q51" s="345">
        <f t="shared" si="16"/>
        <v>22315.281847954473</v>
      </c>
      <c r="R51" s="345">
        <f t="shared" si="16"/>
        <v>17249.181771474443</v>
      </c>
      <c r="S51" s="345">
        <f t="shared" si="16"/>
        <v>17413.747661995832</v>
      </c>
      <c r="T51" s="345">
        <f t="shared" si="16"/>
        <v>17534.779397305691</v>
      </c>
      <c r="U51" s="345">
        <f t="shared" si="16"/>
        <v>17617.156594001099</v>
      </c>
      <c r="V51" s="336"/>
      <c r="W51" s="167">
        <f>SUM(B51:U51)</f>
        <v>395172.13979436224</v>
      </c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</row>
    <row r="52" spans="1:45" ht="12.75" customHeight="1" x14ac:dyDescent="0.25">
      <c r="A52" s="364"/>
      <c r="B52" s="197"/>
      <c r="C52" s="197"/>
      <c r="D52" s="197"/>
      <c r="E52" s="197"/>
      <c r="F52" s="197"/>
      <c r="G52" s="197"/>
      <c r="H52" s="197"/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97"/>
      <c r="T52" s="197"/>
      <c r="U52" s="197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</row>
    <row r="53" spans="1:45" ht="18" customHeight="1" x14ac:dyDescent="0.3">
      <c r="A53" s="337" t="s">
        <v>220</v>
      </c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</row>
    <row r="54" spans="1:45" ht="12.75" customHeight="1" x14ac:dyDescent="0.25">
      <c r="A54" s="292"/>
      <c r="B54" s="293"/>
      <c r="C54" s="293"/>
      <c r="D54" s="293"/>
      <c r="E54" s="293"/>
      <c r="F54" s="293"/>
      <c r="G54" s="294"/>
      <c r="H54" s="293"/>
      <c r="I54" s="293"/>
      <c r="J54" s="293"/>
      <c r="K54" s="293"/>
      <c r="L54" s="293"/>
      <c r="M54" s="294"/>
      <c r="N54" s="293"/>
      <c r="O54" s="293"/>
      <c r="P54" s="293"/>
      <c r="Q54" s="293"/>
      <c r="R54" s="293"/>
      <c r="S54" s="294"/>
      <c r="T54" s="293"/>
      <c r="U54" s="293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</row>
    <row r="55" spans="1:45" ht="13.5" customHeight="1" thickBot="1" x14ac:dyDescent="0.3">
      <c r="A55" s="151" t="s">
        <v>99</v>
      </c>
      <c r="B55" s="152">
        <v>2001</v>
      </c>
      <c r="C55" s="152">
        <v>2002</v>
      </c>
      <c r="D55" s="152">
        <v>2003</v>
      </c>
      <c r="E55" s="152">
        <v>2004</v>
      </c>
      <c r="F55" s="152">
        <v>2005</v>
      </c>
      <c r="G55" s="152">
        <v>2006</v>
      </c>
      <c r="H55" s="152">
        <v>2007</v>
      </c>
      <c r="I55" s="152">
        <v>2008</v>
      </c>
      <c r="J55" s="152">
        <v>2009</v>
      </c>
      <c r="K55" s="152">
        <v>2010</v>
      </c>
      <c r="L55" s="152">
        <v>2011</v>
      </c>
      <c r="M55" s="152">
        <v>2012</v>
      </c>
      <c r="N55" s="152">
        <v>2013</v>
      </c>
      <c r="O55" s="152">
        <v>2014</v>
      </c>
      <c r="P55" s="152">
        <v>2015</v>
      </c>
      <c r="Q55" s="152">
        <v>2016</v>
      </c>
      <c r="R55" s="152">
        <v>2017</v>
      </c>
      <c r="S55" s="152">
        <v>2018</v>
      </c>
      <c r="T55" s="152">
        <v>2019</v>
      </c>
      <c r="U55" s="152">
        <v>2020</v>
      </c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1"/>
    </row>
    <row r="56" spans="1:45" ht="12.75" customHeight="1" x14ac:dyDescent="0.25">
      <c r="A56" s="241"/>
      <c r="B56" s="299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91"/>
    </row>
    <row r="57" spans="1:45" ht="12.75" customHeight="1" x14ac:dyDescent="0.25">
      <c r="A57" s="300" t="s">
        <v>221</v>
      </c>
      <c r="B57" s="299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</row>
    <row r="58" spans="1:45" ht="12.75" customHeight="1" x14ac:dyDescent="0.25">
      <c r="A58" s="241"/>
      <c r="B58" s="299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91"/>
    </row>
    <row r="59" spans="1:45" ht="12.75" customHeight="1" x14ac:dyDescent="0.25">
      <c r="A59" s="300" t="s">
        <v>78</v>
      </c>
      <c r="B59" s="365"/>
      <c r="C59" s="365"/>
      <c r="D59" s="366"/>
      <c r="E59" s="366"/>
      <c r="F59" s="366"/>
      <c r="G59" s="366"/>
      <c r="H59" s="366"/>
      <c r="I59" s="366"/>
      <c r="J59" s="366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91"/>
    </row>
    <row r="60" spans="1:45" ht="12.75" customHeight="1" x14ac:dyDescent="0.25">
      <c r="A60" s="24" t="s">
        <v>179</v>
      </c>
      <c r="B60" s="87">
        <f t="shared" ref="B60:U60" si="17">B30</f>
        <v>13266.920409367542</v>
      </c>
      <c r="C60" s="87">
        <f t="shared" si="17"/>
        <v>15082.332594141089</v>
      </c>
      <c r="D60" s="87">
        <f t="shared" si="17"/>
        <v>17075.593236364501</v>
      </c>
      <c r="E60" s="87">
        <f t="shared" si="17"/>
        <v>19196.229958337761</v>
      </c>
      <c r="F60" s="87">
        <f t="shared" si="17"/>
        <v>21559.452547676938</v>
      </c>
      <c r="G60" s="87">
        <f t="shared" si="17"/>
        <v>22611.358231207403</v>
      </c>
      <c r="H60" s="87">
        <f t="shared" si="17"/>
        <v>23638.040125342304</v>
      </c>
      <c r="I60" s="87">
        <f t="shared" si="17"/>
        <v>24730.240136387365</v>
      </c>
      <c r="J60" s="87">
        <f t="shared" si="17"/>
        <v>26011.465737099592</v>
      </c>
      <c r="K60" s="87">
        <f t="shared" si="17"/>
        <v>27387.74754925866</v>
      </c>
      <c r="L60" s="87">
        <f t="shared" si="17"/>
        <v>28244.907814010377</v>
      </c>
      <c r="M60" s="87">
        <f t="shared" si="17"/>
        <v>29285.482926531011</v>
      </c>
      <c r="N60" s="87">
        <f t="shared" si="17"/>
        <v>30414.203160550467</v>
      </c>
      <c r="O60" s="87">
        <f t="shared" si="17"/>
        <v>31574.639206144027</v>
      </c>
      <c r="P60" s="87">
        <f t="shared" si="17"/>
        <v>32794.817156414647</v>
      </c>
      <c r="Q60" s="87">
        <f t="shared" si="17"/>
        <v>34180.689069602151</v>
      </c>
      <c r="R60" s="87">
        <f t="shared" si="17"/>
        <v>35674.307223104573</v>
      </c>
      <c r="S60" s="87">
        <f t="shared" si="17"/>
        <v>37241.345235756977</v>
      </c>
      <c r="T60" s="87">
        <f t="shared" si="17"/>
        <v>38905.516234209768</v>
      </c>
      <c r="U60" s="87">
        <f t="shared" si="17"/>
        <v>40675.013861994579</v>
      </c>
      <c r="V60" s="367"/>
      <c r="W60" s="367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91"/>
    </row>
    <row r="61" spans="1:45" ht="12.75" customHeight="1" x14ac:dyDescent="0.25">
      <c r="A61" s="24" t="s">
        <v>222</v>
      </c>
      <c r="B61" s="368">
        <f>Assumptions!$D$38</f>
        <v>3.4000000000000002E-2</v>
      </c>
      <c r="C61" s="368">
        <f>Assumptions!$D$38</f>
        <v>3.4000000000000002E-2</v>
      </c>
      <c r="D61" s="368">
        <f>Assumptions!$D$38</f>
        <v>3.4000000000000002E-2</v>
      </c>
      <c r="E61" s="368">
        <f>Assumptions!$D$38</f>
        <v>3.4000000000000002E-2</v>
      </c>
      <c r="F61" s="368">
        <f>Assumptions!$D$38</f>
        <v>3.4000000000000002E-2</v>
      </c>
      <c r="G61" s="368">
        <f>Assumptions!$D$38</f>
        <v>3.4000000000000002E-2</v>
      </c>
      <c r="H61" s="368">
        <f>Assumptions!$D$38</f>
        <v>3.4000000000000002E-2</v>
      </c>
      <c r="I61" s="368">
        <f>Assumptions!$D$38</f>
        <v>3.4000000000000002E-2</v>
      </c>
      <c r="J61" s="368">
        <f>Assumptions!$D$38</f>
        <v>3.4000000000000002E-2</v>
      </c>
      <c r="K61" s="368">
        <f>Assumptions!$D$38</f>
        <v>3.4000000000000002E-2</v>
      </c>
      <c r="L61" s="368">
        <f>Assumptions!$D$38</f>
        <v>3.4000000000000002E-2</v>
      </c>
      <c r="M61" s="368">
        <f>Assumptions!$D$38</f>
        <v>3.4000000000000002E-2</v>
      </c>
      <c r="N61" s="368">
        <f>Assumptions!$D$38</f>
        <v>3.4000000000000002E-2</v>
      </c>
      <c r="O61" s="368">
        <f>Assumptions!$D$38</f>
        <v>3.4000000000000002E-2</v>
      </c>
      <c r="P61" s="368">
        <f>Assumptions!$D$38</f>
        <v>3.4000000000000002E-2</v>
      </c>
      <c r="Q61" s="368">
        <f>Assumptions!$D$38</f>
        <v>3.4000000000000002E-2</v>
      </c>
      <c r="R61" s="368">
        <f>Assumptions!$D$38</f>
        <v>3.4000000000000002E-2</v>
      </c>
      <c r="S61" s="368">
        <f>Assumptions!$D$38</f>
        <v>3.4000000000000002E-2</v>
      </c>
      <c r="T61" s="368">
        <f>Assumptions!$D$38</f>
        <v>3.4000000000000002E-2</v>
      </c>
      <c r="U61" s="368">
        <f>Assumptions!$D$38</f>
        <v>3.4000000000000002E-2</v>
      </c>
      <c r="V61" s="368"/>
      <c r="W61" s="368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91"/>
    </row>
    <row r="62" spans="1:45" ht="12.75" customHeight="1" x14ac:dyDescent="0.25">
      <c r="A62" s="24" t="s">
        <v>223</v>
      </c>
      <c r="B62" s="252">
        <f t="shared" ref="B62:U62" si="18">B60*B61</f>
        <v>451.07529391849647</v>
      </c>
      <c r="C62" s="252">
        <f t="shared" si="18"/>
        <v>512.7993082007971</v>
      </c>
      <c r="D62" s="252">
        <f t="shared" si="18"/>
        <v>580.57017003639305</v>
      </c>
      <c r="E62" s="252">
        <f t="shared" si="18"/>
        <v>652.67181858348397</v>
      </c>
      <c r="F62" s="252">
        <f t="shared" si="18"/>
        <v>733.02138662101595</v>
      </c>
      <c r="G62" s="252">
        <f t="shared" si="18"/>
        <v>768.78617986105178</v>
      </c>
      <c r="H62" s="252">
        <f t="shared" si="18"/>
        <v>803.69336426163841</v>
      </c>
      <c r="I62" s="252">
        <f t="shared" si="18"/>
        <v>840.82816463717052</v>
      </c>
      <c r="J62" s="252">
        <f t="shared" si="18"/>
        <v>884.38983506138618</v>
      </c>
      <c r="K62" s="252">
        <f t="shared" si="18"/>
        <v>931.18341667479456</v>
      </c>
      <c r="L62" s="252">
        <f t="shared" si="18"/>
        <v>960.3268656763529</v>
      </c>
      <c r="M62" s="252">
        <f t="shared" si="18"/>
        <v>995.70641950205447</v>
      </c>
      <c r="N62" s="252">
        <f t="shared" si="18"/>
        <v>1034.0829074587159</v>
      </c>
      <c r="O62" s="252">
        <f t="shared" si="18"/>
        <v>1073.537733008897</v>
      </c>
      <c r="P62" s="252">
        <f t="shared" si="18"/>
        <v>1115.0237833180981</v>
      </c>
      <c r="Q62" s="252">
        <f t="shared" si="18"/>
        <v>1162.1434283664732</v>
      </c>
      <c r="R62" s="252">
        <f t="shared" si="18"/>
        <v>1212.9264455855555</v>
      </c>
      <c r="S62" s="252">
        <f t="shared" si="18"/>
        <v>1266.2057380157373</v>
      </c>
      <c r="T62" s="252">
        <f t="shared" si="18"/>
        <v>1322.7875519631323</v>
      </c>
      <c r="U62" s="252">
        <f t="shared" si="18"/>
        <v>1382.9504713078159</v>
      </c>
      <c r="V62" s="369"/>
      <c r="W62" s="369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91"/>
    </row>
    <row r="63" spans="1:45" ht="12.75" customHeight="1" x14ac:dyDescent="0.25">
      <c r="A63" s="365"/>
      <c r="B63" s="12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91"/>
    </row>
    <row r="64" spans="1:45" ht="12.75" customHeight="1" x14ac:dyDescent="0.25">
      <c r="A64" s="300" t="s">
        <v>224</v>
      </c>
      <c r="B64" s="12"/>
      <c r="C64" s="12"/>
      <c r="D64" s="370"/>
      <c r="E64" s="370"/>
      <c r="F64" s="370"/>
      <c r="G64" s="370"/>
      <c r="H64" s="370"/>
      <c r="I64" s="370"/>
      <c r="J64" s="370"/>
      <c r="K64" s="370"/>
      <c r="L64" s="370"/>
      <c r="M64" s="370"/>
      <c r="N64" s="370"/>
      <c r="O64" s="370"/>
      <c r="P64" s="370"/>
      <c r="Q64" s="370"/>
      <c r="R64" s="370"/>
      <c r="S64" s="370"/>
      <c r="T64" s="370"/>
      <c r="U64" s="370"/>
      <c r="V64" s="370"/>
      <c r="W64" s="370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91"/>
    </row>
    <row r="65" spans="1:45" ht="12.75" customHeight="1" x14ac:dyDescent="0.25">
      <c r="A65" s="24" t="s">
        <v>225</v>
      </c>
      <c r="B65" s="371">
        <f t="shared" ref="B65:U65" si="19">B11</f>
        <v>35369.631599906999</v>
      </c>
      <c r="C65" s="371">
        <f t="shared" si="19"/>
        <v>37207.688592633422</v>
      </c>
      <c r="D65" s="371">
        <f t="shared" si="19"/>
        <v>39142.443158085232</v>
      </c>
      <c r="E65" s="371">
        <f t="shared" si="19"/>
        <v>41178.984573966132</v>
      </c>
      <c r="F65" s="371">
        <f t="shared" si="19"/>
        <v>43322.777833941589</v>
      </c>
      <c r="G65" s="371">
        <f t="shared" si="19"/>
        <v>44218.227675549257</v>
      </c>
      <c r="H65" s="371">
        <f t="shared" si="19"/>
        <v>45131.779713085984</v>
      </c>
      <c r="I65" s="371">
        <f t="shared" si="19"/>
        <v>46065.207377519371</v>
      </c>
      <c r="J65" s="371">
        <f t="shared" si="19"/>
        <v>47019.413230140097</v>
      </c>
      <c r="K65" s="371">
        <f t="shared" si="19"/>
        <v>47994.535123779395</v>
      </c>
      <c r="L65" s="371">
        <f t="shared" si="19"/>
        <v>48642.972954614379</v>
      </c>
      <c r="M65" s="371">
        <f t="shared" si="19"/>
        <v>49302.73376044436</v>
      </c>
      <c r="N65" s="371">
        <f t="shared" si="19"/>
        <v>49972.029934754755</v>
      </c>
      <c r="O65" s="371">
        <f t="shared" si="19"/>
        <v>50651.016430324547</v>
      </c>
      <c r="P65" s="371">
        <f t="shared" si="19"/>
        <v>51339.850736898639</v>
      </c>
      <c r="Q65" s="371">
        <f t="shared" si="19"/>
        <v>52151.221353198023</v>
      </c>
      <c r="R65" s="371">
        <f t="shared" si="19"/>
        <v>52975.908338046589</v>
      </c>
      <c r="S65" s="371">
        <f t="shared" si="19"/>
        <v>53814.144487170648</v>
      </c>
      <c r="T65" s="371">
        <f t="shared" si="19"/>
        <v>54666.167059718122</v>
      </c>
      <c r="U65" s="371">
        <f t="shared" si="19"/>
        <v>55532.217874051697</v>
      </c>
      <c r="V65" s="367"/>
      <c r="W65" s="367"/>
      <c r="X65" s="366"/>
      <c r="Y65" s="366"/>
      <c r="Z65" s="366"/>
      <c r="AA65" s="366"/>
      <c r="AB65" s="366"/>
      <c r="AC65" s="365"/>
      <c r="AD65" s="365"/>
      <c r="AE65" s="372"/>
      <c r="AF65" s="372"/>
      <c r="AG65" s="372"/>
      <c r="AH65" s="372"/>
      <c r="AI65" s="372"/>
      <c r="AJ65" s="372"/>
      <c r="AK65" s="372"/>
      <c r="AL65" s="372"/>
      <c r="AM65" s="372"/>
      <c r="AN65" s="372"/>
      <c r="AO65" s="372"/>
      <c r="AP65" s="372"/>
      <c r="AQ65" s="372"/>
      <c r="AR65" s="372"/>
      <c r="AS65" s="372"/>
    </row>
    <row r="66" spans="1:45" ht="12.75" customHeight="1" x14ac:dyDescent="0.25">
      <c r="A66" s="24" t="s">
        <v>79</v>
      </c>
      <c r="B66" s="368">
        <f>Assumptions!$D$39</f>
        <v>1.2E-2</v>
      </c>
      <c r="C66" s="368">
        <f>Assumptions!$D$39</f>
        <v>1.2E-2</v>
      </c>
      <c r="D66" s="368">
        <f>Assumptions!$D$39</f>
        <v>1.2E-2</v>
      </c>
      <c r="E66" s="368">
        <f>Assumptions!$D$39</f>
        <v>1.2E-2</v>
      </c>
      <c r="F66" s="368">
        <f>Assumptions!$D$39</f>
        <v>1.2E-2</v>
      </c>
      <c r="G66" s="368">
        <f>Assumptions!$D$39</f>
        <v>1.2E-2</v>
      </c>
      <c r="H66" s="368">
        <f>Assumptions!$D$39</f>
        <v>1.2E-2</v>
      </c>
      <c r="I66" s="368">
        <f>Assumptions!$D$39</f>
        <v>1.2E-2</v>
      </c>
      <c r="J66" s="368">
        <f>Assumptions!$D$39</f>
        <v>1.2E-2</v>
      </c>
      <c r="K66" s="368">
        <f>Assumptions!$D$39</f>
        <v>1.2E-2</v>
      </c>
      <c r="L66" s="368">
        <f>Assumptions!$D$39</f>
        <v>1.2E-2</v>
      </c>
      <c r="M66" s="368">
        <f>Assumptions!$D$39</f>
        <v>1.2E-2</v>
      </c>
      <c r="N66" s="368">
        <f>Assumptions!$D$39</f>
        <v>1.2E-2</v>
      </c>
      <c r="O66" s="368">
        <f>Assumptions!$D$39</f>
        <v>1.2E-2</v>
      </c>
      <c r="P66" s="368">
        <f>Assumptions!$D$39</f>
        <v>1.2E-2</v>
      </c>
      <c r="Q66" s="368">
        <f>Assumptions!$D$39</f>
        <v>1.2E-2</v>
      </c>
      <c r="R66" s="368">
        <f>Assumptions!$D$39</f>
        <v>1.2E-2</v>
      </c>
      <c r="S66" s="368">
        <f>Assumptions!$D$39</f>
        <v>1.2E-2</v>
      </c>
      <c r="T66" s="368">
        <f>Assumptions!$D$39</f>
        <v>1.2E-2</v>
      </c>
      <c r="U66" s="368">
        <f>Assumptions!$D$39</f>
        <v>1.2E-2</v>
      </c>
      <c r="V66" s="368"/>
      <c r="W66" s="368"/>
      <c r="X66" s="367"/>
      <c r="Y66" s="367"/>
      <c r="Z66" s="367"/>
      <c r="AA66" s="367"/>
      <c r="AB66" s="367"/>
      <c r="AC66" s="365"/>
      <c r="AD66" s="365"/>
      <c r="AE66" s="372"/>
      <c r="AF66" s="372"/>
      <c r="AG66" s="372"/>
      <c r="AH66" s="372"/>
      <c r="AI66" s="372"/>
      <c r="AJ66" s="372"/>
      <c r="AK66" s="372"/>
      <c r="AL66" s="372"/>
      <c r="AM66" s="372"/>
      <c r="AN66" s="372"/>
      <c r="AO66" s="372"/>
      <c r="AP66" s="372"/>
      <c r="AQ66" s="372"/>
      <c r="AR66" s="372"/>
      <c r="AS66" s="372"/>
    </row>
    <row r="67" spans="1:45" ht="12.75" customHeight="1" x14ac:dyDescent="0.25">
      <c r="A67" s="24" t="s">
        <v>226</v>
      </c>
      <c r="B67" s="252">
        <f t="shared" ref="B67:U67" si="20">B65*B66</f>
        <v>424.435579198884</v>
      </c>
      <c r="C67" s="252">
        <f t="shared" si="20"/>
        <v>446.49226311160106</v>
      </c>
      <c r="D67" s="252">
        <f t="shared" si="20"/>
        <v>469.7093178970228</v>
      </c>
      <c r="E67" s="252">
        <f t="shared" si="20"/>
        <v>494.1478148875936</v>
      </c>
      <c r="F67" s="252">
        <f t="shared" si="20"/>
        <v>519.87333400729904</v>
      </c>
      <c r="G67" s="252">
        <f t="shared" si="20"/>
        <v>530.6187321065911</v>
      </c>
      <c r="H67" s="252">
        <f t="shared" si="20"/>
        <v>541.58135655703177</v>
      </c>
      <c r="I67" s="252">
        <f t="shared" si="20"/>
        <v>552.78248853023251</v>
      </c>
      <c r="J67" s="252">
        <f t="shared" si="20"/>
        <v>564.23295876168118</v>
      </c>
      <c r="K67" s="252">
        <f t="shared" si="20"/>
        <v>575.9344214853528</v>
      </c>
      <c r="L67" s="252">
        <f t="shared" si="20"/>
        <v>583.71567545537255</v>
      </c>
      <c r="M67" s="252">
        <f t="shared" si="20"/>
        <v>591.63280512533231</v>
      </c>
      <c r="N67" s="252">
        <f t="shared" si="20"/>
        <v>599.66435921705704</v>
      </c>
      <c r="O67" s="252">
        <f t="shared" si="20"/>
        <v>607.81219716389455</v>
      </c>
      <c r="P67" s="252">
        <f t="shared" si="20"/>
        <v>616.07820884278374</v>
      </c>
      <c r="Q67" s="252">
        <f t="shared" si="20"/>
        <v>625.8146562383763</v>
      </c>
      <c r="R67" s="252">
        <f t="shared" si="20"/>
        <v>635.71090005655913</v>
      </c>
      <c r="S67" s="252">
        <f t="shared" si="20"/>
        <v>645.76973384604776</v>
      </c>
      <c r="T67" s="252">
        <f t="shared" si="20"/>
        <v>655.9940047166175</v>
      </c>
      <c r="U67" s="252">
        <f t="shared" si="20"/>
        <v>666.38661448862035</v>
      </c>
      <c r="V67" s="369"/>
      <c r="W67" s="369"/>
      <c r="X67" s="368"/>
      <c r="Y67" s="368"/>
      <c r="Z67" s="368"/>
      <c r="AA67" s="368"/>
      <c r="AB67" s="368"/>
      <c r="AC67" s="372"/>
      <c r="AD67" s="372"/>
      <c r="AE67" s="372"/>
      <c r="AF67" s="372"/>
      <c r="AG67" s="372"/>
      <c r="AH67" s="372"/>
      <c r="AI67" s="372"/>
      <c r="AJ67" s="372"/>
      <c r="AK67" s="372"/>
      <c r="AL67" s="372"/>
      <c r="AM67" s="372"/>
      <c r="AN67" s="372"/>
      <c r="AO67" s="372"/>
      <c r="AP67" s="372"/>
      <c r="AQ67" s="372"/>
      <c r="AR67" s="372"/>
      <c r="AS67" s="372"/>
    </row>
    <row r="68" spans="1:45" ht="12.75" customHeight="1" x14ac:dyDescent="0.25">
      <c r="A68" s="24"/>
      <c r="B68" s="40"/>
      <c r="C68" s="40"/>
      <c r="D68" s="369"/>
      <c r="E68" s="369"/>
      <c r="F68" s="369"/>
      <c r="G68" s="369"/>
      <c r="H68" s="369"/>
      <c r="I68" s="369"/>
      <c r="J68" s="369"/>
      <c r="K68" s="369"/>
      <c r="L68" s="369"/>
      <c r="M68" s="369"/>
      <c r="N68" s="369"/>
      <c r="O68" s="369"/>
      <c r="P68" s="369"/>
      <c r="Q68" s="369"/>
      <c r="R68" s="369"/>
      <c r="S68" s="369"/>
      <c r="T68" s="369"/>
      <c r="U68" s="369"/>
      <c r="V68" s="369"/>
      <c r="W68" s="369"/>
      <c r="X68" s="369"/>
      <c r="Y68" s="369"/>
      <c r="Z68" s="369"/>
      <c r="AA68" s="369"/>
      <c r="AB68" s="369"/>
      <c r="AC68" s="365"/>
      <c r="AD68" s="372"/>
      <c r="AE68" s="372"/>
      <c r="AF68" s="372"/>
      <c r="AG68" s="372"/>
      <c r="AH68" s="372"/>
      <c r="AI68" s="372"/>
      <c r="AJ68" s="372"/>
      <c r="AK68" s="372"/>
      <c r="AL68" s="372"/>
      <c r="AM68" s="372"/>
      <c r="AN68" s="372"/>
      <c r="AO68" s="372"/>
      <c r="AP68" s="372"/>
      <c r="AQ68" s="372"/>
      <c r="AR68" s="372"/>
      <c r="AS68" s="372"/>
    </row>
    <row r="69" spans="1:45" ht="12.75" customHeight="1" x14ac:dyDescent="0.25">
      <c r="A69" s="312" t="s">
        <v>227</v>
      </c>
      <c r="B69" s="373">
        <f t="shared" ref="B69:U69" si="21">MAX(B67,B62)</f>
        <v>451.07529391849647</v>
      </c>
      <c r="C69" s="373">
        <f t="shared" si="21"/>
        <v>512.7993082007971</v>
      </c>
      <c r="D69" s="373">
        <f t="shared" si="21"/>
        <v>580.57017003639305</v>
      </c>
      <c r="E69" s="373">
        <f t="shared" si="21"/>
        <v>652.67181858348397</v>
      </c>
      <c r="F69" s="373">
        <f t="shared" si="21"/>
        <v>733.02138662101595</v>
      </c>
      <c r="G69" s="373">
        <f t="shared" si="21"/>
        <v>768.78617986105178</v>
      </c>
      <c r="H69" s="373">
        <f t="shared" si="21"/>
        <v>803.69336426163841</v>
      </c>
      <c r="I69" s="373">
        <f t="shared" si="21"/>
        <v>840.82816463717052</v>
      </c>
      <c r="J69" s="373">
        <f t="shared" si="21"/>
        <v>884.38983506138618</v>
      </c>
      <c r="K69" s="373">
        <f t="shared" si="21"/>
        <v>931.18341667479456</v>
      </c>
      <c r="L69" s="373">
        <f t="shared" si="21"/>
        <v>960.3268656763529</v>
      </c>
      <c r="M69" s="373">
        <f t="shared" si="21"/>
        <v>995.70641950205447</v>
      </c>
      <c r="N69" s="373">
        <f t="shared" si="21"/>
        <v>1034.0829074587159</v>
      </c>
      <c r="O69" s="373">
        <f t="shared" si="21"/>
        <v>1073.537733008897</v>
      </c>
      <c r="P69" s="373">
        <f t="shared" si="21"/>
        <v>1115.0237833180981</v>
      </c>
      <c r="Q69" s="373">
        <f t="shared" si="21"/>
        <v>1162.1434283664732</v>
      </c>
      <c r="R69" s="373">
        <f t="shared" si="21"/>
        <v>1212.9264455855555</v>
      </c>
      <c r="S69" s="373">
        <f t="shared" si="21"/>
        <v>1266.2057380157373</v>
      </c>
      <c r="T69" s="373">
        <f t="shared" si="21"/>
        <v>1322.7875519631323</v>
      </c>
      <c r="U69" s="373">
        <f t="shared" si="21"/>
        <v>1382.9504713078159</v>
      </c>
      <c r="V69" s="369"/>
      <c r="W69" s="369"/>
      <c r="X69" s="24"/>
      <c r="Y69" s="24"/>
      <c r="Z69" s="24"/>
      <c r="AA69" s="24"/>
      <c r="AB69" s="24"/>
      <c r="AC69" s="374"/>
      <c r="AD69" s="374"/>
      <c r="AE69" s="365"/>
      <c r="AF69" s="365"/>
      <c r="AG69" s="365"/>
      <c r="AH69" s="365"/>
      <c r="AI69" s="365"/>
      <c r="AJ69" s="365"/>
      <c r="AK69" s="365"/>
      <c r="AL69" s="365"/>
      <c r="AM69" s="365"/>
      <c r="AN69" s="365"/>
      <c r="AO69" s="365"/>
      <c r="AP69" s="365"/>
      <c r="AQ69" s="365"/>
      <c r="AR69" s="365"/>
      <c r="AS69" s="365"/>
    </row>
    <row r="70" spans="1:45" ht="12.75" customHeight="1" x14ac:dyDescent="0.25">
      <c r="A70" s="375"/>
      <c r="B70" s="40"/>
      <c r="C70" s="40"/>
      <c r="D70" s="369"/>
      <c r="E70" s="369"/>
      <c r="F70" s="369"/>
      <c r="G70" s="369"/>
      <c r="H70" s="369"/>
      <c r="I70" s="369"/>
      <c r="J70" s="369"/>
      <c r="K70" s="369"/>
      <c r="L70" s="369"/>
      <c r="M70" s="369"/>
      <c r="N70" s="369"/>
      <c r="O70" s="369"/>
      <c r="P70" s="369"/>
      <c r="Q70" s="369"/>
      <c r="R70" s="369"/>
      <c r="S70" s="369"/>
      <c r="T70" s="369"/>
      <c r="U70" s="369"/>
      <c r="V70" s="369"/>
      <c r="W70" s="369"/>
      <c r="X70" s="370"/>
      <c r="Y70" s="370"/>
      <c r="Z70" s="370"/>
      <c r="AA70" s="370"/>
      <c r="AB70" s="370"/>
      <c r="AC70" s="365"/>
      <c r="AD70" s="365"/>
      <c r="AE70" s="372"/>
      <c r="AF70" s="372"/>
      <c r="AG70" s="372"/>
      <c r="AH70" s="372"/>
      <c r="AI70" s="372"/>
      <c r="AJ70" s="372"/>
      <c r="AK70" s="372"/>
      <c r="AL70" s="372"/>
      <c r="AM70" s="372"/>
      <c r="AN70" s="372"/>
      <c r="AO70" s="372"/>
      <c r="AP70" s="372"/>
      <c r="AQ70" s="372"/>
      <c r="AR70" s="372"/>
      <c r="AS70" s="372"/>
    </row>
    <row r="71" spans="1:45" ht="12.75" customHeight="1" x14ac:dyDescent="0.25">
      <c r="A71" s="300" t="s">
        <v>176</v>
      </c>
      <c r="B71" s="365"/>
      <c r="C71" s="365"/>
      <c r="D71" s="365"/>
      <c r="E71" s="365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  <c r="X71" s="368"/>
      <c r="Y71" s="368"/>
      <c r="Z71" s="368"/>
      <c r="AA71" s="368"/>
      <c r="AB71" s="368"/>
      <c r="AC71" s="365"/>
      <c r="AD71" s="365"/>
      <c r="AE71" s="372"/>
      <c r="AF71" s="372"/>
      <c r="AG71" s="372"/>
      <c r="AH71" s="372"/>
      <c r="AI71" s="372"/>
      <c r="AJ71" s="372"/>
      <c r="AK71" s="372"/>
      <c r="AL71" s="372"/>
      <c r="AM71" s="372"/>
      <c r="AN71" s="372"/>
      <c r="AO71" s="372"/>
      <c r="AP71" s="372"/>
      <c r="AQ71" s="372"/>
      <c r="AR71" s="372"/>
      <c r="AS71" s="372"/>
    </row>
    <row r="72" spans="1:45" ht="12.75" customHeight="1" x14ac:dyDescent="0.25">
      <c r="A72" s="300"/>
      <c r="B72" s="365"/>
      <c r="C72" s="365"/>
      <c r="D72" s="365"/>
      <c r="E72" s="365"/>
      <c r="F72" s="365"/>
      <c r="G72" s="365"/>
      <c r="H72" s="365"/>
      <c r="I72" s="365"/>
      <c r="J72" s="365"/>
      <c r="K72" s="365"/>
      <c r="L72" s="365"/>
      <c r="M72" s="365"/>
      <c r="N72" s="365"/>
      <c r="O72" s="365"/>
      <c r="P72" s="365"/>
      <c r="Q72" s="365"/>
      <c r="R72" s="365"/>
      <c r="S72" s="365"/>
      <c r="T72" s="365"/>
      <c r="U72" s="365"/>
      <c r="V72" s="365"/>
      <c r="W72" s="365"/>
      <c r="X72" s="369"/>
      <c r="Y72" s="369"/>
      <c r="Z72" s="369"/>
      <c r="AA72" s="369"/>
      <c r="AB72" s="369"/>
      <c r="AC72" s="365"/>
      <c r="AD72" s="365"/>
      <c r="AE72" s="372"/>
      <c r="AF72" s="372"/>
      <c r="AG72" s="372"/>
      <c r="AH72" s="372"/>
      <c r="AI72" s="372"/>
      <c r="AJ72" s="372"/>
      <c r="AK72" s="372"/>
      <c r="AL72" s="372"/>
      <c r="AM72" s="372"/>
      <c r="AN72" s="372"/>
      <c r="AO72" s="372"/>
      <c r="AP72" s="372"/>
      <c r="AQ72" s="372"/>
      <c r="AR72" s="372"/>
      <c r="AS72" s="372"/>
    </row>
    <row r="73" spans="1:45" ht="12.75" customHeight="1" x14ac:dyDescent="0.25">
      <c r="A73" s="24" t="s">
        <v>179</v>
      </c>
      <c r="B73" s="307">
        <f t="shared" ref="B73:U73" si="22">B30</f>
        <v>13266.920409367542</v>
      </c>
      <c r="C73" s="307">
        <f t="shared" si="22"/>
        <v>15082.332594141089</v>
      </c>
      <c r="D73" s="307">
        <f t="shared" si="22"/>
        <v>17075.593236364501</v>
      </c>
      <c r="E73" s="307">
        <f t="shared" si="22"/>
        <v>19196.229958337761</v>
      </c>
      <c r="F73" s="307">
        <f t="shared" si="22"/>
        <v>21559.452547676938</v>
      </c>
      <c r="G73" s="307">
        <f t="shared" si="22"/>
        <v>22611.358231207403</v>
      </c>
      <c r="H73" s="307">
        <f t="shared" si="22"/>
        <v>23638.040125342304</v>
      </c>
      <c r="I73" s="307">
        <f t="shared" si="22"/>
        <v>24730.240136387365</v>
      </c>
      <c r="J73" s="307">
        <f t="shared" si="22"/>
        <v>26011.465737099592</v>
      </c>
      <c r="K73" s="307">
        <f t="shared" si="22"/>
        <v>27387.74754925866</v>
      </c>
      <c r="L73" s="307">
        <f t="shared" si="22"/>
        <v>28244.907814010377</v>
      </c>
      <c r="M73" s="307">
        <f t="shared" si="22"/>
        <v>29285.482926531011</v>
      </c>
      <c r="N73" s="307">
        <f t="shared" si="22"/>
        <v>30414.203160550467</v>
      </c>
      <c r="O73" s="307">
        <f t="shared" si="22"/>
        <v>31574.639206144027</v>
      </c>
      <c r="P73" s="307">
        <f t="shared" si="22"/>
        <v>32794.817156414647</v>
      </c>
      <c r="Q73" s="307">
        <f t="shared" si="22"/>
        <v>34180.689069602151</v>
      </c>
      <c r="R73" s="307">
        <f t="shared" si="22"/>
        <v>35674.307223104573</v>
      </c>
      <c r="S73" s="307">
        <f t="shared" si="22"/>
        <v>37241.345235756977</v>
      </c>
      <c r="T73" s="307">
        <f t="shared" si="22"/>
        <v>38905.516234209768</v>
      </c>
      <c r="U73" s="307">
        <f t="shared" si="22"/>
        <v>40675.013861994579</v>
      </c>
      <c r="V73" s="91"/>
      <c r="W73" s="348">
        <f>SUM(B73:U73)</f>
        <v>549550.30241350178</v>
      </c>
      <c r="X73" s="369"/>
      <c r="Y73" s="369"/>
      <c r="Z73" s="369"/>
      <c r="AA73" s="369"/>
      <c r="AB73" s="369"/>
      <c r="AC73" s="365"/>
      <c r="AD73" s="365"/>
      <c r="AE73" s="372"/>
      <c r="AF73" s="372"/>
      <c r="AG73" s="372"/>
      <c r="AH73" s="372"/>
      <c r="AI73" s="372"/>
      <c r="AJ73" s="372"/>
      <c r="AK73" s="372"/>
      <c r="AL73" s="372"/>
      <c r="AM73" s="372"/>
      <c r="AN73" s="372"/>
      <c r="AO73" s="372"/>
      <c r="AP73" s="372"/>
      <c r="AQ73" s="372"/>
      <c r="AR73" s="372"/>
      <c r="AS73" s="372"/>
    </row>
    <row r="74" spans="1:45" ht="12.75" customHeight="1" x14ac:dyDescent="0.25">
      <c r="A74" s="24" t="s">
        <v>180</v>
      </c>
      <c r="B74" s="307">
        <f t="shared" ref="B74:U74" si="23">B24</f>
        <v>6513.7740277473749</v>
      </c>
      <c r="C74" s="307">
        <f t="shared" si="23"/>
        <v>6513.7740277473749</v>
      </c>
      <c r="D74" s="307">
        <f t="shared" si="23"/>
        <v>6513.7740277473749</v>
      </c>
      <c r="E74" s="307">
        <f t="shared" si="23"/>
        <v>6513.7740277473749</v>
      </c>
      <c r="F74" s="307">
        <f t="shared" si="23"/>
        <v>6513.7740277473749</v>
      </c>
      <c r="G74" s="307">
        <f t="shared" si="23"/>
        <v>6513.7740277473749</v>
      </c>
      <c r="H74" s="307">
        <f t="shared" si="23"/>
        <v>6513.7740277473749</v>
      </c>
      <c r="I74" s="307">
        <f t="shared" si="23"/>
        <v>6513.7740277473749</v>
      </c>
      <c r="J74" s="307">
        <f t="shared" si="23"/>
        <v>6513.7740277473749</v>
      </c>
      <c r="K74" s="307">
        <f t="shared" si="23"/>
        <v>6513.7740277473749</v>
      </c>
      <c r="L74" s="307">
        <f t="shared" si="23"/>
        <v>6513.7740277473749</v>
      </c>
      <c r="M74" s="307">
        <f t="shared" si="23"/>
        <v>6513.7740277473749</v>
      </c>
      <c r="N74" s="307">
        <f t="shared" si="23"/>
        <v>6513.7740277473749</v>
      </c>
      <c r="O74" s="307">
        <f t="shared" si="23"/>
        <v>6513.7740277473749</v>
      </c>
      <c r="P74" s="307">
        <f t="shared" si="23"/>
        <v>6513.7740277473749</v>
      </c>
      <c r="Q74" s="307">
        <f t="shared" si="23"/>
        <v>6513.7740277473749</v>
      </c>
      <c r="R74" s="307">
        <f t="shared" si="23"/>
        <v>6513.7740277473749</v>
      </c>
      <c r="S74" s="307">
        <f t="shared" si="23"/>
        <v>6513.7740277473749</v>
      </c>
      <c r="T74" s="307">
        <f t="shared" si="23"/>
        <v>6513.7740277473749</v>
      </c>
      <c r="U74" s="307">
        <f t="shared" si="23"/>
        <v>6513.7740277473749</v>
      </c>
      <c r="V74" s="91"/>
      <c r="W74" s="348">
        <f>SUM(B74:U74)</f>
        <v>130275.48055494754</v>
      </c>
      <c r="X74" s="373">
        <f t="shared" ref="X74:AQ74" si="24">MAX(X72,X68)</f>
        <v>0</v>
      </c>
      <c r="Y74" s="373">
        <f t="shared" si="24"/>
        <v>0</v>
      </c>
      <c r="Z74" s="373">
        <f t="shared" si="24"/>
        <v>0</v>
      </c>
      <c r="AA74" s="373">
        <f t="shared" si="24"/>
        <v>0</v>
      </c>
      <c r="AB74" s="373">
        <f t="shared" si="24"/>
        <v>0</v>
      </c>
      <c r="AC74" s="373">
        <f t="shared" si="24"/>
        <v>0</v>
      </c>
      <c r="AD74" s="373">
        <f t="shared" si="24"/>
        <v>0</v>
      </c>
      <c r="AE74" s="373">
        <f t="shared" si="24"/>
        <v>0</v>
      </c>
      <c r="AF74" s="373">
        <f t="shared" si="24"/>
        <v>0</v>
      </c>
      <c r="AG74" s="373">
        <f t="shared" si="24"/>
        <v>0</v>
      </c>
      <c r="AH74" s="373">
        <f t="shared" si="24"/>
        <v>0</v>
      </c>
      <c r="AI74" s="373">
        <f t="shared" si="24"/>
        <v>0</v>
      </c>
      <c r="AJ74" s="373">
        <f t="shared" si="24"/>
        <v>0</v>
      </c>
      <c r="AK74" s="373">
        <f t="shared" si="24"/>
        <v>0</v>
      </c>
      <c r="AL74" s="373">
        <f t="shared" si="24"/>
        <v>0</v>
      </c>
      <c r="AM74" s="373">
        <f t="shared" si="24"/>
        <v>0</v>
      </c>
      <c r="AN74" s="373">
        <f t="shared" si="24"/>
        <v>0</v>
      </c>
      <c r="AO74" s="373">
        <f t="shared" si="24"/>
        <v>0</v>
      </c>
      <c r="AP74" s="373">
        <f t="shared" si="24"/>
        <v>0</v>
      </c>
      <c r="AQ74" s="373">
        <f t="shared" si="24"/>
        <v>0</v>
      </c>
      <c r="AR74" s="372"/>
      <c r="AS74" s="372"/>
    </row>
    <row r="75" spans="1:45" ht="15" customHeight="1" x14ac:dyDescent="0.4">
      <c r="A75" s="24" t="s">
        <v>211</v>
      </c>
      <c r="B75" s="355">
        <f>-Depreciation!C50</f>
        <v>-10856.290046245624</v>
      </c>
      <c r="C75" s="355">
        <f>-Depreciation!D50</f>
        <v>-20626.951087866684</v>
      </c>
      <c r="D75" s="355">
        <f>-Depreciation!E50</f>
        <v>-18564.255979080019</v>
      </c>
      <c r="E75" s="355">
        <f>-Depreciation!F50</f>
        <v>-16718.68667121826</v>
      </c>
      <c r="F75" s="355">
        <f>-Depreciation!G50</f>
        <v>-15046.818004096434</v>
      </c>
      <c r="G75" s="355">
        <f>-Depreciation!H50</f>
        <v>-13526.937397622047</v>
      </c>
      <c r="H75" s="355">
        <f>-Depreciation!I50</f>
        <v>-12810.422254569836</v>
      </c>
      <c r="I75" s="355">
        <f>-Depreciation!J50</f>
        <v>-12832.134834662327</v>
      </c>
      <c r="J75" s="355">
        <f>-Depreciation!K50</f>
        <v>-12810.422254569836</v>
      </c>
      <c r="K75" s="355">
        <f>-Depreciation!L50</f>
        <v>-12832.134834662327</v>
      </c>
      <c r="L75" s="355">
        <f>-Depreciation!M50</f>
        <v>-12810.422254569836</v>
      </c>
      <c r="M75" s="355">
        <f>-Depreciation!N50</f>
        <v>-12832.134834662327</v>
      </c>
      <c r="N75" s="355">
        <f>-Depreciation!O50</f>
        <v>-12810.422254569836</v>
      </c>
      <c r="O75" s="355">
        <f>-Depreciation!P50</f>
        <v>-12832.134834662327</v>
      </c>
      <c r="P75" s="355">
        <f>-Depreciation!Q50</f>
        <v>-12810.422254569836</v>
      </c>
      <c r="Q75" s="355">
        <f>-Depreciation!R50</f>
        <v>-12810.422254569836</v>
      </c>
      <c r="R75" s="355">
        <f>-Depreciation!S50</f>
        <v>0</v>
      </c>
      <c r="S75" s="355">
        <f>-Depreciation!T50</f>
        <v>0</v>
      </c>
      <c r="T75" s="355">
        <f>-Depreciation!U50</f>
        <v>0</v>
      </c>
      <c r="U75" s="355">
        <f>-Depreciation!V50</f>
        <v>0</v>
      </c>
      <c r="V75" s="91"/>
      <c r="W75" s="356">
        <f>SUM(B75:U75)</f>
        <v>-223531.01205219736</v>
      </c>
      <c r="X75" s="369"/>
      <c r="Y75" s="369"/>
      <c r="Z75" s="369"/>
      <c r="AA75" s="369"/>
      <c r="AB75" s="369"/>
      <c r="AC75" s="365"/>
      <c r="AD75" s="365"/>
      <c r="AE75" s="372"/>
      <c r="AF75" s="372"/>
      <c r="AG75" s="372"/>
      <c r="AH75" s="372"/>
      <c r="AI75" s="372"/>
      <c r="AJ75" s="372"/>
      <c r="AK75" s="372"/>
      <c r="AL75" s="372"/>
      <c r="AM75" s="372"/>
      <c r="AN75" s="372"/>
      <c r="AO75" s="372"/>
      <c r="AP75" s="372"/>
      <c r="AQ75" s="372"/>
      <c r="AR75" s="372"/>
      <c r="AS75" s="372"/>
    </row>
    <row r="76" spans="1:45" ht="12.75" customHeight="1" x14ac:dyDescent="0.25">
      <c r="A76" s="312" t="s">
        <v>212</v>
      </c>
      <c r="B76" s="252">
        <f t="shared" ref="B76:U76" si="25">SUM(B73:B75)</f>
        <v>8924.4043908692911</v>
      </c>
      <c r="C76" s="252">
        <f t="shared" si="25"/>
        <v>969.15553402178193</v>
      </c>
      <c r="D76" s="252">
        <f t="shared" si="25"/>
        <v>5025.1112850318568</v>
      </c>
      <c r="E76" s="252">
        <f t="shared" si="25"/>
        <v>8991.3173148668757</v>
      </c>
      <c r="F76" s="252">
        <f t="shared" si="25"/>
        <v>13026.408571327878</v>
      </c>
      <c r="G76" s="252">
        <f t="shared" si="25"/>
        <v>15598.194861332731</v>
      </c>
      <c r="H76" s="252">
        <f t="shared" si="25"/>
        <v>17341.391898519843</v>
      </c>
      <c r="I76" s="252">
        <f t="shared" si="25"/>
        <v>18411.879329472413</v>
      </c>
      <c r="J76" s="252">
        <f t="shared" si="25"/>
        <v>19714.817510277131</v>
      </c>
      <c r="K76" s="252">
        <f t="shared" si="25"/>
        <v>21069.386742343704</v>
      </c>
      <c r="L76" s="252">
        <f t="shared" si="25"/>
        <v>21948.259587187917</v>
      </c>
      <c r="M76" s="252">
        <f t="shared" si="25"/>
        <v>22967.122119616062</v>
      </c>
      <c r="N76" s="252">
        <f t="shared" si="25"/>
        <v>24117.554933728003</v>
      </c>
      <c r="O76" s="252">
        <f t="shared" si="25"/>
        <v>25256.278399229079</v>
      </c>
      <c r="P76" s="252">
        <f t="shared" si="25"/>
        <v>26498.16892959219</v>
      </c>
      <c r="Q76" s="252">
        <f t="shared" si="25"/>
        <v>27884.040842779686</v>
      </c>
      <c r="R76" s="252">
        <f t="shared" si="25"/>
        <v>42188.081250851945</v>
      </c>
      <c r="S76" s="252">
        <f t="shared" si="25"/>
        <v>43755.119263504355</v>
      </c>
      <c r="T76" s="252">
        <f t="shared" si="25"/>
        <v>45419.29026195714</v>
      </c>
      <c r="U76" s="252">
        <f t="shared" si="25"/>
        <v>47188.787889741958</v>
      </c>
      <c r="V76" s="91"/>
      <c r="W76" s="348">
        <f>SUM(B76:U76)</f>
        <v>456294.77091625181</v>
      </c>
      <c r="X76" s="365"/>
      <c r="Y76" s="365"/>
      <c r="Z76" s="365"/>
      <c r="AA76" s="365"/>
      <c r="AB76" s="365"/>
      <c r="AC76" s="365"/>
      <c r="AD76" s="365"/>
      <c r="AE76" s="269"/>
      <c r="AF76" s="269"/>
      <c r="AG76" s="269"/>
      <c r="AH76" s="269"/>
      <c r="AI76" s="269"/>
      <c r="AJ76" s="269"/>
      <c r="AK76" s="269"/>
      <c r="AL76" s="269"/>
      <c r="AM76" s="269"/>
      <c r="AN76" s="269"/>
      <c r="AO76" s="269"/>
      <c r="AP76" s="269"/>
      <c r="AQ76" s="269"/>
      <c r="AR76" s="269"/>
      <c r="AS76" s="269"/>
    </row>
    <row r="77" spans="1:45" ht="12.75" customHeight="1" x14ac:dyDescent="0.25">
      <c r="A77" s="24"/>
      <c r="B77" s="252"/>
      <c r="C77" s="252"/>
      <c r="D77" s="252"/>
      <c r="E77" s="252"/>
      <c r="F77" s="252"/>
      <c r="G77" s="252"/>
      <c r="H77" s="252"/>
      <c r="I77" s="252"/>
      <c r="J77" s="252"/>
      <c r="K77" s="252"/>
      <c r="L77" s="252"/>
      <c r="M77" s="252"/>
      <c r="N77" s="252"/>
      <c r="O77" s="252"/>
      <c r="P77" s="252"/>
      <c r="Q77" s="252"/>
      <c r="R77" s="252"/>
      <c r="S77" s="252"/>
      <c r="T77" s="252"/>
      <c r="U77" s="252"/>
      <c r="V77" s="91"/>
      <c r="W77" s="91"/>
      <c r="X77" s="365"/>
      <c r="Y77" s="365"/>
      <c r="Z77" s="365"/>
      <c r="AA77" s="365"/>
      <c r="AB77" s="365"/>
      <c r="AC77" s="365"/>
      <c r="AD77" s="365"/>
      <c r="AE77" s="269"/>
      <c r="AF77" s="269"/>
      <c r="AG77" s="269"/>
      <c r="AH77" s="269"/>
      <c r="AI77" s="269"/>
      <c r="AJ77" s="269"/>
      <c r="AK77" s="269"/>
      <c r="AL77" s="269"/>
      <c r="AM77" s="269"/>
      <c r="AN77" s="269"/>
      <c r="AO77" s="269"/>
      <c r="AP77" s="269"/>
      <c r="AQ77" s="269"/>
      <c r="AR77" s="269"/>
      <c r="AS77" s="269"/>
    </row>
    <row r="78" spans="1:45" ht="12.75" customHeight="1" x14ac:dyDescent="0.25">
      <c r="A78" s="24" t="s">
        <v>77</v>
      </c>
      <c r="B78" s="357">
        <f>Assumptions!$D$37</f>
        <v>4.4999999999999998E-2</v>
      </c>
      <c r="C78" s="357">
        <f>Assumptions!$D$37</f>
        <v>4.4999999999999998E-2</v>
      </c>
      <c r="D78" s="357">
        <f>Assumptions!$D$37</f>
        <v>4.4999999999999998E-2</v>
      </c>
      <c r="E78" s="357">
        <f>Assumptions!$D$37</f>
        <v>4.4999999999999998E-2</v>
      </c>
      <c r="F78" s="357">
        <f>Assumptions!$D$37</f>
        <v>4.4999999999999998E-2</v>
      </c>
      <c r="G78" s="357">
        <f>Assumptions!$D$37</f>
        <v>4.4999999999999998E-2</v>
      </c>
      <c r="H78" s="357">
        <f>Assumptions!$D$37</f>
        <v>4.4999999999999998E-2</v>
      </c>
      <c r="I78" s="357">
        <f>Assumptions!$D$37</f>
        <v>4.4999999999999998E-2</v>
      </c>
      <c r="J78" s="357">
        <f>Assumptions!$D$37</f>
        <v>4.4999999999999998E-2</v>
      </c>
      <c r="K78" s="357">
        <f>Assumptions!$D$37</f>
        <v>4.4999999999999998E-2</v>
      </c>
      <c r="L78" s="357">
        <f>Assumptions!$D$37</f>
        <v>4.4999999999999998E-2</v>
      </c>
      <c r="M78" s="357">
        <f>Assumptions!$D$37</f>
        <v>4.4999999999999998E-2</v>
      </c>
      <c r="N78" s="357">
        <f>Assumptions!$D$37</f>
        <v>4.4999999999999998E-2</v>
      </c>
      <c r="O78" s="357">
        <f>Assumptions!$D$37</f>
        <v>4.4999999999999998E-2</v>
      </c>
      <c r="P78" s="357">
        <f>Assumptions!$D$37</f>
        <v>4.4999999999999998E-2</v>
      </c>
      <c r="Q78" s="357">
        <f>Assumptions!$D$37</f>
        <v>4.4999999999999998E-2</v>
      </c>
      <c r="R78" s="357">
        <f>Assumptions!$D$37</f>
        <v>4.4999999999999998E-2</v>
      </c>
      <c r="S78" s="357">
        <f>Assumptions!$D$37</f>
        <v>4.4999999999999998E-2</v>
      </c>
      <c r="T78" s="357">
        <f>Assumptions!$D$37</f>
        <v>4.4999999999999998E-2</v>
      </c>
      <c r="U78" s="357">
        <f>Assumptions!$D$37</f>
        <v>4.4999999999999998E-2</v>
      </c>
      <c r="V78" s="91"/>
      <c r="W78" s="91"/>
      <c r="X78" s="365"/>
      <c r="Y78" s="365"/>
      <c r="Z78" s="365"/>
      <c r="AA78" s="365"/>
      <c r="AB78" s="365"/>
      <c r="AC78" s="365"/>
      <c r="AD78" s="365"/>
      <c r="AE78" s="269"/>
      <c r="AF78" s="269"/>
      <c r="AG78" s="269"/>
      <c r="AH78" s="269"/>
      <c r="AI78" s="269"/>
      <c r="AJ78" s="269"/>
      <c r="AK78" s="269"/>
      <c r="AL78" s="269"/>
      <c r="AM78" s="269"/>
      <c r="AN78" s="269"/>
      <c r="AO78" s="269"/>
      <c r="AP78" s="269"/>
      <c r="AQ78" s="269"/>
      <c r="AR78" s="269"/>
      <c r="AS78" s="269"/>
    </row>
    <row r="79" spans="1:45" ht="12.75" customHeight="1" x14ac:dyDescent="0.25">
      <c r="A79" s="24" t="s">
        <v>228</v>
      </c>
      <c r="B79" s="307">
        <f t="shared" ref="B79:U79" si="26">B76*B78</f>
        <v>401.59819758911806</v>
      </c>
      <c r="C79" s="307">
        <f t="shared" si="26"/>
        <v>43.611999030980186</v>
      </c>
      <c r="D79" s="307">
        <f t="shared" si="26"/>
        <v>226.13000782643354</v>
      </c>
      <c r="E79" s="307">
        <f t="shared" si="26"/>
        <v>404.60927916900937</v>
      </c>
      <c r="F79" s="307">
        <f t="shared" si="26"/>
        <v>586.18838570975447</v>
      </c>
      <c r="G79" s="307">
        <f t="shared" si="26"/>
        <v>701.91876875997286</v>
      </c>
      <c r="H79" s="307">
        <f t="shared" si="26"/>
        <v>780.36263543339294</v>
      </c>
      <c r="I79" s="307">
        <f t="shared" si="26"/>
        <v>828.53456982625858</v>
      </c>
      <c r="J79" s="307">
        <f t="shared" si="26"/>
        <v>887.16678796247083</v>
      </c>
      <c r="K79" s="307">
        <f t="shared" si="26"/>
        <v>948.12240340546668</v>
      </c>
      <c r="L79" s="307">
        <f t="shared" si="26"/>
        <v>987.67168142345622</v>
      </c>
      <c r="M79" s="307">
        <f t="shared" si="26"/>
        <v>1033.5204953827229</v>
      </c>
      <c r="N79" s="307">
        <f t="shared" si="26"/>
        <v>1085.2899720177602</v>
      </c>
      <c r="O79" s="307">
        <f t="shared" si="26"/>
        <v>1136.5325279653084</v>
      </c>
      <c r="P79" s="307">
        <f t="shared" si="26"/>
        <v>1192.4176018316484</v>
      </c>
      <c r="Q79" s="307">
        <f t="shared" si="26"/>
        <v>1254.7818379250859</v>
      </c>
      <c r="R79" s="307">
        <f t="shared" si="26"/>
        <v>1898.4636562883375</v>
      </c>
      <c r="S79" s="307">
        <f t="shared" si="26"/>
        <v>1968.980366857696</v>
      </c>
      <c r="T79" s="307">
        <f t="shared" si="26"/>
        <v>2043.8680617880711</v>
      </c>
      <c r="U79" s="307">
        <f t="shared" si="26"/>
        <v>2123.4954550383882</v>
      </c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</row>
    <row r="80" spans="1:45" ht="12.75" customHeight="1" x14ac:dyDescent="0.25">
      <c r="A80" s="24"/>
      <c r="B80" s="252"/>
      <c r="C80" s="252"/>
      <c r="D80" s="252"/>
      <c r="E80" s="252"/>
      <c r="F80" s="252"/>
      <c r="G80" s="252"/>
      <c r="H80" s="252"/>
      <c r="I80" s="252"/>
      <c r="J80" s="252"/>
      <c r="K80" s="252"/>
      <c r="L80" s="252"/>
      <c r="M80" s="252"/>
      <c r="N80" s="252"/>
      <c r="O80" s="252"/>
      <c r="P80" s="252"/>
      <c r="Q80" s="252"/>
      <c r="R80" s="252"/>
      <c r="S80" s="252"/>
      <c r="T80" s="252"/>
      <c r="U80" s="252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</row>
    <row r="81" spans="1:45" ht="12.75" customHeight="1" x14ac:dyDescent="0.25">
      <c r="A81" s="24" t="s">
        <v>214</v>
      </c>
      <c r="B81" s="307">
        <v>0</v>
      </c>
      <c r="C81" s="307">
        <f t="shared" ref="C81:Q81" si="27">B85</f>
        <v>0</v>
      </c>
      <c r="D81" s="307">
        <f t="shared" si="27"/>
        <v>0</v>
      </c>
      <c r="E81" s="307">
        <f t="shared" si="27"/>
        <v>0</v>
      </c>
      <c r="F81" s="307">
        <f t="shared" si="27"/>
        <v>0</v>
      </c>
      <c r="G81" s="307">
        <f t="shared" si="27"/>
        <v>0</v>
      </c>
      <c r="H81" s="307">
        <f t="shared" si="27"/>
        <v>0</v>
      </c>
      <c r="I81" s="307">
        <f t="shared" si="27"/>
        <v>0</v>
      </c>
      <c r="J81" s="307">
        <f t="shared" si="27"/>
        <v>0</v>
      </c>
      <c r="K81" s="307">
        <f t="shared" si="27"/>
        <v>0</v>
      </c>
      <c r="L81" s="307">
        <f t="shared" si="27"/>
        <v>0</v>
      </c>
      <c r="M81" s="307">
        <f t="shared" si="27"/>
        <v>0</v>
      </c>
      <c r="N81" s="307">
        <f t="shared" si="27"/>
        <v>0</v>
      </c>
      <c r="O81" s="307">
        <f t="shared" si="27"/>
        <v>0</v>
      </c>
      <c r="P81" s="307">
        <f t="shared" si="27"/>
        <v>0</v>
      </c>
      <c r="Q81" s="307">
        <f t="shared" si="27"/>
        <v>0</v>
      </c>
      <c r="R81" s="307">
        <v>0</v>
      </c>
      <c r="S81" s="307">
        <f>R85</f>
        <v>0</v>
      </c>
      <c r="T81" s="307">
        <f>S85</f>
        <v>0</v>
      </c>
      <c r="U81" s="307">
        <f>T85</f>
        <v>0</v>
      </c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</row>
    <row r="82" spans="1:45" ht="12.75" customHeight="1" x14ac:dyDescent="0.25">
      <c r="A82" s="24" t="s">
        <v>215</v>
      </c>
      <c r="B82" s="317">
        <f t="shared" ref="B82:U82" si="28">IF(B53&gt;2020,0,IF(B79&lt;0,-B79,0))</f>
        <v>0</v>
      </c>
      <c r="C82" s="317">
        <f t="shared" si="28"/>
        <v>0</v>
      </c>
      <c r="D82" s="317">
        <f t="shared" si="28"/>
        <v>0</v>
      </c>
      <c r="E82" s="317">
        <f t="shared" si="28"/>
        <v>0</v>
      </c>
      <c r="F82" s="317">
        <f t="shared" si="28"/>
        <v>0</v>
      </c>
      <c r="G82" s="317">
        <f t="shared" si="28"/>
        <v>0</v>
      </c>
      <c r="H82" s="317">
        <f t="shared" si="28"/>
        <v>0</v>
      </c>
      <c r="I82" s="317">
        <f t="shared" si="28"/>
        <v>0</v>
      </c>
      <c r="J82" s="317">
        <f t="shared" si="28"/>
        <v>0</v>
      </c>
      <c r="K82" s="317">
        <f t="shared" si="28"/>
        <v>0</v>
      </c>
      <c r="L82" s="317">
        <f t="shared" si="28"/>
        <v>0</v>
      </c>
      <c r="M82" s="317">
        <f t="shared" si="28"/>
        <v>0</v>
      </c>
      <c r="N82" s="317">
        <f t="shared" si="28"/>
        <v>0</v>
      </c>
      <c r="O82" s="317">
        <f t="shared" si="28"/>
        <v>0</v>
      </c>
      <c r="P82" s="317">
        <f t="shared" si="28"/>
        <v>0</v>
      </c>
      <c r="Q82" s="317">
        <f t="shared" si="28"/>
        <v>0</v>
      </c>
      <c r="R82" s="317">
        <f t="shared" si="28"/>
        <v>0</v>
      </c>
      <c r="S82" s="317">
        <f t="shared" si="28"/>
        <v>0</v>
      </c>
      <c r="T82" s="317">
        <f t="shared" si="28"/>
        <v>0</v>
      </c>
      <c r="U82" s="317">
        <f t="shared" si="28"/>
        <v>0</v>
      </c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</row>
    <row r="83" spans="1:45" ht="12.75" customHeight="1" x14ac:dyDescent="0.25">
      <c r="A83" s="24" t="s">
        <v>216</v>
      </c>
      <c r="B83" s="358">
        <v>0</v>
      </c>
      <c r="C83" s="358">
        <v>0</v>
      </c>
      <c r="D83" s="358">
        <v>0</v>
      </c>
      <c r="E83" s="358">
        <v>0</v>
      </c>
      <c r="F83" s="358">
        <v>0</v>
      </c>
      <c r="G83" s="358">
        <v>0</v>
      </c>
      <c r="H83" s="358">
        <v>0</v>
      </c>
      <c r="I83" s="358">
        <v>0</v>
      </c>
      <c r="J83" s="358">
        <v>0</v>
      </c>
      <c r="K83" s="358">
        <v>0</v>
      </c>
      <c r="L83" s="358">
        <v>0</v>
      </c>
      <c r="M83" s="358">
        <v>0</v>
      </c>
      <c r="N83" s="358">
        <v>0</v>
      </c>
      <c r="O83" s="358">
        <v>0</v>
      </c>
      <c r="P83" s="358">
        <v>0</v>
      </c>
      <c r="Q83" s="358">
        <v>0</v>
      </c>
      <c r="R83" s="358">
        <v>0</v>
      </c>
      <c r="S83" s="358">
        <v>0</v>
      </c>
      <c r="T83" s="307">
        <f>IF(L82&gt;(SUM(M84:S84)+SUM(L83:S83))*-1,L82-(SUM(L84:S84)+SUM(L83:S83))*-1,0)</f>
        <v>0</v>
      </c>
      <c r="U83" s="307">
        <f>IF(M82&gt;(SUM(N84:T84)+SUM(M83:T83))*-1,M82-(SUM(M84:T84)+SUM(M83:T83))*-1,0)</f>
        <v>0</v>
      </c>
      <c r="V83" s="91"/>
      <c r="W83" s="91"/>
      <c r="X83" s="91"/>
      <c r="Y83" s="91"/>
      <c r="Z83" s="91"/>
      <c r="AA83" s="91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1"/>
      <c r="AN83" s="91"/>
      <c r="AO83" s="91"/>
      <c r="AP83" s="91"/>
      <c r="AQ83" s="91"/>
      <c r="AR83" s="91"/>
      <c r="AS83" s="91"/>
    </row>
    <row r="84" spans="1:45" ht="12.75" customHeight="1" x14ac:dyDescent="0.25">
      <c r="A84" s="12" t="s">
        <v>187</v>
      </c>
      <c r="B84" s="359">
        <f t="shared" ref="B84:U84" si="29">IF(B79&lt;0,0,IF(B81&gt;B79,-B79,-B81))</f>
        <v>0</v>
      </c>
      <c r="C84" s="359">
        <f t="shared" si="29"/>
        <v>0</v>
      </c>
      <c r="D84" s="359">
        <f t="shared" si="29"/>
        <v>0</v>
      </c>
      <c r="E84" s="359">
        <f t="shared" si="29"/>
        <v>0</v>
      </c>
      <c r="F84" s="359">
        <f t="shared" si="29"/>
        <v>0</v>
      </c>
      <c r="G84" s="359">
        <f t="shared" si="29"/>
        <v>0</v>
      </c>
      <c r="H84" s="359">
        <f t="shared" si="29"/>
        <v>0</v>
      </c>
      <c r="I84" s="359">
        <f t="shared" si="29"/>
        <v>0</v>
      </c>
      <c r="J84" s="359">
        <f t="shared" si="29"/>
        <v>0</v>
      </c>
      <c r="K84" s="359">
        <f t="shared" si="29"/>
        <v>0</v>
      </c>
      <c r="L84" s="359">
        <f t="shared" si="29"/>
        <v>0</v>
      </c>
      <c r="M84" s="359">
        <f t="shared" si="29"/>
        <v>0</v>
      </c>
      <c r="N84" s="359">
        <f t="shared" si="29"/>
        <v>0</v>
      </c>
      <c r="O84" s="359">
        <f t="shared" si="29"/>
        <v>0</v>
      </c>
      <c r="P84" s="359">
        <f t="shared" si="29"/>
        <v>0</v>
      </c>
      <c r="Q84" s="359">
        <f t="shared" si="29"/>
        <v>0</v>
      </c>
      <c r="R84" s="359">
        <f t="shared" si="29"/>
        <v>0</v>
      </c>
      <c r="S84" s="359">
        <f t="shared" si="29"/>
        <v>0</v>
      </c>
      <c r="T84" s="359">
        <f t="shared" si="29"/>
        <v>0</v>
      </c>
      <c r="U84" s="359">
        <f t="shared" si="29"/>
        <v>0</v>
      </c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1"/>
      <c r="AN84" s="91"/>
      <c r="AO84" s="91"/>
      <c r="AP84" s="91"/>
      <c r="AQ84" s="91"/>
      <c r="AR84" s="91"/>
      <c r="AS84" s="91"/>
    </row>
    <row r="85" spans="1:45" ht="12.75" customHeight="1" x14ac:dyDescent="0.25">
      <c r="A85" s="12" t="s">
        <v>217</v>
      </c>
      <c r="B85" s="359">
        <f t="shared" ref="B85:U85" si="30">SUM(B81:B84)</f>
        <v>0</v>
      </c>
      <c r="C85" s="359">
        <f t="shared" si="30"/>
        <v>0</v>
      </c>
      <c r="D85" s="359">
        <f t="shared" si="30"/>
        <v>0</v>
      </c>
      <c r="E85" s="359">
        <f t="shared" si="30"/>
        <v>0</v>
      </c>
      <c r="F85" s="359">
        <f t="shared" si="30"/>
        <v>0</v>
      </c>
      <c r="G85" s="359">
        <f t="shared" si="30"/>
        <v>0</v>
      </c>
      <c r="H85" s="359">
        <f t="shared" si="30"/>
        <v>0</v>
      </c>
      <c r="I85" s="359">
        <f t="shared" si="30"/>
        <v>0</v>
      </c>
      <c r="J85" s="359">
        <f t="shared" si="30"/>
        <v>0</v>
      </c>
      <c r="K85" s="359">
        <f t="shared" si="30"/>
        <v>0</v>
      </c>
      <c r="L85" s="359">
        <f t="shared" si="30"/>
        <v>0</v>
      </c>
      <c r="M85" s="359">
        <f t="shared" si="30"/>
        <v>0</v>
      </c>
      <c r="N85" s="359">
        <f t="shared" si="30"/>
        <v>0</v>
      </c>
      <c r="O85" s="359">
        <f t="shared" si="30"/>
        <v>0</v>
      </c>
      <c r="P85" s="359">
        <f t="shared" si="30"/>
        <v>0</v>
      </c>
      <c r="Q85" s="359">
        <f t="shared" si="30"/>
        <v>0</v>
      </c>
      <c r="R85" s="359">
        <f t="shared" si="30"/>
        <v>0</v>
      </c>
      <c r="S85" s="359">
        <f t="shared" si="30"/>
        <v>0</v>
      </c>
      <c r="T85" s="359">
        <f t="shared" si="30"/>
        <v>0</v>
      </c>
      <c r="U85" s="359">
        <f t="shared" si="30"/>
        <v>0</v>
      </c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</row>
    <row r="86" spans="1:45" ht="12.75" customHeight="1" x14ac:dyDescent="0.25">
      <c r="A86" s="12"/>
      <c r="B86" s="252"/>
      <c r="C86" s="252"/>
      <c r="D86" s="252"/>
      <c r="E86" s="252"/>
      <c r="F86" s="252"/>
      <c r="G86" s="252"/>
      <c r="H86" s="252"/>
      <c r="I86" s="252"/>
      <c r="J86" s="252"/>
      <c r="K86" s="252"/>
      <c r="L86" s="252"/>
      <c r="M86" s="252"/>
      <c r="N86" s="252"/>
      <c r="O86" s="252"/>
      <c r="P86" s="252"/>
      <c r="Q86" s="252"/>
      <c r="R86" s="252"/>
      <c r="S86" s="252"/>
      <c r="T86" s="252"/>
      <c r="U86" s="252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</row>
    <row r="87" spans="1:45" ht="13.5" customHeight="1" thickBot="1" x14ac:dyDescent="0.3">
      <c r="A87" s="40" t="s">
        <v>177</v>
      </c>
      <c r="B87" s="376">
        <f t="shared" ref="B87:U87" si="31">IF(B79&lt;0,0,B79+B84)</f>
        <v>401.59819758911806</v>
      </c>
      <c r="C87" s="376">
        <f t="shared" si="31"/>
        <v>43.611999030980186</v>
      </c>
      <c r="D87" s="376">
        <f t="shared" si="31"/>
        <v>226.13000782643354</v>
      </c>
      <c r="E87" s="376">
        <f t="shared" si="31"/>
        <v>404.60927916900937</v>
      </c>
      <c r="F87" s="376">
        <f t="shared" si="31"/>
        <v>586.18838570975447</v>
      </c>
      <c r="G87" s="376">
        <f t="shared" si="31"/>
        <v>701.91876875997286</v>
      </c>
      <c r="H87" s="376">
        <f t="shared" si="31"/>
        <v>780.36263543339294</v>
      </c>
      <c r="I87" s="376">
        <f t="shared" si="31"/>
        <v>828.53456982625858</v>
      </c>
      <c r="J87" s="376">
        <f t="shared" si="31"/>
        <v>887.16678796247083</v>
      </c>
      <c r="K87" s="376">
        <f t="shared" si="31"/>
        <v>948.12240340546668</v>
      </c>
      <c r="L87" s="376">
        <f t="shared" si="31"/>
        <v>987.67168142345622</v>
      </c>
      <c r="M87" s="376">
        <f t="shared" si="31"/>
        <v>1033.5204953827229</v>
      </c>
      <c r="N87" s="376">
        <f t="shared" si="31"/>
        <v>1085.2899720177602</v>
      </c>
      <c r="O87" s="376">
        <f t="shared" si="31"/>
        <v>1136.5325279653084</v>
      </c>
      <c r="P87" s="376">
        <f t="shared" si="31"/>
        <v>1192.4176018316484</v>
      </c>
      <c r="Q87" s="376">
        <f t="shared" si="31"/>
        <v>1254.7818379250859</v>
      </c>
      <c r="R87" s="376">
        <f t="shared" si="31"/>
        <v>1898.4636562883375</v>
      </c>
      <c r="S87" s="376">
        <f t="shared" si="31"/>
        <v>1968.980366857696</v>
      </c>
      <c r="T87" s="376">
        <f t="shared" si="31"/>
        <v>2043.8680617880711</v>
      </c>
      <c r="U87" s="376">
        <f t="shared" si="31"/>
        <v>2123.4954550383882</v>
      </c>
      <c r="V87" s="91"/>
      <c r="W87" s="167">
        <f>SUM(B87:U87)</f>
        <v>20533.264691231332</v>
      </c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</row>
    <row r="88" spans="1:45" ht="13.5" customHeight="1" thickTop="1" x14ac:dyDescent="0.25">
      <c r="A88" s="377"/>
      <c r="B88" s="346"/>
      <c r="C88" s="346"/>
      <c r="D88" s="197"/>
      <c r="E88" s="197"/>
      <c r="F88" s="197"/>
      <c r="G88" s="197"/>
      <c r="H88" s="197"/>
      <c r="I88" s="197"/>
      <c r="J88" s="197"/>
      <c r="K88" s="197"/>
      <c r="L88" s="197"/>
      <c r="M88" s="197"/>
      <c r="N88" s="197"/>
      <c r="O88" s="197"/>
      <c r="P88" s="197"/>
      <c r="Q88" s="197"/>
      <c r="R88" s="197"/>
      <c r="S88" s="197"/>
      <c r="T88" s="197"/>
      <c r="U88" s="197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</row>
    <row r="89" spans="1:45" ht="13.5" customHeight="1" thickBot="1" x14ac:dyDescent="0.3">
      <c r="A89" s="40" t="s">
        <v>229</v>
      </c>
      <c r="B89" s="376">
        <f t="shared" ref="B89:U89" si="32">B69+B87</f>
        <v>852.67349150761447</v>
      </c>
      <c r="C89" s="376">
        <f t="shared" si="32"/>
        <v>556.4113072317773</v>
      </c>
      <c r="D89" s="376">
        <f t="shared" si="32"/>
        <v>806.70017786282665</v>
      </c>
      <c r="E89" s="376">
        <f t="shared" si="32"/>
        <v>1057.2810977524932</v>
      </c>
      <c r="F89" s="376">
        <f t="shared" si="32"/>
        <v>1319.2097723307704</v>
      </c>
      <c r="G89" s="376">
        <f t="shared" si="32"/>
        <v>1470.7049486210246</v>
      </c>
      <c r="H89" s="376">
        <f t="shared" si="32"/>
        <v>1584.0559996950315</v>
      </c>
      <c r="I89" s="376">
        <f t="shared" si="32"/>
        <v>1669.3627344634292</v>
      </c>
      <c r="J89" s="376">
        <f t="shared" si="32"/>
        <v>1771.5566230238569</v>
      </c>
      <c r="K89" s="376">
        <f t="shared" si="32"/>
        <v>1879.3058200802611</v>
      </c>
      <c r="L89" s="376">
        <f t="shared" si="32"/>
        <v>1947.998547099809</v>
      </c>
      <c r="M89" s="376">
        <f t="shared" si="32"/>
        <v>2029.2269148847772</v>
      </c>
      <c r="N89" s="376">
        <f t="shared" si="32"/>
        <v>2119.3728794764761</v>
      </c>
      <c r="O89" s="376">
        <f t="shared" si="32"/>
        <v>2210.0702609742057</v>
      </c>
      <c r="P89" s="376">
        <f t="shared" si="32"/>
        <v>2307.4413851497466</v>
      </c>
      <c r="Q89" s="376">
        <f t="shared" si="32"/>
        <v>2416.9252662915592</v>
      </c>
      <c r="R89" s="376">
        <f t="shared" si="32"/>
        <v>3111.3901018738929</v>
      </c>
      <c r="S89" s="376">
        <f t="shared" si="32"/>
        <v>3235.1861048734336</v>
      </c>
      <c r="T89" s="376">
        <f t="shared" si="32"/>
        <v>3366.6556137512034</v>
      </c>
      <c r="U89" s="376">
        <f t="shared" si="32"/>
        <v>3506.445926346204</v>
      </c>
      <c r="V89" s="91"/>
      <c r="W89" s="167">
        <f>SUM(B89:U89)</f>
        <v>39217.974973290387</v>
      </c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</row>
    <row r="90" spans="1:45" ht="13.5" customHeight="1" thickTop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1"/>
      <c r="AN90" s="91"/>
      <c r="AO90" s="91"/>
      <c r="AP90" s="91"/>
      <c r="AQ90" s="91"/>
      <c r="AR90" s="91"/>
      <c r="AS90" s="91"/>
    </row>
  </sheetData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AS79"/>
  <sheetViews>
    <sheetView topLeftCell="A66" workbookViewId="0">
      <selection activeCell="A66" sqref="A66"/>
    </sheetView>
  </sheetViews>
  <sheetFormatPr defaultRowHeight="13.2" x14ac:dyDescent="0.25"/>
  <cols>
    <col min="1" max="1" width="35.33203125" customWidth="1"/>
    <col min="2" max="21" width="10.6640625" customWidth="1"/>
    <col min="23" max="23" width="11.44140625" customWidth="1"/>
  </cols>
  <sheetData>
    <row r="1" spans="1:45" ht="12.75" customHeight="1" x14ac:dyDescent="0.25">
      <c r="A1" s="4"/>
      <c r="B1" s="4"/>
      <c r="C1" s="4"/>
      <c r="D1" s="4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</row>
    <row r="2" spans="1:45" ht="18" customHeight="1" x14ac:dyDescent="0.3">
      <c r="A2" s="146" t="s">
        <v>230</v>
      </c>
      <c r="B2" s="321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</row>
    <row r="3" spans="1:45" ht="12.7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</row>
    <row r="4" spans="1:45" ht="12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</row>
    <row r="5" spans="1:45" ht="13.5" customHeight="1" thickBot="1" x14ac:dyDescent="0.3">
      <c r="A5" s="151" t="s">
        <v>99</v>
      </c>
      <c r="B5" s="152">
        <v>2001</v>
      </c>
      <c r="C5" s="152">
        <v>2002</v>
      </c>
      <c r="D5" s="152">
        <v>2003</v>
      </c>
      <c r="E5" s="152">
        <v>2004</v>
      </c>
      <c r="F5" s="152">
        <v>2005</v>
      </c>
      <c r="G5" s="152">
        <v>2006</v>
      </c>
      <c r="H5" s="152">
        <v>2007</v>
      </c>
      <c r="I5" s="152">
        <v>2008</v>
      </c>
      <c r="J5" s="152">
        <v>2009</v>
      </c>
      <c r="K5" s="152">
        <v>2010</v>
      </c>
      <c r="L5" s="152">
        <v>2011</v>
      </c>
      <c r="M5" s="152">
        <v>2012</v>
      </c>
      <c r="N5" s="152">
        <v>2013</v>
      </c>
      <c r="O5" s="152">
        <v>2014</v>
      </c>
      <c r="P5" s="152">
        <v>2015</v>
      </c>
      <c r="Q5" s="152">
        <v>2016</v>
      </c>
      <c r="R5" s="152">
        <v>2017</v>
      </c>
      <c r="S5" s="152">
        <v>2018</v>
      </c>
      <c r="T5" s="152">
        <v>2019</v>
      </c>
      <c r="U5" s="152">
        <v>2020</v>
      </c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</row>
    <row r="6" spans="1:45" ht="12.75" customHeight="1" x14ac:dyDescent="0.25">
      <c r="A6" s="156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91"/>
      <c r="W6" s="91"/>
      <c r="X6" s="91"/>
      <c r="Y6" s="154">
        <f>SUM(Z6:AS6)-SUM(Z7:AS7)</f>
        <v>0</v>
      </c>
      <c r="Z6" s="155">
        <f t="shared" ref="Z6:AS6" si="0">B9</f>
        <v>4330.12</v>
      </c>
      <c r="AA6" s="155">
        <f t="shared" si="0"/>
        <v>4460.0235999999995</v>
      </c>
      <c r="AB6" s="155">
        <f t="shared" si="0"/>
        <v>4593.8243080000002</v>
      </c>
      <c r="AC6" s="155">
        <f t="shared" si="0"/>
        <v>4731.6390372399992</v>
      </c>
      <c r="AD6" s="155">
        <f t="shared" si="0"/>
        <v>4873.5882083571996</v>
      </c>
      <c r="AE6" s="155">
        <f t="shared" si="0"/>
        <v>5019.7958546079153</v>
      </c>
      <c r="AF6" s="155">
        <f t="shared" si="0"/>
        <v>5170.3897302461537</v>
      </c>
      <c r="AG6" s="155">
        <f t="shared" si="0"/>
        <v>5325.5014221535375</v>
      </c>
      <c r="AH6" s="155">
        <f t="shared" si="0"/>
        <v>5485.2664648181426</v>
      </c>
      <c r="AI6" s="155">
        <f t="shared" si="0"/>
        <v>5649.8244587626887</v>
      </c>
      <c r="AJ6" s="155">
        <f t="shared" si="0"/>
        <v>5819.3191925255687</v>
      </c>
      <c r="AK6" s="155">
        <f t="shared" si="0"/>
        <v>5993.8987683013347</v>
      </c>
      <c r="AL6" s="155">
        <f t="shared" si="0"/>
        <v>6173.7157313503749</v>
      </c>
      <c r="AM6" s="155">
        <f t="shared" si="0"/>
        <v>6358.9272032908866</v>
      </c>
      <c r="AN6" s="155">
        <f t="shared" si="0"/>
        <v>6549.6950193896137</v>
      </c>
      <c r="AO6" s="155">
        <f t="shared" si="0"/>
        <v>6746.1858699713002</v>
      </c>
      <c r="AP6" s="155">
        <f t="shared" si="0"/>
        <v>6948.5714460704403</v>
      </c>
      <c r="AQ6" s="155">
        <f t="shared" si="0"/>
        <v>7157.0285894525532</v>
      </c>
      <c r="AR6" s="155">
        <f t="shared" si="0"/>
        <v>7371.7394471361295</v>
      </c>
      <c r="AS6" s="155">
        <f t="shared" si="0"/>
        <v>7592.8916305502144</v>
      </c>
    </row>
    <row r="7" spans="1:45" ht="12.75" customHeight="1" x14ac:dyDescent="0.25">
      <c r="A7" s="160" t="s">
        <v>100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322"/>
      <c r="W7" s="322"/>
      <c r="X7" s="322"/>
      <c r="Y7" s="323">
        <v>0</v>
      </c>
      <c r="Z7" s="324">
        <f t="shared" ref="Z7:AS7" si="1">B15+1/3*B16</f>
        <v>4330.12</v>
      </c>
      <c r="AA7" s="324">
        <f t="shared" si="1"/>
        <v>4460.0236000000004</v>
      </c>
      <c r="AB7" s="324">
        <f t="shared" si="1"/>
        <v>4593.8243080000002</v>
      </c>
      <c r="AC7" s="324">
        <f t="shared" si="1"/>
        <v>4731.6390372399992</v>
      </c>
      <c r="AD7" s="324">
        <f t="shared" si="1"/>
        <v>4873.5882083571996</v>
      </c>
      <c r="AE7" s="324">
        <f t="shared" si="1"/>
        <v>5019.7958546079153</v>
      </c>
      <c r="AF7" s="324">
        <f t="shared" si="1"/>
        <v>5170.3897302461537</v>
      </c>
      <c r="AG7" s="324">
        <f t="shared" si="1"/>
        <v>5325.5014221535375</v>
      </c>
      <c r="AH7" s="324">
        <f t="shared" si="1"/>
        <v>5485.2664648181426</v>
      </c>
      <c r="AI7" s="324">
        <f t="shared" si="1"/>
        <v>5649.8244587626887</v>
      </c>
      <c r="AJ7" s="324">
        <f t="shared" si="1"/>
        <v>5819.3191925255687</v>
      </c>
      <c r="AK7" s="324">
        <f t="shared" si="1"/>
        <v>5993.8987683013347</v>
      </c>
      <c r="AL7" s="324">
        <f t="shared" si="1"/>
        <v>6173.7157313503749</v>
      </c>
      <c r="AM7" s="324">
        <f t="shared" si="1"/>
        <v>6358.9272032908866</v>
      </c>
      <c r="AN7" s="324">
        <f t="shared" si="1"/>
        <v>6549.6950193896137</v>
      </c>
      <c r="AO7" s="324">
        <f t="shared" si="1"/>
        <v>6746.1858699713002</v>
      </c>
      <c r="AP7" s="324">
        <f t="shared" si="1"/>
        <v>6948.5714460704403</v>
      </c>
      <c r="AQ7" s="324">
        <f t="shared" si="1"/>
        <v>7157.0285894525532</v>
      </c>
      <c r="AR7" s="324">
        <f t="shared" si="1"/>
        <v>7371.7394471361295</v>
      </c>
      <c r="AS7" s="324">
        <f t="shared" si="1"/>
        <v>7592.8916305502144</v>
      </c>
    </row>
    <row r="8" spans="1:45" ht="12.75" customHeight="1" x14ac:dyDescent="0.25">
      <c r="A8" s="166" t="s">
        <v>102</v>
      </c>
      <c r="B8" s="169">
        <f>'Power Curves'!C44*Assumptions!$E$9*12</f>
        <v>42593.431976310887</v>
      </c>
      <c r="C8" s="169">
        <f>'Power Curves'!D44*Assumptions!$E$9*12</f>
        <v>44590.819300692703</v>
      </c>
      <c r="D8" s="169">
        <f>'Power Curves'!E44*Assumptions!$E$9*12</f>
        <v>46681.872618597205</v>
      </c>
      <c r="E8" s="169">
        <f>'Power Curves'!F44*Assumptions!$E$9*12</f>
        <v>48870.984327150094</v>
      </c>
      <c r="F8" s="169">
        <f>'Power Curves'!G44*Assumptions!$E$9*12</f>
        <v>51162.7528016746</v>
      </c>
      <c r="G8" s="169">
        <f>'Power Curves'!H44*Assumptions!$E$9*12</f>
        <v>52194.062403645206</v>
      </c>
      <c r="H8" s="169">
        <f>'Power Curves'!I44*Assumptions!$E$9*12</f>
        <v>53246.160556600138</v>
      </c>
      <c r="I8" s="169">
        <f>'Power Curves'!J44*Assumptions!$E$9*12</f>
        <v>54319.46630429817</v>
      </c>
      <c r="J8" s="169">
        <f>'Power Curves'!K44*Assumptions!$E$9*12</f>
        <v>55414.40713734318</v>
      </c>
      <c r="K8" s="169">
        <f>'Power Curves'!L44*Assumptions!$E$9*12</f>
        <v>56531.419163450977</v>
      </c>
      <c r="L8" s="169">
        <f>'Power Curves'!M44*Assumptions!$E$9*12</f>
        <v>57643.022453635509</v>
      </c>
      <c r="M8" s="169">
        <f>'Power Curves'!N44*Assumptions!$E$9*12</f>
        <v>58776.483710469969</v>
      </c>
      <c r="N8" s="169">
        <f>'Power Curves'!O44*Assumptions!$E$9*12</f>
        <v>59932.232737203711</v>
      </c>
      <c r="O8" s="169">
        <f>'Power Curves'!P44*Assumptions!$E$9*12</f>
        <v>61110.707788504937</v>
      </c>
      <c r="P8" s="169">
        <f>'Power Curves'!Q44*Assumptions!$E$9*12</f>
        <v>62312.355736644997</v>
      </c>
      <c r="Q8" s="169">
        <f>'Power Curves'!R44*Assumptions!$E$9*12</f>
        <v>63270.978088780772</v>
      </c>
      <c r="R8" s="169">
        <f>'Power Curves'!S44*Assumptions!$E$9*12</f>
        <v>64244.348026738808</v>
      </c>
      <c r="S8" s="169">
        <f>'Power Curves'!T44*Assumptions!$E$9*12</f>
        <v>65232.692429526382</v>
      </c>
      <c r="T8" s="169">
        <f>'Power Curves'!U44*Assumptions!$E$9*12</f>
        <v>66236.241666490401</v>
      </c>
      <c r="U8" s="169">
        <f>'Power Curves'!V44*Assumptions!$E$9*12</f>
        <v>67255.229651013404</v>
      </c>
      <c r="V8" s="325"/>
      <c r="W8" s="161">
        <f>SUM(B8:U8)</f>
        <v>1131619.6688787721</v>
      </c>
      <c r="X8" s="2"/>
      <c r="Y8" s="154"/>
      <c r="Z8" s="158">
        <f t="shared" ref="Z8:AS8" si="2">Z6-Z7</f>
        <v>0</v>
      </c>
      <c r="AA8" s="158">
        <f t="shared" si="2"/>
        <v>0</v>
      </c>
      <c r="AB8" s="158">
        <f t="shared" si="2"/>
        <v>0</v>
      </c>
      <c r="AC8" s="158">
        <f t="shared" si="2"/>
        <v>0</v>
      </c>
      <c r="AD8" s="158">
        <f t="shared" si="2"/>
        <v>0</v>
      </c>
      <c r="AE8" s="158">
        <f t="shared" si="2"/>
        <v>0</v>
      </c>
      <c r="AF8" s="158">
        <f t="shared" si="2"/>
        <v>0</v>
      </c>
      <c r="AG8" s="158">
        <f t="shared" si="2"/>
        <v>0</v>
      </c>
      <c r="AH8" s="158">
        <f t="shared" si="2"/>
        <v>0</v>
      </c>
      <c r="AI8" s="158">
        <f t="shared" si="2"/>
        <v>0</v>
      </c>
      <c r="AJ8" s="158">
        <f t="shared" si="2"/>
        <v>0</v>
      </c>
      <c r="AK8" s="158">
        <f t="shared" si="2"/>
        <v>0</v>
      </c>
      <c r="AL8" s="158">
        <f t="shared" si="2"/>
        <v>0</v>
      </c>
      <c r="AM8" s="158">
        <f t="shared" si="2"/>
        <v>0</v>
      </c>
      <c r="AN8" s="158">
        <f t="shared" si="2"/>
        <v>0</v>
      </c>
      <c r="AO8" s="158">
        <f t="shared" si="2"/>
        <v>0</v>
      </c>
      <c r="AP8" s="158">
        <f t="shared" si="2"/>
        <v>0</v>
      </c>
      <c r="AQ8" s="158">
        <f t="shared" si="2"/>
        <v>0</v>
      </c>
      <c r="AR8" s="158">
        <f t="shared" si="2"/>
        <v>0</v>
      </c>
      <c r="AS8" s="158">
        <f t="shared" si="2"/>
        <v>0</v>
      </c>
    </row>
    <row r="9" spans="1:45" ht="12.75" customHeight="1" x14ac:dyDescent="0.25">
      <c r="A9" s="166" t="s">
        <v>103</v>
      </c>
      <c r="B9" s="150">
        <f>1/3*Assumptions!$E$17*Assumptions!$E$11*Assumptions!$E$8/1000*(1+Assumptions!$E$24)^(B5-2000)+Assumptions!$E$18*Assumptions!$E$16*(1+Assumptions!$E$24)^(B5-2000)/1000</f>
        <v>4330.12</v>
      </c>
      <c r="C9" s="150">
        <f>1/3*Assumptions!$E$17*Assumptions!$E$11*Assumptions!$E$8/1000*(1+Assumptions!$E$24)^(C5-2000)+Assumptions!$E$18*Assumptions!$E$16*(1+Assumptions!$E$24)^(C5-2000)/1000</f>
        <v>4460.0235999999995</v>
      </c>
      <c r="D9" s="150">
        <f>1/3*Assumptions!$E$17*Assumptions!$E$11*Assumptions!$E$8/1000*(1+Assumptions!$E$24)^(D5-2000)+Assumptions!$E$18*Assumptions!$E$16*(1+Assumptions!$E$24)^(D5-2000)/1000</f>
        <v>4593.8243080000002</v>
      </c>
      <c r="E9" s="150">
        <f>1/3*Assumptions!$E$17*Assumptions!$E$11*Assumptions!$E$8/1000*(1+Assumptions!$E$24)^(E5-2000)+Assumptions!$E$18*Assumptions!$E$16*(1+Assumptions!$E$24)^(E5-2000)/1000</f>
        <v>4731.6390372399992</v>
      </c>
      <c r="F9" s="150">
        <f>1/3*Assumptions!$E$17*Assumptions!$E$11*Assumptions!$E$8/1000*(1+Assumptions!$E$24)^(F5-2000)+Assumptions!$E$18*Assumptions!$E$16*(1+Assumptions!$E$24)^(F5-2000)/1000</f>
        <v>4873.5882083571996</v>
      </c>
      <c r="G9" s="150">
        <f>1/3*Assumptions!$E$17*Assumptions!$E$11*Assumptions!$E$8/1000*(1+Assumptions!$E$24)^(G5-2000)+Assumptions!$E$18*Assumptions!$E$16*(1+Assumptions!$E$24)^(G5-2000)/1000</f>
        <v>5019.7958546079153</v>
      </c>
      <c r="H9" s="150">
        <f>1/3*Assumptions!$E$17*Assumptions!$E$11*Assumptions!$E$8/1000*(1+Assumptions!$E$24)^(H5-2000)+Assumptions!$E$18*Assumptions!$E$16*(1+Assumptions!$E$24)^(H5-2000)/1000</f>
        <v>5170.3897302461537</v>
      </c>
      <c r="I9" s="150">
        <f>1/3*Assumptions!$E$17*Assumptions!$E$11*Assumptions!$E$8/1000*(1+Assumptions!$E$24)^(I5-2000)+Assumptions!$E$18*Assumptions!$E$16*(1+Assumptions!$E$24)^(I5-2000)/1000</f>
        <v>5325.5014221535375</v>
      </c>
      <c r="J9" s="150">
        <f>1/3*Assumptions!$E$17*Assumptions!$E$11*Assumptions!$E$8/1000*(1+Assumptions!$E$24)^(J5-2000)+Assumptions!$E$18*Assumptions!$E$16*(1+Assumptions!$E$24)^(J5-2000)/1000</f>
        <v>5485.2664648181426</v>
      </c>
      <c r="K9" s="150">
        <f>1/3*Assumptions!$E$17*Assumptions!$E$11*Assumptions!$E$8/1000*(1+Assumptions!$E$24)^(K5-2000)+Assumptions!$E$18*Assumptions!$E$16*(1+Assumptions!$E$24)^(K5-2000)/1000</f>
        <v>5649.8244587626887</v>
      </c>
      <c r="L9" s="150">
        <f>1/3*Assumptions!$E$17*Assumptions!$E$11*Assumptions!$E$8/1000*(1+Assumptions!$E$24)^(L5-2000)+Assumptions!$E$18*Assumptions!$E$16*(1+Assumptions!$E$24)^(L5-2000)/1000</f>
        <v>5819.3191925255687</v>
      </c>
      <c r="M9" s="150">
        <f>1/3*Assumptions!$E$17*Assumptions!$E$11*Assumptions!$E$8/1000*(1+Assumptions!$E$24)^(M5-2000)+Assumptions!$E$18*Assumptions!$E$16*(1+Assumptions!$E$24)^(M5-2000)/1000</f>
        <v>5993.8987683013347</v>
      </c>
      <c r="N9" s="150">
        <f>1/3*Assumptions!$E$17*Assumptions!$E$11*Assumptions!$E$8/1000*(1+Assumptions!$E$24)^(N5-2000)+Assumptions!$E$18*Assumptions!$E$16*(1+Assumptions!$E$24)^(N5-2000)/1000</f>
        <v>6173.7157313503749</v>
      </c>
      <c r="O9" s="150">
        <f>1/3*Assumptions!$E$17*Assumptions!$E$11*Assumptions!$E$8/1000*(1+Assumptions!$E$24)^(O5-2000)+Assumptions!$E$18*Assumptions!$E$16*(1+Assumptions!$E$24)^(O5-2000)/1000</f>
        <v>6358.9272032908866</v>
      </c>
      <c r="P9" s="150">
        <f>1/3*Assumptions!$E$17*Assumptions!$E$11*Assumptions!$E$8/1000*(1+Assumptions!$E$24)^(P5-2000)+Assumptions!$E$18*Assumptions!$E$16*(1+Assumptions!$E$24)^(P5-2000)/1000</f>
        <v>6549.6950193896137</v>
      </c>
      <c r="Q9" s="150">
        <f>1/3*Assumptions!$E$17*Assumptions!$E$11*Assumptions!$E$8/1000*(1+Assumptions!$E$24)^(Q5-2000)+Assumptions!$E$18*Assumptions!$E$16*(1+Assumptions!$E$24)^(Q5-2000)/1000</f>
        <v>6746.1858699713002</v>
      </c>
      <c r="R9" s="150">
        <f>1/3*Assumptions!$E$17*Assumptions!$E$11*Assumptions!$E$8/1000*(1+Assumptions!$E$24)^(R5-2000)+Assumptions!$E$18*Assumptions!$E$16*(1+Assumptions!$E$24)^(R5-2000)/1000</f>
        <v>6948.5714460704403</v>
      </c>
      <c r="S9" s="150">
        <f>1/3*Assumptions!$E$17*Assumptions!$E$11*Assumptions!$E$8/1000*(1+Assumptions!$E$24)^(S5-2000)+Assumptions!$E$18*Assumptions!$E$16*(1+Assumptions!$E$24)^(S5-2000)/1000</f>
        <v>7157.0285894525532</v>
      </c>
      <c r="T9" s="150">
        <f>1/3*Assumptions!$E$17*Assumptions!$E$11*Assumptions!$E$8/1000*(1+Assumptions!$E$24)^(T5-2000)+Assumptions!$E$18*Assumptions!$E$16*(1+Assumptions!$E$24)^(T5-2000)/1000</f>
        <v>7371.7394471361295</v>
      </c>
      <c r="U9" s="150">
        <f>1/3*Assumptions!$E$17*Assumptions!$E$11*Assumptions!$E$8/1000*(1+Assumptions!$E$24)^(U5-2000)+Assumptions!$E$18*Assumptions!$E$16*(1+Assumptions!$E$24)^(U5-2000)/1000</f>
        <v>7592.8916305502144</v>
      </c>
      <c r="V9" s="325"/>
      <c r="W9" s="161">
        <f>SUM(B9:U9)</f>
        <v>116351.94598222408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ht="12.75" customHeight="1" x14ac:dyDescent="0.25">
      <c r="A10" s="166" t="s">
        <v>104</v>
      </c>
      <c r="B10" s="257">
        <f>(SUM(B8:B9)-SUM(B14:B19))*'Summary Output'!$B$24/4</f>
        <v>492.65186076376671</v>
      </c>
      <c r="C10" s="257">
        <f>(SUM(C8:C9)-SUM(C14:C19))*'Summary Output'!$B$24/4</f>
        <v>517.82720260346014</v>
      </c>
      <c r="D10" s="257">
        <f>(SUM(D8:D9)-SUM(D14:D19))*'Summary Output'!$B$24/4</f>
        <v>542.9243078599842</v>
      </c>
      <c r="E10" s="257">
        <f>(SUM(E8:E9)-SUM(E14:E19))*'Summary Output'!$B$24/4</f>
        <v>569.21779866309475</v>
      </c>
      <c r="F10" s="257">
        <f>(SUM(F8:F9)-SUM(F14:F19))*'Summary Output'!$B$24/4</f>
        <v>596.76434937423653</v>
      </c>
      <c r="G10" s="257">
        <f>(SUM(G8:G9)-SUM(G14:G19))*'Summary Output'!$B$24/4</f>
        <v>608.52293502184204</v>
      </c>
      <c r="H10" s="257">
        <f>(SUM(H8:H9)-SUM(H14:H19))*'Summary Output'!$B$24/4</f>
        <v>620.66704402544076</v>
      </c>
      <c r="I10" s="257">
        <f>(SUM(I8:I9)-SUM(I14:I19))*'Summary Output'!$B$24/4</f>
        <v>633.04603442607822</v>
      </c>
      <c r="J10" s="257">
        <f>(SUM(J8:J9)-SUM(J14:J19))*'Summary Output'!$B$24/4</f>
        <v>645.66434345018524</v>
      </c>
      <c r="K10" s="257">
        <f>(SUM(K8:K9)-SUM(K14:K19))*'Summary Output'!$B$24/4</f>
        <v>658.52648884590826</v>
      </c>
      <c r="L10" s="257">
        <f>(SUM(L8:L9)-SUM(L14:L19))*'Summary Output'!$B$24/4</f>
        <v>671.28800989467186</v>
      </c>
      <c r="M10" s="257">
        <f>(SUM(M8:M9)-SUM(M14:M19))*'Summary Output'!$B$24/4</f>
        <v>684.28874992420333</v>
      </c>
      <c r="N10" s="257">
        <f>(SUM(N8:N9)-SUM(N14:N19))*'Summary Output'!$B$24/4</f>
        <v>697.53306130704868</v>
      </c>
      <c r="O10" s="257">
        <f>(SUM(O8:O9)-SUM(O14:O19))*'Summary Output'!$B$24/4</f>
        <v>711.02537145344797</v>
      </c>
      <c r="P10" s="257">
        <f>(SUM(P8:P9)-SUM(P14:P19))*'Summary Output'!$B$24/4</f>
        <v>724.77018397048664</v>
      </c>
      <c r="Q10" s="257">
        <f>(SUM(Q8:Q9)-SUM(Q14:Q19))*'Summary Output'!$B$24/4</f>
        <v>735.43890293243032</v>
      </c>
      <c r="R10" s="257">
        <f>(SUM(R8:R9)-SUM(R14:R19))*'Summary Output'!$B$24/4</f>
        <v>746.25254490395957</v>
      </c>
      <c r="S10" s="257">
        <f>(SUM(S8:S9)-SUM(S14:S19))*'Summary Output'!$B$24/4</f>
        <v>757.21276321826986</v>
      </c>
      <c r="T10" s="257">
        <f>(SUM(T8:T9)-SUM(T14:T19))*'Summary Output'!$B$24/4</f>
        <v>768.32121935816974</v>
      </c>
      <c r="U10" s="257">
        <f>(SUM(U8:U9)-SUM(U14:U19))*'Summary Output'!$B$24/4</f>
        <v>779.57958256289226</v>
      </c>
      <c r="V10" s="325"/>
      <c r="W10" s="161">
        <f>SUM(B10:U10)</f>
        <v>13161.522754559575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</row>
    <row r="11" spans="1:45" ht="12.75" customHeight="1" x14ac:dyDescent="0.25">
      <c r="A11" s="166" t="s">
        <v>105</v>
      </c>
      <c r="B11" s="193">
        <f t="shared" ref="B11:U11" si="3">SUM(B8:B10)</f>
        <v>47416.20383707466</v>
      </c>
      <c r="C11" s="193">
        <f t="shared" si="3"/>
        <v>49568.670103296165</v>
      </c>
      <c r="D11" s="193">
        <f t="shared" si="3"/>
        <v>51818.62123445719</v>
      </c>
      <c r="E11" s="193">
        <f t="shared" si="3"/>
        <v>54171.841163053185</v>
      </c>
      <c r="F11" s="193">
        <f t="shared" si="3"/>
        <v>56633.105359406036</v>
      </c>
      <c r="G11" s="193">
        <f t="shared" si="3"/>
        <v>57822.381193274967</v>
      </c>
      <c r="H11" s="193">
        <f t="shared" si="3"/>
        <v>59037.217330871732</v>
      </c>
      <c r="I11" s="193">
        <f t="shared" si="3"/>
        <v>60278.013760877788</v>
      </c>
      <c r="J11" s="193">
        <f t="shared" si="3"/>
        <v>61545.337945611507</v>
      </c>
      <c r="K11" s="193">
        <f t="shared" si="3"/>
        <v>62839.770111059574</v>
      </c>
      <c r="L11" s="193">
        <f t="shared" si="3"/>
        <v>64133.629656055746</v>
      </c>
      <c r="M11" s="193">
        <f t="shared" si="3"/>
        <v>65454.671228695508</v>
      </c>
      <c r="N11" s="193">
        <f t="shared" si="3"/>
        <v>66803.481529861136</v>
      </c>
      <c r="O11" s="193">
        <f t="shared" si="3"/>
        <v>68180.660363249277</v>
      </c>
      <c r="P11" s="193">
        <f t="shared" si="3"/>
        <v>69586.820940005098</v>
      </c>
      <c r="Q11" s="193">
        <f t="shared" si="3"/>
        <v>70752.602861684514</v>
      </c>
      <c r="R11" s="193">
        <f t="shared" si="3"/>
        <v>71939.172017713194</v>
      </c>
      <c r="S11" s="193">
        <f t="shared" si="3"/>
        <v>73146.9337821972</v>
      </c>
      <c r="T11" s="193">
        <f t="shared" si="3"/>
        <v>74376.302332984706</v>
      </c>
      <c r="U11" s="193">
        <f t="shared" si="3"/>
        <v>75627.700864126513</v>
      </c>
      <c r="V11" s="325"/>
      <c r="W11" s="161">
        <f>SUM(B11:U11)</f>
        <v>1261133.1376155557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ht="12.75" customHeight="1" x14ac:dyDescent="0.25">
      <c r="A12" s="327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325"/>
      <c r="W12" s="161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ht="12.75" customHeight="1" x14ac:dyDescent="0.25">
      <c r="A13" s="160" t="s">
        <v>106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91"/>
      <c r="W13" s="161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ht="12.75" customHeight="1" x14ac:dyDescent="0.25">
      <c r="A14" s="166" t="s">
        <v>69</v>
      </c>
      <c r="B14" s="150">
        <f>Assumptions!E27*(1+Assumptions!$E$24)</f>
        <v>1491.9967885714286</v>
      </c>
      <c r="C14" s="161">
        <f>B14*(1+Assumptions!$E$24)</f>
        <v>1536.7566922285714</v>
      </c>
      <c r="D14" s="161">
        <f>C14*(1+Assumptions!$E$24)</f>
        <v>1582.8593929954286</v>
      </c>
      <c r="E14" s="161">
        <f>D14*(1+Assumptions!$E$24)</f>
        <v>1630.3451747852914</v>
      </c>
      <c r="F14" s="161">
        <f>E14*(1+Assumptions!$E$24)</f>
        <v>1679.2555300288502</v>
      </c>
      <c r="G14" s="161">
        <f>F14*(1+Assumptions!$E$24)</f>
        <v>1729.6331959297158</v>
      </c>
      <c r="H14" s="161">
        <f>G14*(1+Assumptions!$E$24)</f>
        <v>1781.5221918076074</v>
      </c>
      <c r="I14" s="161">
        <f>H14*(1+Assumptions!$E$24)</f>
        <v>1834.9678575618357</v>
      </c>
      <c r="J14" s="161">
        <f>I14*(1+Assumptions!$E$24)</f>
        <v>1890.0168932886909</v>
      </c>
      <c r="K14" s="161">
        <f>J14*(1+Assumptions!$E$24)</f>
        <v>1946.7174000873517</v>
      </c>
      <c r="L14" s="161">
        <f>K14*(1+Assumptions!$E$24)</f>
        <v>2005.1189220899723</v>
      </c>
      <c r="M14" s="161">
        <f>L14*(1+Assumptions!$E$24)</f>
        <v>2065.2724897526714</v>
      </c>
      <c r="N14" s="161">
        <f>M14*(1+Assumptions!$E$24)</f>
        <v>2127.2306644452515</v>
      </c>
      <c r="O14" s="161">
        <f>N14*(1+Assumptions!$E$24)</f>
        <v>2191.0475843786089</v>
      </c>
      <c r="P14" s="161">
        <f>O14*(1+Assumptions!$E$24)</f>
        <v>2256.7790119099673</v>
      </c>
      <c r="Q14" s="161">
        <f>P14*(1+Assumptions!$E$24)</f>
        <v>2324.4823822672665</v>
      </c>
      <c r="R14" s="161">
        <f>Q14*(1+Assumptions!$E$24)</f>
        <v>2394.2168537352845</v>
      </c>
      <c r="S14" s="161">
        <f>R14*(1+Assumptions!$E$24)</f>
        <v>2466.0433593473431</v>
      </c>
      <c r="T14" s="161">
        <f>S14*(1+Assumptions!$E$24)</f>
        <v>2540.0246601277636</v>
      </c>
      <c r="U14" s="161">
        <f>T14*(1+Assumptions!$E$24)</f>
        <v>2616.2253999315967</v>
      </c>
      <c r="V14" s="91"/>
      <c r="W14" s="161">
        <f t="shared" ref="W14:W20" si="4">SUM(B14:U14)</f>
        <v>40090.512445270491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ht="12.75" customHeight="1" x14ac:dyDescent="0.25">
      <c r="A15" s="166" t="s">
        <v>70</v>
      </c>
      <c r="B15" s="150">
        <f>Assumptions!$E$28*(1+Assumptions!$E$24)</f>
        <v>4124.12</v>
      </c>
      <c r="C15" s="193">
        <f>B15*(1+Assumptions!$E$24)</f>
        <v>4247.8436000000002</v>
      </c>
      <c r="D15" s="193">
        <f>C15*(1+Assumptions!$E$24)</f>
        <v>4375.2789080000002</v>
      </c>
      <c r="E15" s="150">
        <f>Assumptions!$E$18*Assumptions!$E$22*(1+Assumptions!$E$24)^(E5-2000)/1000</f>
        <v>4506.537275239999</v>
      </c>
      <c r="F15" s="150">
        <f>Assumptions!$E$18*Assumptions!$E$22*(1+Assumptions!$E$24)^(F5-2000)/1000</f>
        <v>4641.7333934971994</v>
      </c>
      <c r="G15" s="150">
        <f>Assumptions!$E$18*Assumptions!$E$22*(1+Assumptions!$E$24)^(G5-2000)/1000</f>
        <v>4780.9853953021156</v>
      </c>
      <c r="H15" s="150">
        <f>Assumptions!$E$18*Assumptions!$E$22*(1+Assumptions!$E$24)^(H5-2000)/1000</f>
        <v>4924.4149571611797</v>
      </c>
      <c r="I15" s="150">
        <f>Assumptions!$E$18*Assumptions!$E$22*(1+Assumptions!$E$24)^(I5-2000)/1000</f>
        <v>5072.1474058760141</v>
      </c>
      <c r="J15" s="150">
        <f>Assumptions!$E$18*Assumptions!$E$22*(1+Assumptions!$E$24)^(J5-2000)/1000</f>
        <v>5224.311828052294</v>
      </c>
      <c r="K15" s="150">
        <f>Assumptions!$E$18*Assumptions!$E$22*(1+Assumptions!$E$24)^(K5-2000)/1000</f>
        <v>5381.0411828938641</v>
      </c>
      <c r="L15" s="150">
        <f>Assumptions!$E$18*Assumptions!$E$22*(1+Assumptions!$E$24)^(L5-2000)/1000</f>
        <v>5542.4724183806793</v>
      </c>
      <c r="M15" s="150">
        <f>Assumptions!$E$18*Assumptions!$E$22*(1+Assumptions!$E$24)^(M5-2000)/1000</f>
        <v>5708.746590932099</v>
      </c>
      <c r="N15" s="150">
        <f>Assumptions!$E$18*Assumptions!$E$22*(1+Assumptions!$E$24)^(N5-2000)/1000</f>
        <v>5880.0089886600617</v>
      </c>
      <c r="O15" s="150">
        <f>Assumptions!$E$18*Assumptions!$E$22*(1+Assumptions!$E$24)^(O5-2000)/1000</f>
        <v>6056.4092583198644</v>
      </c>
      <c r="P15" s="150">
        <f>Assumptions!$E$18*Assumptions!$E$22*(1+Assumptions!$E$24)^(P5-2000)/1000</f>
        <v>6238.101536069461</v>
      </c>
      <c r="Q15" s="150">
        <f>Assumptions!$E$18*Assumptions!$E$22*(1+Assumptions!$E$24)^(Q5-2000)/1000</f>
        <v>6425.244582151543</v>
      </c>
      <c r="R15" s="150">
        <f>Assumptions!$E$18*Assumptions!$E$22*(1+Assumptions!$E$24)^(R5-2000)/1000</f>
        <v>6618.0019196160902</v>
      </c>
      <c r="S15" s="150">
        <f>Assumptions!$E$18*Assumptions!$E$22*(1+Assumptions!$E$24)^(S5-2000)/1000</f>
        <v>6816.5419772045725</v>
      </c>
      <c r="T15" s="150">
        <f>Assumptions!$E$18*Assumptions!$E$22*(1+Assumptions!$E$24)^(T5-2000)/1000</f>
        <v>7021.0382365207097</v>
      </c>
      <c r="U15" s="150">
        <f>Assumptions!$E$18*Assumptions!$E$22*(1+Assumptions!$E$24)^(U5-2000)/1000</f>
        <v>7231.6693836163313</v>
      </c>
      <c r="V15" s="91"/>
      <c r="W15" s="161">
        <f t="shared" si="4"/>
        <v>110816.64883749407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ht="12.75" customHeight="1" x14ac:dyDescent="0.25">
      <c r="A16" s="166" t="s">
        <v>107</v>
      </c>
      <c r="B16" s="150">
        <f>Assumptions!$E$23*Assumptions!$E$11*Assumptions!$E$8/1000*(1+Assumptions!$E$24)</f>
        <v>618</v>
      </c>
      <c r="C16" s="161">
        <f>B16*(1+Assumptions!$E$24)</f>
        <v>636.54</v>
      </c>
      <c r="D16" s="161">
        <f>C16*(1+Assumptions!$E$24)</f>
        <v>655.63620000000003</v>
      </c>
      <c r="E16" s="161">
        <f>D16*(1+Assumptions!$E$24)</f>
        <v>675.30528600000002</v>
      </c>
      <c r="F16" s="161">
        <f>E16*(1+Assumptions!$E$24)</f>
        <v>695.56444457999999</v>
      </c>
      <c r="G16" s="161">
        <f>F16*(1+Assumptions!$E$24)</f>
        <v>716.43137791740003</v>
      </c>
      <c r="H16" s="161">
        <f>G16*(1+Assumptions!$E$24)</f>
        <v>737.92431925492201</v>
      </c>
      <c r="I16" s="161">
        <f>H16*(1+Assumptions!$E$24)</f>
        <v>760.06204883256964</v>
      </c>
      <c r="J16" s="161">
        <f>I16*(1+Assumptions!$E$24)</f>
        <v>782.86391029754679</v>
      </c>
      <c r="K16" s="161">
        <f>J16*(1+Assumptions!$E$24)</f>
        <v>806.34982760647324</v>
      </c>
      <c r="L16" s="161">
        <f>K16*(1+Assumptions!$E$24)</f>
        <v>830.54032243466747</v>
      </c>
      <c r="M16" s="161">
        <f>L16*(1+Assumptions!$E$24)</f>
        <v>855.45653210770752</v>
      </c>
      <c r="N16" s="161">
        <f>M16*(1+Assumptions!$E$24)</f>
        <v>881.12022807093877</v>
      </c>
      <c r="O16" s="161">
        <f>N16*(1+Assumptions!$E$24)</f>
        <v>907.55383491306691</v>
      </c>
      <c r="P16" s="161">
        <f>O16*(1+Assumptions!$E$24)</f>
        <v>934.7804499604589</v>
      </c>
      <c r="Q16" s="161">
        <f>P16*(1+Assumptions!$E$24)</f>
        <v>962.82386345927273</v>
      </c>
      <c r="R16" s="161">
        <f>Q16*(1+Assumptions!$E$24)</f>
        <v>991.70857936305094</v>
      </c>
      <c r="S16" s="161">
        <f>R16*(1+Assumptions!$E$24)</f>
        <v>1021.4598367439424</v>
      </c>
      <c r="T16" s="161">
        <f>S16*(1+Assumptions!$E$24)</f>
        <v>1052.1036318462607</v>
      </c>
      <c r="U16" s="161">
        <f>T16*(1+Assumptions!$E$24)</f>
        <v>1083.6667408016485</v>
      </c>
      <c r="V16" s="91"/>
      <c r="W16" s="161">
        <f t="shared" si="4"/>
        <v>16605.891434189925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ht="12.75" customHeight="1" x14ac:dyDescent="0.25">
      <c r="A17" s="166" t="s">
        <v>72</v>
      </c>
      <c r="B17" s="150">
        <f>Assumptions!E30*(1+Assumptions!$E$24)</f>
        <v>412.66655714285713</v>
      </c>
      <c r="C17" s="161">
        <f>B17*(1+Assumptions!$E$24)</f>
        <v>425.04655385714284</v>
      </c>
      <c r="D17" s="161">
        <f>C17*(1+Assumptions!$E$24)</f>
        <v>437.79795047285711</v>
      </c>
      <c r="E17" s="161">
        <f>D17*(1+Assumptions!$E$24)</f>
        <v>450.93188898704284</v>
      </c>
      <c r="F17" s="161">
        <f>E17*(1+Assumptions!$E$24)</f>
        <v>464.45984565665412</v>
      </c>
      <c r="G17" s="161">
        <f>F17*(1+Assumptions!$E$24)</f>
        <v>478.39364102635375</v>
      </c>
      <c r="H17" s="161">
        <f>G17*(1+Assumptions!$E$24)</f>
        <v>492.7454502571444</v>
      </c>
      <c r="I17" s="161">
        <f>H17*(1+Assumptions!$E$24)</f>
        <v>507.52781376485876</v>
      </c>
      <c r="J17" s="161">
        <f>I17*(1+Assumptions!$E$24)</f>
        <v>522.75364817780451</v>
      </c>
      <c r="K17" s="161">
        <f>J17*(1+Assumptions!$E$24)</f>
        <v>538.43625762313866</v>
      </c>
      <c r="L17" s="161">
        <f>K17*(1+Assumptions!$E$24)</f>
        <v>554.58934535183278</v>
      </c>
      <c r="M17" s="161">
        <f>L17*(1+Assumptions!$E$24)</f>
        <v>571.22702571238779</v>
      </c>
      <c r="N17" s="161">
        <f>M17*(1+Assumptions!$E$24)</f>
        <v>588.36383648375943</v>
      </c>
      <c r="O17" s="161">
        <f>N17*(1+Assumptions!$E$24)</f>
        <v>606.01475157827224</v>
      </c>
      <c r="P17" s="161">
        <f>O17*(1+Assumptions!$E$24)</f>
        <v>624.19519412562045</v>
      </c>
      <c r="Q17" s="161">
        <f>P17*(1+Assumptions!$E$24)</f>
        <v>642.92104994938904</v>
      </c>
      <c r="R17" s="161">
        <f>Q17*(1+Assumptions!$E$24)</f>
        <v>662.20868144787073</v>
      </c>
      <c r="S17" s="161">
        <f>R17*(1+Assumptions!$E$24)</f>
        <v>682.07494189130682</v>
      </c>
      <c r="T17" s="161">
        <f>S17*(1+Assumptions!$E$24)</f>
        <v>702.53719014804608</v>
      </c>
      <c r="U17" s="161">
        <f>T17*(1+Assumptions!$E$24)</f>
        <v>723.61330585248743</v>
      </c>
      <c r="V17" s="91"/>
      <c r="W17" s="161">
        <f t="shared" si="4"/>
        <v>11088.504929506827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ht="12.75" customHeight="1" x14ac:dyDescent="0.25">
      <c r="A18" s="166" t="s">
        <v>190</v>
      </c>
      <c r="B18" s="328">
        <v>572</v>
      </c>
      <c r="C18" s="328">
        <v>583.4</v>
      </c>
      <c r="D18" s="328">
        <v>595.1</v>
      </c>
      <c r="E18" s="328">
        <v>607</v>
      </c>
      <c r="F18" s="328">
        <v>619.1</v>
      </c>
      <c r="G18" s="328">
        <v>631.5</v>
      </c>
      <c r="H18" s="328">
        <v>631.5</v>
      </c>
      <c r="I18" s="328">
        <v>631.5</v>
      </c>
      <c r="J18" s="328">
        <v>631.5</v>
      </c>
      <c r="K18" s="328">
        <v>631.5</v>
      </c>
      <c r="L18" s="328">
        <v>631.5</v>
      </c>
      <c r="M18" s="328">
        <v>631.5</v>
      </c>
      <c r="N18" s="328">
        <v>631.5</v>
      </c>
      <c r="O18" s="328">
        <v>631.5</v>
      </c>
      <c r="P18" s="328">
        <v>631.5</v>
      </c>
      <c r="Q18" s="328">
        <v>631.5</v>
      </c>
      <c r="R18" s="328">
        <v>631.5</v>
      </c>
      <c r="S18" s="328">
        <v>631.5</v>
      </c>
      <c r="T18" s="328">
        <v>631.5</v>
      </c>
      <c r="U18" s="328">
        <v>631.5</v>
      </c>
      <c r="V18" s="91"/>
      <c r="W18" s="161">
        <f t="shared" si="4"/>
        <v>12449.1</v>
      </c>
      <c r="X18" s="325"/>
      <c r="Y18" s="325"/>
      <c r="Z18" s="325"/>
      <c r="AA18" s="325"/>
      <c r="AB18" s="325"/>
      <c r="AC18" s="325"/>
      <c r="AD18" s="325"/>
      <c r="AE18" s="325"/>
      <c r="AF18" s="325"/>
      <c r="AG18" s="325"/>
      <c r="AH18" s="325"/>
      <c r="AI18" s="325"/>
      <c r="AJ18" s="325"/>
      <c r="AK18" s="325"/>
      <c r="AL18" s="325"/>
      <c r="AM18" s="325"/>
      <c r="AN18" s="325"/>
      <c r="AO18" s="325"/>
      <c r="AP18" s="325"/>
      <c r="AQ18" s="325"/>
      <c r="AR18" s="325"/>
      <c r="AS18" s="325"/>
    </row>
    <row r="19" spans="1:45" ht="12.75" customHeight="1" x14ac:dyDescent="0.25">
      <c r="A19" s="378" t="s">
        <v>191</v>
      </c>
      <c r="B19" s="168">
        <f t="shared" ref="B19:U19" si="5">B61</f>
        <v>292.61976949526934</v>
      </c>
      <c r="C19" s="168">
        <f t="shared" si="5"/>
        <v>195.07984633017955</v>
      </c>
      <c r="D19" s="168">
        <f t="shared" si="5"/>
        <v>195.07984633017955</v>
      </c>
      <c r="E19" s="168">
        <f t="shared" si="5"/>
        <v>195.07984633017955</v>
      </c>
      <c r="F19" s="168">
        <f t="shared" si="5"/>
        <v>195.07984633017955</v>
      </c>
      <c r="G19" s="168">
        <f t="shared" si="5"/>
        <v>195.07984633017955</v>
      </c>
      <c r="H19" s="168">
        <f t="shared" si="5"/>
        <v>195.07984633017955</v>
      </c>
      <c r="I19" s="168">
        <f t="shared" si="5"/>
        <v>195.07984633017955</v>
      </c>
      <c r="J19" s="168">
        <f t="shared" si="5"/>
        <v>195.07984633017955</v>
      </c>
      <c r="K19" s="168">
        <f t="shared" si="5"/>
        <v>195.07984633017955</v>
      </c>
      <c r="L19" s="168">
        <f t="shared" si="5"/>
        <v>195.07984633017955</v>
      </c>
      <c r="M19" s="168">
        <f t="shared" si="5"/>
        <v>195.07984633017955</v>
      </c>
      <c r="N19" s="168">
        <f t="shared" si="5"/>
        <v>195.07984633017955</v>
      </c>
      <c r="O19" s="168">
        <f t="shared" si="5"/>
        <v>195.07984633017955</v>
      </c>
      <c r="P19" s="168">
        <f t="shared" si="5"/>
        <v>195.07984633017955</v>
      </c>
      <c r="Q19" s="168">
        <f t="shared" si="5"/>
        <v>195.07984633017955</v>
      </c>
      <c r="R19" s="168">
        <f t="shared" si="5"/>
        <v>195.07984633017955</v>
      </c>
      <c r="S19" s="168">
        <f t="shared" si="5"/>
        <v>195.07984633017955</v>
      </c>
      <c r="T19" s="168">
        <f t="shared" si="5"/>
        <v>195.07984633017955</v>
      </c>
      <c r="U19" s="168">
        <f t="shared" si="5"/>
        <v>195.07984633017955</v>
      </c>
      <c r="V19" s="161"/>
      <c r="W19" s="161">
        <f t="shared" si="4"/>
        <v>3999.1368497686794</v>
      </c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</row>
    <row r="20" spans="1:45" ht="12.75" customHeight="1" x14ac:dyDescent="0.25">
      <c r="A20" s="166" t="s">
        <v>110</v>
      </c>
      <c r="B20" s="150">
        <f t="shared" ref="B20:U20" si="6">SUM(B14:B19)</f>
        <v>7511.4031152095558</v>
      </c>
      <c r="C20" s="150">
        <f t="shared" si="6"/>
        <v>7624.6666924158935</v>
      </c>
      <c r="D20" s="150">
        <f t="shared" si="6"/>
        <v>7841.7522977984663</v>
      </c>
      <c r="E20" s="150">
        <f t="shared" si="6"/>
        <v>8065.1994713425129</v>
      </c>
      <c r="F20" s="150">
        <f t="shared" si="6"/>
        <v>8295.1930600928845</v>
      </c>
      <c r="G20" s="150">
        <f t="shared" si="6"/>
        <v>8532.0234565057654</v>
      </c>
      <c r="H20" s="150">
        <f t="shared" si="6"/>
        <v>8763.1867648110347</v>
      </c>
      <c r="I20" s="150">
        <f t="shared" si="6"/>
        <v>9001.2849723654581</v>
      </c>
      <c r="J20" s="150">
        <f t="shared" si="6"/>
        <v>9246.5261261465166</v>
      </c>
      <c r="K20" s="150">
        <f t="shared" si="6"/>
        <v>9499.1245145410066</v>
      </c>
      <c r="L20" s="150">
        <f t="shared" si="6"/>
        <v>9759.3008545873327</v>
      </c>
      <c r="M20" s="150">
        <f t="shared" si="6"/>
        <v>10027.282484835045</v>
      </c>
      <c r="N20" s="150">
        <f t="shared" si="6"/>
        <v>10303.30356399019</v>
      </c>
      <c r="O20" s="150">
        <f t="shared" si="6"/>
        <v>10587.605275519993</v>
      </c>
      <c r="P20" s="150">
        <f t="shared" si="6"/>
        <v>10880.436038395688</v>
      </c>
      <c r="Q20" s="150">
        <f t="shared" si="6"/>
        <v>11182.051724157651</v>
      </c>
      <c r="R20" s="150">
        <f t="shared" si="6"/>
        <v>11492.715880492477</v>
      </c>
      <c r="S20" s="150">
        <f t="shared" si="6"/>
        <v>11812.699961517346</v>
      </c>
      <c r="T20" s="150">
        <f t="shared" si="6"/>
        <v>12142.28356497296</v>
      </c>
      <c r="U20" s="150">
        <f t="shared" si="6"/>
        <v>12481.754676532244</v>
      </c>
      <c r="V20" s="91"/>
      <c r="W20" s="161">
        <f t="shared" si="4"/>
        <v>195049.79449623</v>
      </c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</row>
    <row r="21" spans="1:45" ht="12.75" customHeight="1" x14ac:dyDescent="0.25">
      <c r="A21" s="172"/>
      <c r="B21" s="329"/>
      <c r="C21" s="330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5"/>
      <c r="W21" s="16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</row>
    <row r="22" spans="1:45" ht="12.75" customHeight="1" x14ac:dyDescent="0.25">
      <c r="A22" s="160" t="s">
        <v>111</v>
      </c>
      <c r="B22" s="157">
        <f t="shared" ref="B22:U22" si="7">B11-B20</f>
        <v>39904.800721865104</v>
      </c>
      <c r="C22" s="157">
        <f t="shared" si="7"/>
        <v>41944.003410880272</v>
      </c>
      <c r="D22" s="157">
        <f t="shared" si="7"/>
        <v>43976.86893665872</v>
      </c>
      <c r="E22" s="157">
        <f t="shared" si="7"/>
        <v>46106.641691710669</v>
      </c>
      <c r="F22" s="157">
        <f t="shared" si="7"/>
        <v>48337.912299313153</v>
      </c>
      <c r="G22" s="157">
        <f t="shared" si="7"/>
        <v>49290.357736769205</v>
      </c>
      <c r="H22" s="157">
        <f t="shared" si="7"/>
        <v>50274.030566060697</v>
      </c>
      <c r="I22" s="157">
        <f t="shared" si="7"/>
        <v>51276.72878851233</v>
      </c>
      <c r="J22" s="157">
        <f t="shared" si="7"/>
        <v>52298.811819464987</v>
      </c>
      <c r="K22" s="157">
        <f t="shared" si="7"/>
        <v>53340.645596518567</v>
      </c>
      <c r="L22" s="157">
        <f t="shared" si="7"/>
        <v>54374.328801468415</v>
      </c>
      <c r="M22" s="157">
        <f t="shared" si="7"/>
        <v>55427.388743860465</v>
      </c>
      <c r="N22" s="157">
        <f t="shared" si="7"/>
        <v>56500.177965870942</v>
      </c>
      <c r="O22" s="157">
        <f t="shared" si="7"/>
        <v>57593.055087729284</v>
      </c>
      <c r="P22" s="157">
        <f t="shared" si="7"/>
        <v>58706.38490160941</v>
      </c>
      <c r="Q22" s="157">
        <f t="shared" si="7"/>
        <v>59570.551137526862</v>
      </c>
      <c r="R22" s="157">
        <f t="shared" si="7"/>
        <v>60446.456137220717</v>
      </c>
      <c r="S22" s="157">
        <f t="shared" si="7"/>
        <v>61334.233820679852</v>
      </c>
      <c r="T22" s="157">
        <f t="shared" si="7"/>
        <v>62234.018768011745</v>
      </c>
      <c r="U22" s="157">
        <f t="shared" si="7"/>
        <v>63145.946187594265</v>
      </c>
      <c r="V22" s="292"/>
      <c r="W22" s="161">
        <f>SUM(B22:U22)</f>
        <v>1066083.3431193256</v>
      </c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</row>
    <row r="23" spans="1:45" ht="12.75" customHeight="1" x14ac:dyDescent="0.25">
      <c r="A23" s="160"/>
      <c r="B23" s="331"/>
      <c r="C23" s="332"/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  <c r="Q23" s="331"/>
      <c r="R23" s="331"/>
      <c r="S23" s="331"/>
      <c r="T23" s="331"/>
      <c r="U23" s="331"/>
      <c r="V23" s="292"/>
      <c r="W23" s="16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</row>
    <row r="24" spans="1:45" ht="12.75" customHeight="1" x14ac:dyDescent="0.25">
      <c r="A24" s="166" t="s">
        <v>112</v>
      </c>
      <c r="B24" s="150">
        <f>Depreciation!C29</f>
        <v>10487.195306365527</v>
      </c>
      <c r="C24" s="150">
        <f>Depreciation!D29</f>
        <v>10487.195306365527</v>
      </c>
      <c r="D24" s="150">
        <f>Depreciation!E29</f>
        <v>10487.195306365527</v>
      </c>
      <c r="E24" s="150">
        <f>Depreciation!F29</f>
        <v>10487.195306365527</v>
      </c>
      <c r="F24" s="150">
        <f>Depreciation!G29</f>
        <v>10487.195306365527</v>
      </c>
      <c r="G24" s="150">
        <f>Depreciation!H29</f>
        <v>10487.195306365527</v>
      </c>
      <c r="H24" s="150">
        <f>Depreciation!I29</f>
        <v>10487.195306365527</v>
      </c>
      <c r="I24" s="150">
        <f>Depreciation!J29</f>
        <v>10487.195306365527</v>
      </c>
      <c r="J24" s="150">
        <f>Depreciation!K29</f>
        <v>10487.195306365527</v>
      </c>
      <c r="K24" s="150">
        <f>Depreciation!L29</f>
        <v>10487.195306365527</v>
      </c>
      <c r="L24" s="150">
        <f>Depreciation!M29</f>
        <v>10487.195306365527</v>
      </c>
      <c r="M24" s="150">
        <f>Depreciation!N29</f>
        <v>10487.195306365527</v>
      </c>
      <c r="N24" s="150">
        <f>Depreciation!O29</f>
        <v>10487.195306365527</v>
      </c>
      <c r="O24" s="150">
        <f>Depreciation!P29</f>
        <v>10487.195306365527</v>
      </c>
      <c r="P24" s="150">
        <f>Depreciation!Q29</f>
        <v>10487.195306365527</v>
      </c>
      <c r="Q24" s="150">
        <f>Depreciation!R29</f>
        <v>10487.195306365527</v>
      </c>
      <c r="R24" s="150">
        <f>Depreciation!S29</f>
        <v>10487.195306365527</v>
      </c>
      <c r="S24" s="150">
        <f>Depreciation!T29</f>
        <v>10487.195306365527</v>
      </c>
      <c r="T24" s="150">
        <f>Depreciation!U29</f>
        <v>10487.195306365527</v>
      </c>
      <c r="U24" s="150">
        <f>Depreciation!V29</f>
        <v>10487.195306365527</v>
      </c>
      <c r="V24" s="91"/>
      <c r="W24" s="161">
        <f>SUM(B24:U24)</f>
        <v>209743.9061273105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ht="12.75" customHeight="1" x14ac:dyDescent="0.25">
      <c r="A25" s="166"/>
      <c r="B25" s="150"/>
      <c r="C25" s="161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91"/>
      <c r="W25" s="16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</row>
    <row r="26" spans="1:45" ht="12.75" customHeight="1" x14ac:dyDescent="0.25">
      <c r="A26" s="160" t="s">
        <v>113</v>
      </c>
      <c r="B26" s="331">
        <f t="shared" ref="B26:U26" si="8">B22-B24</f>
        <v>29417.605415499576</v>
      </c>
      <c r="C26" s="331">
        <f t="shared" si="8"/>
        <v>31456.808104514745</v>
      </c>
      <c r="D26" s="331">
        <f t="shared" si="8"/>
        <v>33489.673630293197</v>
      </c>
      <c r="E26" s="331">
        <f t="shared" si="8"/>
        <v>35619.446385345145</v>
      </c>
      <c r="F26" s="331">
        <f t="shared" si="8"/>
        <v>37850.716992947622</v>
      </c>
      <c r="G26" s="331">
        <f t="shared" si="8"/>
        <v>38803.162430403681</v>
      </c>
      <c r="H26" s="331">
        <f t="shared" si="8"/>
        <v>39786.835259695174</v>
      </c>
      <c r="I26" s="331">
        <f t="shared" si="8"/>
        <v>40789.533482146799</v>
      </c>
      <c r="J26" s="331">
        <f t="shared" si="8"/>
        <v>41811.616513099463</v>
      </c>
      <c r="K26" s="331">
        <f t="shared" si="8"/>
        <v>42853.450290153036</v>
      </c>
      <c r="L26" s="331">
        <f t="shared" si="8"/>
        <v>43887.133495102884</v>
      </c>
      <c r="M26" s="331">
        <f t="shared" si="8"/>
        <v>44940.193437494934</v>
      </c>
      <c r="N26" s="331">
        <f t="shared" si="8"/>
        <v>46012.982659505418</v>
      </c>
      <c r="O26" s="331">
        <f t="shared" si="8"/>
        <v>47105.859781363761</v>
      </c>
      <c r="P26" s="331">
        <f t="shared" si="8"/>
        <v>48219.189595243879</v>
      </c>
      <c r="Q26" s="331">
        <f t="shared" si="8"/>
        <v>49083.355831161331</v>
      </c>
      <c r="R26" s="331">
        <f t="shared" si="8"/>
        <v>49959.260830855186</v>
      </c>
      <c r="S26" s="331">
        <f t="shared" si="8"/>
        <v>50847.038514314321</v>
      </c>
      <c r="T26" s="331">
        <f t="shared" si="8"/>
        <v>51746.823461646214</v>
      </c>
      <c r="U26" s="331">
        <f t="shared" si="8"/>
        <v>52658.750881228741</v>
      </c>
      <c r="V26" s="292"/>
      <c r="W26" s="161">
        <f>SUM(B26:U26)</f>
        <v>856339.43699201522</v>
      </c>
      <c r="X26" s="325"/>
      <c r="Y26" s="325"/>
      <c r="Z26" s="325"/>
      <c r="AA26" s="325"/>
      <c r="AB26" s="325"/>
      <c r="AC26" s="325"/>
      <c r="AD26" s="325"/>
      <c r="AE26" s="325"/>
      <c r="AF26" s="325"/>
      <c r="AG26" s="325"/>
      <c r="AH26" s="325"/>
      <c r="AI26" s="325"/>
      <c r="AJ26" s="325"/>
      <c r="AK26" s="325"/>
      <c r="AL26" s="325"/>
      <c r="AM26" s="325"/>
      <c r="AN26" s="325"/>
      <c r="AO26" s="325"/>
      <c r="AP26" s="325"/>
      <c r="AQ26" s="325"/>
      <c r="AR26" s="325"/>
      <c r="AS26" s="325"/>
    </row>
    <row r="27" spans="1:45" ht="12.75" customHeight="1" x14ac:dyDescent="0.25">
      <c r="A27" s="160"/>
      <c r="B27" s="331"/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  <c r="Q27" s="331"/>
      <c r="R27" s="331"/>
      <c r="S27" s="331"/>
      <c r="T27" s="331"/>
      <c r="U27" s="331"/>
      <c r="V27" s="292"/>
      <c r="W27" s="161"/>
      <c r="X27" s="325"/>
      <c r="Y27" s="325"/>
      <c r="Z27" s="325"/>
      <c r="AA27" s="325"/>
      <c r="AB27" s="325"/>
      <c r="AC27" s="325"/>
      <c r="AD27" s="325"/>
      <c r="AE27" s="325"/>
      <c r="AF27" s="325"/>
      <c r="AG27" s="325"/>
      <c r="AH27" s="325"/>
      <c r="AI27" s="325"/>
      <c r="AJ27" s="325"/>
      <c r="AK27" s="325"/>
      <c r="AL27" s="325"/>
      <c r="AM27" s="325"/>
      <c r="AN27" s="325"/>
      <c r="AO27" s="325"/>
      <c r="AP27" s="325"/>
      <c r="AQ27" s="325"/>
      <c r="AR27" s="325"/>
      <c r="AS27" s="325"/>
    </row>
    <row r="28" spans="1:45" ht="12.75" customHeight="1" x14ac:dyDescent="0.25">
      <c r="A28" s="4" t="s">
        <v>114</v>
      </c>
      <c r="B28" s="150">
        <f>IS!B33*Allocation!$E$8</f>
        <v>15365.039590815992</v>
      </c>
      <c r="C28" s="150">
        <f>IS!C33*Allocation!$E$8</f>
        <v>15094.324990743315</v>
      </c>
      <c r="D28" s="150">
        <f>IS!D33*Allocation!$E$8</f>
        <v>14738.607466341244</v>
      </c>
      <c r="E28" s="150">
        <f>IS!E33*Allocation!$E$8</f>
        <v>14370.718246773353</v>
      </c>
      <c r="F28" s="150">
        <f>IS!F33*Allocation!$E$8</f>
        <v>13859.807841658994</v>
      </c>
      <c r="G28" s="150">
        <f>IS!G33*Allocation!$E$8</f>
        <v>13332.172248980261</v>
      </c>
      <c r="H28" s="150">
        <f>IS!H33*Allocation!$E$8</f>
        <v>12790.911435449645</v>
      </c>
      <c r="I28" s="150">
        <f>IS!I33*Allocation!$E$8</f>
        <v>12263.500820478097</v>
      </c>
      <c r="J28" s="150">
        <f>IS!J33*Allocation!$E$8</f>
        <v>11642.276027750015</v>
      </c>
      <c r="K28" s="150">
        <f>IS!K33*Allocation!$E$8</f>
        <v>11020.793472022184</v>
      </c>
      <c r="L28" s="150">
        <f>IS!L33*Allocation!$E$8</f>
        <v>10356.460860109957</v>
      </c>
      <c r="M28" s="150">
        <f>IS!M33*Allocation!$E$8</f>
        <v>9664.3100047131848</v>
      </c>
      <c r="N28" s="150">
        <f>IS!N33*Allocation!$E$8</f>
        <v>8864.0390786597764</v>
      </c>
      <c r="O28" s="150">
        <f>IS!O33*Allocation!$E$8</f>
        <v>8029.0480509033287</v>
      </c>
      <c r="P28" s="150">
        <f>IS!P33*Allocation!$E$8</f>
        <v>7122.937094122246</v>
      </c>
      <c r="Q28" s="150">
        <f>IS!Q33*Allocation!$E$8</f>
        <v>6154.2722317458456</v>
      </c>
      <c r="R28" s="150">
        <f>IS!R33*Allocation!$E$8</f>
        <v>5056.2280909701158</v>
      </c>
      <c r="S28" s="150">
        <f>IS!S33*Allocation!$E$8</f>
        <v>3873.5165434146365</v>
      </c>
      <c r="T28" s="150">
        <f>IS!T33*Allocation!$E$8</f>
        <v>2575.4234309477561</v>
      </c>
      <c r="U28" s="150">
        <f>IS!U33*Allocation!$E$8</f>
        <v>1151.4028473664061</v>
      </c>
      <c r="V28" s="91"/>
      <c r="W28" s="161">
        <f>SUM(B28:U28)</f>
        <v>197325.79037396642</v>
      </c>
      <c r="X28" s="292"/>
      <c r="Y28" s="292"/>
      <c r="Z28" s="292"/>
      <c r="AA28" s="292"/>
      <c r="AB28" s="292"/>
      <c r="AC28" s="292"/>
      <c r="AD28" s="292"/>
      <c r="AE28" s="292"/>
      <c r="AF28" s="292"/>
      <c r="AG28" s="292"/>
      <c r="AH28" s="292"/>
      <c r="AI28" s="292"/>
      <c r="AJ28" s="292"/>
      <c r="AK28" s="292"/>
      <c r="AL28" s="292"/>
      <c r="AM28" s="292"/>
      <c r="AN28" s="292"/>
      <c r="AO28" s="292"/>
      <c r="AP28" s="292"/>
      <c r="AQ28" s="292"/>
      <c r="AR28" s="292"/>
      <c r="AS28" s="292"/>
    </row>
    <row r="29" spans="1:45" ht="12.75" customHeight="1" x14ac:dyDescent="0.25">
      <c r="A29" s="4"/>
      <c r="B29" s="25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  <c r="R29" s="333"/>
      <c r="S29" s="333"/>
      <c r="T29" s="333"/>
      <c r="U29" s="333"/>
      <c r="V29" s="91"/>
      <c r="W29" s="161"/>
      <c r="X29" s="292"/>
      <c r="Y29" s="292"/>
      <c r="Z29" s="292"/>
      <c r="AA29" s="292"/>
      <c r="AB29" s="292"/>
      <c r="AC29" s="292"/>
      <c r="AD29" s="292"/>
      <c r="AE29" s="292"/>
      <c r="AF29" s="292"/>
      <c r="AG29" s="292"/>
      <c r="AH29" s="292"/>
      <c r="AI29" s="292"/>
      <c r="AJ29" s="292"/>
      <c r="AK29" s="292"/>
      <c r="AL29" s="292"/>
      <c r="AM29" s="292"/>
      <c r="AN29" s="292"/>
      <c r="AO29" s="292"/>
      <c r="AP29" s="292"/>
      <c r="AQ29" s="292"/>
      <c r="AR29" s="292"/>
      <c r="AS29" s="292"/>
    </row>
    <row r="30" spans="1:45" ht="12.75" customHeight="1" x14ac:dyDescent="0.25">
      <c r="A30" s="160" t="s">
        <v>115</v>
      </c>
      <c r="B30" s="331">
        <f t="shared" ref="B30:U30" si="9">B26-B28</f>
        <v>14052.565824683585</v>
      </c>
      <c r="C30" s="331">
        <f t="shared" si="9"/>
        <v>16362.48311377143</v>
      </c>
      <c r="D30" s="331">
        <f t="shared" si="9"/>
        <v>18751.066163951953</v>
      </c>
      <c r="E30" s="331">
        <f t="shared" si="9"/>
        <v>21248.728138571794</v>
      </c>
      <c r="F30" s="331">
        <f t="shared" si="9"/>
        <v>23990.90915128863</v>
      </c>
      <c r="G30" s="331">
        <f t="shared" si="9"/>
        <v>25470.990181423418</v>
      </c>
      <c r="H30" s="331">
        <f t="shared" si="9"/>
        <v>26995.923824245529</v>
      </c>
      <c r="I30" s="331">
        <f t="shared" si="9"/>
        <v>28526.032661668702</v>
      </c>
      <c r="J30" s="331">
        <f t="shared" si="9"/>
        <v>30169.34048534945</v>
      </c>
      <c r="K30" s="331">
        <f t="shared" si="9"/>
        <v>31832.656818130854</v>
      </c>
      <c r="L30" s="331">
        <f t="shared" si="9"/>
        <v>33530.672634992923</v>
      </c>
      <c r="M30" s="331">
        <f t="shared" si="9"/>
        <v>35275.883432781746</v>
      </c>
      <c r="N30" s="331">
        <f t="shared" si="9"/>
        <v>37148.94358084564</v>
      </c>
      <c r="O30" s="331">
        <f t="shared" si="9"/>
        <v>39076.811730460431</v>
      </c>
      <c r="P30" s="331">
        <f t="shared" si="9"/>
        <v>41096.252501121635</v>
      </c>
      <c r="Q30" s="331">
        <f t="shared" si="9"/>
        <v>42929.083599415484</v>
      </c>
      <c r="R30" s="331">
        <f t="shared" si="9"/>
        <v>44903.032739885071</v>
      </c>
      <c r="S30" s="331">
        <f t="shared" si="9"/>
        <v>46973.521970899688</v>
      </c>
      <c r="T30" s="331">
        <f t="shared" si="9"/>
        <v>49171.40003069846</v>
      </c>
      <c r="U30" s="331">
        <f t="shared" si="9"/>
        <v>51507.348033862334</v>
      </c>
      <c r="V30" s="292"/>
      <c r="W30" s="161">
        <f>SUM(B30:U30)</f>
        <v>659013.64661804889</v>
      </c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</row>
    <row r="31" spans="1:45" ht="12.75" customHeight="1" x14ac:dyDescent="0.25">
      <c r="A31" s="160"/>
      <c r="B31" s="331"/>
      <c r="C31" s="331"/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1"/>
      <c r="Q31" s="331"/>
      <c r="R31" s="331"/>
      <c r="S31" s="331"/>
      <c r="T31" s="331"/>
      <c r="U31" s="331"/>
      <c r="V31" s="292"/>
      <c r="W31" s="16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</row>
    <row r="32" spans="1:45" ht="12.75" customHeight="1" x14ac:dyDescent="0.25">
      <c r="A32" s="166" t="s">
        <v>192</v>
      </c>
      <c r="B32" s="150">
        <f>B30*-Assumptions!$E$37</f>
        <v>-1008.9742262122815</v>
      </c>
      <c r="C32" s="150">
        <f>C30*-Assumptions!$E$37</f>
        <v>-1174.8262875687888</v>
      </c>
      <c r="D32" s="150">
        <f>D30*-Assumptions!$E$37</f>
        <v>-1346.3265505717502</v>
      </c>
      <c r="E32" s="150">
        <f>E30*-Assumptions!$E$37</f>
        <v>-1525.6586803494549</v>
      </c>
      <c r="F32" s="150">
        <f>F30*-Assumptions!$E$37</f>
        <v>-1722.5472770625238</v>
      </c>
      <c r="G32" s="150">
        <f>G30*-Assumptions!$E$37</f>
        <v>-1828.8170950262015</v>
      </c>
      <c r="H32" s="150">
        <f>H30*-Assumptions!$E$37</f>
        <v>-1938.3073305808291</v>
      </c>
      <c r="I32" s="150">
        <f>I30*-Assumptions!$E$37</f>
        <v>-2048.1691451078127</v>
      </c>
      <c r="J32" s="150">
        <f>J30*-Assumptions!$E$37</f>
        <v>-2166.1586468480905</v>
      </c>
      <c r="K32" s="150">
        <f>K30*-Assumptions!$E$37</f>
        <v>-2285.5847595417954</v>
      </c>
      <c r="L32" s="150">
        <f>L30*-Assumptions!$E$37</f>
        <v>-2407.5022951924921</v>
      </c>
      <c r="M32" s="150">
        <f>M30*-Assumptions!$E$37</f>
        <v>-2532.8084304737295</v>
      </c>
      <c r="N32" s="150">
        <f>N30*-Assumptions!$E$37</f>
        <v>-2667.2941491047172</v>
      </c>
      <c r="O32" s="150">
        <f>O30*-Assumptions!$E$37</f>
        <v>-2805.7150822470589</v>
      </c>
      <c r="P32" s="150">
        <f>P30*-Assumptions!$E$37</f>
        <v>-2950.7109295805335</v>
      </c>
      <c r="Q32" s="150">
        <f>Q30*-Assumptions!$E$37</f>
        <v>-3082.3082024380319</v>
      </c>
      <c r="R32" s="150">
        <f>R30*-Assumptions!$E$37</f>
        <v>-3224.0377507237481</v>
      </c>
      <c r="S32" s="150">
        <f>S30*-Assumptions!$E$37</f>
        <v>-3372.6988775105979</v>
      </c>
      <c r="T32" s="150">
        <f>T30*-Assumptions!$E$37</f>
        <v>-3530.5065222041494</v>
      </c>
      <c r="U32" s="150">
        <f>U30*-Assumptions!$E$37</f>
        <v>-3698.2275888313156</v>
      </c>
      <c r="V32" s="91"/>
      <c r="W32" s="161">
        <f>SUM(B32:U32)</f>
        <v>-47317.179827175911</v>
      </c>
      <c r="X32" s="292"/>
      <c r="Y32" s="292"/>
      <c r="Z32" s="292"/>
      <c r="AA32" s="292"/>
      <c r="AB32" s="292"/>
      <c r="AC32" s="292"/>
      <c r="AD32" s="292"/>
      <c r="AE32" s="292"/>
      <c r="AF32" s="292"/>
      <c r="AG32" s="292"/>
      <c r="AH32" s="292"/>
      <c r="AI32" s="292"/>
      <c r="AJ32" s="292"/>
      <c r="AK32" s="292"/>
      <c r="AL32" s="292"/>
      <c r="AM32" s="292"/>
      <c r="AN32" s="292"/>
      <c r="AO32" s="292"/>
      <c r="AP32" s="292"/>
      <c r="AQ32" s="292"/>
      <c r="AR32" s="292"/>
      <c r="AS32" s="292"/>
    </row>
    <row r="33" spans="1:45" ht="12.75" customHeight="1" x14ac:dyDescent="0.25">
      <c r="A33" s="166" t="s">
        <v>193</v>
      </c>
      <c r="B33" s="334">
        <f>(B30+B32)*-Assumptions!$E$36</f>
        <v>-4565.257059464956</v>
      </c>
      <c r="C33" s="334">
        <f>(C30+C32)*-Assumptions!$E$36</f>
        <v>-5315.6798891709241</v>
      </c>
      <c r="D33" s="334">
        <f>(D30+D32)*-Assumptions!$E$36</f>
        <v>-6091.6588646830705</v>
      </c>
      <c r="E33" s="334">
        <f>(E30+E32)*-Assumptions!$E$36</f>
        <v>-6903.0743103778186</v>
      </c>
      <c r="F33" s="334">
        <f>(F30+F32)*-Assumptions!$E$36</f>
        <v>-7793.9266559791367</v>
      </c>
      <c r="G33" s="334">
        <f>(G30+G32)*-Assumptions!$E$36</f>
        <v>-8274.7605802390244</v>
      </c>
      <c r="H33" s="334">
        <f>(H30+H32)*-Assumptions!$E$36</f>
        <v>-8770.1657727826441</v>
      </c>
      <c r="I33" s="334">
        <f>(I30+I32)*-Assumptions!$E$36</f>
        <v>-9267.2522307963118</v>
      </c>
      <c r="J33" s="334">
        <f>(J30+J32)*-Assumptions!$E$36</f>
        <v>-9801.1136434754753</v>
      </c>
      <c r="K33" s="334">
        <f>(K30+K32)*-Assumptions!$E$36</f>
        <v>-10341.47522050617</v>
      </c>
      <c r="L33" s="334">
        <f>(L30+L32)*-Assumptions!$E$36</f>
        <v>-10893.10961893015</v>
      </c>
      <c r="M33" s="334">
        <f>(M30+M32)*-Assumptions!$E$36</f>
        <v>-11460.076250807806</v>
      </c>
      <c r="N33" s="334">
        <f>(N30+N32)*-Assumptions!$E$36</f>
        <v>-12068.577301109322</v>
      </c>
      <c r="O33" s="334">
        <f>(O30+O32)*-Assumptions!$E$36</f>
        <v>-12694.88382687468</v>
      </c>
      <c r="P33" s="334">
        <f>(P30+P32)*-Assumptions!$E$36</f>
        <v>-13350.939550039384</v>
      </c>
      <c r="Q33" s="334">
        <f>(Q30+Q32)*-Assumptions!$E$36</f>
        <v>-13946.371388942107</v>
      </c>
      <c r="R33" s="334">
        <f>(R30+R32)*-Assumptions!$E$36</f>
        <v>-14587.648246206461</v>
      </c>
      <c r="S33" s="334">
        <f>(S30+S32)*-Assumptions!$E$36</f>
        <v>-15260.28808268618</v>
      </c>
      <c r="T33" s="334">
        <f>(T30+T32)*-Assumptions!$E$36</f>
        <v>-15974.312727973007</v>
      </c>
      <c r="U33" s="334">
        <f>(U30+U32)*-Assumptions!$E$36</f>
        <v>-16733.192155760855</v>
      </c>
      <c r="V33" s="91"/>
      <c r="W33" s="161">
        <f>SUM(B33:U33)</f>
        <v>-214093.76337680547</v>
      </c>
      <c r="X33" s="292"/>
      <c r="Y33" s="292"/>
      <c r="Z33" s="292"/>
      <c r="AA33" s="292"/>
      <c r="AB33" s="292"/>
      <c r="AC33" s="292"/>
      <c r="AD33" s="292"/>
      <c r="AE33" s="292"/>
      <c r="AF33" s="292"/>
      <c r="AG33" s="292"/>
      <c r="AH33" s="292"/>
      <c r="AI33" s="292"/>
      <c r="AJ33" s="292"/>
      <c r="AK33" s="292"/>
      <c r="AL33" s="292"/>
      <c r="AM33" s="292"/>
      <c r="AN33" s="292"/>
      <c r="AO33" s="292"/>
      <c r="AP33" s="292"/>
      <c r="AQ33" s="292"/>
      <c r="AR33" s="292"/>
      <c r="AS33" s="292"/>
    </row>
    <row r="34" spans="1:45" ht="12.75" customHeight="1" x14ac:dyDescent="0.25">
      <c r="A34" s="4"/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91"/>
      <c r="W34" s="16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</row>
    <row r="35" spans="1:45" ht="15.75" customHeight="1" x14ac:dyDescent="0.3">
      <c r="A35" s="175" t="s">
        <v>194</v>
      </c>
      <c r="B35" s="335">
        <f t="shared" ref="B35:U35" si="10">SUM(B30:B33)</f>
        <v>8478.3345390063478</v>
      </c>
      <c r="C35" s="335">
        <f t="shared" si="10"/>
        <v>9871.9769370317172</v>
      </c>
      <c r="D35" s="335">
        <f t="shared" si="10"/>
        <v>11313.080748697132</v>
      </c>
      <c r="E35" s="335">
        <f t="shared" si="10"/>
        <v>12819.995147844522</v>
      </c>
      <c r="F35" s="335">
        <f t="shared" si="10"/>
        <v>14474.43521824697</v>
      </c>
      <c r="G35" s="335">
        <f t="shared" si="10"/>
        <v>15367.412506158191</v>
      </c>
      <c r="H35" s="335">
        <f t="shared" si="10"/>
        <v>16287.450720882056</v>
      </c>
      <c r="I35" s="335">
        <f t="shared" si="10"/>
        <v>17210.611285764578</v>
      </c>
      <c r="J35" s="335">
        <f t="shared" si="10"/>
        <v>18202.068195025888</v>
      </c>
      <c r="K35" s="335">
        <f t="shared" si="10"/>
        <v>19205.596838082889</v>
      </c>
      <c r="L35" s="335">
        <f t="shared" si="10"/>
        <v>20230.060720870282</v>
      </c>
      <c r="M35" s="335">
        <f t="shared" si="10"/>
        <v>21282.998751500214</v>
      </c>
      <c r="N35" s="335">
        <f t="shared" si="10"/>
        <v>22413.072130631601</v>
      </c>
      <c r="O35" s="335">
        <f t="shared" si="10"/>
        <v>23576.212821338693</v>
      </c>
      <c r="P35" s="335">
        <f t="shared" si="10"/>
        <v>24794.602021501716</v>
      </c>
      <c r="Q35" s="335">
        <f t="shared" si="10"/>
        <v>25900.404008035344</v>
      </c>
      <c r="R35" s="335">
        <f t="shared" si="10"/>
        <v>27091.346742954862</v>
      </c>
      <c r="S35" s="335">
        <f t="shared" si="10"/>
        <v>28340.535010702908</v>
      </c>
      <c r="T35" s="335">
        <f t="shared" si="10"/>
        <v>29666.580780521301</v>
      </c>
      <c r="U35" s="335">
        <f t="shared" si="10"/>
        <v>31075.928289270163</v>
      </c>
      <c r="V35" s="336"/>
      <c r="W35" s="161">
        <f>SUM(B35:U35)</f>
        <v>397602.70341406739</v>
      </c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</row>
    <row r="36" spans="1:45" ht="12.75" customHeight="1" x14ac:dyDescent="0.25">
      <c r="A36" s="327"/>
      <c r="B36" s="360"/>
      <c r="C36" s="361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25"/>
      <c r="W36" s="325"/>
      <c r="X36" s="292"/>
      <c r="Y36" s="292"/>
      <c r="Z36" s="292"/>
      <c r="AA36" s="292"/>
      <c r="AB36" s="292"/>
      <c r="AC36" s="292"/>
      <c r="AD36" s="292"/>
      <c r="AE36" s="292"/>
      <c r="AF36" s="292"/>
      <c r="AG36" s="292"/>
      <c r="AH36" s="292"/>
      <c r="AI36" s="292"/>
      <c r="AJ36" s="292"/>
      <c r="AK36" s="292"/>
      <c r="AL36" s="292"/>
      <c r="AM36" s="292"/>
      <c r="AN36" s="292"/>
      <c r="AO36" s="292"/>
      <c r="AP36" s="292"/>
      <c r="AQ36" s="292"/>
      <c r="AR36" s="292"/>
      <c r="AS36" s="292"/>
    </row>
    <row r="37" spans="1:45" ht="18" customHeight="1" x14ac:dyDescent="0.3">
      <c r="A37" s="337" t="s">
        <v>231</v>
      </c>
      <c r="B37" s="193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</row>
    <row r="38" spans="1:45" ht="12.75" customHeight="1" x14ac:dyDescent="0.25">
      <c r="A38" s="160"/>
      <c r="B38" s="193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</row>
    <row r="39" spans="1:45" ht="13.5" customHeight="1" thickBot="1" x14ac:dyDescent="0.3">
      <c r="A39" s="151" t="s">
        <v>99</v>
      </c>
      <c r="B39" s="152">
        <v>2001</v>
      </c>
      <c r="C39" s="152">
        <f t="shared" ref="C39:U39" si="11">B39+1</f>
        <v>2002</v>
      </c>
      <c r="D39" s="152">
        <f t="shared" si="11"/>
        <v>2003</v>
      </c>
      <c r="E39" s="152">
        <f t="shared" si="11"/>
        <v>2004</v>
      </c>
      <c r="F39" s="152">
        <f t="shared" si="11"/>
        <v>2005</v>
      </c>
      <c r="G39" s="152">
        <f t="shared" si="11"/>
        <v>2006</v>
      </c>
      <c r="H39" s="152">
        <f t="shared" si="11"/>
        <v>2007</v>
      </c>
      <c r="I39" s="152">
        <f t="shared" si="11"/>
        <v>2008</v>
      </c>
      <c r="J39" s="152">
        <f t="shared" si="11"/>
        <v>2009</v>
      </c>
      <c r="K39" s="152">
        <f t="shared" si="11"/>
        <v>2010</v>
      </c>
      <c r="L39" s="152">
        <f t="shared" si="11"/>
        <v>2011</v>
      </c>
      <c r="M39" s="152">
        <f t="shared" si="11"/>
        <v>2012</v>
      </c>
      <c r="N39" s="152">
        <f t="shared" si="11"/>
        <v>2013</v>
      </c>
      <c r="O39" s="152">
        <f t="shared" si="11"/>
        <v>2014</v>
      </c>
      <c r="P39" s="152">
        <f t="shared" si="11"/>
        <v>2015</v>
      </c>
      <c r="Q39" s="152">
        <f t="shared" si="11"/>
        <v>2016</v>
      </c>
      <c r="R39" s="152">
        <f t="shared" si="11"/>
        <v>2017</v>
      </c>
      <c r="S39" s="152">
        <f t="shared" si="11"/>
        <v>2018</v>
      </c>
      <c r="T39" s="152">
        <f t="shared" si="11"/>
        <v>2019</v>
      </c>
      <c r="U39" s="152">
        <f t="shared" si="11"/>
        <v>2020</v>
      </c>
      <c r="V39" s="91"/>
      <c r="W39" s="288" t="s">
        <v>121</v>
      </c>
      <c r="X39" s="325"/>
      <c r="Y39" s="325"/>
      <c r="Z39" s="325"/>
      <c r="AA39" s="325"/>
      <c r="AB39" s="325"/>
      <c r="AC39" s="325"/>
      <c r="AD39" s="325"/>
      <c r="AE39" s="325"/>
      <c r="AF39" s="325"/>
      <c r="AG39" s="325"/>
      <c r="AH39" s="325"/>
      <c r="AI39" s="325"/>
      <c r="AJ39" s="325"/>
      <c r="AK39" s="325"/>
      <c r="AL39" s="325"/>
      <c r="AM39" s="325"/>
      <c r="AN39" s="325"/>
      <c r="AO39" s="325"/>
      <c r="AP39" s="325"/>
      <c r="AQ39" s="325"/>
      <c r="AR39" s="325"/>
      <c r="AS39" s="325"/>
    </row>
    <row r="40" spans="1:45" ht="12.75" customHeight="1" x14ac:dyDescent="0.25">
      <c r="A40" s="247"/>
      <c r="B40" s="193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91"/>
      <c r="W40" s="263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</row>
    <row r="41" spans="1:45" ht="12.75" customHeight="1" x14ac:dyDescent="0.25">
      <c r="A41" s="251" t="s">
        <v>111</v>
      </c>
      <c r="B41" s="253">
        <f t="shared" ref="B41:U41" si="12">B22</f>
        <v>39904.800721865104</v>
      </c>
      <c r="C41" s="253">
        <f t="shared" si="12"/>
        <v>41944.003410880272</v>
      </c>
      <c r="D41" s="253">
        <f t="shared" si="12"/>
        <v>43976.86893665872</v>
      </c>
      <c r="E41" s="253">
        <f t="shared" si="12"/>
        <v>46106.641691710669</v>
      </c>
      <c r="F41" s="253">
        <f t="shared" si="12"/>
        <v>48337.912299313153</v>
      </c>
      <c r="G41" s="253">
        <f t="shared" si="12"/>
        <v>49290.357736769205</v>
      </c>
      <c r="H41" s="253">
        <f t="shared" si="12"/>
        <v>50274.030566060697</v>
      </c>
      <c r="I41" s="253">
        <f t="shared" si="12"/>
        <v>51276.72878851233</v>
      </c>
      <c r="J41" s="253">
        <f t="shared" si="12"/>
        <v>52298.811819464987</v>
      </c>
      <c r="K41" s="253">
        <f t="shared" si="12"/>
        <v>53340.645596518567</v>
      </c>
      <c r="L41" s="253">
        <f t="shared" si="12"/>
        <v>54374.328801468415</v>
      </c>
      <c r="M41" s="253">
        <f t="shared" si="12"/>
        <v>55427.388743860465</v>
      </c>
      <c r="N41" s="253">
        <f t="shared" si="12"/>
        <v>56500.177965870942</v>
      </c>
      <c r="O41" s="253">
        <f t="shared" si="12"/>
        <v>57593.055087729284</v>
      </c>
      <c r="P41" s="253">
        <f t="shared" si="12"/>
        <v>58706.38490160941</v>
      </c>
      <c r="Q41" s="253">
        <f t="shared" si="12"/>
        <v>59570.551137526862</v>
      </c>
      <c r="R41" s="253">
        <f t="shared" si="12"/>
        <v>60446.456137220717</v>
      </c>
      <c r="S41" s="253">
        <f t="shared" si="12"/>
        <v>61334.233820679852</v>
      </c>
      <c r="T41" s="253">
        <f t="shared" si="12"/>
        <v>62234.018768011745</v>
      </c>
      <c r="U41" s="253">
        <f t="shared" si="12"/>
        <v>63145.946187594265</v>
      </c>
      <c r="V41" s="91"/>
      <c r="W41" s="167">
        <f>SUM(B41:U41)</f>
        <v>1066083.3431193256</v>
      </c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</row>
    <row r="42" spans="1:45" ht="12.75" customHeight="1" x14ac:dyDescent="0.25">
      <c r="A42" s="251" t="s">
        <v>144</v>
      </c>
      <c r="B42" s="253">
        <f t="shared" ref="B42:U42" si="13">B18</f>
        <v>572</v>
      </c>
      <c r="C42" s="253">
        <f t="shared" si="13"/>
        <v>583.4</v>
      </c>
      <c r="D42" s="253">
        <f t="shared" si="13"/>
        <v>595.1</v>
      </c>
      <c r="E42" s="253">
        <f t="shared" si="13"/>
        <v>607</v>
      </c>
      <c r="F42" s="253">
        <f t="shared" si="13"/>
        <v>619.1</v>
      </c>
      <c r="G42" s="253">
        <f t="shared" si="13"/>
        <v>631.5</v>
      </c>
      <c r="H42" s="253">
        <f t="shared" si="13"/>
        <v>631.5</v>
      </c>
      <c r="I42" s="253">
        <f t="shared" si="13"/>
        <v>631.5</v>
      </c>
      <c r="J42" s="253">
        <f t="shared" si="13"/>
        <v>631.5</v>
      </c>
      <c r="K42" s="253">
        <f t="shared" si="13"/>
        <v>631.5</v>
      </c>
      <c r="L42" s="253">
        <f t="shared" si="13"/>
        <v>631.5</v>
      </c>
      <c r="M42" s="253">
        <f t="shared" si="13"/>
        <v>631.5</v>
      </c>
      <c r="N42" s="253">
        <f t="shared" si="13"/>
        <v>631.5</v>
      </c>
      <c r="O42" s="253">
        <f t="shared" si="13"/>
        <v>631.5</v>
      </c>
      <c r="P42" s="253">
        <f t="shared" si="13"/>
        <v>631.5</v>
      </c>
      <c r="Q42" s="253">
        <f t="shared" si="13"/>
        <v>631.5</v>
      </c>
      <c r="R42" s="253">
        <f t="shared" si="13"/>
        <v>631.5</v>
      </c>
      <c r="S42" s="253">
        <f t="shared" si="13"/>
        <v>631.5</v>
      </c>
      <c r="T42" s="253">
        <f t="shared" si="13"/>
        <v>631.5</v>
      </c>
      <c r="U42" s="253">
        <f t="shared" si="13"/>
        <v>631.5</v>
      </c>
      <c r="V42" s="91"/>
      <c r="W42" s="167">
        <f>SUM(B42:U42)</f>
        <v>12449.1</v>
      </c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</row>
    <row r="43" spans="1:45" ht="12.75" customHeight="1" x14ac:dyDescent="0.25">
      <c r="A43" s="251" t="s">
        <v>145</v>
      </c>
      <c r="B43" s="338">
        <v>-333.7</v>
      </c>
      <c r="C43" s="253">
        <f t="shared" ref="C43:U43" si="14">-B42</f>
        <v>-572</v>
      </c>
      <c r="D43" s="253">
        <f t="shared" si="14"/>
        <v>-583.4</v>
      </c>
      <c r="E43" s="253">
        <f t="shared" si="14"/>
        <v>-595.1</v>
      </c>
      <c r="F43" s="253">
        <f t="shared" si="14"/>
        <v>-607</v>
      </c>
      <c r="G43" s="253">
        <f t="shared" si="14"/>
        <v>-619.1</v>
      </c>
      <c r="H43" s="253">
        <f t="shared" si="14"/>
        <v>-631.5</v>
      </c>
      <c r="I43" s="253">
        <f t="shared" si="14"/>
        <v>-631.5</v>
      </c>
      <c r="J43" s="253">
        <f t="shared" si="14"/>
        <v>-631.5</v>
      </c>
      <c r="K43" s="253">
        <f t="shared" si="14"/>
        <v>-631.5</v>
      </c>
      <c r="L43" s="253">
        <f t="shared" si="14"/>
        <v>-631.5</v>
      </c>
      <c r="M43" s="253">
        <f t="shared" si="14"/>
        <v>-631.5</v>
      </c>
      <c r="N43" s="253">
        <f t="shared" si="14"/>
        <v>-631.5</v>
      </c>
      <c r="O43" s="253">
        <f t="shared" si="14"/>
        <v>-631.5</v>
      </c>
      <c r="P43" s="253">
        <f t="shared" si="14"/>
        <v>-631.5</v>
      </c>
      <c r="Q43" s="253">
        <f t="shared" si="14"/>
        <v>-631.5</v>
      </c>
      <c r="R43" s="253">
        <f t="shared" si="14"/>
        <v>-631.5</v>
      </c>
      <c r="S43" s="253">
        <f t="shared" si="14"/>
        <v>-631.5</v>
      </c>
      <c r="T43" s="253">
        <f t="shared" si="14"/>
        <v>-631.5</v>
      </c>
      <c r="U43" s="253">
        <f t="shared" si="14"/>
        <v>-631.5</v>
      </c>
      <c r="V43" s="91"/>
      <c r="W43" s="167">
        <f>SUM(B43:U43)</f>
        <v>-12151.3</v>
      </c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</row>
    <row r="44" spans="1:45" ht="12.75" customHeight="1" x14ac:dyDescent="0.25">
      <c r="A44" s="251" t="s">
        <v>196</v>
      </c>
      <c r="B44" s="339">
        <f>-Debt!B77*Allocation!$E$8</f>
        <v>-18120.61871346796</v>
      </c>
      <c r="C44" s="339">
        <f>-Debt!C77*Allocation!$E$8</f>
        <v>-18219.115695188517</v>
      </c>
      <c r="D44" s="339">
        <f>-Debt!D77*Allocation!$E$8</f>
        <v>-18304.651036832023</v>
      </c>
      <c r="E44" s="339">
        <f>-Debt!E77*Allocation!$E$8</f>
        <v>-18495.08177021976</v>
      </c>
      <c r="F44" s="339">
        <f>-Debt!F77*Allocation!$E$8</f>
        <v>-18632.542923376448</v>
      </c>
      <c r="G44" s="339">
        <f>-Debt!G77*Allocation!$E$8</f>
        <v>-18212.969257076231</v>
      </c>
      <c r="H44" s="339">
        <f>-Debt!H77*Allocation!$E$8</f>
        <v>-17842.806493644915</v>
      </c>
      <c r="I44" s="339">
        <f>-Debt!I77*Allocation!$E$8</f>
        <v>-17531.519731430384</v>
      </c>
      <c r="J44" s="339">
        <f>-Debt!J77*Allocation!$E$8</f>
        <v>-17207.465236243203</v>
      </c>
      <c r="K44" s="339">
        <f>-Debt!K77*Allocation!$E$8</f>
        <v>-16937.183941245523</v>
      </c>
      <c r="L44" s="339">
        <f>-Debt!L77*Allocation!$E$8</f>
        <v>-16662.582823441095</v>
      </c>
      <c r="M44" s="339">
        <f>-Debt!M77*Allocation!$E$8</f>
        <v>-16441.038084710821</v>
      </c>
      <c r="N44" s="339">
        <f>-Debt!N77*Allocation!$E$8</f>
        <v>-16167.846009323894</v>
      </c>
      <c r="O44" s="339">
        <f>-Debt!O77*Allocation!$E$8</f>
        <v>-15954.055055567231</v>
      </c>
      <c r="P44" s="339">
        <f>-Debt!P77*Allocation!$E$8</f>
        <v>-15725.616906785914</v>
      </c>
      <c r="Q44" s="339">
        <f>-Debt!Q77*Allocation!$E$8</f>
        <v>-15585.218809742559</v>
      </c>
      <c r="R44" s="339">
        <f>-Debt!R77*Allocation!$E$8</f>
        <v>-15371.914168299852</v>
      </c>
      <c r="S44" s="339">
        <f>-Debt!S77*Allocation!$E$8</f>
        <v>-15186.887588077361</v>
      </c>
      <c r="T44" s="339">
        <f>-Debt!T77*Allocation!$E$8</f>
        <v>-15018.249155610085</v>
      </c>
      <c r="U44" s="339">
        <f>-Debt!U77*Allocation!$E$8</f>
        <v>-14855.452964694963</v>
      </c>
      <c r="V44" s="91"/>
      <c r="W44" s="167">
        <f>SUM(B44:U44)</f>
        <v>-336472.81636497873</v>
      </c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</row>
    <row r="45" spans="1:45" ht="12.75" customHeight="1" x14ac:dyDescent="0.25">
      <c r="A45" s="251"/>
      <c r="B45" s="340"/>
      <c r="C45" s="340"/>
      <c r="D45" s="340"/>
      <c r="E45" s="340"/>
      <c r="F45" s="340"/>
      <c r="G45" s="340"/>
      <c r="H45" s="340"/>
      <c r="I45" s="340"/>
      <c r="J45" s="340"/>
      <c r="K45" s="340"/>
      <c r="L45" s="340"/>
      <c r="M45" s="340"/>
      <c r="N45" s="340"/>
      <c r="O45" s="340"/>
      <c r="P45" s="340"/>
      <c r="Q45" s="340"/>
      <c r="R45" s="340"/>
      <c r="S45" s="340"/>
      <c r="T45" s="340"/>
      <c r="U45" s="340"/>
      <c r="V45" s="91"/>
      <c r="W45" s="244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</row>
    <row r="46" spans="1:45" ht="12.75" customHeight="1" x14ac:dyDescent="0.25">
      <c r="A46" s="247" t="s">
        <v>197</v>
      </c>
      <c r="B46" s="341">
        <f t="shared" ref="B46:U46" si="15">SUM(B41:B44)</f>
        <v>22022.482008397146</v>
      </c>
      <c r="C46" s="341">
        <f t="shared" si="15"/>
        <v>23736.287715691757</v>
      </c>
      <c r="D46" s="341">
        <f t="shared" si="15"/>
        <v>25683.917899826694</v>
      </c>
      <c r="E46" s="341">
        <f t="shared" si="15"/>
        <v>27623.45992149091</v>
      </c>
      <c r="F46" s="341">
        <f t="shared" si="15"/>
        <v>29717.469375936704</v>
      </c>
      <c r="G46" s="341">
        <f t="shared" si="15"/>
        <v>31089.788479692976</v>
      </c>
      <c r="H46" s="341">
        <f t="shared" si="15"/>
        <v>32431.224072415782</v>
      </c>
      <c r="I46" s="341">
        <f t="shared" si="15"/>
        <v>33745.209057081942</v>
      </c>
      <c r="J46" s="341">
        <f t="shared" si="15"/>
        <v>35091.346583221784</v>
      </c>
      <c r="K46" s="341">
        <f t="shared" si="15"/>
        <v>36403.461655273044</v>
      </c>
      <c r="L46" s="341">
        <f t="shared" si="15"/>
        <v>37711.74597802732</v>
      </c>
      <c r="M46" s="341">
        <f t="shared" si="15"/>
        <v>38986.350659149641</v>
      </c>
      <c r="N46" s="341">
        <f t="shared" si="15"/>
        <v>40332.331956547045</v>
      </c>
      <c r="O46" s="341">
        <f t="shared" si="15"/>
        <v>41639.000032162054</v>
      </c>
      <c r="P46" s="341">
        <f t="shared" si="15"/>
        <v>42980.767994823495</v>
      </c>
      <c r="Q46" s="341">
        <f t="shared" si="15"/>
        <v>43985.332327784301</v>
      </c>
      <c r="R46" s="341">
        <f t="shared" si="15"/>
        <v>45074.541968920865</v>
      </c>
      <c r="S46" s="341">
        <f t="shared" si="15"/>
        <v>46147.346232602489</v>
      </c>
      <c r="T46" s="341">
        <f t="shared" si="15"/>
        <v>47215.769612401658</v>
      </c>
      <c r="U46" s="341">
        <f t="shared" si="15"/>
        <v>48290.493222899298</v>
      </c>
      <c r="V46" s="292"/>
      <c r="W46" s="167">
        <f>SUM(B46:U46)</f>
        <v>729908.32675434684</v>
      </c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</row>
    <row r="47" spans="1:45" ht="12.75" customHeight="1" x14ac:dyDescent="0.25">
      <c r="A47" s="247"/>
      <c r="B47" s="333"/>
      <c r="C47" s="333"/>
      <c r="D47" s="333"/>
      <c r="E47" s="333"/>
      <c r="F47" s="333"/>
      <c r="G47" s="333"/>
      <c r="H47" s="333"/>
      <c r="I47" s="333"/>
      <c r="J47" s="333"/>
      <c r="K47" s="333"/>
      <c r="L47" s="333"/>
      <c r="M47" s="333"/>
      <c r="N47" s="333"/>
      <c r="O47" s="333"/>
      <c r="P47" s="333"/>
      <c r="Q47" s="333"/>
      <c r="R47" s="333"/>
      <c r="S47" s="333"/>
      <c r="T47" s="333"/>
      <c r="U47" s="333"/>
      <c r="V47" s="91"/>
      <c r="W47" s="244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</row>
    <row r="48" spans="1:45" ht="15" customHeight="1" x14ac:dyDescent="0.4">
      <c r="A48" s="251" t="s">
        <v>198</v>
      </c>
      <c r="B48" s="342">
        <f t="shared" ref="B48:U48" si="16">-B79</f>
        <v>-506.98714421425137</v>
      </c>
      <c r="C48" s="342">
        <f t="shared" si="16"/>
        <v>0</v>
      </c>
      <c r="D48" s="342">
        <f t="shared" si="16"/>
        <v>0</v>
      </c>
      <c r="E48" s="342">
        <f t="shared" si="16"/>
        <v>0</v>
      </c>
      <c r="F48" s="342">
        <f t="shared" si="16"/>
        <v>-578.81236769288819</v>
      </c>
      <c r="G48" s="342">
        <f t="shared" si="16"/>
        <v>-1018.107957599383</v>
      </c>
      <c r="H48" s="342">
        <f t="shared" si="16"/>
        <v>-1210.4260616836859</v>
      </c>
      <c r="I48" s="342">
        <f t="shared" si="16"/>
        <v>-1317.7779408006795</v>
      </c>
      <c r="J48" s="342">
        <f t="shared" si="16"/>
        <v>-1438.2773779509478</v>
      </c>
      <c r="K48" s="342">
        <f t="shared" si="16"/>
        <v>-1555.1935552346615</v>
      </c>
      <c r="L48" s="342">
        <f t="shared" si="16"/>
        <v>-1679.6210262953484</v>
      </c>
      <c r="M48" s="342">
        <f t="shared" si="16"/>
        <v>-1802.4172261665956</v>
      </c>
      <c r="N48" s="342">
        <f t="shared" si="16"/>
        <v>-1939.4128802075741</v>
      </c>
      <c r="O48" s="342">
        <f t="shared" si="16"/>
        <v>-2075.3238779399258</v>
      </c>
      <c r="P48" s="342">
        <f t="shared" si="16"/>
        <v>-2222.8296606833901</v>
      </c>
      <c r="Q48" s="342">
        <f t="shared" si="16"/>
        <v>-2354.426933540889</v>
      </c>
      <c r="R48" s="342">
        <f t="shared" si="16"/>
        <v>-3977.0183737207935</v>
      </c>
      <c r="S48" s="342">
        <f t="shared" si="16"/>
        <v>-4125.6795005076419</v>
      </c>
      <c r="T48" s="342">
        <f t="shared" si="16"/>
        <v>-4283.4871452011948</v>
      </c>
      <c r="U48" s="342">
        <f t="shared" si="16"/>
        <v>-4451.2082118283606</v>
      </c>
      <c r="V48" s="91"/>
      <c r="W48" s="167">
        <f>SUM(B48:U48)</f>
        <v>-36537.007241268206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1:45" ht="12.75" customHeight="1" x14ac:dyDescent="0.25">
      <c r="A49" s="251" t="s">
        <v>199</v>
      </c>
      <c r="B49" s="343">
        <f>-Allocation!$E$8*Tax!B24</f>
        <v>-3159.9221845686466</v>
      </c>
      <c r="C49" s="343">
        <f>-Allocation!$E$8*Tax!C24</f>
        <v>0</v>
      </c>
      <c r="D49" s="343">
        <f>-Allocation!$E$8*Tax!D24</f>
        <v>-237.07999712688363</v>
      </c>
      <c r="E49" s="343">
        <f>-Allocation!$E$8*Tax!E24</f>
        <v>-2846.1110641696932</v>
      </c>
      <c r="F49" s="343">
        <f>-Allocation!$E$8*Tax!F24</f>
        <v>-4573.2288451438471</v>
      </c>
      <c r="G49" s="343">
        <f>-Allocation!$E$8*Tax!G24</f>
        <v>-5703.7870110960612</v>
      </c>
      <c r="H49" s="343">
        <f>-Allocation!$E$8*Tax!H24</f>
        <v>-6489.0036202125002</v>
      </c>
      <c r="I49" s="343">
        <f>-Allocation!$E$8*Tax!I24</f>
        <v>-6930.6120904083591</v>
      </c>
      <c r="J49" s="343">
        <f>-Allocation!$E$8*Tax!J24</f>
        <v>-7441.3045241410491</v>
      </c>
      <c r="K49" s="343">
        <f>-Allocation!$E$8*Tax!K24</f>
        <v>-7946.5287892992628</v>
      </c>
      <c r="L49" s="343">
        <f>-Allocation!$E$8*Tax!L24</f>
        <v>-8452.6550462740943</v>
      </c>
      <c r="M49" s="343">
        <f>-Allocation!$E$8*Tax!M24</f>
        <v>-8971.8689947991352</v>
      </c>
      <c r="N49" s="343">
        <f>-Allocation!$E$8*Tax!N24</f>
        <v>-9506.4241736587883</v>
      </c>
      <c r="O49" s="343">
        <f>-Allocation!$E$8*Tax!O24</f>
        <v>-10082.159385001116</v>
      </c>
      <c r="P49" s="343">
        <f>-Allocation!$E$8*Tax!P24</f>
        <v>-10649.982369347783</v>
      </c>
      <c r="Q49" s="343">
        <f>-Allocation!$E$8*Tax!Q24</f>
        <v>-11312.966020269389</v>
      </c>
      <c r="R49" s="343">
        <f>-Allocation!$E$8*Tax!R24</f>
        <v>-18050.476402714303</v>
      </c>
      <c r="S49" s="343">
        <f>-Allocation!$E$8*Tax!S24</f>
        <v>-18714.508030130251</v>
      </c>
      <c r="T49" s="343">
        <f>-Allocation!$E$8*Tax!T24</f>
        <v>-19419.603180122704</v>
      </c>
      <c r="U49" s="343">
        <f>-Allocation!$E$8*Tax!U24</f>
        <v>-20169.227427691847</v>
      </c>
      <c r="V49" s="91"/>
      <c r="W49" s="167">
        <f>SUM(B49:U49)</f>
        <v>-180657.44915617572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1:45" ht="12.75" customHeight="1" x14ac:dyDescent="0.25">
      <c r="A50" s="251"/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91"/>
      <c r="W50" s="244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</row>
    <row r="51" spans="1:45" ht="15.75" customHeight="1" x14ac:dyDescent="0.3">
      <c r="A51" s="344" t="s">
        <v>200</v>
      </c>
      <c r="B51" s="345">
        <f t="shared" ref="B51:U51" si="17">B46+B49+B48</f>
        <v>18355.572679614248</v>
      </c>
      <c r="C51" s="345">
        <f t="shared" si="17"/>
        <v>23736.287715691757</v>
      </c>
      <c r="D51" s="345">
        <f t="shared" si="17"/>
        <v>25446.837902699812</v>
      </c>
      <c r="E51" s="345">
        <f t="shared" si="17"/>
        <v>24777.348857321216</v>
      </c>
      <c r="F51" s="345">
        <f t="shared" si="17"/>
        <v>24565.428163099969</v>
      </c>
      <c r="G51" s="345">
        <f t="shared" si="17"/>
        <v>24367.893510997532</v>
      </c>
      <c r="H51" s="345">
        <f t="shared" si="17"/>
        <v>24731.794390519593</v>
      </c>
      <c r="I51" s="345">
        <f t="shared" si="17"/>
        <v>25496.819025872905</v>
      </c>
      <c r="J51" s="345">
        <f t="shared" si="17"/>
        <v>26211.764681129785</v>
      </c>
      <c r="K51" s="345">
        <f t="shared" si="17"/>
        <v>26901.739310739118</v>
      </c>
      <c r="L51" s="345">
        <f t="shared" si="17"/>
        <v>27579.469905457878</v>
      </c>
      <c r="M51" s="345">
        <f t="shared" si="17"/>
        <v>28212.064438183908</v>
      </c>
      <c r="N51" s="345">
        <f t="shared" si="17"/>
        <v>28886.494902680683</v>
      </c>
      <c r="O51" s="345">
        <f t="shared" si="17"/>
        <v>29481.516769221013</v>
      </c>
      <c r="P51" s="345">
        <f t="shared" si="17"/>
        <v>30107.955964792323</v>
      </c>
      <c r="Q51" s="345">
        <f t="shared" si="17"/>
        <v>30317.939373974023</v>
      </c>
      <c r="R51" s="345">
        <f t="shared" si="17"/>
        <v>23047.04719248577</v>
      </c>
      <c r="S51" s="345">
        <f t="shared" si="17"/>
        <v>23307.158701964596</v>
      </c>
      <c r="T51" s="345">
        <f t="shared" si="17"/>
        <v>23512.679287077761</v>
      </c>
      <c r="U51" s="345">
        <f t="shared" si="17"/>
        <v>23670.05758337909</v>
      </c>
      <c r="V51" s="336"/>
      <c r="W51" s="167">
        <f>SUM(B51:U51)</f>
        <v>512713.870356903</v>
      </c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</row>
    <row r="52" spans="1:45" ht="12.75" customHeight="1" x14ac:dyDescent="0.25">
      <c r="A52" s="379"/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91"/>
      <c r="W52" s="91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292"/>
      <c r="AJ52" s="292"/>
      <c r="AK52" s="292"/>
      <c r="AL52" s="292"/>
      <c r="AM52" s="292"/>
      <c r="AN52" s="292"/>
      <c r="AO52" s="292"/>
      <c r="AP52" s="292"/>
      <c r="AQ52" s="292"/>
      <c r="AR52" s="292"/>
      <c r="AS52" s="292"/>
    </row>
    <row r="53" spans="1:45" ht="18" customHeight="1" x14ac:dyDescent="0.3">
      <c r="A53" s="337" t="s">
        <v>232</v>
      </c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</row>
    <row r="54" spans="1:45" ht="12.75" customHeight="1" x14ac:dyDescent="0.25">
      <c r="A54" s="292"/>
      <c r="B54" s="293"/>
      <c r="C54" s="293"/>
      <c r="D54" s="293"/>
      <c r="E54" s="293"/>
      <c r="F54" s="293"/>
      <c r="G54" s="294"/>
      <c r="H54" s="293"/>
      <c r="I54" s="293"/>
      <c r="J54" s="293"/>
      <c r="K54" s="293"/>
      <c r="L54" s="293"/>
      <c r="M54" s="294"/>
      <c r="N54" s="293"/>
      <c r="O54" s="293"/>
      <c r="P54" s="293"/>
      <c r="Q54" s="293"/>
      <c r="R54" s="293"/>
      <c r="S54" s="294"/>
      <c r="T54" s="293"/>
      <c r="U54" s="293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</row>
    <row r="55" spans="1:45" ht="13.5" customHeight="1" thickBot="1" x14ac:dyDescent="0.3">
      <c r="A55" s="151" t="s">
        <v>99</v>
      </c>
      <c r="B55" s="152">
        <v>2001</v>
      </c>
      <c r="C55" s="152">
        <v>2002</v>
      </c>
      <c r="D55" s="152">
        <v>2003</v>
      </c>
      <c r="E55" s="152">
        <v>2004</v>
      </c>
      <c r="F55" s="152">
        <v>2005</v>
      </c>
      <c r="G55" s="152">
        <v>2006</v>
      </c>
      <c r="H55" s="152">
        <v>2007</v>
      </c>
      <c r="I55" s="152">
        <v>2008</v>
      </c>
      <c r="J55" s="152">
        <v>2009</v>
      </c>
      <c r="K55" s="152">
        <v>2010</v>
      </c>
      <c r="L55" s="152">
        <v>2011</v>
      </c>
      <c r="M55" s="152">
        <v>2012</v>
      </c>
      <c r="N55" s="152">
        <v>2013</v>
      </c>
      <c r="O55" s="152">
        <v>2014</v>
      </c>
      <c r="P55" s="152">
        <v>2015</v>
      </c>
      <c r="Q55" s="152">
        <v>2016</v>
      </c>
      <c r="R55" s="152">
        <v>2017</v>
      </c>
      <c r="S55" s="152">
        <v>2018</v>
      </c>
      <c r="T55" s="152">
        <v>2019</v>
      </c>
      <c r="U55" s="152">
        <v>2020</v>
      </c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1"/>
    </row>
    <row r="56" spans="1:45" ht="12.75" customHeight="1" x14ac:dyDescent="0.25">
      <c r="A56" s="241"/>
      <c r="B56" s="299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91"/>
    </row>
    <row r="57" spans="1:45" ht="12.75" customHeight="1" x14ac:dyDescent="0.25">
      <c r="A57" s="300" t="s">
        <v>202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</row>
    <row r="58" spans="1:45" ht="12.75" customHeight="1" x14ac:dyDescent="0.25">
      <c r="A58" s="380"/>
      <c r="B58" s="365"/>
      <c r="C58" s="365"/>
      <c r="D58" s="366"/>
      <c r="E58" s="366"/>
      <c r="F58" s="366"/>
      <c r="G58" s="366"/>
      <c r="H58" s="366"/>
      <c r="I58" s="366"/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91"/>
    </row>
    <row r="59" spans="1:45" ht="12.75" customHeight="1" x14ac:dyDescent="0.25">
      <c r="A59" s="24" t="s">
        <v>204</v>
      </c>
      <c r="B59" s="367">
        <f>Allocation!$C$8*'Summary Output'!$C$7</f>
        <v>195079.84633017954</v>
      </c>
      <c r="C59" s="367">
        <f>Allocation!$C$8*'Summary Output'!$C$7</f>
        <v>195079.84633017954</v>
      </c>
      <c r="D59" s="367">
        <f>Allocation!$C$8*'Summary Output'!$C$7</f>
        <v>195079.84633017954</v>
      </c>
      <c r="E59" s="367">
        <f>Allocation!$C$8*'Summary Output'!$C$7</f>
        <v>195079.84633017954</v>
      </c>
      <c r="F59" s="367">
        <f>Allocation!$C$8*'Summary Output'!$C$7</f>
        <v>195079.84633017954</v>
      </c>
      <c r="G59" s="367">
        <f>Allocation!$C$8*'Summary Output'!$C$7</f>
        <v>195079.84633017954</v>
      </c>
      <c r="H59" s="367">
        <f>Allocation!$C$8*'Summary Output'!$C$7</f>
        <v>195079.84633017954</v>
      </c>
      <c r="I59" s="367">
        <f>Allocation!$C$8*'Summary Output'!$C$7</f>
        <v>195079.84633017954</v>
      </c>
      <c r="J59" s="367">
        <f>Allocation!$C$8*'Summary Output'!$C$7</f>
        <v>195079.84633017954</v>
      </c>
      <c r="K59" s="367">
        <f>Allocation!$C$8*'Summary Output'!$C$7</f>
        <v>195079.84633017954</v>
      </c>
      <c r="L59" s="367">
        <f>Allocation!$C$8*'Summary Output'!$C$7</f>
        <v>195079.84633017954</v>
      </c>
      <c r="M59" s="367">
        <f>Allocation!$C$8*'Summary Output'!$C$7</f>
        <v>195079.84633017954</v>
      </c>
      <c r="N59" s="367">
        <f>Allocation!$C$8*'Summary Output'!$C$7</f>
        <v>195079.84633017954</v>
      </c>
      <c r="O59" s="367">
        <f>Allocation!$C$8*'Summary Output'!$C$7</f>
        <v>195079.84633017954</v>
      </c>
      <c r="P59" s="367">
        <f>Allocation!$C$8*'Summary Output'!$C$7</f>
        <v>195079.84633017954</v>
      </c>
      <c r="Q59" s="367">
        <f>Allocation!$C$8*'Summary Output'!$C$7</f>
        <v>195079.84633017954</v>
      </c>
      <c r="R59" s="367">
        <f>Allocation!$C$8*'Summary Output'!$C$7</f>
        <v>195079.84633017954</v>
      </c>
      <c r="S59" s="367">
        <f>Allocation!$C$8*'Summary Output'!$C$7</f>
        <v>195079.84633017954</v>
      </c>
      <c r="T59" s="367">
        <f>Allocation!$C$8*'Summary Output'!$C$7</f>
        <v>195079.84633017954</v>
      </c>
      <c r="U59" s="367">
        <f>Allocation!$C$8*'Summary Output'!$C$7</f>
        <v>195079.84633017954</v>
      </c>
      <c r="V59" s="367"/>
      <c r="W59" s="367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91"/>
    </row>
    <row r="60" spans="1:45" ht="12.75" customHeight="1" x14ac:dyDescent="0.25">
      <c r="A60" s="24" t="s">
        <v>209</v>
      </c>
      <c r="B60" s="368">
        <f>Assumptions!E40</f>
        <v>1.5E-3</v>
      </c>
      <c r="C60" s="368">
        <f>Assumptions!$E$41</f>
        <v>1E-3</v>
      </c>
      <c r="D60" s="368">
        <f>Assumptions!$E$41</f>
        <v>1E-3</v>
      </c>
      <c r="E60" s="368">
        <f>Assumptions!$E$41</f>
        <v>1E-3</v>
      </c>
      <c r="F60" s="368">
        <f>Assumptions!$E$41</f>
        <v>1E-3</v>
      </c>
      <c r="G60" s="368">
        <f>Assumptions!$E$41</f>
        <v>1E-3</v>
      </c>
      <c r="H60" s="368">
        <f>Assumptions!$E$41</f>
        <v>1E-3</v>
      </c>
      <c r="I60" s="368">
        <f>Assumptions!$E$41</f>
        <v>1E-3</v>
      </c>
      <c r="J60" s="368">
        <f>Assumptions!$E$41</f>
        <v>1E-3</v>
      </c>
      <c r="K60" s="368">
        <f>Assumptions!$E$41</f>
        <v>1E-3</v>
      </c>
      <c r="L60" s="368">
        <f>Assumptions!$E$41</f>
        <v>1E-3</v>
      </c>
      <c r="M60" s="368">
        <f>Assumptions!$E$41</f>
        <v>1E-3</v>
      </c>
      <c r="N60" s="368">
        <f>Assumptions!$E$41</f>
        <v>1E-3</v>
      </c>
      <c r="O60" s="368">
        <f>Assumptions!$E$41</f>
        <v>1E-3</v>
      </c>
      <c r="P60" s="368">
        <f>Assumptions!$E$41</f>
        <v>1E-3</v>
      </c>
      <c r="Q60" s="368">
        <f>Assumptions!$E$41</f>
        <v>1E-3</v>
      </c>
      <c r="R60" s="368">
        <f>Assumptions!$E$41</f>
        <v>1E-3</v>
      </c>
      <c r="S60" s="368">
        <f>Assumptions!$E$41</f>
        <v>1E-3</v>
      </c>
      <c r="T60" s="368">
        <f>Assumptions!$E$41</f>
        <v>1E-3</v>
      </c>
      <c r="U60" s="368">
        <f>Assumptions!$E$41</f>
        <v>1E-3</v>
      </c>
      <c r="V60" s="368"/>
      <c r="W60" s="368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91"/>
    </row>
    <row r="61" spans="1:45" ht="12.75" customHeight="1" x14ac:dyDescent="0.25">
      <c r="A61" s="40" t="s">
        <v>210</v>
      </c>
      <c r="B61" s="369">
        <f t="shared" ref="B61:U61" si="18">B59*B60</f>
        <v>292.61976949526934</v>
      </c>
      <c r="C61" s="369">
        <f t="shared" si="18"/>
        <v>195.07984633017955</v>
      </c>
      <c r="D61" s="369">
        <f t="shared" si="18"/>
        <v>195.07984633017955</v>
      </c>
      <c r="E61" s="369">
        <f t="shared" si="18"/>
        <v>195.07984633017955</v>
      </c>
      <c r="F61" s="369">
        <f t="shared" si="18"/>
        <v>195.07984633017955</v>
      </c>
      <c r="G61" s="369">
        <f t="shared" si="18"/>
        <v>195.07984633017955</v>
      </c>
      <c r="H61" s="369">
        <f t="shared" si="18"/>
        <v>195.07984633017955</v>
      </c>
      <c r="I61" s="369">
        <f t="shared" si="18"/>
        <v>195.07984633017955</v>
      </c>
      <c r="J61" s="369">
        <f t="shared" si="18"/>
        <v>195.07984633017955</v>
      </c>
      <c r="K61" s="369">
        <f t="shared" si="18"/>
        <v>195.07984633017955</v>
      </c>
      <c r="L61" s="369">
        <f t="shared" si="18"/>
        <v>195.07984633017955</v>
      </c>
      <c r="M61" s="369">
        <f t="shared" si="18"/>
        <v>195.07984633017955</v>
      </c>
      <c r="N61" s="369">
        <f t="shared" si="18"/>
        <v>195.07984633017955</v>
      </c>
      <c r="O61" s="369">
        <f t="shared" si="18"/>
        <v>195.07984633017955</v>
      </c>
      <c r="P61" s="369">
        <f t="shared" si="18"/>
        <v>195.07984633017955</v>
      </c>
      <c r="Q61" s="369">
        <f t="shared" si="18"/>
        <v>195.07984633017955</v>
      </c>
      <c r="R61" s="369">
        <f t="shared" si="18"/>
        <v>195.07984633017955</v>
      </c>
      <c r="S61" s="369">
        <f t="shared" si="18"/>
        <v>195.07984633017955</v>
      </c>
      <c r="T61" s="369">
        <f t="shared" si="18"/>
        <v>195.07984633017955</v>
      </c>
      <c r="U61" s="369">
        <f t="shared" si="18"/>
        <v>195.07984633017955</v>
      </c>
      <c r="V61" s="369"/>
      <c r="W61" s="369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91"/>
    </row>
    <row r="62" spans="1:45" ht="12.75" customHeight="1" x14ac:dyDescent="0.25">
      <c r="A62" s="381"/>
      <c r="B62" s="381"/>
      <c r="C62" s="381"/>
      <c r="D62" s="382"/>
      <c r="E62" s="382"/>
      <c r="F62" s="382"/>
      <c r="G62" s="382"/>
      <c r="H62" s="382"/>
      <c r="I62" s="382"/>
      <c r="J62" s="382"/>
      <c r="K62" s="382"/>
      <c r="L62" s="382"/>
      <c r="M62" s="382"/>
      <c r="N62" s="382"/>
      <c r="O62" s="382"/>
      <c r="P62" s="382"/>
      <c r="Q62" s="382"/>
      <c r="R62" s="382"/>
      <c r="S62" s="382"/>
      <c r="T62" s="382"/>
      <c r="U62" s="382"/>
      <c r="V62" s="382"/>
      <c r="W62" s="382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91"/>
    </row>
    <row r="63" spans="1:45" ht="12.75" customHeight="1" x14ac:dyDescent="0.25">
      <c r="A63" s="300" t="s">
        <v>176</v>
      </c>
      <c r="B63" s="381"/>
      <c r="C63" s="381"/>
      <c r="D63" s="382"/>
      <c r="E63" s="382"/>
      <c r="F63" s="382"/>
      <c r="G63" s="382"/>
      <c r="H63" s="382"/>
      <c r="I63" s="382"/>
      <c r="J63" s="382"/>
      <c r="K63" s="382"/>
      <c r="L63" s="382"/>
      <c r="M63" s="382"/>
      <c r="N63" s="382"/>
      <c r="O63" s="382"/>
      <c r="P63" s="382"/>
      <c r="Q63" s="382"/>
      <c r="R63" s="382"/>
      <c r="S63" s="382"/>
      <c r="T63" s="382"/>
      <c r="U63" s="382"/>
      <c r="V63" s="382"/>
      <c r="W63" s="382"/>
      <c r="X63" s="366"/>
      <c r="Y63" s="366"/>
      <c r="Z63" s="365"/>
      <c r="AA63" s="372"/>
      <c r="AB63" s="372"/>
      <c r="AC63" s="372"/>
      <c r="AD63" s="372"/>
      <c r="AE63" s="372"/>
      <c r="AF63" s="372"/>
      <c r="AG63" s="372"/>
      <c r="AH63" s="372"/>
      <c r="AI63" s="372"/>
      <c r="AJ63" s="372"/>
      <c r="AK63" s="372"/>
      <c r="AL63" s="372"/>
      <c r="AM63" s="372"/>
      <c r="AN63" s="372"/>
      <c r="AO63" s="372"/>
      <c r="AP63" s="372"/>
      <c r="AQ63" s="372"/>
      <c r="AR63" s="372"/>
      <c r="AS63" s="372"/>
    </row>
    <row r="64" spans="1:45" ht="12.75" customHeight="1" x14ac:dyDescent="0.25">
      <c r="A64" s="300"/>
      <c r="B64" s="381"/>
      <c r="C64" s="381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67"/>
      <c r="Y64" s="367"/>
      <c r="Z64" s="365"/>
      <c r="AA64" s="372"/>
      <c r="AB64" s="372"/>
      <c r="AC64" s="372"/>
      <c r="AD64" s="372"/>
      <c r="AE64" s="372"/>
      <c r="AF64" s="372"/>
      <c r="AG64" s="372"/>
      <c r="AH64" s="372"/>
      <c r="AI64" s="372"/>
      <c r="AJ64" s="372"/>
      <c r="AK64" s="372"/>
      <c r="AL64" s="372"/>
      <c r="AM64" s="372"/>
      <c r="AN64" s="372"/>
      <c r="AO64" s="372"/>
      <c r="AP64" s="372"/>
      <c r="AQ64" s="372"/>
      <c r="AR64" s="372"/>
      <c r="AS64" s="372"/>
    </row>
    <row r="65" spans="1:45" ht="12.75" customHeight="1" x14ac:dyDescent="0.25">
      <c r="A65" s="24" t="s">
        <v>179</v>
      </c>
      <c r="B65" s="307">
        <f t="shared" ref="B65:U65" si="19">B30</f>
        <v>14052.565824683585</v>
      </c>
      <c r="C65" s="307">
        <f t="shared" si="19"/>
        <v>16362.48311377143</v>
      </c>
      <c r="D65" s="307">
        <f t="shared" si="19"/>
        <v>18751.066163951953</v>
      </c>
      <c r="E65" s="307">
        <f t="shared" si="19"/>
        <v>21248.728138571794</v>
      </c>
      <c r="F65" s="307">
        <f t="shared" si="19"/>
        <v>23990.90915128863</v>
      </c>
      <c r="G65" s="307">
        <f t="shared" si="19"/>
        <v>25470.990181423418</v>
      </c>
      <c r="H65" s="307">
        <f t="shared" si="19"/>
        <v>26995.923824245529</v>
      </c>
      <c r="I65" s="307">
        <f t="shared" si="19"/>
        <v>28526.032661668702</v>
      </c>
      <c r="J65" s="307">
        <f t="shared" si="19"/>
        <v>30169.34048534945</v>
      </c>
      <c r="K65" s="307">
        <f t="shared" si="19"/>
        <v>31832.656818130854</v>
      </c>
      <c r="L65" s="307">
        <f t="shared" si="19"/>
        <v>33530.672634992923</v>
      </c>
      <c r="M65" s="307">
        <f t="shared" si="19"/>
        <v>35275.883432781746</v>
      </c>
      <c r="N65" s="307">
        <f t="shared" si="19"/>
        <v>37148.94358084564</v>
      </c>
      <c r="O65" s="307">
        <f t="shared" si="19"/>
        <v>39076.811730460431</v>
      </c>
      <c r="P65" s="307">
        <f t="shared" si="19"/>
        <v>41096.252501121635</v>
      </c>
      <c r="Q65" s="307">
        <f t="shared" si="19"/>
        <v>42929.083599415484</v>
      </c>
      <c r="R65" s="307">
        <f t="shared" si="19"/>
        <v>44903.032739885071</v>
      </c>
      <c r="S65" s="307">
        <f t="shared" si="19"/>
        <v>46973.521970899688</v>
      </c>
      <c r="T65" s="307">
        <f t="shared" si="19"/>
        <v>49171.40003069846</v>
      </c>
      <c r="U65" s="307">
        <f t="shared" si="19"/>
        <v>51507.348033862334</v>
      </c>
      <c r="V65" s="91"/>
      <c r="W65" s="348">
        <f>SUM(B65:U65)</f>
        <v>659013.64661804889</v>
      </c>
      <c r="X65" s="368"/>
      <c r="Y65" s="368"/>
      <c r="Z65" s="372"/>
      <c r="AA65" s="372"/>
      <c r="AB65" s="372"/>
      <c r="AC65" s="372"/>
      <c r="AD65" s="372"/>
      <c r="AE65" s="372"/>
      <c r="AF65" s="372"/>
      <c r="AG65" s="372"/>
      <c r="AH65" s="372"/>
      <c r="AI65" s="372"/>
      <c r="AJ65" s="372"/>
      <c r="AK65" s="372"/>
      <c r="AL65" s="372"/>
      <c r="AM65" s="372"/>
      <c r="AN65" s="372"/>
      <c r="AO65" s="372"/>
      <c r="AP65" s="372"/>
      <c r="AQ65" s="372"/>
      <c r="AR65" s="372"/>
      <c r="AS65" s="372"/>
    </row>
    <row r="66" spans="1:45" ht="12.75" customHeight="1" x14ac:dyDescent="0.25">
      <c r="A66" s="24" t="s">
        <v>180</v>
      </c>
      <c r="B66" s="307">
        <f t="shared" ref="B66:U66" si="20">B24</f>
        <v>10487.195306365527</v>
      </c>
      <c r="C66" s="307">
        <f t="shared" si="20"/>
        <v>10487.195306365527</v>
      </c>
      <c r="D66" s="307">
        <f t="shared" si="20"/>
        <v>10487.195306365527</v>
      </c>
      <c r="E66" s="307">
        <f t="shared" si="20"/>
        <v>10487.195306365527</v>
      </c>
      <c r="F66" s="307">
        <f t="shared" si="20"/>
        <v>10487.195306365527</v>
      </c>
      <c r="G66" s="307">
        <f t="shared" si="20"/>
        <v>10487.195306365527</v>
      </c>
      <c r="H66" s="307">
        <f t="shared" si="20"/>
        <v>10487.195306365527</v>
      </c>
      <c r="I66" s="307">
        <f t="shared" si="20"/>
        <v>10487.195306365527</v>
      </c>
      <c r="J66" s="307">
        <f t="shared" si="20"/>
        <v>10487.195306365527</v>
      </c>
      <c r="K66" s="307">
        <f t="shared" si="20"/>
        <v>10487.195306365527</v>
      </c>
      <c r="L66" s="307">
        <f t="shared" si="20"/>
        <v>10487.195306365527</v>
      </c>
      <c r="M66" s="307">
        <f t="shared" si="20"/>
        <v>10487.195306365527</v>
      </c>
      <c r="N66" s="307">
        <f t="shared" si="20"/>
        <v>10487.195306365527</v>
      </c>
      <c r="O66" s="307">
        <f t="shared" si="20"/>
        <v>10487.195306365527</v>
      </c>
      <c r="P66" s="307">
        <f t="shared" si="20"/>
        <v>10487.195306365527</v>
      </c>
      <c r="Q66" s="307">
        <f t="shared" si="20"/>
        <v>10487.195306365527</v>
      </c>
      <c r="R66" s="307">
        <f t="shared" si="20"/>
        <v>10487.195306365527</v>
      </c>
      <c r="S66" s="307">
        <f t="shared" si="20"/>
        <v>10487.195306365527</v>
      </c>
      <c r="T66" s="307">
        <f t="shared" si="20"/>
        <v>10487.195306365527</v>
      </c>
      <c r="U66" s="307">
        <f t="shared" si="20"/>
        <v>10487.195306365527</v>
      </c>
      <c r="V66" s="91"/>
      <c r="W66" s="348">
        <f>SUM(B66:U66)</f>
        <v>209743.9061273105</v>
      </c>
      <c r="X66" s="369"/>
      <c r="Y66" s="369"/>
      <c r="Z66" s="372"/>
      <c r="AA66" s="372"/>
      <c r="AB66" s="372"/>
      <c r="AC66" s="372"/>
      <c r="AD66" s="372"/>
      <c r="AE66" s="372"/>
      <c r="AF66" s="372"/>
      <c r="AG66" s="372"/>
      <c r="AH66" s="372"/>
      <c r="AI66" s="372"/>
      <c r="AJ66" s="372"/>
      <c r="AK66" s="372"/>
      <c r="AL66" s="372"/>
      <c r="AM66" s="372"/>
      <c r="AN66" s="372"/>
      <c r="AO66" s="372"/>
      <c r="AP66" s="372"/>
      <c r="AQ66" s="372"/>
      <c r="AR66" s="372"/>
      <c r="AS66" s="372"/>
    </row>
    <row r="67" spans="1:45" ht="15" customHeight="1" x14ac:dyDescent="0.4">
      <c r="A67" s="24" t="s">
        <v>211</v>
      </c>
      <c r="B67" s="355">
        <f>-Depreciation!C56</f>
        <v>-17478.658843942547</v>
      </c>
      <c r="C67" s="355">
        <f>-Depreciation!D56</f>
        <v>-33209.45180349084</v>
      </c>
      <c r="D67" s="355">
        <f>-Depreciation!E56</f>
        <v>-29888.506623141755</v>
      </c>
      <c r="E67" s="355">
        <f>-Depreciation!F56</f>
        <v>-26917.13461967152</v>
      </c>
      <c r="F67" s="355">
        <f>-Depreciation!G56</f>
        <v>-24225.421157704368</v>
      </c>
      <c r="G67" s="355">
        <f>-Depreciation!H56</f>
        <v>-21778.40891955241</v>
      </c>
      <c r="H67" s="355">
        <f>-Depreciation!I56</f>
        <v>-20624.817435852201</v>
      </c>
      <c r="I67" s="355">
        <f>-Depreciation!J56</f>
        <v>-20659.774753540089</v>
      </c>
      <c r="J67" s="355">
        <f>-Depreciation!K56</f>
        <v>-20624.817435852201</v>
      </c>
      <c r="K67" s="355">
        <f>-Depreciation!L56</f>
        <v>-20659.774753540089</v>
      </c>
      <c r="L67" s="355">
        <f>-Depreciation!M56</f>
        <v>-20624.817435852201</v>
      </c>
      <c r="M67" s="355">
        <f>-Depreciation!N56</f>
        <v>-20659.774753540089</v>
      </c>
      <c r="N67" s="355">
        <f>-Depreciation!O56</f>
        <v>-20624.817435852201</v>
      </c>
      <c r="O67" s="355">
        <f>-Depreciation!P56</f>
        <v>-20659.774753540089</v>
      </c>
      <c r="P67" s="355">
        <f>-Depreciation!Q56</f>
        <v>-20624.817435852201</v>
      </c>
      <c r="Q67" s="355">
        <f>-Depreciation!R56</f>
        <v>-20624.817435852201</v>
      </c>
      <c r="R67" s="355">
        <f>-Depreciation!S56</f>
        <v>0</v>
      </c>
      <c r="S67" s="355">
        <f>-Depreciation!T56</f>
        <v>0</v>
      </c>
      <c r="T67" s="355">
        <f>-Depreciation!U56</f>
        <v>0</v>
      </c>
      <c r="U67" s="355">
        <f>-Depreciation!V56</f>
        <v>0</v>
      </c>
      <c r="V67" s="91"/>
      <c r="W67" s="356">
        <f>SUM(B67:U67)</f>
        <v>-359885.58559677697</v>
      </c>
      <c r="X67" s="382"/>
      <c r="Y67" s="382"/>
      <c r="Z67" s="372"/>
      <c r="AA67" s="372"/>
      <c r="AB67" s="372"/>
      <c r="AC67" s="372"/>
      <c r="AD67" s="372"/>
      <c r="AE67" s="372"/>
      <c r="AF67" s="372"/>
      <c r="AG67" s="372"/>
      <c r="AH67" s="372"/>
      <c r="AI67" s="372"/>
      <c r="AJ67" s="372"/>
      <c r="AK67" s="372"/>
      <c r="AL67" s="372"/>
      <c r="AM67" s="372"/>
      <c r="AN67" s="372"/>
      <c r="AO67" s="372"/>
      <c r="AP67" s="372"/>
      <c r="AQ67" s="372"/>
      <c r="AR67" s="372"/>
      <c r="AS67" s="372"/>
    </row>
    <row r="68" spans="1:45" ht="12.75" customHeight="1" x14ac:dyDescent="0.25">
      <c r="A68" s="312" t="s">
        <v>212</v>
      </c>
      <c r="B68" s="252">
        <f t="shared" ref="B68:U68" si="21">SUM(B65:B67)</f>
        <v>7061.1022871065652</v>
      </c>
      <c r="C68" s="252">
        <f t="shared" si="21"/>
        <v>-6359.7733833538805</v>
      </c>
      <c r="D68" s="252">
        <f t="shared" si="21"/>
        <v>-650.24515282427456</v>
      </c>
      <c r="E68" s="252">
        <f t="shared" si="21"/>
        <v>4818.7888252658013</v>
      </c>
      <c r="F68" s="252">
        <f t="shared" si="21"/>
        <v>10252.683299949793</v>
      </c>
      <c r="G68" s="252">
        <f t="shared" si="21"/>
        <v>14179.776568236532</v>
      </c>
      <c r="H68" s="252">
        <f t="shared" si="21"/>
        <v>16858.301694758855</v>
      </c>
      <c r="I68" s="252">
        <f t="shared" si="21"/>
        <v>18353.453214494144</v>
      </c>
      <c r="J68" s="252">
        <f t="shared" si="21"/>
        <v>20031.71835586278</v>
      </c>
      <c r="K68" s="252">
        <f t="shared" si="21"/>
        <v>21660.077370956289</v>
      </c>
      <c r="L68" s="252">
        <f t="shared" si="21"/>
        <v>23393.050505506246</v>
      </c>
      <c r="M68" s="252">
        <f t="shared" si="21"/>
        <v>25103.303985607181</v>
      </c>
      <c r="N68" s="252">
        <f t="shared" si="21"/>
        <v>27011.32145135897</v>
      </c>
      <c r="O68" s="252">
        <f t="shared" si="21"/>
        <v>28904.232283285874</v>
      </c>
      <c r="P68" s="252">
        <f t="shared" si="21"/>
        <v>30958.630371634958</v>
      </c>
      <c r="Q68" s="252">
        <f t="shared" si="21"/>
        <v>32791.461469928814</v>
      </c>
      <c r="R68" s="252">
        <f t="shared" si="21"/>
        <v>55390.228046250602</v>
      </c>
      <c r="S68" s="252">
        <f t="shared" si="21"/>
        <v>57460.717277265212</v>
      </c>
      <c r="T68" s="252">
        <f t="shared" si="21"/>
        <v>59658.595337063991</v>
      </c>
      <c r="U68" s="252">
        <f t="shared" si="21"/>
        <v>61994.543340227858</v>
      </c>
      <c r="V68" s="91"/>
      <c r="W68" s="348">
        <f>SUM(B68:U68)</f>
        <v>508871.96714858228</v>
      </c>
      <c r="X68" s="382"/>
      <c r="Y68" s="382"/>
      <c r="Z68" s="372"/>
      <c r="AA68" s="372"/>
      <c r="AB68" s="372"/>
      <c r="AC68" s="372"/>
      <c r="AD68" s="372"/>
      <c r="AE68" s="372"/>
      <c r="AF68" s="372"/>
      <c r="AG68" s="372"/>
      <c r="AH68" s="372"/>
      <c r="AI68" s="372"/>
      <c r="AJ68" s="372"/>
      <c r="AK68" s="372"/>
      <c r="AL68" s="372"/>
      <c r="AM68" s="372"/>
      <c r="AN68" s="372"/>
      <c r="AO68" s="372"/>
      <c r="AP68" s="372"/>
      <c r="AQ68" s="372"/>
      <c r="AR68" s="372"/>
      <c r="AS68" s="372"/>
    </row>
    <row r="69" spans="1:45" ht="12.75" customHeight="1" x14ac:dyDescent="0.25">
      <c r="A69" s="24"/>
      <c r="B69" s="252"/>
      <c r="C69" s="252"/>
      <c r="D69" s="252"/>
      <c r="E69" s="252"/>
      <c r="F69" s="252"/>
      <c r="G69" s="252"/>
      <c r="H69" s="252"/>
      <c r="I69" s="252"/>
      <c r="J69" s="252"/>
      <c r="K69" s="252"/>
      <c r="L69" s="252"/>
      <c r="M69" s="252"/>
      <c r="N69" s="252"/>
      <c r="O69" s="252"/>
      <c r="P69" s="252"/>
      <c r="Q69" s="252"/>
      <c r="R69" s="252"/>
      <c r="S69" s="252"/>
      <c r="T69" s="252"/>
      <c r="U69" s="252"/>
      <c r="V69" s="91"/>
      <c r="W69" s="91"/>
      <c r="X69" s="382"/>
      <c r="Y69" s="382"/>
      <c r="Z69" s="372"/>
      <c r="AA69" s="372"/>
      <c r="AB69" s="372"/>
      <c r="AC69" s="372"/>
      <c r="AD69" s="372"/>
      <c r="AE69" s="372"/>
      <c r="AF69" s="372"/>
      <c r="AG69" s="372"/>
      <c r="AH69" s="372"/>
      <c r="AI69" s="372"/>
      <c r="AJ69" s="372"/>
      <c r="AK69" s="372"/>
      <c r="AL69" s="372"/>
      <c r="AM69" s="372"/>
      <c r="AN69" s="372"/>
      <c r="AO69" s="372"/>
      <c r="AP69" s="372"/>
      <c r="AQ69" s="372"/>
      <c r="AR69" s="372"/>
      <c r="AS69" s="372"/>
    </row>
    <row r="70" spans="1:45" ht="12.75" customHeight="1" x14ac:dyDescent="0.25">
      <c r="A70" s="24" t="s">
        <v>77</v>
      </c>
      <c r="B70" s="357">
        <f>Assumptions!$E$37</f>
        <v>7.1800000000000003E-2</v>
      </c>
      <c r="C70" s="357">
        <f>Assumptions!$E$37</f>
        <v>7.1800000000000003E-2</v>
      </c>
      <c r="D70" s="357">
        <f>Assumptions!$E$37</f>
        <v>7.1800000000000003E-2</v>
      </c>
      <c r="E70" s="357">
        <f>Assumptions!$E$37</f>
        <v>7.1800000000000003E-2</v>
      </c>
      <c r="F70" s="357">
        <f>Assumptions!$E$37</f>
        <v>7.1800000000000003E-2</v>
      </c>
      <c r="G70" s="357">
        <f>Assumptions!$E$37</f>
        <v>7.1800000000000003E-2</v>
      </c>
      <c r="H70" s="357">
        <f>Assumptions!$E$37</f>
        <v>7.1800000000000003E-2</v>
      </c>
      <c r="I70" s="357">
        <f>Assumptions!$E$37</f>
        <v>7.1800000000000003E-2</v>
      </c>
      <c r="J70" s="357">
        <f>Assumptions!$E$37</f>
        <v>7.1800000000000003E-2</v>
      </c>
      <c r="K70" s="357">
        <f>Assumptions!$E$37</f>
        <v>7.1800000000000003E-2</v>
      </c>
      <c r="L70" s="357">
        <f>Assumptions!$E$37</f>
        <v>7.1800000000000003E-2</v>
      </c>
      <c r="M70" s="357">
        <f>Assumptions!$E$37</f>
        <v>7.1800000000000003E-2</v>
      </c>
      <c r="N70" s="357">
        <f>Assumptions!$E$37</f>
        <v>7.1800000000000003E-2</v>
      </c>
      <c r="O70" s="357">
        <f>Assumptions!$E$37</f>
        <v>7.1800000000000003E-2</v>
      </c>
      <c r="P70" s="357">
        <f>Assumptions!$E$37</f>
        <v>7.1800000000000003E-2</v>
      </c>
      <c r="Q70" s="357">
        <f>Assumptions!$E$37</f>
        <v>7.1800000000000003E-2</v>
      </c>
      <c r="R70" s="357">
        <f>Assumptions!$E$37</f>
        <v>7.1800000000000003E-2</v>
      </c>
      <c r="S70" s="357">
        <f>Assumptions!$E$37</f>
        <v>7.1800000000000003E-2</v>
      </c>
      <c r="T70" s="357">
        <f>Assumptions!$E$37</f>
        <v>7.1800000000000003E-2</v>
      </c>
      <c r="U70" s="357">
        <f>Assumptions!$E$37</f>
        <v>7.1800000000000003E-2</v>
      </c>
      <c r="V70" s="91"/>
      <c r="W70" s="91"/>
      <c r="X70" s="382"/>
      <c r="Y70" s="382"/>
      <c r="Z70" s="372"/>
      <c r="AA70" s="372"/>
      <c r="AB70" s="372"/>
      <c r="AC70" s="372"/>
      <c r="AD70" s="372"/>
      <c r="AE70" s="372"/>
      <c r="AF70" s="372"/>
      <c r="AG70" s="372"/>
      <c r="AH70" s="372"/>
      <c r="AI70" s="372"/>
      <c r="AJ70" s="372"/>
      <c r="AK70" s="372"/>
      <c r="AL70" s="372"/>
      <c r="AM70" s="372"/>
      <c r="AN70" s="372"/>
      <c r="AO70" s="372"/>
      <c r="AP70" s="372"/>
      <c r="AQ70" s="372"/>
      <c r="AR70" s="372"/>
      <c r="AS70" s="372"/>
    </row>
    <row r="71" spans="1:45" ht="12.75" customHeight="1" x14ac:dyDescent="0.25">
      <c r="A71" s="24" t="s">
        <v>228</v>
      </c>
      <c r="B71" s="307">
        <f t="shared" ref="B71:U71" si="22">B68*B70</f>
        <v>506.98714421425137</v>
      </c>
      <c r="C71" s="307">
        <f t="shared" si="22"/>
        <v>-456.63172892480861</v>
      </c>
      <c r="D71" s="307">
        <f t="shared" si="22"/>
        <v>-46.687601972782915</v>
      </c>
      <c r="E71" s="307">
        <f t="shared" si="22"/>
        <v>345.98903765408454</v>
      </c>
      <c r="F71" s="307">
        <f t="shared" si="22"/>
        <v>736.14266093639515</v>
      </c>
      <c r="G71" s="307">
        <f t="shared" si="22"/>
        <v>1018.107957599383</v>
      </c>
      <c r="H71" s="307">
        <f t="shared" si="22"/>
        <v>1210.4260616836859</v>
      </c>
      <c r="I71" s="307">
        <f t="shared" si="22"/>
        <v>1317.7779408006795</v>
      </c>
      <c r="J71" s="307">
        <f t="shared" si="22"/>
        <v>1438.2773779509478</v>
      </c>
      <c r="K71" s="307">
        <f t="shared" si="22"/>
        <v>1555.1935552346615</v>
      </c>
      <c r="L71" s="307">
        <f t="shared" si="22"/>
        <v>1679.6210262953484</v>
      </c>
      <c r="M71" s="307">
        <f t="shared" si="22"/>
        <v>1802.4172261665956</v>
      </c>
      <c r="N71" s="307">
        <f t="shared" si="22"/>
        <v>1939.4128802075741</v>
      </c>
      <c r="O71" s="307">
        <f t="shared" si="22"/>
        <v>2075.3238779399258</v>
      </c>
      <c r="P71" s="307">
        <f t="shared" si="22"/>
        <v>2222.8296606833901</v>
      </c>
      <c r="Q71" s="307">
        <f t="shared" si="22"/>
        <v>2354.426933540889</v>
      </c>
      <c r="R71" s="307">
        <f t="shared" si="22"/>
        <v>3977.0183737207935</v>
      </c>
      <c r="S71" s="307">
        <f t="shared" si="22"/>
        <v>4125.6795005076419</v>
      </c>
      <c r="T71" s="307">
        <f t="shared" si="22"/>
        <v>4283.4871452011948</v>
      </c>
      <c r="U71" s="307">
        <f t="shared" si="22"/>
        <v>4451.2082118283606</v>
      </c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</row>
    <row r="72" spans="1:45" ht="12.75" customHeight="1" x14ac:dyDescent="0.25">
      <c r="A72" s="24"/>
      <c r="B72" s="252"/>
      <c r="C72" s="252"/>
      <c r="D72" s="252"/>
      <c r="E72" s="252"/>
      <c r="F72" s="252"/>
      <c r="G72" s="252"/>
      <c r="H72" s="252"/>
      <c r="I72" s="252"/>
      <c r="J72" s="252"/>
      <c r="K72" s="252"/>
      <c r="L72" s="252"/>
      <c r="M72" s="252"/>
      <c r="N72" s="252"/>
      <c r="O72" s="252"/>
      <c r="P72" s="252"/>
      <c r="Q72" s="252"/>
      <c r="R72" s="252"/>
      <c r="S72" s="252"/>
      <c r="T72" s="252"/>
      <c r="U72" s="252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91"/>
    </row>
    <row r="73" spans="1:45" ht="12.75" customHeight="1" x14ac:dyDescent="0.25">
      <c r="A73" s="24" t="s">
        <v>233</v>
      </c>
      <c r="B73" s="307">
        <v>0</v>
      </c>
      <c r="C73" s="307">
        <f t="shared" ref="C73:Q73" si="23">B77</f>
        <v>0</v>
      </c>
      <c r="D73" s="307">
        <f t="shared" si="23"/>
        <v>456.63172892480861</v>
      </c>
      <c r="E73" s="307">
        <f t="shared" si="23"/>
        <v>503.3193308975915</v>
      </c>
      <c r="F73" s="307">
        <f t="shared" si="23"/>
        <v>157.33029324350696</v>
      </c>
      <c r="G73" s="307">
        <f t="shared" si="23"/>
        <v>0</v>
      </c>
      <c r="H73" s="307">
        <f t="shared" si="23"/>
        <v>0</v>
      </c>
      <c r="I73" s="307">
        <f t="shared" si="23"/>
        <v>0</v>
      </c>
      <c r="J73" s="307">
        <f t="shared" si="23"/>
        <v>0</v>
      </c>
      <c r="K73" s="307">
        <f t="shared" si="23"/>
        <v>0</v>
      </c>
      <c r="L73" s="307">
        <f t="shared" si="23"/>
        <v>0</v>
      </c>
      <c r="M73" s="307">
        <f t="shared" si="23"/>
        <v>0</v>
      </c>
      <c r="N73" s="307">
        <f t="shared" si="23"/>
        <v>0</v>
      </c>
      <c r="O73" s="307">
        <f t="shared" si="23"/>
        <v>0</v>
      </c>
      <c r="P73" s="307">
        <f t="shared" si="23"/>
        <v>0</v>
      </c>
      <c r="Q73" s="307">
        <f t="shared" si="23"/>
        <v>0</v>
      </c>
      <c r="R73" s="307">
        <v>0</v>
      </c>
      <c r="S73" s="307">
        <f>R77</f>
        <v>0</v>
      </c>
      <c r="T73" s="307">
        <f>S77</f>
        <v>0</v>
      </c>
      <c r="U73" s="307">
        <f>T77</f>
        <v>0</v>
      </c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</row>
    <row r="74" spans="1:45" ht="12.75" customHeight="1" x14ac:dyDescent="0.25">
      <c r="A74" s="24" t="s">
        <v>234</v>
      </c>
      <c r="B74" s="317">
        <f t="shared" ref="B74:U74" si="24">IF(B53&gt;2020,0,IF(B71&lt;0,-B71,0))</f>
        <v>0</v>
      </c>
      <c r="C74" s="317">
        <f t="shared" si="24"/>
        <v>456.63172892480861</v>
      </c>
      <c r="D74" s="317">
        <f t="shared" si="24"/>
        <v>46.687601972782915</v>
      </c>
      <c r="E74" s="317">
        <f t="shared" si="24"/>
        <v>0</v>
      </c>
      <c r="F74" s="317">
        <f t="shared" si="24"/>
        <v>0</v>
      </c>
      <c r="G74" s="317">
        <f t="shared" si="24"/>
        <v>0</v>
      </c>
      <c r="H74" s="317">
        <f t="shared" si="24"/>
        <v>0</v>
      </c>
      <c r="I74" s="317">
        <f t="shared" si="24"/>
        <v>0</v>
      </c>
      <c r="J74" s="317">
        <f t="shared" si="24"/>
        <v>0</v>
      </c>
      <c r="K74" s="317">
        <f t="shared" si="24"/>
        <v>0</v>
      </c>
      <c r="L74" s="317">
        <f t="shared" si="24"/>
        <v>0</v>
      </c>
      <c r="M74" s="317">
        <f t="shared" si="24"/>
        <v>0</v>
      </c>
      <c r="N74" s="317">
        <f t="shared" si="24"/>
        <v>0</v>
      </c>
      <c r="O74" s="317">
        <f t="shared" si="24"/>
        <v>0</v>
      </c>
      <c r="P74" s="317">
        <f t="shared" si="24"/>
        <v>0</v>
      </c>
      <c r="Q74" s="317">
        <f t="shared" si="24"/>
        <v>0</v>
      </c>
      <c r="R74" s="317">
        <f t="shared" si="24"/>
        <v>0</v>
      </c>
      <c r="S74" s="317">
        <f t="shared" si="24"/>
        <v>0</v>
      </c>
      <c r="T74" s="317">
        <f t="shared" si="24"/>
        <v>0</v>
      </c>
      <c r="U74" s="317">
        <f t="shared" si="24"/>
        <v>0</v>
      </c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</row>
    <row r="75" spans="1:45" ht="12.75" customHeight="1" x14ac:dyDescent="0.25">
      <c r="A75" s="24" t="s">
        <v>235</v>
      </c>
      <c r="B75" s="358">
        <v>0</v>
      </c>
      <c r="C75" s="358">
        <v>0</v>
      </c>
      <c r="D75" s="358">
        <v>0</v>
      </c>
      <c r="E75" s="358">
        <v>0</v>
      </c>
      <c r="F75" s="358">
        <v>0</v>
      </c>
      <c r="G75" s="358">
        <v>0</v>
      </c>
      <c r="H75" s="358">
        <v>0</v>
      </c>
      <c r="I75" s="358">
        <v>0</v>
      </c>
      <c r="J75" s="358">
        <v>0</v>
      </c>
      <c r="K75" s="358">
        <v>0</v>
      </c>
      <c r="L75" s="358">
        <v>0</v>
      </c>
      <c r="M75" s="358">
        <v>0</v>
      </c>
      <c r="N75" s="358">
        <v>0</v>
      </c>
      <c r="O75" s="358">
        <v>0</v>
      </c>
      <c r="P75" s="358">
        <v>0</v>
      </c>
      <c r="Q75" s="358">
        <v>0</v>
      </c>
      <c r="R75" s="358">
        <v>0</v>
      </c>
      <c r="S75" s="358">
        <v>0</v>
      </c>
      <c r="T75" s="307">
        <f>IF(L74&gt;(SUM(M76:S76)+SUM(L75:S75))*-1,L74-(SUM(L76:S76)+SUM(L75:S75))*-1,0)</f>
        <v>0</v>
      </c>
      <c r="U75" s="307">
        <f>IF(M74&gt;(SUM(N76:T76)+SUM(M75:T75))*-1,M74-(SUM(M76:T76)+SUM(M75:T75))*-1,0)</f>
        <v>0</v>
      </c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1"/>
      <c r="AN75" s="91"/>
      <c r="AO75" s="91"/>
      <c r="AP75" s="91"/>
      <c r="AQ75" s="91"/>
      <c r="AR75" s="91"/>
      <c r="AS75" s="91"/>
    </row>
    <row r="76" spans="1:45" ht="12.75" customHeight="1" x14ac:dyDescent="0.25">
      <c r="A76" s="12" t="s">
        <v>187</v>
      </c>
      <c r="B76" s="359">
        <f t="shared" ref="B76:U76" si="25">IF(B71&lt;0,0,IF(B73&gt;B71,-B71,-B73))</f>
        <v>0</v>
      </c>
      <c r="C76" s="359">
        <f t="shared" si="25"/>
        <v>0</v>
      </c>
      <c r="D76" s="359">
        <f t="shared" si="25"/>
        <v>0</v>
      </c>
      <c r="E76" s="359">
        <f t="shared" si="25"/>
        <v>-345.98903765408454</v>
      </c>
      <c r="F76" s="359">
        <f t="shared" si="25"/>
        <v>-157.33029324350696</v>
      </c>
      <c r="G76" s="359">
        <f t="shared" si="25"/>
        <v>0</v>
      </c>
      <c r="H76" s="359">
        <f t="shared" si="25"/>
        <v>0</v>
      </c>
      <c r="I76" s="359">
        <f t="shared" si="25"/>
        <v>0</v>
      </c>
      <c r="J76" s="359">
        <f t="shared" si="25"/>
        <v>0</v>
      </c>
      <c r="K76" s="359">
        <f t="shared" si="25"/>
        <v>0</v>
      </c>
      <c r="L76" s="359">
        <f t="shared" si="25"/>
        <v>0</v>
      </c>
      <c r="M76" s="359">
        <f t="shared" si="25"/>
        <v>0</v>
      </c>
      <c r="N76" s="359">
        <f t="shared" si="25"/>
        <v>0</v>
      </c>
      <c r="O76" s="359">
        <f t="shared" si="25"/>
        <v>0</v>
      </c>
      <c r="P76" s="359">
        <f t="shared" si="25"/>
        <v>0</v>
      </c>
      <c r="Q76" s="359">
        <f t="shared" si="25"/>
        <v>0</v>
      </c>
      <c r="R76" s="359">
        <f t="shared" si="25"/>
        <v>0</v>
      </c>
      <c r="S76" s="359">
        <f t="shared" si="25"/>
        <v>0</v>
      </c>
      <c r="T76" s="359">
        <f t="shared" si="25"/>
        <v>0</v>
      </c>
      <c r="U76" s="359">
        <f t="shared" si="25"/>
        <v>0</v>
      </c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/>
      <c r="AP76" s="91"/>
      <c r="AQ76" s="91"/>
      <c r="AR76" s="91"/>
      <c r="AS76" s="91"/>
    </row>
    <row r="77" spans="1:45" ht="12.75" customHeight="1" x14ac:dyDescent="0.25">
      <c r="A77" s="12" t="s">
        <v>236</v>
      </c>
      <c r="B77" s="359">
        <f t="shared" ref="B77:U77" si="26">SUM(B73:B76)</f>
        <v>0</v>
      </c>
      <c r="C77" s="359">
        <f t="shared" si="26"/>
        <v>456.63172892480861</v>
      </c>
      <c r="D77" s="359">
        <f t="shared" si="26"/>
        <v>503.3193308975915</v>
      </c>
      <c r="E77" s="359">
        <f t="shared" si="26"/>
        <v>157.33029324350696</v>
      </c>
      <c r="F77" s="359">
        <f t="shared" si="26"/>
        <v>0</v>
      </c>
      <c r="G77" s="359">
        <f t="shared" si="26"/>
        <v>0</v>
      </c>
      <c r="H77" s="359">
        <f t="shared" si="26"/>
        <v>0</v>
      </c>
      <c r="I77" s="359">
        <f t="shared" si="26"/>
        <v>0</v>
      </c>
      <c r="J77" s="359">
        <f t="shared" si="26"/>
        <v>0</v>
      </c>
      <c r="K77" s="359">
        <f t="shared" si="26"/>
        <v>0</v>
      </c>
      <c r="L77" s="359">
        <f t="shared" si="26"/>
        <v>0</v>
      </c>
      <c r="M77" s="359">
        <f t="shared" si="26"/>
        <v>0</v>
      </c>
      <c r="N77" s="359">
        <f t="shared" si="26"/>
        <v>0</v>
      </c>
      <c r="O77" s="359">
        <f t="shared" si="26"/>
        <v>0</v>
      </c>
      <c r="P77" s="359">
        <f t="shared" si="26"/>
        <v>0</v>
      </c>
      <c r="Q77" s="359">
        <f t="shared" si="26"/>
        <v>0</v>
      </c>
      <c r="R77" s="359">
        <f t="shared" si="26"/>
        <v>0</v>
      </c>
      <c r="S77" s="359">
        <f t="shared" si="26"/>
        <v>0</v>
      </c>
      <c r="T77" s="359">
        <f t="shared" si="26"/>
        <v>0</v>
      </c>
      <c r="U77" s="359">
        <f t="shared" si="26"/>
        <v>0</v>
      </c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</row>
    <row r="78" spans="1:45" ht="12.75" customHeight="1" x14ac:dyDescent="0.25">
      <c r="A78" s="12"/>
      <c r="B78" s="252"/>
      <c r="C78" s="252"/>
      <c r="D78" s="252"/>
      <c r="E78" s="252"/>
      <c r="F78" s="252"/>
      <c r="G78" s="252"/>
      <c r="H78" s="252"/>
      <c r="I78" s="252"/>
      <c r="J78" s="252"/>
      <c r="K78" s="252"/>
      <c r="L78" s="252"/>
      <c r="M78" s="252"/>
      <c r="N78" s="252"/>
      <c r="O78" s="252"/>
      <c r="P78" s="252"/>
      <c r="Q78" s="252"/>
      <c r="R78" s="252"/>
      <c r="S78" s="252"/>
      <c r="T78" s="252"/>
      <c r="U78" s="252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</row>
    <row r="79" spans="1:45" ht="13.5" customHeight="1" thickBot="1" x14ac:dyDescent="0.3">
      <c r="A79" s="40" t="s">
        <v>177</v>
      </c>
      <c r="B79" s="302">
        <f t="shared" ref="B79:U79" si="27">IF(B71&lt;0,0,B71+B76)</f>
        <v>506.98714421425137</v>
      </c>
      <c r="C79" s="302">
        <f t="shared" si="27"/>
        <v>0</v>
      </c>
      <c r="D79" s="302">
        <f t="shared" si="27"/>
        <v>0</v>
      </c>
      <c r="E79" s="302">
        <f t="shared" si="27"/>
        <v>0</v>
      </c>
      <c r="F79" s="302">
        <f t="shared" si="27"/>
        <v>578.81236769288819</v>
      </c>
      <c r="G79" s="302">
        <f t="shared" si="27"/>
        <v>1018.107957599383</v>
      </c>
      <c r="H79" s="302">
        <f t="shared" si="27"/>
        <v>1210.4260616836859</v>
      </c>
      <c r="I79" s="302">
        <f t="shared" si="27"/>
        <v>1317.7779408006795</v>
      </c>
      <c r="J79" s="302">
        <f t="shared" si="27"/>
        <v>1438.2773779509478</v>
      </c>
      <c r="K79" s="302">
        <f t="shared" si="27"/>
        <v>1555.1935552346615</v>
      </c>
      <c r="L79" s="302">
        <f t="shared" si="27"/>
        <v>1679.6210262953484</v>
      </c>
      <c r="M79" s="302">
        <f t="shared" si="27"/>
        <v>1802.4172261665956</v>
      </c>
      <c r="N79" s="302">
        <f t="shared" si="27"/>
        <v>1939.4128802075741</v>
      </c>
      <c r="O79" s="302">
        <f t="shared" si="27"/>
        <v>2075.3238779399258</v>
      </c>
      <c r="P79" s="302">
        <f t="shared" si="27"/>
        <v>2222.8296606833901</v>
      </c>
      <c r="Q79" s="302">
        <f t="shared" si="27"/>
        <v>2354.426933540889</v>
      </c>
      <c r="R79" s="302">
        <f t="shared" si="27"/>
        <v>3977.0183737207935</v>
      </c>
      <c r="S79" s="302">
        <f t="shared" si="27"/>
        <v>4125.6795005076419</v>
      </c>
      <c r="T79" s="302">
        <f t="shared" si="27"/>
        <v>4283.4871452011948</v>
      </c>
      <c r="U79" s="302">
        <f t="shared" si="27"/>
        <v>4451.2082118283606</v>
      </c>
      <c r="V79" s="91"/>
      <c r="W79" s="348">
        <f>SUM(B79:U79)</f>
        <v>36537.007241268206</v>
      </c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</row>
  </sheetData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>
    <pageSetUpPr fitToPage="1"/>
  </sheetPr>
  <dimension ref="A1:E11"/>
  <sheetViews>
    <sheetView workbookViewId="0">
      <selection activeCell="C6" sqref="C6"/>
    </sheetView>
  </sheetViews>
  <sheetFormatPr defaultRowHeight="13.2" x14ac:dyDescent="0.25"/>
  <cols>
    <col min="1" max="1" width="21.33203125" customWidth="1"/>
    <col min="2" max="2" width="4" customWidth="1"/>
    <col min="3" max="3" width="17.33203125" customWidth="1"/>
    <col min="4" max="4" width="3.5546875" customWidth="1"/>
    <col min="5" max="5" width="13.6640625" customWidth="1"/>
  </cols>
  <sheetData>
    <row r="1" spans="1:5" ht="12.75" customHeight="1" x14ac:dyDescent="0.25"/>
    <row r="2" spans="1:5" ht="18" customHeight="1" x14ac:dyDescent="0.3">
      <c r="A2" s="383" t="s">
        <v>237</v>
      </c>
      <c r="B2" s="2"/>
      <c r="C2" s="2"/>
      <c r="D2" s="2"/>
      <c r="E2" s="2"/>
    </row>
    <row r="3" spans="1:5" ht="15.75" customHeight="1" x14ac:dyDescent="0.3">
      <c r="A3" s="384"/>
      <c r="B3" s="2"/>
      <c r="C3" s="2"/>
      <c r="D3" s="2"/>
      <c r="E3" s="2"/>
    </row>
    <row r="4" spans="1:5" ht="12.75" customHeight="1" x14ac:dyDescent="0.25">
      <c r="A4" s="385" t="s">
        <v>238</v>
      </c>
      <c r="B4" s="227"/>
      <c r="C4" s="385" t="s">
        <v>239</v>
      </c>
      <c r="D4" s="227"/>
      <c r="E4" s="385" t="s">
        <v>240</v>
      </c>
    </row>
    <row r="5" spans="1:5" ht="12.75" customHeight="1" x14ac:dyDescent="0.25">
      <c r="A5" s="2"/>
      <c r="B5" s="2"/>
      <c r="C5" s="2"/>
      <c r="D5" s="2"/>
      <c r="E5" s="2"/>
    </row>
    <row r="6" spans="1:5" ht="12.75" customHeight="1" x14ac:dyDescent="0.25">
      <c r="A6" s="1" t="s">
        <v>54</v>
      </c>
      <c r="B6" s="2"/>
      <c r="C6" s="386">
        <v>0.29520493370916046</v>
      </c>
      <c r="D6" s="2"/>
      <c r="E6" s="387">
        <v>0.30711509328581132</v>
      </c>
    </row>
    <row r="7" spans="1:5" ht="12.75" customHeight="1" x14ac:dyDescent="0.25">
      <c r="A7" s="1" t="s">
        <v>55</v>
      </c>
      <c r="B7" s="2"/>
      <c r="C7" s="386">
        <v>0.2700361201451052</v>
      </c>
      <c r="D7" s="2"/>
      <c r="E7" s="387">
        <v>0.30131192317942507</v>
      </c>
    </row>
    <row r="8" spans="1:5" ht="12.75" customHeight="1" x14ac:dyDescent="0.25">
      <c r="A8" s="189" t="s">
        <v>56</v>
      </c>
      <c r="B8" s="2"/>
      <c r="C8" s="388">
        <v>0.43475894614573446</v>
      </c>
      <c r="D8" s="2"/>
      <c r="E8" s="388">
        <v>0.39157298353476361</v>
      </c>
    </row>
    <row r="9" spans="1:5" ht="12.75" customHeight="1" x14ac:dyDescent="0.25">
      <c r="A9" s="189"/>
      <c r="B9" s="2"/>
      <c r="C9" s="389"/>
      <c r="D9" s="2"/>
      <c r="E9" s="389"/>
    </row>
    <row r="10" spans="1:5" ht="13.5" customHeight="1" thickBot="1" x14ac:dyDescent="0.3">
      <c r="A10" s="390" t="s">
        <v>15</v>
      </c>
      <c r="B10" s="391"/>
      <c r="C10" s="392">
        <f>SUM(C6:C8)</f>
        <v>1</v>
      </c>
      <c r="D10" s="391"/>
      <c r="E10" s="392">
        <f>SUM(E6:E8)</f>
        <v>1</v>
      </c>
    </row>
    <row r="11" spans="1:5" ht="13.5" customHeight="1" thickTop="1" x14ac:dyDescent="0.25">
      <c r="A11" s="2"/>
      <c r="B11" s="2"/>
      <c r="C11" s="2"/>
      <c r="D11" s="2"/>
      <c r="E11" s="2"/>
    </row>
  </sheetData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G41"/>
  <sheetViews>
    <sheetView workbookViewId="0"/>
  </sheetViews>
  <sheetFormatPr defaultRowHeight="13.2" x14ac:dyDescent="0.25"/>
  <cols>
    <col min="1" max="1" width="36.33203125" customWidth="1"/>
    <col min="2" max="2" width="2.6640625" customWidth="1"/>
    <col min="3" max="3" width="9.88671875" customWidth="1"/>
    <col min="4" max="4" width="12.5546875" customWidth="1"/>
    <col min="5" max="5" width="10.44140625" customWidth="1"/>
    <col min="6" max="6" width="2.6640625" customWidth="1"/>
    <col min="7" max="7" width="7.33203125" customWidth="1"/>
  </cols>
  <sheetData>
    <row r="1" spans="1:7" ht="12.75" customHeight="1" x14ac:dyDescent="0.25"/>
    <row r="2" spans="1:7" ht="12.75" customHeight="1" x14ac:dyDescent="0.25">
      <c r="A2" s="3" t="s">
        <v>51</v>
      </c>
      <c r="B2" s="2"/>
      <c r="C2" s="2"/>
      <c r="D2" s="2"/>
      <c r="E2" s="2"/>
      <c r="F2" s="2"/>
      <c r="G2" s="2"/>
    </row>
    <row r="3" spans="1:7" ht="12.75" customHeight="1" x14ac:dyDescent="0.25">
      <c r="A3" s="2"/>
      <c r="B3" s="2"/>
      <c r="C3" s="2"/>
      <c r="D3" s="2"/>
      <c r="E3" s="2"/>
      <c r="F3" s="2"/>
      <c r="G3" s="2"/>
    </row>
    <row r="4" spans="1:7" ht="13.5" customHeight="1" thickBot="1" x14ac:dyDescent="0.3">
      <c r="A4" s="2"/>
      <c r="B4" s="2"/>
      <c r="C4" s="2"/>
      <c r="D4" s="2"/>
      <c r="E4" s="2"/>
      <c r="F4" s="2"/>
      <c r="G4" s="2"/>
    </row>
    <row r="5" spans="1:7" ht="12.75" customHeight="1" x14ac:dyDescent="0.25">
      <c r="A5" s="68" t="s">
        <v>52</v>
      </c>
      <c r="B5" s="6"/>
      <c r="C5" s="393" t="s">
        <v>53</v>
      </c>
      <c r="D5" s="393"/>
      <c r="E5" s="393"/>
      <c r="F5" s="69"/>
      <c r="G5" s="90"/>
    </row>
    <row r="6" spans="1:7" ht="12.75" customHeight="1" x14ac:dyDescent="0.25">
      <c r="A6" s="38"/>
      <c r="B6" s="12"/>
      <c r="C6" s="12"/>
      <c r="D6" s="12"/>
      <c r="E6" s="12"/>
      <c r="F6" s="91"/>
      <c r="G6" s="25"/>
    </row>
    <row r="7" spans="1:7" ht="12.75" customHeight="1" x14ac:dyDescent="0.25">
      <c r="A7" s="38"/>
      <c r="B7" s="12"/>
      <c r="C7" s="39" t="s">
        <v>54</v>
      </c>
      <c r="D7" s="39" t="s">
        <v>55</v>
      </c>
      <c r="E7" s="39" t="s">
        <v>56</v>
      </c>
      <c r="F7" s="92"/>
      <c r="G7" s="93" t="s">
        <v>15</v>
      </c>
    </row>
    <row r="8" spans="1:7" ht="12.75" customHeight="1" x14ac:dyDescent="0.25">
      <c r="A8" s="38" t="s">
        <v>57</v>
      </c>
      <c r="B8" s="12"/>
      <c r="C8" s="94">
        <v>3</v>
      </c>
      <c r="D8" s="94">
        <v>4</v>
      </c>
      <c r="E8" s="94">
        <v>8</v>
      </c>
      <c r="F8" s="74"/>
      <c r="G8" s="95">
        <f>SUM(C8:E8)</f>
        <v>15</v>
      </c>
    </row>
    <row r="9" spans="1:7" ht="12.75" customHeight="1" x14ac:dyDescent="0.25">
      <c r="A9" s="38" t="s">
        <v>44</v>
      </c>
      <c r="B9" s="12"/>
      <c r="C9" s="94">
        <v>530</v>
      </c>
      <c r="D9" s="94">
        <v>480</v>
      </c>
      <c r="E9" s="94">
        <v>608</v>
      </c>
      <c r="F9" s="96"/>
      <c r="G9" s="95">
        <f>SUM(C9:E9)</f>
        <v>1618</v>
      </c>
    </row>
    <row r="10" spans="1:7" ht="12.75" customHeight="1" x14ac:dyDescent="0.25">
      <c r="A10" s="38" t="s">
        <v>58</v>
      </c>
      <c r="B10" s="12"/>
      <c r="C10" s="94">
        <v>10800</v>
      </c>
      <c r="D10" s="94">
        <v>11500</v>
      </c>
      <c r="E10" s="94">
        <v>11900</v>
      </c>
      <c r="F10" s="74"/>
      <c r="G10" s="95">
        <f>SUMPRODUCT(C10:E10,C9:E9)/G9</f>
        <v>11421.013597033374</v>
      </c>
    </row>
    <row r="11" spans="1:7" ht="13.5" customHeight="1" thickBot="1" x14ac:dyDescent="0.3">
      <c r="A11" s="89" t="s">
        <v>59</v>
      </c>
      <c r="B11" s="29"/>
      <c r="C11" s="97">
        <v>75</v>
      </c>
      <c r="D11" s="97">
        <v>75</v>
      </c>
      <c r="E11" s="97">
        <v>75</v>
      </c>
      <c r="F11" s="29"/>
      <c r="G11" s="98">
        <f>SUM(C11:E11)</f>
        <v>225</v>
      </c>
    </row>
    <row r="12" spans="1:7" ht="12.75" customHeight="1" x14ac:dyDescent="0.25">
      <c r="A12" s="2"/>
      <c r="B12" s="2"/>
      <c r="C12" s="2"/>
      <c r="D12" s="2"/>
      <c r="E12" s="2"/>
      <c r="F12" s="2"/>
      <c r="G12" s="2"/>
    </row>
    <row r="13" spans="1:7" ht="13.5" customHeight="1" thickBot="1" x14ac:dyDescent="0.3">
      <c r="A13" s="12"/>
      <c r="B13" s="12"/>
      <c r="C13" s="12"/>
      <c r="D13" s="12"/>
      <c r="E13" s="12"/>
      <c r="F13" s="12"/>
      <c r="G13" s="12"/>
    </row>
    <row r="14" spans="1:7" ht="12.75" customHeight="1" x14ac:dyDescent="0.25">
      <c r="A14" s="68" t="s">
        <v>60</v>
      </c>
      <c r="B14" s="6"/>
      <c r="C14" s="7"/>
      <c r="D14" s="7"/>
      <c r="E14" s="7"/>
      <c r="F14" s="6"/>
      <c r="G14" s="99"/>
    </row>
    <row r="15" spans="1:7" ht="12.75" customHeight="1" x14ac:dyDescent="0.25">
      <c r="A15" s="38"/>
      <c r="B15" s="12"/>
      <c r="C15" s="12"/>
      <c r="D15" s="12"/>
      <c r="E15" s="12"/>
      <c r="F15" s="91"/>
      <c r="G15" s="100"/>
    </row>
    <row r="16" spans="1:7" ht="12.75" customHeight="1" x14ac:dyDescent="0.25">
      <c r="A16" s="38" t="s">
        <v>61</v>
      </c>
      <c r="B16" s="12"/>
      <c r="C16" s="101">
        <f t="shared" ref="C16:E17" si="0">C22</f>
        <v>1.5</v>
      </c>
      <c r="D16" s="101">
        <f t="shared" si="0"/>
        <v>3</v>
      </c>
      <c r="E16" s="101">
        <f t="shared" si="0"/>
        <v>2</v>
      </c>
      <c r="F16" s="12"/>
      <c r="G16" s="25"/>
    </row>
    <row r="17" spans="1:7" ht="12.75" customHeight="1" x14ac:dyDescent="0.25">
      <c r="A17" s="38" t="s">
        <v>62</v>
      </c>
      <c r="B17" s="12"/>
      <c r="C17" s="74">
        <f t="shared" si="0"/>
        <v>3000</v>
      </c>
      <c r="D17" s="74">
        <f t="shared" si="0"/>
        <v>1500</v>
      </c>
      <c r="E17" s="74">
        <f t="shared" si="0"/>
        <v>1000</v>
      </c>
      <c r="F17" s="12"/>
      <c r="G17" s="95"/>
    </row>
    <row r="18" spans="1:7" ht="13.5" customHeight="1" thickBot="1" x14ac:dyDescent="0.3">
      <c r="A18" s="89" t="s">
        <v>63</v>
      </c>
      <c r="B18" s="29"/>
      <c r="C18" s="102">
        <v>532991.61978558963</v>
      </c>
      <c r="D18" s="102">
        <v>461312.72185621865</v>
      </c>
      <c r="E18" s="102">
        <v>2002000</v>
      </c>
      <c r="F18" s="29"/>
      <c r="G18" s="98"/>
    </row>
    <row r="19" spans="1:7" ht="12.75" customHeight="1" x14ac:dyDescent="0.25">
      <c r="A19" s="12"/>
      <c r="B19" s="12"/>
      <c r="C19" s="12"/>
      <c r="D19" s="12"/>
      <c r="E19" s="12"/>
      <c r="F19" s="12"/>
      <c r="G19" s="12"/>
    </row>
    <row r="20" spans="1:7" ht="13.5" customHeight="1" thickBot="1" x14ac:dyDescent="0.3">
      <c r="A20" s="2"/>
      <c r="B20" s="2"/>
      <c r="C20" s="2"/>
      <c r="D20" s="2"/>
      <c r="E20" s="2"/>
      <c r="F20" s="2"/>
      <c r="G20" s="2"/>
    </row>
    <row r="21" spans="1:7" ht="12.75" customHeight="1" x14ac:dyDescent="0.25">
      <c r="A21" s="5" t="s">
        <v>64</v>
      </c>
      <c r="B21" s="7"/>
      <c r="C21" s="103"/>
      <c r="D21" s="103"/>
      <c r="E21" s="104"/>
      <c r="F21" s="105"/>
      <c r="G21" s="106"/>
    </row>
    <row r="22" spans="1:7" ht="12.75" customHeight="1" x14ac:dyDescent="0.25">
      <c r="A22" s="107" t="s">
        <v>65</v>
      </c>
      <c r="B22" s="12"/>
      <c r="C22" s="108">
        <v>1.5</v>
      </c>
      <c r="D22" s="108">
        <v>3</v>
      </c>
      <c r="E22" s="108">
        <v>2</v>
      </c>
      <c r="F22" s="109"/>
      <c r="G22" s="110"/>
    </row>
    <row r="23" spans="1:7" ht="12.75" customHeight="1" x14ac:dyDescent="0.25">
      <c r="A23" s="38" t="s">
        <v>66</v>
      </c>
      <c r="B23" s="12"/>
      <c r="C23" s="94">
        <v>3000</v>
      </c>
      <c r="D23" s="94">
        <v>1500</v>
      </c>
      <c r="E23" s="94">
        <v>1000</v>
      </c>
      <c r="F23" s="111"/>
      <c r="G23" s="112"/>
    </row>
    <row r="24" spans="1:7" ht="12.75" customHeight="1" x14ac:dyDescent="0.25">
      <c r="A24" s="38" t="s">
        <v>67</v>
      </c>
      <c r="B24" s="12"/>
      <c r="C24" s="60">
        <v>0.03</v>
      </c>
      <c r="D24" s="111">
        <f>C24</f>
        <v>0.03</v>
      </c>
      <c r="E24" s="111">
        <f>C24</f>
        <v>0.03</v>
      </c>
      <c r="F24" s="78"/>
      <c r="G24" s="113"/>
    </row>
    <row r="25" spans="1:7" ht="12.75" customHeight="1" x14ac:dyDescent="0.25">
      <c r="A25" s="38"/>
      <c r="B25" s="12"/>
      <c r="C25" s="77"/>
      <c r="D25" s="77"/>
      <c r="E25" s="77"/>
      <c r="F25" s="114"/>
      <c r="G25" s="115"/>
    </row>
    <row r="26" spans="1:7" ht="12.75" customHeight="1" x14ac:dyDescent="0.25">
      <c r="A26" s="42" t="s">
        <v>68</v>
      </c>
      <c r="B26" s="12"/>
      <c r="C26" s="116"/>
      <c r="D26" s="116"/>
      <c r="E26" s="116"/>
      <c r="F26" s="114"/>
      <c r="G26" s="115"/>
    </row>
    <row r="27" spans="1:7" ht="12.75" customHeight="1" x14ac:dyDescent="0.25">
      <c r="A27" s="38" t="s">
        <v>69</v>
      </c>
      <c r="B27" s="12"/>
      <c r="C27" s="117">
        <v>1242.4817142857141</v>
      </c>
      <c r="D27" s="117">
        <v>1515.7902857142858</v>
      </c>
      <c r="E27" s="117">
        <v>1448.5405714285714</v>
      </c>
      <c r="F27" s="114"/>
      <c r="G27" s="115"/>
    </row>
    <row r="28" spans="1:7" ht="12.75" customHeight="1" x14ac:dyDescent="0.25">
      <c r="A28" s="38" t="s">
        <v>70</v>
      </c>
      <c r="B28" s="12"/>
      <c r="C28" s="118">
        <f>C22*C18/1000</f>
        <v>799.4874296783845</v>
      </c>
      <c r="D28" s="118">
        <f>D22*D18/1000</f>
        <v>1383.9381655686559</v>
      </c>
      <c r="E28" s="118">
        <f>E22*E18/1000</f>
        <v>4004</v>
      </c>
      <c r="F28" s="114"/>
      <c r="G28" s="115"/>
    </row>
    <row r="29" spans="1:7" ht="12.75" customHeight="1" x14ac:dyDescent="0.25">
      <c r="A29" s="38" t="s">
        <v>71</v>
      </c>
      <c r="B29" s="12"/>
      <c r="C29" s="118">
        <f>C23*C11*C8/1000</f>
        <v>675</v>
      </c>
      <c r="D29" s="118">
        <f>D23*D11*D8/1000</f>
        <v>450</v>
      </c>
      <c r="E29" s="118">
        <f>E23*E11*E8/1000</f>
        <v>600</v>
      </c>
      <c r="F29" s="12"/>
      <c r="G29" s="25"/>
    </row>
    <row r="30" spans="1:7" ht="12.75" customHeight="1" x14ac:dyDescent="0.25">
      <c r="A30" s="38" t="s">
        <v>72</v>
      </c>
      <c r="B30" s="12"/>
      <c r="C30" s="117">
        <v>322.2511428571429</v>
      </c>
      <c r="D30" s="117">
        <v>306.26771428571425</v>
      </c>
      <c r="E30" s="117">
        <v>400.64714285714285</v>
      </c>
      <c r="F30" s="114"/>
      <c r="G30" s="115"/>
    </row>
    <row r="31" spans="1:7" ht="13.5" customHeight="1" thickBot="1" x14ac:dyDescent="0.3">
      <c r="A31" s="89" t="s">
        <v>73</v>
      </c>
      <c r="B31" s="29"/>
      <c r="C31" s="119">
        <f>-Gleason!B43</f>
        <v>92.2251014</v>
      </c>
      <c r="D31" s="119">
        <f>-Wheatland!B43</f>
        <v>203.273</v>
      </c>
      <c r="E31" s="119">
        <f>-Wilton!B43</f>
        <v>333.7</v>
      </c>
      <c r="F31" s="29"/>
      <c r="G31" s="67"/>
    </row>
    <row r="32" spans="1:7" ht="12.75" customHeight="1" x14ac:dyDescent="0.25">
      <c r="A32" s="2"/>
      <c r="B32" s="2"/>
      <c r="C32" s="2"/>
      <c r="D32" s="2"/>
      <c r="E32" s="2"/>
      <c r="F32" s="2"/>
      <c r="G32" s="2"/>
    </row>
    <row r="33" spans="1:7" ht="13.5" customHeight="1" thickBot="1" x14ac:dyDescent="0.3">
      <c r="A33" s="12"/>
      <c r="B33" s="12"/>
      <c r="C33" s="12"/>
      <c r="D33" s="12"/>
      <c r="E33" s="12"/>
      <c r="F33" s="12"/>
      <c r="G33" s="12"/>
    </row>
    <row r="34" spans="1:7" ht="12.75" customHeight="1" x14ac:dyDescent="0.25">
      <c r="A34" s="68" t="s">
        <v>74</v>
      </c>
      <c r="B34" s="6"/>
      <c r="C34" s="104"/>
      <c r="D34" s="104"/>
      <c r="E34" s="104"/>
      <c r="F34" s="104"/>
      <c r="G34" s="120"/>
    </row>
    <row r="35" spans="1:7" ht="12.75" customHeight="1" x14ac:dyDescent="0.25">
      <c r="A35" s="38"/>
      <c r="B35" s="12"/>
      <c r="C35" s="109"/>
      <c r="D35" s="109"/>
      <c r="E35" s="109"/>
      <c r="F35" s="109"/>
      <c r="G35" s="110"/>
    </row>
    <row r="36" spans="1:7" ht="12.75" customHeight="1" x14ac:dyDescent="0.25">
      <c r="A36" s="38" t="s">
        <v>76</v>
      </c>
      <c r="B36" s="12"/>
      <c r="C36" s="60">
        <v>0.35</v>
      </c>
      <c r="D36" s="60">
        <v>0.35</v>
      </c>
      <c r="E36" s="60">
        <v>0.35</v>
      </c>
      <c r="F36" s="111"/>
      <c r="G36" s="112">
        <v>0.35</v>
      </c>
    </row>
    <row r="37" spans="1:7" ht="12.75" customHeight="1" x14ac:dyDescent="0.25">
      <c r="A37" s="38" t="s">
        <v>77</v>
      </c>
      <c r="B37" s="12"/>
      <c r="C37" s="121">
        <v>0.06</v>
      </c>
      <c r="D37" s="121">
        <v>4.4999999999999998E-2</v>
      </c>
      <c r="E37" s="121">
        <v>7.1800000000000003E-2</v>
      </c>
      <c r="F37" s="78"/>
      <c r="G37" s="113"/>
    </row>
    <row r="38" spans="1:7" ht="12.75" customHeight="1" x14ac:dyDescent="0.25">
      <c r="A38" s="38" t="s">
        <v>78</v>
      </c>
      <c r="B38" s="12"/>
      <c r="C38" s="121" t="s">
        <v>75</v>
      </c>
      <c r="D38" s="121">
        <v>3.4000000000000002E-2</v>
      </c>
      <c r="E38" s="121" t="s">
        <v>75</v>
      </c>
      <c r="F38" s="78"/>
      <c r="G38" s="113"/>
    </row>
    <row r="39" spans="1:7" ht="12.75" customHeight="1" x14ac:dyDescent="0.25">
      <c r="A39" s="38" t="s">
        <v>79</v>
      </c>
      <c r="B39" s="12"/>
      <c r="C39" s="121" t="s">
        <v>75</v>
      </c>
      <c r="D39" s="121">
        <v>1.2E-2</v>
      </c>
      <c r="E39" s="121" t="s">
        <v>75</v>
      </c>
      <c r="F39" s="109"/>
      <c r="G39" s="110"/>
    </row>
    <row r="40" spans="1:7" ht="12.75" customHeight="1" x14ac:dyDescent="0.25">
      <c r="A40" s="38" t="s">
        <v>80</v>
      </c>
      <c r="B40" s="12"/>
      <c r="C40" s="121">
        <v>2.5000000000000001E-3</v>
      </c>
      <c r="D40" s="121" t="s">
        <v>75</v>
      </c>
      <c r="E40" s="121">
        <v>1.5E-3</v>
      </c>
      <c r="F40" s="109"/>
      <c r="G40" s="110"/>
    </row>
    <row r="41" spans="1:7" ht="13.5" customHeight="1" thickBot="1" x14ac:dyDescent="0.3">
      <c r="A41" s="89" t="s">
        <v>81</v>
      </c>
      <c r="B41" s="29"/>
      <c r="C41" s="122">
        <v>2.5000000000000001E-3</v>
      </c>
      <c r="D41" s="122" t="s">
        <v>75</v>
      </c>
      <c r="E41" s="122">
        <v>1E-3</v>
      </c>
      <c r="F41" s="29"/>
      <c r="G41" s="67"/>
    </row>
  </sheetData>
  <mergeCells count="1">
    <mergeCell ref="C5:E5"/>
  </mergeCells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V44"/>
  <sheetViews>
    <sheetView workbookViewId="0"/>
  </sheetViews>
  <sheetFormatPr defaultRowHeight="13.2" x14ac:dyDescent="0.25"/>
  <cols>
    <col min="1" max="1" width="30.5546875" customWidth="1"/>
    <col min="2" max="15" width="6.6640625" customWidth="1"/>
    <col min="16" max="22" width="7.6640625" customWidth="1"/>
  </cols>
  <sheetData>
    <row r="1" spans="1:22" ht="12" customHeight="1" x14ac:dyDescent="0.25">
      <c r="A1" s="1"/>
      <c r="B1" s="2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</row>
    <row r="2" spans="1:22" ht="12.75" customHeight="1" x14ac:dyDescent="0.25">
      <c r="A2" s="3" t="s">
        <v>82</v>
      </c>
      <c r="B2" s="4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</row>
    <row r="3" spans="1:22" ht="12.75" customHeight="1" x14ac:dyDescent="0.25">
      <c r="A3" s="2"/>
      <c r="B3" s="2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</row>
    <row r="4" spans="1:22" ht="12.75" customHeight="1" x14ac:dyDescent="0.25">
      <c r="A4" s="2"/>
      <c r="B4" s="2"/>
      <c r="C4" s="125">
        <v>2001</v>
      </c>
      <c r="D4" s="125">
        <v>2002</v>
      </c>
      <c r="E4" s="125">
        <v>2003</v>
      </c>
      <c r="F4" s="125">
        <v>2004</v>
      </c>
      <c r="G4" s="125">
        <v>2005</v>
      </c>
      <c r="H4" s="125">
        <v>2006</v>
      </c>
      <c r="I4" s="125">
        <v>2007</v>
      </c>
      <c r="J4" s="125">
        <v>2008</v>
      </c>
      <c r="K4" s="125">
        <v>2009</v>
      </c>
      <c r="L4" s="125">
        <v>2010</v>
      </c>
      <c r="M4" s="125">
        <v>2011</v>
      </c>
      <c r="N4" s="125">
        <v>2012</v>
      </c>
      <c r="O4" s="125">
        <v>2013</v>
      </c>
      <c r="P4" s="125">
        <v>2014</v>
      </c>
      <c r="Q4" s="125">
        <v>2015</v>
      </c>
      <c r="R4" s="125">
        <v>2016</v>
      </c>
      <c r="S4" s="125">
        <v>2017</v>
      </c>
      <c r="T4" s="125">
        <v>2018</v>
      </c>
      <c r="U4" s="125">
        <v>2019</v>
      </c>
      <c r="V4" s="125">
        <v>2020</v>
      </c>
    </row>
    <row r="5" spans="1:22" ht="12.75" customHeight="1" x14ac:dyDescent="0.25">
      <c r="A5" s="2"/>
      <c r="B5" s="2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</row>
    <row r="6" spans="1:22" ht="12.75" customHeight="1" x14ac:dyDescent="0.25">
      <c r="A6" s="126" t="s">
        <v>83</v>
      </c>
      <c r="B6" s="2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</row>
    <row r="7" spans="1:22" ht="12.75" customHeight="1" x14ac:dyDescent="0.25">
      <c r="A7" s="126"/>
      <c r="B7" s="2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</row>
    <row r="8" spans="1:22" ht="12.75" customHeight="1" x14ac:dyDescent="0.25">
      <c r="A8" s="40" t="s">
        <v>84</v>
      </c>
      <c r="B8" s="2"/>
      <c r="C8" s="127">
        <f>Assumptions!C24</f>
        <v>0.03</v>
      </c>
      <c r="D8" s="12"/>
      <c r="E8" s="128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 ht="12.75" customHeight="1" x14ac:dyDescent="0.25">
      <c r="A9" s="40"/>
      <c r="B9" s="129"/>
      <c r="C9" s="12"/>
      <c r="D9" s="12"/>
      <c r="E9" s="128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ht="12.75" customHeight="1" x14ac:dyDescent="0.25">
      <c r="A10" s="12"/>
      <c r="B10" s="61"/>
      <c r="C10" s="12"/>
      <c r="D10" s="12"/>
      <c r="E10" s="128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ht="12.75" customHeight="1" x14ac:dyDescent="0.25">
      <c r="A11" s="126" t="s">
        <v>85</v>
      </c>
      <c r="B11" s="12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</row>
    <row r="12" spans="1:22" ht="12.75" customHeight="1" x14ac:dyDescent="0.25">
      <c r="A12" s="12" t="s">
        <v>86</v>
      </c>
      <c r="B12" s="1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2.75" customHeight="1" x14ac:dyDescent="0.25">
      <c r="A13" s="12"/>
      <c r="B13" s="12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</row>
    <row r="14" spans="1:22" ht="12.75" customHeight="1" x14ac:dyDescent="0.25">
      <c r="A14" s="131" t="s">
        <v>87</v>
      </c>
      <c r="B14" s="12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</row>
    <row r="15" spans="1:22" ht="12.75" customHeight="1" x14ac:dyDescent="0.25">
      <c r="A15" s="12" t="s">
        <v>88</v>
      </c>
      <c r="B15" s="132"/>
      <c r="C15" s="133">
        <v>60.97229916897507</v>
      </c>
      <c r="D15" s="133">
        <v>62.131742415801384</v>
      </c>
      <c r="E15" s="133">
        <v>63.313233521424777</v>
      </c>
      <c r="F15" s="133">
        <v>64.517191745760613</v>
      </c>
      <c r="G15" s="133">
        <v>65.744044321329639</v>
      </c>
      <c r="H15" s="133">
        <v>64.64769576191091</v>
      </c>
      <c r="I15" s="133">
        <v>63.569629925682506</v>
      </c>
      <c r="J15" s="133">
        <v>62.50954192970881</v>
      </c>
      <c r="K15" s="133">
        <v>61.467131975286122</v>
      </c>
      <c r="L15" s="133">
        <v>60.442105263157892</v>
      </c>
      <c r="M15" s="133">
        <v>59.792038989376501</v>
      </c>
      <c r="N15" s="133">
        <v>59.148964301319459</v>
      </c>
      <c r="O15" s="133">
        <v>58.512806003159973</v>
      </c>
      <c r="P15" s="133">
        <v>57.883489707816537</v>
      </c>
      <c r="Q15" s="133">
        <v>57.26094182825485</v>
      </c>
      <c r="R15" s="133">
        <v>56.386317952681878</v>
      </c>
      <c r="S15" s="133">
        <v>55.525053391491426</v>
      </c>
      <c r="T15" s="133">
        <v>54.676944089791142</v>
      </c>
      <c r="U15" s="133">
        <v>53.841789109495259</v>
      </c>
      <c r="V15" s="133">
        <v>53.019390581717452</v>
      </c>
    </row>
    <row r="16" spans="1:22" ht="12.75" customHeight="1" x14ac:dyDescent="0.25">
      <c r="A16" s="12"/>
      <c r="B16" s="12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2.75" customHeight="1" x14ac:dyDescent="0.25">
      <c r="A17" s="131" t="s">
        <v>89</v>
      </c>
      <c r="B17" s="1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 ht="12.75" customHeight="1" x14ac:dyDescent="0.25">
      <c r="A18" s="12" t="s">
        <v>90</v>
      </c>
      <c r="B18" s="134"/>
      <c r="C18" s="133">
        <f>C15*(1+'Power Curves'!$C$8)^(C4-1998)</f>
        <v>66.626077554016618</v>
      </c>
      <c r="D18" s="133">
        <f>D15*(1+'Power Curves'!$C$8)^(D4-1998)</f>
        <v>69.929823469635139</v>
      </c>
      <c r="E18" s="133">
        <f>E15*(1+'Power Curves'!$C$8)^(E4-1998)</f>
        <v>73.397390181489428</v>
      </c>
      <c r="F18" s="133">
        <f>F15*(1+'Power Curves'!$C$8)^(F4-1998)</f>
        <v>77.036900969627297</v>
      </c>
      <c r="G18" s="133">
        <f>G15*(1+'Power Curves'!$C$8)^(G4-1998)</f>
        <v>80.85688191813766</v>
      </c>
      <c r="H18" s="133">
        <f>H15*(1+'Power Curves'!$C$8)^(H4-1998)</f>
        <v>81.893766821837715</v>
      </c>
      <c r="I18" s="133">
        <f>I15*(1+'Power Curves'!$C$8)^(I4-1998)</f>
        <v>82.943948432979582</v>
      </c>
      <c r="J18" s="133">
        <f>J15*(1+'Power Curves'!$C$8)^(J4-1998)</f>
        <v>84.00759726463383</v>
      </c>
      <c r="K18" s="133">
        <f>K15*(1+'Power Curves'!$C$8)^(K4-1998)</f>
        <v>85.084886016480638</v>
      </c>
      <c r="L18" s="133">
        <f>L15*(1+'Power Curves'!$C$8)^(L4-1998)</f>
        <v>86.17598960285008</v>
      </c>
      <c r="M18" s="133">
        <f>M15*(1+'Power Curves'!$C$8)^(M4-1998)</f>
        <v>87.806625051909762</v>
      </c>
      <c r="N18" s="133">
        <f>N15*(1+'Power Curves'!$C$8)^(N4-1998)</f>
        <v>89.468115637997585</v>
      </c>
      <c r="O18" s="133">
        <f>O15*(1+'Power Curves'!$C$8)^(O4-1998)</f>
        <v>91.161045206804843</v>
      </c>
      <c r="P18" s="133">
        <f>P15*(1+'Power Curves'!$C$8)^(P4-1998)</f>
        <v>92.886008651641561</v>
      </c>
      <c r="Q18" s="133">
        <f>Q15*(1+'Power Curves'!$C$8)^(Q4-1998)</f>
        <v>94.643612122481485</v>
      </c>
      <c r="R18" s="133">
        <f>R15*(1+'Power Curves'!$C$8)^(R4-1998)</f>
        <v>95.993931884230719</v>
      </c>
      <c r="S18" s="133">
        <f>S15*(1+'Power Curves'!$C$8)^(S4-1998)</f>
        <v>97.363517219409388</v>
      </c>
      <c r="T18" s="133">
        <f>T15*(1+'Power Curves'!$C$8)^(T4-1998)</f>
        <v>98.752642997963164</v>
      </c>
      <c r="U18" s="133">
        <f>U15*(1+'Power Curves'!$C$8)^(U4-1998)</f>
        <v>100.16158801152146</v>
      </c>
      <c r="V18" s="133">
        <f>V15*(1+'Power Curves'!$C$8)^(V4-1998)</f>
        <v>101.59063502934997</v>
      </c>
    </row>
    <row r="19" spans="1:22" ht="13.5" customHeight="1" thickBot="1" x14ac:dyDescent="0.3">
      <c r="A19" s="12"/>
      <c r="B19" s="12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</row>
    <row r="20" spans="1:22" ht="13.5" customHeight="1" thickBot="1" x14ac:dyDescent="0.3">
      <c r="A20" s="136" t="s">
        <v>91</v>
      </c>
      <c r="B20" s="137"/>
      <c r="C20" s="138">
        <f t="shared" ref="C20:V20" si="0">C18/12</f>
        <v>5.5521731295013845</v>
      </c>
      <c r="D20" s="138">
        <f t="shared" si="0"/>
        <v>5.8274852891362618</v>
      </c>
      <c r="E20" s="138">
        <f t="shared" si="0"/>
        <v>6.1164491817907853</v>
      </c>
      <c r="F20" s="138">
        <f t="shared" si="0"/>
        <v>6.4197417474689411</v>
      </c>
      <c r="G20" s="138">
        <f t="shared" si="0"/>
        <v>6.7380734931781383</v>
      </c>
      <c r="H20" s="138">
        <f t="shared" si="0"/>
        <v>6.824480568486476</v>
      </c>
      <c r="I20" s="138">
        <f t="shared" si="0"/>
        <v>6.9119957027482988</v>
      </c>
      <c r="J20" s="138">
        <f t="shared" si="0"/>
        <v>7.0006331053861528</v>
      </c>
      <c r="K20" s="138">
        <f t="shared" si="0"/>
        <v>7.0904071680400529</v>
      </c>
      <c r="L20" s="138">
        <f t="shared" si="0"/>
        <v>7.1813324669041734</v>
      </c>
      <c r="M20" s="138">
        <f t="shared" si="0"/>
        <v>7.3172187543258138</v>
      </c>
      <c r="N20" s="138">
        <f t="shared" si="0"/>
        <v>7.4556763031664657</v>
      </c>
      <c r="O20" s="138">
        <f t="shared" si="0"/>
        <v>7.5967537672337366</v>
      </c>
      <c r="P20" s="138">
        <f t="shared" si="0"/>
        <v>7.7405007209701298</v>
      </c>
      <c r="Q20" s="138">
        <f t="shared" si="0"/>
        <v>7.8869676768734571</v>
      </c>
      <c r="R20" s="138">
        <f t="shared" si="0"/>
        <v>7.9994943236858935</v>
      </c>
      <c r="S20" s="138">
        <f t="shared" si="0"/>
        <v>8.113626434950783</v>
      </c>
      <c r="T20" s="138">
        <f t="shared" si="0"/>
        <v>8.2293869164969298</v>
      </c>
      <c r="U20" s="138">
        <f t="shared" si="0"/>
        <v>8.3467990009601216</v>
      </c>
      <c r="V20" s="138">
        <f t="shared" si="0"/>
        <v>8.4658862524458307</v>
      </c>
    </row>
    <row r="21" spans="1:22" ht="12.75" customHeight="1" x14ac:dyDescent="0.25">
      <c r="A21" s="40"/>
      <c r="B21" s="12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</row>
    <row r="22" spans="1:22" ht="12.75" customHeight="1" x14ac:dyDescent="0.25">
      <c r="A22" s="12"/>
      <c r="B22" s="140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 ht="12.75" customHeight="1" x14ac:dyDescent="0.25">
      <c r="A23" s="126" t="s">
        <v>92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 ht="12.75" customHeight="1" x14ac:dyDescent="0.25">
      <c r="A24" s="12" t="s">
        <v>93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spans="1:22" ht="12.75" customHeight="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 ht="12.75" customHeight="1" x14ac:dyDescent="0.25">
      <c r="A26" s="131" t="s">
        <v>87</v>
      </c>
      <c r="B26" s="12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</row>
    <row r="27" spans="1:22" ht="12.75" customHeight="1" x14ac:dyDescent="0.25">
      <c r="A27" s="12" t="s">
        <v>88</v>
      </c>
      <c r="B27" s="140"/>
      <c r="C27" s="133">
        <v>63.677659574468088</v>
      </c>
      <c r="D27" s="133">
        <v>65.100779776943028</v>
      </c>
      <c r="E27" s="133">
        <v>66.555705028853311</v>
      </c>
      <c r="F27" s="133">
        <v>68.043146135349346</v>
      </c>
      <c r="G27" s="133">
        <v>69.563829787234042</v>
      </c>
      <c r="H27" s="133">
        <v>68.90950818778056</v>
      </c>
      <c r="I27" s="133">
        <v>68.261341176951959</v>
      </c>
      <c r="J27" s="133">
        <v>67.619270864314558</v>
      </c>
      <c r="K27" s="133">
        <v>66.983239903955678</v>
      </c>
      <c r="L27" s="133">
        <v>66.353191489361706</v>
      </c>
      <c r="M27" s="133">
        <v>65.246684783649414</v>
      </c>
      <c r="N27" s="133">
        <v>64.158630198510451</v>
      </c>
      <c r="O27" s="133">
        <v>63.088720026136173</v>
      </c>
      <c r="P27" s="133">
        <v>62.036651690057468</v>
      </c>
      <c r="Q27" s="133">
        <v>61.002127659574469</v>
      </c>
      <c r="R27" s="133">
        <v>60.120860172387651</v>
      </c>
      <c r="S27" s="133">
        <v>59.25232391956542</v>
      </c>
      <c r="T27" s="133">
        <v>58.396334979278365</v>
      </c>
      <c r="U27" s="133">
        <v>57.55271208672454</v>
      </c>
      <c r="V27" s="133">
        <v>56.721276595744683</v>
      </c>
    </row>
    <row r="28" spans="1:22" ht="12.75" customHeight="1" x14ac:dyDescent="0.25">
      <c r="A28" s="12"/>
      <c r="B28" s="140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2.75" customHeight="1" x14ac:dyDescent="0.25">
      <c r="A29" s="131" t="s">
        <v>89</v>
      </c>
      <c r="B29" s="140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2.75" customHeight="1" x14ac:dyDescent="0.25">
      <c r="A30" s="12" t="s">
        <v>90</v>
      </c>
      <c r="B30" s="140"/>
      <c r="C30" s="142">
        <f>C27*(1+'Power Curves'!$C$8)^(C4-1998)</f>
        <v>69.582297913829791</v>
      </c>
      <c r="D30" s="142">
        <f>D27*(1+'Power Curves'!$C$8)^(D4-1998)</f>
        <v>73.271501176819214</v>
      </c>
      <c r="E30" s="142">
        <f>E27*(1+'Power Curves'!$C$8)^(E4-1998)</f>
        <v>77.156303336707765</v>
      </c>
      <c r="F30" s="142">
        <f>F27*(1+'Power Curves'!$C$8)^(F4-1998)</f>
        <v>81.247074905972227</v>
      </c>
      <c r="G30" s="142">
        <f>G27*(1+'Power Curves'!$C$8)^(G4-1998)</f>
        <v>85.554736234183238</v>
      </c>
      <c r="H30" s="142">
        <f>H27*(1+'Power Curves'!$C$8)^(H4-1998)</f>
        <v>87.292503295415372</v>
      </c>
      <c r="I30" s="142">
        <f>I27*(1+'Power Curves'!$C$8)^(I4-1998)</f>
        <v>89.065567459905907</v>
      </c>
      <c r="J30" s="142">
        <f>J27*(1+'Power Curves'!$C$8)^(J4-1998)</f>
        <v>90.874645673859078</v>
      </c>
      <c r="K30" s="142">
        <f>K27*(1+'Power Curves'!$C$8)^(K4-1998)</f>
        <v>92.720469445916706</v>
      </c>
      <c r="L30" s="142">
        <f>L27*(1+'Power Curves'!$C$8)^(L4-1998)</f>
        <v>94.603785142946663</v>
      </c>
      <c r="M30" s="142">
        <f>M27*(1+'Power Curves'!$C$8)^(M4-1998)</f>
        <v>95.816956295736318</v>
      </c>
      <c r="N30" s="142">
        <f>N27*(1+'Power Curves'!$C$8)^(N4-1998)</f>
        <v>97.045684799045745</v>
      </c>
      <c r="O30" s="142">
        <f>O27*(1+'Power Curves'!$C$8)^(O4-1998)</f>
        <v>98.29017015576828</v>
      </c>
      <c r="P30" s="142">
        <f>P27*(1+'Power Curves'!$C$8)^(P4-1998)</f>
        <v>99.550614427163865</v>
      </c>
      <c r="Q30" s="142">
        <f>Q27*(1+'Power Curves'!$C$8)^(Q4-1998)</f>
        <v>100.82722226566673</v>
      </c>
      <c r="R30" s="142">
        <f>R27*(1+'Power Curves'!$C$8)^(R4-1998)</f>
        <v>102.35174002765409</v>
      </c>
      <c r="S30" s="142">
        <f>S27*(1+'Power Curves'!$C$8)^(S4-1998)</f>
        <v>103.89930865184301</v>
      </c>
      <c r="T30" s="142">
        <f>T27*(1+'Power Curves'!$C$8)^(T4-1998)</f>
        <v>105.47027666959309</v>
      </c>
      <c r="U30" s="142">
        <f>U27*(1+'Power Curves'!$C$8)^(U4-1998)</f>
        <v>107.06499788209312</v>
      </c>
      <c r="V30" s="142">
        <f>V27*(1+'Power Curves'!$C$8)^(V4-1998)</f>
        <v>108.68383144004159</v>
      </c>
    </row>
    <row r="31" spans="1:22" ht="13.5" customHeight="1" thickBot="1" x14ac:dyDescent="0.3">
      <c r="A31" s="12"/>
      <c r="B31" s="12"/>
      <c r="C31" s="143"/>
      <c r="D31" s="143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3.5" customHeight="1" thickBot="1" x14ac:dyDescent="0.3">
      <c r="A32" s="136" t="s">
        <v>94</v>
      </c>
      <c r="B32" s="137"/>
      <c r="C32" s="138">
        <f t="shared" ref="C32:V32" si="1">C30/12</f>
        <v>5.7985248261524829</v>
      </c>
      <c r="D32" s="138">
        <f t="shared" si="1"/>
        <v>6.1059584314016009</v>
      </c>
      <c r="E32" s="138">
        <f t="shared" si="1"/>
        <v>6.4296919447256471</v>
      </c>
      <c r="F32" s="138">
        <f t="shared" si="1"/>
        <v>6.7705895754976853</v>
      </c>
      <c r="G32" s="138">
        <f t="shared" si="1"/>
        <v>7.1295613528486035</v>
      </c>
      <c r="H32" s="138">
        <f t="shared" si="1"/>
        <v>7.274375274617948</v>
      </c>
      <c r="I32" s="138">
        <f t="shared" si="1"/>
        <v>7.4221306216588259</v>
      </c>
      <c r="J32" s="138">
        <f t="shared" si="1"/>
        <v>7.5728871394882562</v>
      </c>
      <c r="K32" s="138">
        <f t="shared" si="1"/>
        <v>7.7267057871597258</v>
      </c>
      <c r="L32" s="138">
        <f t="shared" si="1"/>
        <v>7.8836487619122222</v>
      </c>
      <c r="M32" s="138">
        <f t="shared" si="1"/>
        <v>7.9847463579780262</v>
      </c>
      <c r="N32" s="138">
        <f t="shared" si="1"/>
        <v>8.0871403999204787</v>
      </c>
      <c r="O32" s="138">
        <f t="shared" si="1"/>
        <v>8.1908475129806906</v>
      </c>
      <c r="P32" s="138">
        <f t="shared" si="1"/>
        <v>8.2958845355969881</v>
      </c>
      <c r="Q32" s="138">
        <f t="shared" si="1"/>
        <v>8.4022685221388951</v>
      </c>
      <c r="R32" s="138">
        <f t="shared" si="1"/>
        <v>8.5293116689711734</v>
      </c>
      <c r="S32" s="138">
        <f t="shared" si="1"/>
        <v>8.6582757209869179</v>
      </c>
      <c r="T32" s="138">
        <f t="shared" si="1"/>
        <v>8.7891897224660909</v>
      </c>
      <c r="U32" s="138">
        <f t="shared" si="1"/>
        <v>8.9220831568410937</v>
      </c>
      <c r="V32" s="138">
        <f t="shared" si="1"/>
        <v>9.0569859533367989</v>
      </c>
    </row>
    <row r="33" spans="1:22" ht="12.75" customHeight="1" x14ac:dyDescent="0.25">
      <c r="A33" s="12"/>
      <c r="B33" s="140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2.75" customHeight="1" x14ac:dyDescent="0.25">
      <c r="A34" s="12"/>
      <c r="B34" s="140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2.75" customHeight="1" x14ac:dyDescent="0.25">
      <c r="A35" s="126" t="s">
        <v>95</v>
      </c>
      <c r="B35" s="140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2.75" customHeight="1" x14ac:dyDescent="0.25">
      <c r="A36" s="12" t="s">
        <v>96</v>
      </c>
      <c r="B36" s="140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2.75" customHeight="1" x14ac:dyDescent="0.25">
      <c r="A37" s="12"/>
      <c r="B37" s="140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2.75" customHeight="1" x14ac:dyDescent="0.25">
      <c r="A38" s="131" t="s">
        <v>87</v>
      </c>
      <c r="B38" s="140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2.75" customHeight="1" x14ac:dyDescent="0.25">
      <c r="A39" s="12" t="s">
        <v>88</v>
      </c>
      <c r="B39" s="140"/>
      <c r="C39" s="133">
        <v>64.11023686899189</v>
      </c>
      <c r="D39" s="133">
        <v>65.16178520495788</v>
      </c>
      <c r="E39" s="133">
        <v>66.230581237342975</v>
      </c>
      <c r="F39" s="133">
        <v>67.31690786615431</v>
      </c>
      <c r="G39" s="133">
        <v>68.421052631578945</v>
      </c>
      <c r="H39" s="133">
        <v>67.767228351637073</v>
      </c>
      <c r="I39" s="133">
        <v>67.119651946765785</v>
      </c>
      <c r="J39" s="133">
        <v>66.478263712937448</v>
      </c>
      <c r="K39" s="133">
        <v>65.843004516649714</v>
      </c>
      <c r="L39" s="133">
        <v>65.213815789473685</v>
      </c>
      <c r="M39" s="133">
        <v>64.559364113585431</v>
      </c>
      <c r="N39" s="133">
        <v>63.911480171710068</v>
      </c>
      <c r="O39" s="133">
        <v>63.270098053511326</v>
      </c>
      <c r="P39" s="133">
        <v>62.63515251009445</v>
      </c>
      <c r="Q39" s="133">
        <v>62.006578947368418</v>
      </c>
      <c r="R39" s="133">
        <v>61.12669629598323</v>
      </c>
      <c r="S39" s="133">
        <v>60.259299311334551</v>
      </c>
      <c r="T39" s="133">
        <v>59.404210819939543</v>
      </c>
      <c r="U39" s="133">
        <v>58.561256162433608</v>
      </c>
      <c r="V39" s="133">
        <v>57.73026315789474</v>
      </c>
    </row>
    <row r="40" spans="1:22" ht="12.75" customHeight="1" x14ac:dyDescent="0.25">
      <c r="A40" s="84"/>
      <c r="B40" s="12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2.75" customHeight="1" x14ac:dyDescent="0.25">
      <c r="A41" s="131" t="s">
        <v>89</v>
      </c>
      <c r="B41" s="12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2.75" customHeight="1" x14ac:dyDescent="0.25">
      <c r="A42" s="12" t="s">
        <v>90</v>
      </c>
      <c r="B42" s="12"/>
      <c r="C42" s="133">
        <f>C39*(1+'Power Curves'!$C$8)^(C4-1998)</f>
        <v>70.054986803142896</v>
      </c>
      <c r="D42" s="133">
        <f>D39*(1+'Power Curves'!$C$8)^(D4-1998)</f>
        <v>73.340163323507738</v>
      </c>
      <c r="E42" s="133">
        <f>E39*(1+'Power Curves'!$C$8)^(E4-1998)</f>
        <v>76.779395754271718</v>
      </c>
      <c r="F42" s="133">
        <f>F39*(1+'Power Curves'!$C$8)^(F4-1998)</f>
        <v>80.379908432812655</v>
      </c>
      <c r="G42" s="133">
        <f>G39*(1+'Power Curves'!$C$8)^(G4-1998)</f>
        <v>84.149264476438475</v>
      </c>
      <c r="H42" s="133">
        <f>H39*(1+'Power Curves'!$C$8)^(H4-1998)</f>
        <v>85.845497374416453</v>
      </c>
      <c r="I42" s="133">
        <f>I39*(1+'Power Curves'!$C$8)^(I4-1998)</f>
        <v>87.575921968092345</v>
      </c>
      <c r="J42" s="133">
        <f>J39*(1+'Power Curves'!$C$8)^(J4-1998)</f>
        <v>89.341227474174616</v>
      </c>
      <c r="K42" s="133">
        <f>K39*(1+'Power Curves'!$C$8)^(K4-1998)</f>
        <v>91.142117002209176</v>
      </c>
      <c r="L42" s="133">
        <f>L39*(1+'Power Curves'!$C$8)^(L4-1998)</f>
        <v>92.979307834623327</v>
      </c>
      <c r="M42" s="133">
        <f>M39*(1+'Power Curves'!$C$8)^(M4-1998)</f>
        <v>94.807602719795241</v>
      </c>
      <c r="N42" s="133">
        <f>N39*(1+'Power Curves'!$C$8)^(N4-1998)</f>
        <v>96.67184820800982</v>
      </c>
      <c r="O42" s="133">
        <f>O39*(1+'Power Curves'!$C$8)^(O4-1998)</f>
        <v>98.572751212506091</v>
      </c>
      <c r="P42" s="133">
        <f>P39*(1+'Power Curves'!$C$8)^(P4-1998)</f>
        <v>100.51103254688311</v>
      </c>
      <c r="Q42" s="133">
        <f>Q39*(1+'Power Curves'!$C$8)^(Q4-1998)</f>
        <v>102.48742719842927</v>
      </c>
      <c r="R42" s="133">
        <f>R39*(1+'Power Curves'!$C$8)^(R4-1998)</f>
        <v>104.06410869865259</v>
      </c>
      <c r="S42" s="133">
        <f>S39*(1+'Power Curves'!$C$8)^(S4-1998)</f>
        <v>105.66504609660987</v>
      </c>
      <c r="T42" s="133">
        <f>T39*(1+'Power Curves'!$C$8)^(T4-1998)</f>
        <v>107.29061254856313</v>
      </c>
      <c r="U42" s="133">
        <f>U39*(1+'Power Curves'!$C$8)^(U4-1998)</f>
        <v>108.94118695146447</v>
      </c>
      <c r="V42" s="133">
        <f>V39*(1+'Power Curves'!$C$8)^(V4-1998)</f>
        <v>110.61715403127204</v>
      </c>
    </row>
    <row r="43" spans="1:22" ht="13.5" customHeight="1" thickBot="1" x14ac:dyDescent="0.3">
      <c r="A43" s="12"/>
      <c r="B43" s="12"/>
      <c r="C43" s="143"/>
      <c r="D43" s="143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3.5" customHeight="1" thickBot="1" x14ac:dyDescent="0.3">
      <c r="A44" s="136" t="s">
        <v>97</v>
      </c>
      <c r="B44" s="137"/>
      <c r="C44" s="138">
        <f t="shared" ref="C44:V44" si="2">C42/12</f>
        <v>5.8379155669285749</v>
      </c>
      <c r="D44" s="138">
        <f t="shared" si="2"/>
        <v>6.1116802769589782</v>
      </c>
      <c r="E44" s="138">
        <f t="shared" si="2"/>
        <v>6.3982829795226435</v>
      </c>
      <c r="F44" s="138">
        <f t="shared" si="2"/>
        <v>6.6983257027343877</v>
      </c>
      <c r="G44" s="138">
        <f t="shared" si="2"/>
        <v>7.0124387063698732</v>
      </c>
      <c r="H44" s="138">
        <f t="shared" si="2"/>
        <v>7.1537914478680378</v>
      </c>
      <c r="I44" s="138">
        <f t="shared" si="2"/>
        <v>7.2979934973410288</v>
      </c>
      <c r="J44" s="138">
        <f t="shared" si="2"/>
        <v>7.4451022895145513</v>
      </c>
      <c r="K44" s="138">
        <f t="shared" si="2"/>
        <v>7.5951764168507649</v>
      </c>
      <c r="L44" s="138">
        <f t="shared" si="2"/>
        <v>7.748275652885277</v>
      </c>
      <c r="M44" s="138">
        <f t="shared" si="2"/>
        <v>7.9006335599829365</v>
      </c>
      <c r="N44" s="138">
        <f t="shared" si="2"/>
        <v>8.0559873506674844</v>
      </c>
      <c r="O44" s="138">
        <f t="shared" si="2"/>
        <v>8.2143959343755082</v>
      </c>
      <c r="P44" s="138">
        <f t="shared" si="2"/>
        <v>8.3759193789069268</v>
      </c>
      <c r="Q44" s="138">
        <f t="shared" si="2"/>
        <v>8.54061893320244</v>
      </c>
      <c r="R44" s="138">
        <f t="shared" si="2"/>
        <v>8.6720090582210485</v>
      </c>
      <c r="S44" s="138">
        <f t="shared" si="2"/>
        <v>8.8054205080508225</v>
      </c>
      <c r="T44" s="138">
        <f t="shared" si="2"/>
        <v>8.9408843790469277</v>
      </c>
      <c r="U44" s="138">
        <f t="shared" si="2"/>
        <v>9.0784322459553728</v>
      </c>
      <c r="V44" s="138">
        <f t="shared" si="2"/>
        <v>9.2180961692726697</v>
      </c>
    </row>
  </sheetData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S40"/>
  <sheetViews>
    <sheetView workbookViewId="0"/>
  </sheetViews>
  <sheetFormatPr defaultRowHeight="13.2" x14ac:dyDescent="0.25"/>
  <cols>
    <col min="1" max="1" width="31.5546875" customWidth="1"/>
    <col min="2" max="21" width="9" customWidth="1"/>
    <col min="22" max="22" width="12.5546875" customWidth="1"/>
    <col min="23" max="24" width="9.6640625" customWidth="1"/>
    <col min="25" max="25" width="7.33203125" customWidth="1"/>
    <col min="26" max="45" width="7.6640625" customWidth="1"/>
  </cols>
  <sheetData>
    <row r="1" spans="1:45" ht="12.75" customHeight="1" x14ac:dyDescent="0.25"/>
    <row r="2" spans="1:45" ht="18" customHeight="1" x14ac:dyDescent="0.3">
      <c r="A2" s="146" t="s">
        <v>98</v>
      </c>
      <c r="B2" s="14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91"/>
      <c r="W2" s="91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spans="1:45" ht="16.5" customHeight="1" x14ac:dyDescent="0.25">
      <c r="A3" s="148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91"/>
      <c r="W3" s="91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spans="1:45" ht="12.75" customHeight="1" x14ac:dyDescent="0.25">
      <c r="A4" s="148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91"/>
      <c r="W4" s="91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1:45" ht="13.5" customHeight="1" thickBot="1" x14ac:dyDescent="0.3">
      <c r="A5" s="151" t="s">
        <v>99</v>
      </c>
      <c r="B5" s="152">
        <v>2001</v>
      </c>
      <c r="C5" s="152">
        <v>2002</v>
      </c>
      <c r="D5" s="152">
        <v>2003</v>
      </c>
      <c r="E5" s="152">
        <v>2004</v>
      </c>
      <c r="F5" s="152">
        <v>2005</v>
      </c>
      <c r="G5" s="152">
        <v>2006</v>
      </c>
      <c r="H5" s="152">
        <v>2007</v>
      </c>
      <c r="I5" s="152">
        <v>2008</v>
      </c>
      <c r="J5" s="152">
        <v>2009</v>
      </c>
      <c r="K5" s="152">
        <v>2010</v>
      </c>
      <c r="L5" s="152">
        <v>2011</v>
      </c>
      <c r="M5" s="152">
        <v>2012</v>
      </c>
      <c r="N5" s="152">
        <v>2013</v>
      </c>
      <c r="O5" s="152">
        <v>2014</v>
      </c>
      <c r="P5" s="152">
        <v>2015</v>
      </c>
      <c r="Q5" s="152">
        <v>2016</v>
      </c>
      <c r="R5" s="152">
        <v>2017</v>
      </c>
      <c r="S5" s="152">
        <v>2018</v>
      </c>
      <c r="T5" s="152">
        <v>2019</v>
      </c>
      <c r="U5" s="152">
        <v>2020</v>
      </c>
      <c r="V5" s="153"/>
      <c r="W5" s="153"/>
      <c r="X5" s="91"/>
      <c r="Y5" s="154">
        <f>SUM(Z5:AS5)-SUM(Z6:AS6)</f>
        <v>0</v>
      </c>
      <c r="Z5" s="155">
        <f t="shared" ref="Z5:AS5" si="0">B12</f>
        <v>6965.2983631044517</v>
      </c>
      <c r="AA5" s="155">
        <f t="shared" si="0"/>
        <v>7174.2573139975848</v>
      </c>
      <c r="AB5" s="155">
        <f t="shared" si="0"/>
        <v>7389.4850334175126</v>
      </c>
      <c r="AC5" s="155">
        <f t="shared" si="0"/>
        <v>7611.1695844200367</v>
      </c>
      <c r="AD5" s="155">
        <f t="shared" si="0"/>
        <v>7839.5046719526381</v>
      </c>
      <c r="AE5" s="155">
        <f t="shared" si="0"/>
        <v>8074.6898121112172</v>
      </c>
      <c r="AF5" s="155">
        <f t="shared" si="0"/>
        <v>8316.9305064745549</v>
      </c>
      <c r="AG5" s="155">
        <f t="shared" si="0"/>
        <v>8566.4384216687904</v>
      </c>
      <c r="AH5" s="155">
        <f t="shared" si="0"/>
        <v>8823.4315743188527</v>
      </c>
      <c r="AI5" s="155">
        <f t="shared" si="0"/>
        <v>9088.1345215484216</v>
      </c>
      <c r="AJ5" s="155">
        <f t="shared" si="0"/>
        <v>9360.7785571948734</v>
      </c>
      <c r="AK5" s="155">
        <f t="shared" si="0"/>
        <v>9641.6019139107175</v>
      </c>
      <c r="AL5" s="155">
        <f t="shared" si="0"/>
        <v>9930.849971328038</v>
      </c>
      <c r="AM5" s="155">
        <f t="shared" si="0"/>
        <v>10228.775470467881</v>
      </c>
      <c r="AN5" s="155">
        <f t="shared" si="0"/>
        <v>10535.638734581918</v>
      </c>
      <c r="AO5" s="155">
        <f t="shared" si="0"/>
        <v>10851.707896619373</v>
      </c>
      <c r="AP5" s="155">
        <f t="shared" si="0"/>
        <v>11177.259133517955</v>
      </c>
      <c r="AQ5" s="155">
        <f t="shared" si="0"/>
        <v>11512.576907523493</v>
      </c>
      <c r="AR5" s="155">
        <f t="shared" si="0"/>
        <v>11857.954214749199</v>
      </c>
      <c r="AS5" s="155">
        <f t="shared" si="0"/>
        <v>12213.692841191674</v>
      </c>
    </row>
    <row r="6" spans="1:45" ht="12.75" customHeight="1" x14ac:dyDescent="0.25">
      <c r="A6" s="156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91"/>
      <c r="W6" s="91"/>
      <c r="X6" s="2"/>
      <c r="Y6" s="154">
        <v>0</v>
      </c>
      <c r="Z6" s="158">
        <f t="shared" ref="Z6:AS6" si="1">B19+1/3*B20</f>
        <v>6965.2983631044517</v>
      </c>
      <c r="AA6" s="158">
        <f t="shared" si="1"/>
        <v>7174.2573139975857</v>
      </c>
      <c r="AB6" s="158">
        <f t="shared" si="1"/>
        <v>7389.4850334175135</v>
      </c>
      <c r="AC6" s="158">
        <f t="shared" si="1"/>
        <v>7611.1695844200367</v>
      </c>
      <c r="AD6" s="158">
        <f t="shared" si="1"/>
        <v>7839.5046719526381</v>
      </c>
      <c r="AE6" s="158">
        <f t="shared" si="1"/>
        <v>8074.6898121112172</v>
      </c>
      <c r="AF6" s="158">
        <f t="shared" si="1"/>
        <v>8316.9305064745549</v>
      </c>
      <c r="AG6" s="158">
        <f t="shared" si="1"/>
        <v>8566.4384216687904</v>
      </c>
      <c r="AH6" s="158">
        <f t="shared" si="1"/>
        <v>8823.4315743188545</v>
      </c>
      <c r="AI6" s="158">
        <f t="shared" si="1"/>
        <v>9088.1345215484216</v>
      </c>
      <c r="AJ6" s="158">
        <f t="shared" si="1"/>
        <v>9360.7785571948716</v>
      </c>
      <c r="AK6" s="158">
        <f t="shared" si="1"/>
        <v>9641.6019139107175</v>
      </c>
      <c r="AL6" s="158">
        <f t="shared" si="1"/>
        <v>9930.849971328038</v>
      </c>
      <c r="AM6" s="158">
        <f t="shared" si="1"/>
        <v>10228.775470467881</v>
      </c>
      <c r="AN6" s="158">
        <f t="shared" si="1"/>
        <v>10535.63873458192</v>
      </c>
      <c r="AO6" s="158">
        <f t="shared" si="1"/>
        <v>10851.707896619373</v>
      </c>
      <c r="AP6" s="158">
        <f t="shared" si="1"/>
        <v>11177.259133517957</v>
      </c>
      <c r="AQ6" s="158">
        <f t="shared" si="1"/>
        <v>11512.576907523493</v>
      </c>
      <c r="AR6" s="158">
        <f t="shared" si="1"/>
        <v>11857.954214749199</v>
      </c>
      <c r="AS6" s="158">
        <f t="shared" si="1"/>
        <v>12213.692841191676</v>
      </c>
    </row>
    <row r="7" spans="1:45" ht="12.75" customHeight="1" x14ac:dyDescent="0.25">
      <c r="A7" s="156"/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91"/>
      <c r="W7" s="91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5" ht="12.75" customHeight="1" x14ac:dyDescent="0.25">
      <c r="A8" s="160" t="s">
        <v>100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61"/>
      <c r="W8" s="161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5" ht="12.75" customHeight="1" x14ac:dyDescent="0.25">
      <c r="A9" s="162"/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1"/>
      <c r="W9" s="161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ht="12.75" customHeight="1" x14ac:dyDescent="0.25">
      <c r="A10" s="162" t="s">
        <v>101</v>
      </c>
      <c r="B10" s="163"/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91"/>
      <c r="W10" s="164"/>
      <c r="X10" s="165"/>
      <c r="Y10" s="165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 ht="12.75" customHeight="1" x14ac:dyDescent="0.25">
      <c r="A11" s="166" t="s">
        <v>102</v>
      </c>
      <c r="B11" s="163">
        <f>SUM(Wheatland!B8,Wilton!B8,Gleason!B8)</f>
        <v>111304.75607857801</v>
      </c>
      <c r="C11" s="163">
        <f>SUM(Wheatland!C8,Wilton!C8,Gleason!C8)</f>
        <v>116823.94630447256</v>
      </c>
      <c r="D11" s="163">
        <f>SUM(Wheatland!D8,Wilton!D8,Gleason!D8)</f>
        <v>122617.51501640632</v>
      </c>
      <c r="E11" s="163">
        <f>SUM(Wheatland!E8,Wilton!E8,Gleason!E8)</f>
        <v>128699.13779591923</v>
      </c>
      <c r="F11" s="163">
        <f>SUM(Wheatland!F8,Wilton!F8,Gleason!F8)</f>
        <v>135083.17361069552</v>
      </c>
      <c r="G11" s="163">
        <f>SUM(Wheatland!G8,Wilton!G8,Gleason!G8)</f>
        <v>137498.16040101857</v>
      </c>
      <c r="H11" s="163">
        <f>SUM(Wheatland!H8,Wilton!H8,Gleason!H8)</f>
        <v>139957.92560683415</v>
      </c>
      <c r="I11" s="163">
        <f>SUM(Wheatland!I8,Wilton!I8,Gleason!I8)</f>
        <v>142463.32277800646</v>
      </c>
      <c r="J11" s="163">
        <f>SUM(Wheatland!J8,Wilton!J8,Gleason!J8)</f>
        <v>145015.22206011793</v>
      </c>
      <c r="K11" s="163">
        <f>SUM(Wheatland!K8,Wilton!K8,Gleason!K8)</f>
        <v>147614.51052157592</v>
      </c>
      <c r="L11" s="163">
        <f>SUM(Wheatland!L8,Wilton!L8,Gleason!L8)</f>
        <v>150172.67275310113</v>
      </c>
      <c r="M11" s="163">
        <f>SUM(Wheatland!M8,Wilton!M8,Gleason!M8)</f>
        <v>152776.51370215064</v>
      </c>
      <c r="N11" s="163">
        <f>SUM(Wheatland!N8,Wilton!N8,Gleason!N8)</f>
        <v>155426.86837157904</v>
      </c>
      <c r="O11" s="163">
        <f>SUM(Wheatland!O8,Wilton!O8,Gleason!O8)</f>
        <v>158124.58729891363</v>
      </c>
      <c r="P11" s="163">
        <f>SUM(Wheatland!P8,Wilton!P8,Gleason!P8)</f>
        <v>160870.53684908024</v>
      </c>
      <c r="Q11" s="163">
        <f>SUM(Wheatland!Q8,Wilton!Q8,Gleason!Q8)</f>
        <v>163276.59720069703</v>
      </c>
      <c r="R11" s="163">
        <f>SUM(Wheatland!R8,Wilton!R8,Gleason!R8)</f>
        <v>165718.68030591044</v>
      </c>
      <c r="S11" s="163">
        <f>SUM(Wheatland!S8,Wilton!S8,Gleason!S8)</f>
        <v>168197.32601985152</v>
      </c>
      <c r="T11" s="163">
        <f>SUM(Wheatland!T8,Wilton!T8,Gleason!T8)</f>
        <v>170713.08229600149</v>
      </c>
      <c r="U11" s="163">
        <f>SUM(Wheatland!U8,Wilton!U8,Gleason!U8)</f>
        <v>173266.50530778884</v>
      </c>
      <c r="V11" s="91"/>
      <c r="W11" s="164">
        <f>SUM(B11:U11)</f>
        <v>2945621.0402786983</v>
      </c>
      <c r="X11" s="167">
        <f>SUM(Wheatland!W8,Wilton!W8,Gleason!W8)</f>
        <v>2945621.0402786988</v>
      </c>
      <c r="Y11" s="167">
        <f>W11-X11</f>
        <v>0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ht="12.75" customHeight="1" x14ac:dyDescent="0.25">
      <c r="A12" s="166" t="s">
        <v>103</v>
      </c>
      <c r="B12" s="163">
        <f>SUM(Wheatland!B9,Wilton!B9,Gleason!B9)</f>
        <v>6965.2983631044517</v>
      </c>
      <c r="C12" s="163">
        <f>SUM(Wheatland!C9,Wilton!C9,Gleason!C9)</f>
        <v>7174.2573139975848</v>
      </c>
      <c r="D12" s="163">
        <f>SUM(Wheatland!D9,Wilton!D9,Gleason!D9)</f>
        <v>7389.4850334175126</v>
      </c>
      <c r="E12" s="163">
        <f>SUM(Wheatland!E9,Wilton!E9,Gleason!E9)</f>
        <v>7611.1695844200367</v>
      </c>
      <c r="F12" s="163">
        <f>SUM(Wheatland!F9,Wilton!F9,Gleason!F9)</f>
        <v>7839.5046719526381</v>
      </c>
      <c r="G12" s="163">
        <f>SUM(Wheatland!G9,Wilton!G9,Gleason!G9)</f>
        <v>8074.6898121112172</v>
      </c>
      <c r="H12" s="163">
        <f>SUM(Wheatland!H9,Wilton!H9,Gleason!H9)</f>
        <v>8316.9305064745549</v>
      </c>
      <c r="I12" s="163">
        <f>SUM(Wheatland!I9,Wilton!I9,Gleason!I9)</f>
        <v>8566.4384216687904</v>
      </c>
      <c r="J12" s="163">
        <f>SUM(Wheatland!J9,Wilton!J9,Gleason!J9)</f>
        <v>8823.4315743188527</v>
      </c>
      <c r="K12" s="163">
        <f>SUM(Wheatland!K9,Wilton!K9,Gleason!K9)</f>
        <v>9088.1345215484216</v>
      </c>
      <c r="L12" s="163">
        <f>SUM(Wheatland!L9,Wilton!L9,Gleason!L9)</f>
        <v>9360.7785571948734</v>
      </c>
      <c r="M12" s="163">
        <f>SUM(Wheatland!M9,Wilton!M9,Gleason!M9)</f>
        <v>9641.6019139107175</v>
      </c>
      <c r="N12" s="163">
        <f>SUM(Wheatland!N9,Wilton!N9,Gleason!N9)</f>
        <v>9930.849971328038</v>
      </c>
      <c r="O12" s="163">
        <f>SUM(Wheatland!O9,Wilton!O9,Gleason!O9)</f>
        <v>10228.775470467881</v>
      </c>
      <c r="P12" s="163">
        <f>SUM(Wheatland!P9,Wilton!P9,Gleason!P9)</f>
        <v>10535.638734581918</v>
      </c>
      <c r="Q12" s="163">
        <f>SUM(Wheatland!Q9,Wilton!Q9,Gleason!Q9)</f>
        <v>10851.707896619373</v>
      </c>
      <c r="R12" s="163">
        <f>SUM(Wheatland!R9,Wilton!R9,Gleason!R9)</f>
        <v>11177.259133517955</v>
      </c>
      <c r="S12" s="163">
        <f>SUM(Wheatland!S9,Wilton!S9,Gleason!S9)</f>
        <v>11512.576907523493</v>
      </c>
      <c r="T12" s="163">
        <f>SUM(Wheatland!T9,Wilton!T9,Gleason!T9)</f>
        <v>11857.954214749199</v>
      </c>
      <c r="U12" s="163">
        <f>SUM(Wheatland!U9,Wilton!U9,Gleason!U9)</f>
        <v>12213.692841191674</v>
      </c>
      <c r="V12" s="91"/>
      <c r="W12" s="164">
        <f>SUM(B12:U12)</f>
        <v>187160.17544409918</v>
      </c>
      <c r="X12" s="167">
        <f>SUM(Wheatland!W9,Wilton!W9,Gleason!W9)</f>
        <v>187160.17544409921</v>
      </c>
      <c r="Y12" s="167">
        <f>W12-X12</f>
        <v>0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ht="12.75" customHeight="1" x14ac:dyDescent="0.25">
      <c r="A13" s="166"/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91"/>
      <c r="W13" s="164"/>
      <c r="X13" s="167"/>
      <c r="Y13" s="167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ht="12.75" customHeight="1" x14ac:dyDescent="0.25">
      <c r="A14" s="166" t="s">
        <v>104</v>
      </c>
      <c r="B14" s="168">
        <f>SUM(Wheatland!B10,Wilton!B10,Gleason!B10)</f>
        <v>1288.8492770936659</v>
      </c>
      <c r="C14" s="168">
        <f>SUM(Wheatland!C10,Wilton!C10,Gleason!C10)</f>
        <v>1353.0734075666389</v>
      </c>
      <c r="D14" s="168">
        <f>SUM(Wheatland!D10,Wilton!D10,Gleason!D10)</f>
        <v>1420.702637183872</v>
      </c>
      <c r="E14" s="168">
        <f>SUM(Wheatland!E10,Wilton!E10,Gleason!E10)</f>
        <v>1493.1906251933474</v>
      </c>
      <c r="F14" s="168">
        <f>SUM(Wheatland!F10,Wilton!F10,Gleason!F10)</f>
        <v>1569.7387221675424</v>
      </c>
      <c r="G14" s="168">
        <f>SUM(Wheatland!G10,Wilton!G10,Gleason!G10)</f>
        <v>1594.5969722407176</v>
      </c>
      <c r="H14" s="168">
        <f>SUM(Wheatland!H10,Wilton!H10,Gleason!H10)</f>
        <v>1620.5520926393347</v>
      </c>
      <c r="I14" s="168">
        <f>SUM(Wheatland!I10,Wilton!I10,Gleason!I10)</f>
        <v>1647.744691690649</v>
      </c>
      <c r="J14" s="168">
        <f>SUM(Wheatland!J10,Wilton!J10,Gleason!J10)</f>
        <v>1676.6815227120142</v>
      </c>
      <c r="K14" s="168">
        <f>SUM(Wheatland!K10,Wilton!K10,Gleason!K10)</f>
        <v>1707.0960858510198</v>
      </c>
      <c r="L14" s="168">
        <f>SUM(Wheatland!L10,Wilton!L10,Gleason!L10)</f>
        <v>1734.1388707629503</v>
      </c>
      <c r="M14" s="168">
        <f>SUM(Wheatland!M10,Wilton!M10,Gleason!M10)</f>
        <v>1763.5949396554317</v>
      </c>
      <c r="N14" s="168">
        <f>SUM(Wheatland!N10,Wilton!N10,Gleason!N10)</f>
        <v>1789.1710710644909</v>
      </c>
      <c r="O14" s="168">
        <f>SUM(Wheatland!O10,Wilton!O10,Gleason!O10)</f>
        <v>1819.5983258145739</v>
      </c>
      <c r="P14" s="168">
        <f>SUM(Wheatland!P10,Wilton!P10,Gleason!P10)</f>
        <v>1845.0710855707703</v>
      </c>
      <c r="Q14" s="168">
        <f>SUM(Wheatland!Q10,Wilton!Q10,Gleason!Q10)</f>
        <v>1878.6949244199286</v>
      </c>
      <c r="R14" s="168">
        <f>SUM(Wheatland!R10,Wilton!R10,Gleason!R10)</f>
        <v>1905.4146500917486</v>
      </c>
      <c r="S14" s="168">
        <f>SUM(Wheatland!S10,Wilton!S10,Gleason!S10)</f>
        <v>1932.4724029819379</v>
      </c>
      <c r="T14" s="168">
        <f>SUM(Wheatland!T10,Wilton!T10,Gleason!T10)</f>
        <v>1959.8714995438409</v>
      </c>
      <c r="U14" s="168">
        <f>SUM(Wheatland!U10,Wilton!U10,Gleason!U10)</f>
        <v>1987.6152537351215</v>
      </c>
      <c r="V14" s="91"/>
      <c r="W14" s="164">
        <f>SUM(B14:U14)</f>
        <v>33987.869057979595</v>
      </c>
      <c r="X14" s="167">
        <f>SUM(Wheatland!W10,Wilton!W10,Gleason!W10)</f>
        <v>33987.869057979595</v>
      </c>
      <c r="Y14" s="167">
        <f>W14-X14</f>
        <v>0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ht="12.75" customHeight="1" x14ac:dyDescent="0.25">
      <c r="A15" s="166" t="s">
        <v>105</v>
      </c>
      <c r="B15" s="163">
        <f t="shared" ref="B15:U15" si="2">SUM(B10:B14)</f>
        <v>119558.90371877613</v>
      </c>
      <c r="C15" s="163">
        <f t="shared" si="2"/>
        <v>125351.27702603678</v>
      </c>
      <c r="D15" s="163">
        <f t="shared" si="2"/>
        <v>131427.7026870077</v>
      </c>
      <c r="E15" s="163">
        <f t="shared" si="2"/>
        <v>137803.49800553263</v>
      </c>
      <c r="F15" s="163">
        <f t="shared" si="2"/>
        <v>144492.41700481568</v>
      </c>
      <c r="G15" s="163">
        <f t="shared" si="2"/>
        <v>147167.44718537049</v>
      </c>
      <c r="H15" s="163">
        <f t="shared" si="2"/>
        <v>149895.40820594801</v>
      </c>
      <c r="I15" s="163">
        <f t="shared" si="2"/>
        <v>152677.50589136593</v>
      </c>
      <c r="J15" s="163">
        <f t="shared" si="2"/>
        <v>155515.3351571488</v>
      </c>
      <c r="K15" s="163">
        <f t="shared" si="2"/>
        <v>158409.74112897538</v>
      </c>
      <c r="L15" s="163">
        <f t="shared" si="2"/>
        <v>161267.59018105894</v>
      </c>
      <c r="M15" s="163">
        <f t="shared" si="2"/>
        <v>164181.71055571677</v>
      </c>
      <c r="N15" s="163">
        <f t="shared" si="2"/>
        <v>167146.88941397157</v>
      </c>
      <c r="O15" s="163">
        <f t="shared" si="2"/>
        <v>170172.96109519608</v>
      </c>
      <c r="P15" s="163">
        <f t="shared" si="2"/>
        <v>173251.2466692329</v>
      </c>
      <c r="Q15" s="163">
        <f t="shared" si="2"/>
        <v>176007.00002173631</v>
      </c>
      <c r="R15" s="163">
        <f t="shared" si="2"/>
        <v>178801.35408952014</v>
      </c>
      <c r="S15" s="163">
        <f t="shared" si="2"/>
        <v>181642.37533035697</v>
      </c>
      <c r="T15" s="163">
        <f t="shared" si="2"/>
        <v>184530.90801029452</v>
      </c>
      <c r="U15" s="163">
        <f t="shared" si="2"/>
        <v>187467.81340271563</v>
      </c>
      <c r="V15" s="91"/>
      <c r="W15" s="164">
        <f>SUM(B15:U15)</f>
        <v>3166769.0847807769</v>
      </c>
      <c r="X15" s="167">
        <f>SUM(Wheatland!W11,Wilton!W11,Gleason!W11)</f>
        <v>3166769.0847807769</v>
      </c>
      <c r="Y15" s="167">
        <f>W15-X15</f>
        <v>0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ht="12.75" customHeight="1" x14ac:dyDescent="0.25">
      <c r="A16" s="166"/>
      <c r="B16" s="163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91"/>
      <c r="W16" s="164"/>
      <c r="X16" s="165"/>
      <c r="Y16" s="165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ht="12.75" customHeight="1" x14ac:dyDescent="0.25">
      <c r="A17" s="160" t="s">
        <v>106</v>
      </c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91"/>
      <c r="W17" s="164"/>
      <c r="X17" s="165"/>
      <c r="Y17" s="165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ht="12.75" customHeight="1" x14ac:dyDescent="0.25">
      <c r="A18" s="166" t="s">
        <v>69</v>
      </c>
      <c r="B18" s="163">
        <f>SUM(Wheatland!B14,Wilton!B14,Gleason!B14)</f>
        <v>4333.0169485714287</v>
      </c>
      <c r="C18" s="163">
        <f>SUM(Wheatland!C14,Wilton!C14,Gleason!C14)</f>
        <v>4463.0074570285715</v>
      </c>
      <c r="D18" s="163">
        <f>SUM(Wheatland!D14,Wilton!D14,Gleason!D14)</f>
        <v>4596.8976807394292</v>
      </c>
      <c r="E18" s="163">
        <f>SUM(Wheatland!E14,Wilton!E14,Gleason!E14)</f>
        <v>4734.8046111616122</v>
      </c>
      <c r="F18" s="163">
        <f>SUM(Wheatland!F14,Wilton!F14,Gleason!F14)</f>
        <v>4876.8487494964602</v>
      </c>
      <c r="G18" s="163">
        <f>SUM(Wheatland!G14,Wilton!G14,Gleason!G14)</f>
        <v>5023.1542119813539</v>
      </c>
      <c r="H18" s="163">
        <f>SUM(Wheatland!H14,Wilton!H14,Gleason!H14)</f>
        <v>5173.8488383407948</v>
      </c>
      <c r="I18" s="163">
        <f>SUM(Wheatland!I14,Wilton!I14,Gleason!I14)</f>
        <v>5329.064303491019</v>
      </c>
      <c r="J18" s="163">
        <f>SUM(Wheatland!J14,Wilton!J14,Gleason!J14)</f>
        <v>5488.93623259575</v>
      </c>
      <c r="K18" s="163">
        <f>SUM(Wheatland!K14,Wilton!K14,Gleason!K14)</f>
        <v>5653.6043195736229</v>
      </c>
      <c r="L18" s="163">
        <f>SUM(Wheatland!L14,Wilton!L14,Gleason!L14)</f>
        <v>5823.212449160832</v>
      </c>
      <c r="M18" s="163">
        <f>SUM(Wheatland!M14,Wilton!M14,Gleason!M14)</f>
        <v>5997.9088226356562</v>
      </c>
      <c r="N18" s="163">
        <f>SUM(Wheatland!N14,Wilton!N14,Gleason!N14)</f>
        <v>6177.8460873147269</v>
      </c>
      <c r="O18" s="163">
        <f>SUM(Wheatland!O14,Wilton!O14,Gleason!O14)</f>
        <v>6363.1814699341685</v>
      </c>
      <c r="P18" s="163">
        <f>SUM(Wheatland!P14,Wilton!P14,Gleason!P14)</f>
        <v>6554.0769140321936</v>
      </c>
      <c r="Q18" s="163">
        <f>SUM(Wheatland!Q14,Wilton!Q14,Gleason!Q14)</f>
        <v>6750.6992214531601</v>
      </c>
      <c r="R18" s="163">
        <f>SUM(Wheatland!R14,Wilton!R14,Gleason!R14)</f>
        <v>6953.2201980967548</v>
      </c>
      <c r="S18" s="163">
        <f>SUM(Wheatland!S14,Wilton!S14,Gleason!S14)</f>
        <v>7161.8168040396567</v>
      </c>
      <c r="T18" s="163">
        <f>SUM(Wheatland!T14,Wilton!T14,Gleason!T14)</f>
        <v>7376.6713081608477</v>
      </c>
      <c r="U18" s="163">
        <f>SUM(Wheatland!U14,Wilton!U14,Gleason!U14)</f>
        <v>7597.9714474056727</v>
      </c>
      <c r="V18" s="91"/>
      <c r="W18" s="164">
        <f t="shared" ref="W18:W24" si="3">SUM(B18:U18)</f>
        <v>116429.78807521368</v>
      </c>
      <c r="X18" s="167">
        <f>SUM(Wheatland!W14,Wilton!W14,Gleason!W14)</f>
        <v>116429.7880752137</v>
      </c>
      <c r="Y18" s="167">
        <f t="shared" ref="Y18:Y24" si="4">W18-X18</f>
        <v>0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1:45" ht="12.75" customHeight="1" x14ac:dyDescent="0.25">
      <c r="A19" s="166" t="s">
        <v>70</v>
      </c>
      <c r="B19" s="163">
        <f>SUM(Wheatland!B15,Wilton!B15,Gleason!B15)</f>
        <v>6373.0483631044517</v>
      </c>
      <c r="C19" s="163">
        <f>SUM(Wheatland!C15,Wilton!C15,Gleason!C15)</f>
        <v>6564.2398139975858</v>
      </c>
      <c r="D19" s="163">
        <f>SUM(Wheatland!D15,Wilton!D15,Gleason!D15)</f>
        <v>6761.167008417513</v>
      </c>
      <c r="E19" s="163">
        <f>SUM(Wheatland!E15,Wilton!E15,Gleason!E15)</f>
        <v>6964.0020186700367</v>
      </c>
      <c r="F19" s="163">
        <f>SUM(Wheatland!F15,Wilton!F15,Gleason!F15)</f>
        <v>7172.9220792301385</v>
      </c>
      <c r="G19" s="163">
        <f>SUM(Wheatland!G15,Wilton!G15,Gleason!G15)</f>
        <v>7388.1097416070425</v>
      </c>
      <c r="H19" s="163">
        <f>SUM(Wheatland!H15,Wilton!H15,Gleason!H15)</f>
        <v>7609.7530338552551</v>
      </c>
      <c r="I19" s="163">
        <f>SUM(Wheatland!I15,Wilton!I15,Gleason!I15)</f>
        <v>7838.0456248709106</v>
      </c>
      <c r="J19" s="163">
        <f>SUM(Wheatland!J15,Wilton!J15,Gleason!J15)</f>
        <v>8073.1869936170388</v>
      </c>
      <c r="K19" s="163">
        <f>SUM(Wheatland!K15,Wilton!K15,Gleason!K15)</f>
        <v>8315.3826034255508</v>
      </c>
      <c r="L19" s="163">
        <f>SUM(Wheatland!L15,Wilton!L15,Gleason!L15)</f>
        <v>8564.8440815283157</v>
      </c>
      <c r="M19" s="163">
        <f>SUM(Wheatland!M15,Wilton!M15,Gleason!M15)</f>
        <v>8821.7894039741641</v>
      </c>
      <c r="N19" s="163">
        <f>SUM(Wheatland!N15,Wilton!N15,Gleason!N15)</f>
        <v>9086.443086093388</v>
      </c>
      <c r="O19" s="163">
        <f>SUM(Wheatland!O15,Wilton!O15,Gleason!O15)</f>
        <v>9359.0363786761918</v>
      </c>
      <c r="P19" s="163">
        <f>SUM(Wheatland!P15,Wilton!P15,Gleason!P15)</f>
        <v>9639.8074700364796</v>
      </c>
      <c r="Q19" s="163">
        <f>SUM(Wheatland!Q15,Wilton!Q15,Gleason!Q15)</f>
        <v>9929.0016941375707</v>
      </c>
      <c r="R19" s="163">
        <f>SUM(Wheatland!R15,Wilton!R15,Gleason!R15)</f>
        <v>10226.8717449617</v>
      </c>
      <c r="S19" s="163">
        <f>SUM(Wheatland!S15,Wilton!S15,Gleason!S15)</f>
        <v>10533.677897310548</v>
      </c>
      <c r="T19" s="163">
        <f>SUM(Wheatland!T15,Wilton!T15,Gleason!T15)</f>
        <v>10849.688234229865</v>
      </c>
      <c r="U19" s="163">
        <f>SUM(Wheatland!U15,Wilton!U15,Gleason!U15)</f>
        <v>11175.178881256763</v>
      </c>
      <c r="V19" s="91"/>
      <c r="W19" s="164">
        <f t="shared" si="3"/>
        <v>171246.19615300049</v>
      </c>
      <c r="X19" s="167">
        <f>SUM(Wheatland!W15,Wilton!W15,Gleason!W15)</f>
        <v>171246.19615300052</v>
      </c>
      <c r="Y19" s="167">
        <f t="shared" si="4"/>
        <v>0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1:45" ht="12.75" customHeight="1" x14ac:dyDescent="0.25">
      <c r="A20" s="166" t="s">
        <v>107</v>
      </c>
      <c r="B20" s="163">
        <f>SUM(Wheatland!B16,Wilton!B16,Gleason!B16)</f>
        <v>1776.75</v>
      </c>
      <c r="C20" s="163">
        <f>SUM(Wheatland!C16,Wilton!C16,Gleason!C16)</f>
        <v>1830.0525</v>
      </c>
      <c r="D20" s="163">
        <f>SUM(Wheatland!D16,Wilton!D16,Gleason!D16)</f>
        <v>1884.9540750000001</v>
      </c>
      <c r="E20" s="163">
        <f>SUM(Wheatland!E16,Wilton!E16,Gleason!E16)</f>
        <v>1941.5026972500002</v>
      </c>
      <c r="F20" s="163">
        <f>SUM(Wheatland!F16,Wilton!F16,Gleason!F16)</f>
        <v>1999.7477781675002</v>
      </c>
      <c r="G20" s="163">
        <f>SUM(Wheatland!G16,Wilton!G16,Gleason!G16)</f>
        <v>2059.7402115125251</v>
      </c>
      <c r="H20" s="163">
        <f>SUM(Wheatland!H16,Wilton!H16,Gleason!H16)</f>
        <v>2121.5324178579012</v>
      </c>
      <c r="I20" s="163">
        <f>SUM(Wheatland!I16,Wilton!I16,Gleason!I16)</f>
        <v>2185.1783903936384</v>
      </c>
      <c r="J20" s="163">
        <f>SUM(Wheatland!J16,Wilton!J16,Gleason!J16)</f>
        <v>2250.7337421054476</v>
      </c>
      <c r="K20" s="163">
        <f>SUM(Wheatland!K16,Wilton!K16,Gleason!K16)</f>
        <v>2318.2557543686112</v>
      </c>
      <c r="L20" s="163">
        <f>SUM(Wheatland!L16,Wilton!L16,Gleason!L16)</f>
        <v>2387.8034269996692</v>
      </c>
      <c r="M20" s="163">
        <f>SUM(Wheatland!M16,Wilton!M16,Gleason!M16)</f>
        <v>2459.4375298096593</v>
      </c>
      <c r="N20" s="163">
        <f>SUM(Wheatland!N16,Wilton!N16,Gleason!N16)</f>
        <v>2533.220655703949</v>
      </c>
      <c r="O20" s="163">
        <f>SUM(Wheatland!O16,Wilton!O16,Gleason!O16)</f>
        <v>2609.2172753750679</v>
      </c>
      <c r="P20" s="163">
        <f>SUM(Wheatland!P16,Wilton!P16,Gleason!P16)</f>
        <v>2687.4937936363199</v>
      </c>
      <c r="Q20" s="163">
        <f>SUM(Wheatland!Q16,Wilton!Q16,Gleason!Q16)</f>
        <v>2768.1186074454099</v>
      </c>
      <c r="R20" s="163">
        <f>SUM(Wheatland!R16,Wilton!R16,Gleason!R16)</f>
        <v>2851.1621656687721</v>
      </c>
      <c r="S20" s="163">
        <f>SUM(Wheatland!S16,Wilton!S16,Gleason!S16)</f>
        <v>2936.6970306388348</v>
      </c>
      <c r="T20" s="163">
        <f>SUM(Wheatland!T16,Wilton!T16,Gleason!T16)</f>
        <v>3024.7979415580003</v>
      </c>
      <c r="U20" s="163">
        <f>SUM(Wheatland!U16,Wilton!U16,Gleason!U16)</f>
        <v>3115.5418798047403</v>
      </c>
      <c r="V20" s="91"/>
      <c r="W20" s="164">
        <f t="shared" si="3"/>
        <v>47741.937873296039</v>
      </c>
      <c r="X20" s="167">
        <f>SUM(Wheatland!W16,Wilton!W16,Gleason!W16)</f>
        <v>47741.937873296047</v>
      </c>
      <c r="Y20" s="167">
        <f t="shared" si="4"/>
        <v>0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45" ht="12.75" customHeight="1" x14ac:dyDescent="0.25">
      <c r="A21" s="166" t="s">
        <v>72</v>
      </c>
      <c r="B21" s="163">
        <f>SUM(Wheatland!B17,Wilton!B17,Gleason!B17)</f>
        <v>1060.04098</v>
      </c>
      <c r="C21" s="163">
        <f>SUM(Wheatland!C17,Wilton!C17,Gleason!C17)</f>
        <v>1091.8422094</v>
      </c>
      <c r="D21" s="163">
        <f>SUM(Wheatland!D17,Wilton!D17,Gleason!D17)</f>
        <v>1124.5974756820001</v>
      </c>
      <c r="E21" s="163">
        <f>SUM(Wheatland!E17,Wilton!E17,Gleason!E17)</f>
        <v>1158.33539995246</v>
      </c>
      <c r="F21" s="163">
        <f>SUM(Wheatland!F17,Wilton!F17,Gleason!F17)</f>
        <v>1193.0854619510339</v>
      </c>
      <c r="G21" s="163">
        <f>SUM(Wheatland!G17,Wilton!G17,Gleason!G17)</f>
        <v>1228.8780258095649</v>
      </c>
      <c r="H21" s="163">
        <f>SUM(Wheatland!H17,Wilton!H17,Gleason!H17)</f>
        <v>1265.7443665838518</v>
      </c>
      <c r="I21" s="163">
        <f>SUM(Wheatland!I17,Wilton!I17,Gleason!I17)</f>
        <v>1303.7166975813675</v>
      </c>
      <c r="J21" s="163">
        <f>SUM(Wheatland!J17,Wilton!J17,Gleason!J17)</f>
        <v>1342.8281985088083</v>
      </c>
      <c r="K21" s="163">
        <f>SUM(Wheatland!K17,Wilton!K17,Gleason!K17)</f>
        <v>1383.1130444640728</v>
      </c>
      <c r="L21" s="163">
        <f>SUM(Wheatland!L17,Wilton!L17,Gleason!L17)</f>
        <v>1424.6064357979949</v>
      </c>
      <c r="M21" s="163">
        <f>SUM(Wheatland!M17,Wilton!M17,Gleason!M17)</f>
        <v>1467.3446288719349</v>
      </c>
      <c r="N21" s="163">
        <f>SUM(Wheatland!N17,Wilton!N17,Gleason!N17)</f>
        <v>1511.3649677380929</v>
      </c>
      <c r="O21" s="163">
        <f>SUM(Wheatland!O17,Wilton!O17,Gleason!O17)</f>
        <v>1556.7059167702359</v>
      </c>
      <c r="P21" s="163">
        <f>SUM(Wheatland!P17,Wilton!P17,Gleason!P17)</f>
        <v>1603.4070942733431</v>
      </c>
      <c r="Q21" s="163">
        <f>SUM(Wheatland!Q17,Wilton!Q17,Gleason!Q17)</f>
        <v>1651.5093071015431</v>
      </c>
      <c r="R21" s="163">
        <f>SUM(Wheatland!R17,Wilton!R17,Gleason!R17)</f>
        <v>1701.0545863145896</v>
      </c>
      <c r="S21" s="163">
        <f>SUM(Wheatland!S17,Wilton!S17,Gleason!S17)</f>
        <v>1752.0862239040271</v>
      </c>
      <c r="T21" s="163">
        <f>SUM(Wheatland!T17,Wilton!T17,Gleason!T17)</f>
        <v>1804.6488106211482</v>
      </c>
      <c r="U21" s="163">
        <f>SUM(Wheatland!U17,Wilton!U17,Gleason!U17)</f>
        <v>1858.7882749397825</v>
      </c>
      <c r="V21" s="91"/>
      <c r="W21" s="164">
        <f t="shared" si="3"/>
        <v>28483.698106265852</v>
      </c>
      <c r="X21" s="167">
        <f>SUM(Wheatland!W17,Wilton!W17,Gleason!W17)</f>
        <v>28483.698106265852</v>
      </c>
      <c r="Y21" s="167">
        <f t="shared" si="4"/>
        <v>0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 ht="14.25" customHeight="1" x14ac:dyDescent="0.25">
      <c r="A22" s="166" t="s">
        <v>108</v>
      </c>
      <c r="B22" s="163">
        <f>SUM(Wheatland!B18,Wilton!B18,Gleason!B18)</f>
        <v>746.46</v>
      </c>
      <c r="C22" s="163">
        <f>SUM(Wheatland!C18,Wilton!C18,Gleason!C18)</f>
        <v>1050.307</v>
      </c>
      <c r="D22" s="163">
        <f>SUM(Wheatland!D18,Wilton!D18,Gleason!D18)</f>
        <v>1248.0929999999998</v>
      </c>
      <c r="E22" s="163">
        <f>SUM(Wheatland!E18,Wilton!E18,Gleason!E18)</f>
        <v>1339.135</v>
      </c>
      <c r="F22" s="163">
        <f>SUM(Wheatland!F18,Wilton!F18,Gleason!F18)</f>
        <v>1401.501</v>
      </c>
      <c r="G22" s="163">
        <f>SUM(Wheatland!G18,Wilton!G18,Gleason!G18)</f>
        <v>1623.5369999999998</v>
      </c>
      <c r="H22" s="163">
        <f>SUM(Wheatland!H18,Wilton!H18,Gleason!H18)</f>
        <v>1795.9389999999999</v>
      </c>
      <c r="I22" s="163">
        <f>SUM(Wheatland!I18,Wilton!I18,Gleason!I18)</f>
        <v>1908.1120000000001</v>
      </c>
      <c r="J22" s="163">
        <f>SUM(Wheatland!J18,Wilton!J18,Gleason!J18)</f>
        <v>1920.1799999999998</v>
      </c>
      <c r="K22" s="163">
        <f>SUM(Wheatland!K18,Wilton!K18,Gleason!K18)</f>
        <v>1854.1379999999999</v>
      </c>
      <c r="L22" s="163">
        <f>SUM(Wheatland!L18,Wilton!L18,Gleason!L18)</f>
        <v>2009.2130000000002</v>
      </c>
      <c r="M22" s="163">
        <f>SUM(Wheatland!M18,Wilton!M18,Gleason!M18)</f>
        <v>2009.1799999999998</v>
      </c>
      <c r="N22" s="163">
        <f>SUM(Wheatland!N18,Wilton!N18,Gleason!N18)</f>
        <v>2358.1</v>
      </c>
      <c r="O22" s="163">
        <f>SUM(Wheatland!O18,Wilton!O18,Gleason!O18)</f>
        <v>2358.1</v>
      </c>
      <c r="P22" s="163">
        <f>SUM(Wheatland!P18,Wilton!P18,Gleason!P18)</f>
        <v>2794.25</v>
      </c>
      <c r="Q22" s="163">
        <f>SUM(Wheatland!Q18,Wilton!Q18,Gleason!Q18)</f>
        <v>2229.731045</v>
      </c>
      <c r="R22" s="163">
        <f>SUM(Wheatland!R18,Wilton!R18,Gleason!R18)</f>
        <v>2244.6096659</v>
      </c>
      <c r="S22" s="163">
        <f>SUM(Wheatland!S18,Wilton!S18,Gleason!S18)</f>
        <v>2259.785859218</v>
      </c>
      <c r="T22" s="163">
        <f>SUM(Wheatland!T18,Wilton!T18,Gleason!T18)</f>
        <v>2275.2655764023598</v>
      </c>
      <c r="U22" s="163">
        <f>SUM(Wheatland!U18,Wilton!U18,Gleason!U18)</f>
        <v>2291.0548879304069</v>
      </c>
      <c r="V22" s="91"/>
      <c r="W22" s="164">
        <f t="shared" si="3"/>
        <v>37716.69203445076</v>
      </c>
      <c r="X22" s="167">
        <f>SUM(Wheatland!W18,Wilton!W18,Gleason!W18)</f>
        <v>37716.69203445076</v>
      </c>
      <c r="Y22" s="167">
        <f t="shared" si="4"/>
        <v>0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1:45" ht="12.75" customHeight="1" x14ac:dyDescent="0.25">
      <c r="A23" s="166" t="s">
        <v>109</v>
      </c>
      <c r="B23" s="168">
        <f>SUM(Wheatland!B19,Wilton!B19,Gleason!B19)</f>
        <v>872.79598251330572</v>
      </c>
      <c r="C23" s="168">
        <f>SUM(Wheatland!C19,Wilton!C19,Gleason!C19)</f>
        <v>752.88203271287091</v>
      </c>
      <c r="D23" s="168">
        <f>SUM(Wheatland!D19,Wilton!D19,Gleason!D19)</f>
        <v>735.07983527512545</v>
      </c>
      <c r="E23" s="168">
        <f>SUM(Wheatland!E19,Wilton!E19,Gleason!E19)</f>
        <v>717.27763783737987</v>
      </c>
      <c r="F23" s="168">
        <f>SUM(Wheatland!F19,Wilton!F19,Gleason!F19)</f>
        <v>699.47544039963441</v>
      </c>
      <c r="G23" s="168">
        <f>SUM(Wheatland!G19,Wilton!G19,Gleason!G19)</f>
        <v>681.67324296188895</v>
      </c>
      <c r="H23" s="168">
        <f>SUM(Wheatland!H19,Wilton!H19,Gleason!H19)</f>
        <v>663.87104552414348</v>
      </c>
      <c r="I23" s="168">
        <f>SUM(Wheatland!I19,Wilton!I19,Gleason!I19)</f>
        <v>646.06884808639802</v>
      </c>
      <c r="J23" s="168">
        <f>SUM(Wheatland!J19,Wilton!J19,Gleason!J19)</f>
        <v>628.26665064865244</v>
      </c>
      <c r="K23" s="168">
        <f>SUM(Wheatland!K19,Wilton!K19,Gleason!K19)</f>
        <v>610.46445321090698</v>
      </c>
      <c r="L23" s="168">
        <f>SUM(Wheatland!L19,Wilton!L19,Gleason!L19)</f>
        <v>592.66225577316152</v>
      </c>
      <c r="M23" s="168">
        <f>SUM(Wheatland!M19,Wilton!M19,Gleason!M19)</f>
        <v>574.86005833541606</v>
      </c>
      <c r="N23" s="168">
        <f>SUM(Wheatland!N19,Wilton!N19,Gleason!N19)</f>
        <v>557.05786089767048</v>
      </c>
      <c r="O23" s="168">
        <f>SUM(Wheatland!O19,Wilton!O19,Gleason!O19)</f>
        <v>539.25566345992502</v>
      </c>
      <c r="P23" s="168">
        <f>SUM(Wheatland!P19,Wilton!P19,Gleason!P19)</f>
        <v>521.45346602217955</v>
      </c>
      <c r="Q23" s="168">
        <f>SUM(Wheatland!Q19,Wilton!Q19,Gleason!Q19)</f>
        <v>503.65126858443409</v>
      </c>
      <c r="R23" s="168">
        <f>SUM(Wheatland!R19,Wilton!R19,Gleason!R19)</f>
        <v>485.84907114668852</v>
      </c>
      <c r="S23" s="168">
        <f>SUM(Wheatland!S19,Wilton!S19,Gleason!S19)</f>
        <v>468.04687370894305</v>
      </c>
      <c r="T23" s="168">
        <f>SUM(Wheatland!T19,Wilton!T19,Gleason!T19)</f>
        <v>450.24467627119759</v>
      </c>
      <c r="U23" s="168">
        <f>SUM(Wheatland!U19,Wilton!U19,Gleason!U19)</f>
        <v>432.44247883345213</v>
      </c>
      <c r="V23" s="161"/>
      <c r="W23" s="164">
        <f t="shared" si="3"/>
        <v>12133.378842203376</v>
      </c>
      <c r="X23" s="167">
        <f>SUM(Wheatland!W19,Wilton!W19,Gleason!W19)</f>
        <v>12133.378842203374</v>
      </c>
      <c r="Y23" s="167">
        <f t="shared" si="4"/>
        <v>0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spans="1:45" ht="12.75" customHeight="1" x14ac:dyDescent="0.25">
      <c r="A24" s="166" t="s">
        <v>110</v>
      </c>
      <c r="B24" s="163">
        <f t="shared" ref="B24:U24" si="5">SUM(B18:B23)</f>
        <v>15162.112274189187</v>
      </c>
      <c r="C24" s="163">
        <f t="shared" si="5"/>
        <v>15752.331013139028</v>
      </c>
      <c r="D24" s="163">
        <f t="shared" si="5"/>
        <v>16350.789075114066</v>
      </c>
      <c r="E24" s="163">
        <f t="shared" si="5"/>
        <v>16855.057364871489</v>
      </c>
      <c r="F24" s="163">
        <f t="shared" si="5"/>
        <v>17343.580509244766</v>
      </c>
      <c r="G24" s="163">
        <f t="shared" si="5"/>
        <v>18005.092433872378</v>
      </c>
      <c r="H24" s="163">
        <f t="shared" si="5"/>
        <v>18630.688702161948</v>
      </c>
      <c r="I24" s="163">
        <f t="shared" si="5"/>
        <v>19210.185864423333</v>
      </c>
      <c r="J24" s="163">
        <f t="shared" si="5"/>
        <v>19704.131817475696</v>
      </c>
      <c r="K24" s="163">
        <f t="shared" si="5"/>
        <v>20134.958175042764</v>
      </c>
      <c r="L24" s="163">
        <f t="shared" si="5"/>
        <v>20802.341649259972</v>
      </c>
      <c r="M24" s="163">
        <f t="shared" si="5"/>
        <v>21330.520443626832</v>
      </c>
      <c r="N24" s="163">
        <f t="shared" si="5"/>
        <v>22224.032657747826</v>
      </c>
      <c r="O24" s="163">
        <f t="shared" si="5"/>
        <v>22785.496704215588</v>
      </c>
      <c r="P24" s="163">
        <f t="shared" si="5"/>
        <v>23800.488738000513</v>
      </c>
      <c r="Q24" s="163">
        <f t="shared" si="5"/>
        <v>23832.711143722117</v>
      </c>
      <c r="R24" s="163">
        <f t="shared" si="5"/>
        <v>24462.767432088502</v>
      </c>
      <c r="S24" s="163">
        <f t="shared" si="5"/>
        <v>25112.110688820012</v>
      </c>
      <c r="T24" s="163">
        <f t="shared" si="5"/>
        <v>25781.316547243419</v>
      </c>
      <c r="U24" s="163">
        <f t="shared" si="5"/>
        <v>26470.977850170817</v>
      </c>
      <c r="V24" s="91"/>
      <c r="W24" s="164">
        <f t="shared" si="3"/>
        <v>413751.6910844302</v>
      </c>
      <c r="X24" s="167">
        <f>SUM(Wheatland!W20,Wilton!W20,Gleason!W20)</f>
        <v>413751.6910844302</v>
      </c>
      <c r="Y24" s="167">
        <f t="shared" si="4"/>
        <v>0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ht="12.75" customHeight="1" x14ac:dyDescent="0.25">
      <c r="A25" s="170"/>
      <c r="B25" s="171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91"/>
      <c r="W25" s="164"/>
      <c r="X25" s="165"/>
      <c r="Y25" s="165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spans="1:45" ht="12.75" customHeight="1" x14ac:dyDescent="0.25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91"/>
      <c r="W26" s="164"/>
      <c r="X26" s="165"/>
      <c r="Y26" s="165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spans="1:45" ht="12.75" customHeight="1" x14ac:dyDescent="0.25">
      <c r="A27" s="160" t="s">
        <v>111</v>
      </c>
      <c r="B27" s="174">
        <f t="shared" ref="B27:U27" si="6">B15-B24</f>
        <v>104396.79144458694</v>
      </c>
      <c r="C27" s="174">
        <f t="shared" si="6"/>
        <v>109598.94601289775</v>
      </c>
      <c r="D27" s="174">
        <f t="shared" si="6"/>
        <v>115076.91361189363</v>
      </c>
      <c r="E27" s="174">
        <f t="shared" si="6"/>
        <v>120948.44064066114</v>
      </c>
      <c r="F27" s="174">
        <f t="shared" si="6"/>
        <v>127148.83649557091</v>
      </c>
      <c r="G27" s="174">
        <f t="shared" si="6"/>
        <v>129162.35475149812</v>
      </c>
      <c r="H27" s="174">
        <f t="shared" si="6"/>
        <v>131264.71950378607</v>
      </c>
      <c r="I27" s="174">
        <f t="shared" si="6"/>
        <v>133467.32002694259</v>
      </c>
      <c r="J27" s="174">
        <f t="shared" si="6"/>
        <v>135811.20333967311</v>
      </c>
      <c r="K27" s="174">
        <f t="shared" si="6"/>
        <v>138274.78295393262</v>
      </c>
      <c r="L27" s="174">
        <f t="shared" si="6"/>
        <v>140465.24853179898</v>
      </c>
      <c r="M27" s="174">
        <f t="shared" si="6"/>
        <v>142851.19011208994</v>
      </c>
      <c r="N27" s="174">
        <f t="shared" si="6"/>
        <v>144922.85675622374</v>
      </c>
      <c r="O27" s="174">
        <f t="shared" si="6"/>
        <v>147387.46439098049</v>
      </c>
      <c r="P27" s="174">
        <f t="shared" si="6"/>
        <v>149450.75793123239</v>
      </c>
      <c r="Q27" s="174">
        <f t="shared" si="6"/>
        <v>152174.28887801419</v>
      </c>
      <c r="R27" s="174">
        <f t="shared" si="6"/>
        <v>154338.58665743165</v>
      </c>
      <c r="S27" s="174">
        <f t="shared" si="6"/>
        <v>156530.26464153695</v>
      </c>
      <c r="T27" s="174">
        <f t="shared" si="6"/>
        <v>158749.5914630511</v>
      </c>
      <c r="U27" s="174">
        <f t="shared" si="6"/>
        <v>160996.83555254483</v>
      </c>
      <c r="V27" s="91"/>
      <c r="W27" s="164">
        <f>SUM(B27:U27)</f>
        <v>2753017.3936963473</v>
      </c>
      <c r="X27" s="167">
        <f>SUM(Wheatland!W22,Wilton!W22,Gleason!W22)</f>
        <v>2753017.3936963468</v>
      </c>
      <c r="Y27" s="167">
        <f>W27-X27</f>
        <v>0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spans="1:45" ht="12.75" customHeight="1" x14ac:dyDescent="0.25">
      <c r="A28" s="160"/>
      <c r="B28" s="171"/>
      <c r="C28" s="171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91"/>
      <c r="W28" s="164"/>
      <c r="X28" s="165"/>
      <c r="Y28" s="165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spans="1:45" ht="12.75" customHeight="1" x14ac:dyDescent="0.25">
      <c r="A29" s="166" t="s">
        <v>112</v>
      </c>
      <c r="B29" s="163">
        <f>Depreciation!C34</f>
        <v>24121.862009597709</v>
      </c>
      <c r="C29" s="163">
        <f>Depreciation!D34</f>
        <v>24121.862009597709</v>
      </c>
      <c r="D29" s="163">
        <f>Depreciation!E34</f>
        <v>24121.862009597709</v>
      </c>
      <c r="E29" s="163">
        <f>Depreciation!F34</f>
        <v>24121.862009597709</v>
      </c>
      <c r="F29" s="163">
        <f>Depreciation!G34</f>
        <v>24121.862009597709</v>
      </c>
      <c r="G29" s="163">
        <f>Depreciation!H34</f>
        <v>24121.862009597709</v>
      </c>
      <c r="H29" s="163">
        <f>Depreciation!I34</f>
        <v>24121.862009597709</v>
      </c>
      <c r="I29" s="163">
        <f>Depreciation!J34</f>
        <v>24121.862009597709</v>
      </c>
      <c r="J29" s="163">
        <f>Depreciation!K34</f>
        <v>24121.862009597709</v>
      </c>
      <c r="K29" s="163">
        <f>Depreciation!L34</f>
        <v>24121.862009597709</v>
      </c>
      <c r="L29" s="163">
        <f>Depreciation!M34</f>
        <v>24121.862009597709</v>
      </c>
      <c r="M29" s="163">
        <f>Depreciation!N34</f>
        <v>24121.862009597709</v>
      </c>
      <c r="N29" s="163">
        <f>Depreciation!O34</f>
        <v>24121.862009597709</v>
      </c>
      <c r="O29" s="163">
        <f>Depreciation!P34</f>
        <v>24121.862009597709</v>
      </c>
      <c r="P29" s="163">
        <f>Depreciation!Q34</f>
        <v>24121.862009597709</v>
      </c>
      <c r="Q29" s="163">
        <f>Depreciation!R34</f>
        <v>24121.862009597709</v>
      </c>
      <c r="R29" s="163">
        <f>Depreciation!S34</f>
        <v>24121.862009597709</v>
      </c>
      <c r="S29" s="163">
        <f>Depreciation!T34</f>
        <v>24121.862009597709</v>
      </c>
      <c r="T29" s="163">
        <f>Depreciation!U34</f>
        <v>24121.862009597709</v>
      </c>
      <c r="U29" s="163">
        <f>Depreciation!V34</f>
        <v>24121.862009597709</v>
      </c>
      <c r="V29" s="91"/>
      <c r="W29" s="164">
        <f>SUM(B29:U29)</f>
        <v>482437.24019195419</v>
      </c>
      <c r="X29" s="167">
        <f>SUM(Wheatland!W24,Wilton!W24,Gleason!W24)</f>
        <v>482437.24019195419</v>
      </c>
      <c r="Y29" s="167">
        <f>W29-X29</f>
        <v>0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spans="1:45" ht="12.75" customHeight="1" x14ac:dyDescent="0.25">
      <c r="A30" s="166"/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91"/>
      <c r="W30" s="164"/>
      <c r="X30" s="165"/>
      <c r="Y30" s="165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spans="1:45" ht="12.75" customHeight="1" x14ac:dyDescent="0.25">
      <c r="A31" s="160" t="s">
        <v>113</v>
      </c>
      <c r="B31" s="174">
        <f t="shared" ref="B31:U31" si="7">B27-B29</f>
        <v>80274.92943498923</v>
      </c>
      <c r="C31" s="174">
        <f t="shared" si="7"/>
        <v>85477.084003300042</v>
      </c>
      <c r="D31" s="174">
        <f t="shared" si="7"/>
        <v>90955.05160229592</v>
      </c>
      <c r="E31" s="174">
        <f t="shared" si="7"/>
        <v>96826.578631063428</v>
      </c>
      <c r="F31" s="174">
        <f t="shared" si="7"/>
        <v>103026.9744859732</v>
      </c>
      <c r="G31" s="174">
        <f t="shared" si="7"/>
        <v>105040.49274190041</v>
      </c>
      <c r="H31" s="174">
        <f t="shared" si="7"/>
        <v>107142.85749418836</v>
      </c>
      <c r="I31" s="174">
        <f t="shared" si="7"/>
        <v>109345.45801734488</v>
      </c>
      <c r="J31" s="174">
        <f t="shared" si="7"/>
        <v>111689.3413300754</v>
      </c>
      <c r="K31" s="174">
        <f t="shared" si="7"/>
        <v>114152.92094433491</v>
      </c>
      <c r="L31" s="174">
        <f t="shared" si="7"/>
        <v>116343.38652220127</v>
      </c>
      <c r="M31" s="174">
        <f t="shared" si="7"/>
        <v>118729.32810249223</v>
      </c>
      <c r="N31" s="174">
        <f t="shared" si="7"/>
        <v>120800.99474662603</v>
      </c>
      <c r="O31" s="174">
        <f t="shared" si="7"/>
        <v>123265.60238138278</v>
      </c>
      <c r="P31" s="174">
        <f t="shared" si="7"/>
        <v>125328.89592163468</v>
      </c>
      <c r="Q31" s="174">
        <f t="shared" si="7"/>
        <v>128052.42686841649</v>
      </c>
      <c r="R31" s="174">
        <f t="shared" si="7"/>
        <v>130216.72464783394</v>
      </c>
      <c r="S31" s="174">
        <f t="shared" si="7"/>
        <v>132408.40263193924</v>
      </c>
      <c r="T31" s="174">
        <f t="shared" si="7"/>
        <v>134627.72945345339</v>
      </c>
      <c r="U31" s="174">
        <f t="shared" si="7"/>
        <v>136874.97354294712</v>
      </c>
      <c r="V31" s="91"/>
      <c r="W31" s="164">
        <f>SUM(B31:U31)</f>
        <v>2270580.1535043935</v>
      </c>
      <c r="X31" s="167">
        <f>SUM(Wheatland!W26,Wilton!W26,Gleason!W26)</f>
        <v>2270580.1535043931</v>
      </c>
      <c r="Y31" s="167">
        <f>W31-X31</f>
        <v>0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spans="1:45" ht="12.75" customHeight="1" x14ac:dyDescent="0.25">
      <c r="A32" s="160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91"/>
      <c r="W32" s="164"/>
      <c r="X32" s="165"/>
      <c r="Y32" s="165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spans="1:45" ht="12.75" customHeight="1" x14ac:dyDescent="0.25">
      <c r="A33" s="166" t="s">
        <v>114</v>
      </c>
      <c r="B33" s="163">
        <f>Debt!B83</f>
        <v>39239.27399718549</v>
      </c>
      <c r="C33" s="163">
        <f>Debt!C83</f>
        <v>38547.922419175913</v>
      </c>
      <c r="D33" s="163">
        <f>Debt!D83</f>
        <v>37639.490174461331</v>
      </c>
      <c r="E33" s="163">
        <f>Debt!E83</f>
        <v>36699.97382620124</v>
      </c>
      <c r="F33" s="163">
        <f>Debt!F83</f>
        <v>35395.209640219036</v>
      </c>
      <c r="G33" s="163">
        <f>Debt!G83</f>
        <v>34047.732631167695</v>
      </c>
      <c r="H33" s="163">
        <f>Debt!H83</f>
        <v>32665.459501278579</v>
      </c>
      <c r="I33" s="163">
        <f>Debt!I83</f>
        <v>31318.557040821361</v>
      </c>
      <c r="J33" s="163">
        <f>Debt!J83</f>
        <v>29732.071714075293</v>
      </c>
      <c r="K33" s="163">
        <f>Debt!K83</f>
        <v>28144.928111578374</v>
      </c>
      <c r="L33" s="163">
        <f>Debt!L83</f>
        <v>26448.353935507192</v>
      </c>
      <c r="M33" s="163">
        <f>Debt!M83</f>
        <v>24680.737464246413</v>
      </c>
      <c r="N33" s="163">
        <f>Debt!N83</f>
        <v>22637.003703992341</v>
      </c>
      <c r="O33" s="163">
        <f>Debt!O83</f>
        <v>20504.601666908704</v>
      </c>
      <c r="P33" s="163">
        <f>Debt!P83</f>
        <v>18190.57338895771</v>
      </c>
      <c r="Q33" s="163">
        <f>Debt!Q83</f>
        <v>15716.794800781941</v>
      </c>
      <c r="R33" s="163">
        <f>Debt!R83</f>
        <v>12912.607109221637</v>
      </c>
      <c r="S33" s="163">
        <f>Debt!S83</f>
        <v>9892.1955964583249</v>
      </c>
      <c r="T33" s="163">
        <f>Debt!T83</f>
        <v>6577.12237371226</v>
      </c>
      <c r="U33" s="163">
        <f>Debt!U83</f>
        <v>2940.4552810885771</v>
      </c>
      <c r="V33" s="91"/>
      <c r="W33" s="164">
        <f>SUM(B33:U33)</f>
        <v>503931.06437703944</v>
      </c>
      <c r="X33" s="167">
        <f>SUM(Wheatland!W28,Wilton!W28,Gleason!W28)</f>
        <v>503931.06437703944</v>
      </c>
      <c r="Y33" s="167">
        <f>W33-X33</f>
        <v>0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spans="1:45" ht="12.75" customHeight="1" x14ac:dyDescent="0.25">
      <c r="A34" s="4"/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91"/>
      <c r="W34" s="164"/>
      <c r="X34" s="165"/>
      <c r="Y34" s="165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45" ht="12.75" customHeight="1" x14ac:dyDescent="0.25">
      <c r="A35" s="160" t="s">
        <v>115</v>
      </c>
      <c r="B35" s="174">
        <f t="shared" ref="B35:U35" si="8">B31-B33</f>
        <v>41035.65543780374</v>
      </c>
      <c r="C35" s="174">
        <f t="shared" si="8"/>
        <v>46929.161584124129</v>
      </c>
      <c r="D35" s="174">
        <f t="shared" si="8"/>
        <v>53315.561427834589</v>
      </c>
      <c r="E35" s="174">
        <f t="shared" si="8"/>
        <v>60126.604804862189</v>
      </c>
      <c r="F35" s="174">
        <f t="shared" si="8"/>
        <v>67631.764845754165</v>
      </c>
      <c r="G35" s="174">
        <f t="shared" si="8"/>
        <v>70992.760110732721</v>
      </c>
      <c r="H35" s="174">
        <f t="shared" si="8"/>
        <v>74477.39799290977</v>
      </c>
      <c r="I35" s="174">
        <f t="shared" si="8"/>
        <v>78026.900976523524</v>
      </c>
      <c r="J35" s="174">
        <f t="shared" si="8"/>
        <v>81957.269616000107</v>
      </c>
      <c r="K35" s="174">
        <f t="shared" si="8"/>
        <v>86007.992832756543</v>
      </c>
      <c r="L35" s="174">
        <f t="shared" si="8"/>
        <v>89895.032586694084</v>
      </c>
      <c r="M35" s="174">
        <f t="shared" si="8"/>
        <v>94048.59063824582</v>
      </c>
      <c r="N35" s="174">
        <f t="shared" si="8"/>
        <v>98163.991042633686</v>
      </c>
      <c r="O35" s="174">
        <f t="shared" si="8"/>
        <v>102761.00071447407</v>
      </c>
      <c r="P35" s="174">
        <f t="shared" si="8"/>
        <v>107138.32253267698</v>
      </c>
      <c r="Q35" s="174">
        <f t="shared" si="8"/>
        <v>112335.63206763455</v>
      </c>
      <c r="R35" s="174">
        <f t="shared" si="8"/>
        <v>117304.11753861231</v>
      </c>
      <c r="S35" s="174">
        <f t="shared" si="8"/>
        <v>122516.20703548091</v>
      </c>
      <c r="T35" s="174">
        <f t="shared" si="8"/>
        <v>128050.60707974112</v>
      </c>
      <c r="U35" s="174">
        <f t="shared" si="8"/>
        <v>133934.51826185855</v>
      </c>
      <c r="V35" s="91"/>
      <c r="W35" s="164">
        <f>SUM(B35:U35)</f>
        <v>1766649.0891273534</v>
      </c>
      <c r="X35" s="167">
        <f>SUM(Wheatland!W30,Wilton!W30,Gleason!W30)</f>
        <v>1766649.0891273536</v>
      </c>
      <c r="Y35" s="167">
        <f>W35-X35</f>
        <v>0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spans="1:45" ht="12.75" customHeight="1" x14ac:dyDescent="0.25">
      <c r="A36" s="160"/>
      <c r="B36" s="174"/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91"/>
      <c r="W36" s="164"/>
      <c r="X36" s="165"/>
      <c r="Y36" s="165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1:45" ht="12.75" customHeight="1" x14ac:dyDescent="0.25">
      <c r="A37" s="166" t="s">
        <v>116</v>
      </c>
      <c r="B37" s="163">
        <f>Wheatland!B32+Wilton!B32+Gleason!B32</f>
        <v>-2428.955796858977</v>
      </c>
      <c r="C37" s="163">
        <f>Wheatland!C32+Wilton!C32+Gleason!C32</f>
        <v>-2782.5920068778341</v>
      </c>
      <c r="D37" s="163">
        <f>Wheatland!D32+Wilton!D32+Gleason!D32</f>
        <v>-3164.062367859241</v>
      </c>
      <c r="E37" s="163">
        <f>Wheatland!E32+Wilton!E32+Gleason!E32</f>
        <v>-3570.3878309518118</v>
      </c>
      <c r="F37" s="163">
        <f>Wheatland!F32+Wilton!F32+Gleason!F32</f>
        <v>-4017.6068305153035</v>
      </c>
      <c r="G37" s="163">
        <f>Wheatland!G32+Wilton!G32+Gleason!G32</f>
        <v>-4220.9529173166484</v>
      </c>
      <c r="H37" s="163">
        <f>Wheatland!H32+Wilton!H32+Gleason!H32</f>
        <v>-4432.6251788205509</v>
      </c>
      <c r="I37" s="163">
        <f>Wheatland!I32+Wilton!I32+Gleason!I32</f>
        <v>-4647.2676419532891</v>
      </c>
      <c r="J37" s="163">
        <f>Wheatland!J32+Wilton!J32+Gleason!J32</f>
        <v>-4883.2624086306369</v>
      </c>
      <c r="K37" s="163">
        <f>Wheatland!K32+Wilton!K32+Gleason!K32</f>
        <v>-5125.2887071804553</v>
      </c>
      <c r="L37" s="163">
        <f>Wheatland!L32+Wilton!L32+Gleason!L32</f>
        <v>-5365.6902750844038</v>
      </c>
      <c r="M37" s="163">
        <f>Wheatland!M32+Wilton!M32+Gleason!M32</f>
        <v>-5619.8886189036093</v>
      </c>
      <c r="N37" s="163">
        <f>Wheatland!N32+Wilton!N32+Gleason!N32</f>
        <v>-5871.9839494037442</v>
      </c>
      <c r="O37" s="163">
        <f>Wheatland!O32+Wilton!O32+Gleason!O32</f>
        <v>-6153.1468331957167</v>
      </c>
      <c r="P37" s="163">
        <f>Wheatland!P32+Wilton!P32+Gleason!P32</f>
        <v>-6421.3128741276341</v>
      </c>
      <c r="Q37" s="163">
        <f>Wheatland!Q32+Wilton!Q32+Gleason!Q32</f>
        <v>-6733.9907744871434</v>
      </c>
      <c r="R37" s="163">
        <f>Wheatland!R32+Wilton!R32+Gleason!R32</f>
        <v>-7032.9882303008108</v>
      </c>
      <c r="S37" s="163">
        <f>Wheatland!S32+Wilton!S32+Gleason!S32</f>
        <v>-7346.6398028491158</v>
      </c>
      <c r="T37" s="163">
        <f>Wheatland!T32+Wilton!T32+Gleason!T32</f>
        <v>-7679.6762016335633</v>
      </c>
      <c r="U37" s="163">
        <f>Wheatland!U32+Wilton!U32+Gleason!U32</f>
        <v>-8033.7325945811699</v>
      </c>
      <c r="V37" s="91"/>
      <c r="W37" s="164">
        <f>SUM(B37:U37)</f>
        <v>-105532.05184153165</v>
      </c>
      <c r="X37" s="167">
        <f>SUM(Wheatland!W32,Wilton!W32,Gleason!W32)</f>
        <v>-105532.05184153166</v>
      </c>
      <c r="Y37" s="167">
        <f>W37-X37</f>
        <v>0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spans="1:45" ht="12.75" customHeight="1" x14ac:dyDescent="0.25">
      <c r="A38" s="166" t="s">
        <v>117</v>
      </c>
      <c r="B38" s="163">
        <f>Wheatland!B33+Wilton!B33+Gleason!B33</f>
        <v>-13512.344874330664</v>
      </c>
      <c r="C38" s="163">
        <f>Wheatland!C33+Wilton!C33+Gleason!C33</f>
        <v>-15451.299352036202</v>
      </c>
      <c r="D38" s="163">
        <f>Wheatland!D33+Wilton!D33+Gleason!D33</f>
        <v>-17553.02467099137</v>
      </c>
      <c r="E38" s="163">
        <f>Wheatland!E33+Wilton!E33+Gleason!E33</f>
        <v>-19794.675940868627</v>
      </c>
      <c r="F38" s="163">
        <f>Wheatland!F33+Wilton!F33+Gleason!F33</f>
        <v>-22264.955305333609</v>
      </c>
      <c r="G38" s="163">
        <f>Wheatland!G33+Wilton!G33+Gleason!G33</f>
        <v>-23370.132517695623</v>
      </c>
      <c r="H38" s="163">
        <f>Wheatland!H33+Wilton!H33+Gleason!H33</f>
        <v>-24515.670484931237</v>
      </c>
      <c r="I38" s="163">
        <f>Wheatland!I33+Wilton!I33+Gleason!I33</f>
        <v>-25682.871667099571</v>
      </c>
      <c r="J38" s="163">
        <f>Wheatland!J33+Wilton!J33+Gleason!J33</f>
        <v>-26975.902522579316</v>
      </c>
      <c r="K38" s="163">
        <f>Wheatland!K33+Wilton!K33+Gleason!K33</f>
        <v>-28308.946443951623</v>
      </c>
      <c r="L38" s="163">
        <f>Wheatland!L33+Wilton!L33+Gleason!L33</f>
        <v>-29585.269809063371</v>
      </c>
      <c r="M38" s="163">
        <f>Wheatland!M33+Wilton!M33+Gleason!M33</f>
        <v>-30950.045706769779</v>
      </c>
      <c r="N38" s="163">
        <f>Wheatland!N33+Wilton!N33+Gleason!N33</f>
        <v>-32302.202482630484</v>
      </c>
      <c r="O38" s="163">
        <f>Wheatland!O33+Wilton!O33+Gleason!O33</f>
        <v>-33812.748858447419</v>
      </c>
      <c r="P38" s="163">
        <f>Wheatland!P33+Wilton!P33+Gleason!P33</f>
        <v>-35250.953380492268</v>
      </c>
      <c r="Q38" s="163">
        <f>Wheatland!Q33+Wilton!Q33+Gleason!Q33</f>
        <v>-36960.574452601591</v>
      </c>
      <c r="R38" s="163">
        <f>Wheatland!R33+Wilton!R33+Gleason!R33</f>
        <v>-38594.895257909011</v>
      </c>
      <c r="S38" s="163">
        <f>Wheatland!S33+Wilton!S33+Gleason!S33</f>
        <v>-40309.348531421128</v>
      </c>
      <c r="T38" s="163">
        <f>Wheatland!T33+Wilton!T33+Gleason!T33</f>
        <v>-42129.825807337649</v>
      </c>
      <c r="U38" s="163">
        <f>Wheatland!U33+Wilton!U33+Gleason!U33</f>
        <v>-44065.274983547075</v>
      </c>
      <c r="V38" s="91"/>
      <c r="W38" s="164">
        <f>SUM(B38:U38)</f>
        <v>-581390.96305003762</v>
      </c>
      <c r="X38" s="167">
        <f>SUM(Wheatland!W33,Wilton!W33,Gleason!W33)</f>
        <v>-581390.96305003762</v>
      </c>
      <c r="Y38" s="167">
        <f>W38-X38</f>
        <v>0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spans="1:45" ht="12.75" customHeight="1" x14ac:dyDescent="0.25">
      <c r="A39" s="4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91"/>
      <c r="W39" s="164"/>
      <c r="X39" s="165"/>
      <c r="Y39" s="165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spans="1:45" ht="15.75" customHeight="1" x14ac:dyDescent="0.3">
      <c r="A40" s="175" t="s">
        <v>118</v>
      </c>
      <c r="B40" s="176">
        <f t="shared" ref="B40:U40" si="9">B35+B37+B38</f>
        <v>25094.354766614095</v>
      </c>
      <c r="C40" s="176">
        <f t="shared" si="9"/>
        <v>28695.270225210093</v>
      </c>
      <c r="D40" s="176">
        <f t="shared" si="9"/>
        <v>32598.474388983981</v>
      </c>
      <c r="E40" s="176">
        <f t="shared" si="9"/>
        <v>36761.541033041751</v>
      </c>
      <c r="F40" s="176">
        <f t="shared" si="9"/>
        <v>41349.20270990525</v>
      </c>
      <c r="G40" s="176">
        <f t="shared" si="9"/>
        <v>43401.674675720446</v>
      </c>
      <c r="H40" s="176">
        <f t="shared" si="9"/>
        <v>45529.102329157977</v>
      </c>
      <c r="I40" s="176">
        <f t="shared" si="9"/>
        <v>47696.761667470659</v>
      </c>
      <c r="J40" s="176">
        <f t="shared" si="9"/>
        <v>50098.10468479016</v>
      </c>
      <c r="K40" s="176">
        <f t="shared" si="9"/>
        <v>52573.757681624462</v>
      </c>
      <c r="L40" s="176">
        <f t="shared" si="9"/>
        <v>54944.072502546311</v>
      </c>
      <c r="M40" s="176">
        <f t="shared" si="9"/>
        <v>57478.656312572428</v>
      </c>
      <c r="N40" s="176">
        <f t="shared" si="9"/>
        <v>59989.804610599458</v>
      </c>
      <c r="O40" s="176">
        <f t="shared" si="9"/>
        <v>62795.105022830932</v>
      </c>
      <c r="P40" s="176">
        <f t="shared" si="9"/>
        <v>65466.056278057076</v>
      </c>
      <c r="Q40" s="176">
        <f t="shared" si="9"/>
        <v>68641.066840545813</v>
      </c>
      <c r="R40" s="176">
        <f t="shared" si="9"/>
        <v>71676.234050402491</v>
      </c>
      <c r="S40" s="176">
        <f t="shared" si="9"/>
        <v>74860.218701210673</v>
      </c>
      <c r="T40" s="176">
        <f t="shared" si="9"/>
        <v>78241.105070769903</v>
      </c>
      <c r="U40" s="176">
        <f t="shared" si="9"/>
        <v>81835.510683730303</v>
      </c>
      <c r="V40" s="91"/>
      <c r="W40" s="164">
        <f>SUM(B40:U40)</f>
        <v>1079726.0742357844</v>
      </c>
      <c r="X40" s="167">
        <f>SUM(Wheatland!W35,Wilton!W35,Gleason!W35)</f>
        <v>1079726.0742357844</v>
      </c>
      <c r="Y40" s="167">
        <f>W40-X40</f>
        <v>0</v>
      </c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</sheetData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X104"/>
  <sheetViews>
    <sheetView workbookViewId="0"/>
  </sheetViews>
  <sheetFormatPr defaultRowHeight="13.2" x14ac:dyDescent="0.25"/>
  <cols>
    <col min="1" max="1" width="23.5546875" customWidth="1"/>
    <col min="2" max="21" width="10.6640625" customWidth="1"/>
    <col min="22" max="24" width="14.5546875" customWidth="1"/>
  </cols>
  <sheetData>
    <row r="1" spans="1:24" ht="12.75" customHeight="1" x14ac:dyDescent="0.25">
      <c r="A1" s="177"/>
      <c r="B1" s="2"/>
      <c r="C1" s="43"/>
      <c r="D1" s="178"/>
      <c r="E1" s="178"/>
      <c r="F1" s="47"/>
      <c r="G1" s="4"/>
      <c r="H1" s="4"/>
      <c r="I1" s="156"/>
      <c r="J1" s="156"/>
      <c r="K1" s="156"/>
      <c r="L1" s="47"/>
      <c r="M1" s="4"/>
      <c r="N1" s="4"/>
      <c r="O1" s="156"/>
      <c r="P1" s="156"/>
      <c r="Q1" s="156"/>
      <c r="R1" s="47"/>
      <c r="S1" s="4"/>
      <c r="T1" s="4"/>
      <c r="U1" s="4"/>
      <c r="V1" s="2"/>
      <c r="W1" s="2"/>
      <c r="X1" s="2"/>
    </row>
    <row r="2" spans="1:24" ht="18" customHeight="1" x14ac:dyDescent="0.3">
      <c r="A2" s="146" t="s">
        <v>119</v>
      </c>
      <c r="B2" s="179"/>
      <c r="C2" s="43"/>
      <c r="D2" s="178"/>
      <c r="E2" s="178"/>
      <c r="F2" s="47"/>
      <c r="G2" s="2"/>
      <c r="H2" s="2"/>
      <c r="I2" s="43"/>
      <c r="J2" s="43"/>
      <c r="K2" s="43"/>
      <c r="L2" s="47"/>
      <c r="M2" s="2"/>
      <c r="N2" s="2"/>
      <c r="O2" s="43"/>
      <c r="P2" s="43"/>
      <c r="Q2" s="43"/>
      <c r="R2" s="47"/>
      <c r="S2" s="2"/>
      <c r="T2" s="2"/>
      <c r="U2" s="2"/>
      <c r="V2" s="2"/>
      <c r="W2" s="2"/>
      <c r="X2" s="2"/>
    </row>
    <row r="3" spans="1:24" ht="12.75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80"/>
      <c r="Q3" s="180"/>
      <c r="R3" s="180"/>
      <c r="S3" s="180"/>
      <c r="T3" s="180"/>
      <c r="U3" s="180"/>
      <c r="V3" s="12"/>
      <c r="W3" s="12"/>
      <c r="X3" s="12"/>
    </row>
    <row r="4" spans="1:24" ht="12.75" customHeight="1" x14ac:dyDescent="0.25">
      <c r="A4" s="181"/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3"/>
      <c r="W4" s="183"/>
      <c r="X4" s="183"/>
    </row>
    <row r="5" spans="1:24" ht="13.5" customHeight="1" thickBot="1" x14ac:dyDescent="0.3">
      <c r="A5" s="151" t="s">
        <v>99</v>
      </c>
      <c r="B5" s="184">
        <v>2001</v>
      </c>
      <c r="C5" s="184">
        <f t="shared" ref="C5:U5" si="0">B5+1</f>
        <v>2002</v>
      </c>
      <c r="D5" s="184">
        <f t="shared" si="0"/>
        <v>2003</v>
      </c>
      <c r="E5" s="184">
        <f t="shared" si="0"/>
        <v>2004</v>
      </c>
      <c r="F5" s="184">
        <f t="shared" si="0"/>
        <v>2005</v>
      </c>
      <c r="G5" s="184">
        <f t="shared" si="0"/>
        <v>2006</v>
      </c>
      <c r="H5" s="184">
        <f t="shared" si="0"/>
        <v>2007</v>
      </c>
      <c r="I5" s="184">
        <f t="shared" si="0"/>
        <v>2008</v>
      </c>
      <c r="J5" s="184">
        <f t="shared" si="0"/>
        <v>2009</v>
      </c>
      <c r="K5" s="184">
        <f t="shared" si="0"/>
        <v>2010</v>
      </c>
      <c r="L5" s="184">
        <f t="shared" si="0"/>
        <v>2011</v>
      </c>
      <c r="M5" s="184">
        <f t="shared" si="0"/>
        <v>2012</v>
      </c>
      <c r="N5" s="184">
        <f t="shared" si="0"/>
        <v>2013</v>
      </c>
      <c r="O5" s="184">
        <f t="shared" si="0"/>
        <v>2014</v>
      </c>
      <c r="P5" s="184">
        <f t="shared" si="0"/>
        <v>2015</v>
      </c>
      <c r="Q5" s="184">
        <f t="shared" si="0"/>
        <v>2016</v>
      </c>
      <c r="R5" s="184">
        <f t="shared" si="0"/>
        <v>2017</v>
      </c>
      <c r="S5" s="184">
        <f t="shared" si="0"/>
        <v>2018</v>
      </c>
      <c r="T5" s="184">
        <f t="shared" si="0"/>
        <v>2019</v>
      </c>
      <c r="U5" s="184">
        <f t="shared" si="0"/>
        <v>2020</v>
      </c>
      <c r="V5" s="2"/>
      <c r="W5" s="2"/>
      <c r="X5" s="2"/>
    </row>
    <row r="6" spans="1:24" ht="12.75" customHeight="1" x14ac:dyDescent="0.25">
      <c r="A6" s="185"/>
      <c r="B6" s="186">
        <v>37256</v>
      </c>
      <c r="C6" s="186">
        <v>37621</v>
      </c>
      <c r="D6" s="186">
        <v>37986</v>
      </c>
      <c r="E6" s="186">
        <v>38352</v>
      </c>
      <c r="F6" s="186">
        <v>38717</v>
      </c>
      <c r="G6" s="186">
        <v>39082</v>
      </c>
      <c r="H6" s="186">
        <v>39447</v>
      </c>
      <c r="I6" s="186">
        <v>39813</v>
      </c>
      <c r="J6" s="186">
        <v>40178</v>
      </c>
      <c r="K6" s="186">
        <v>40543</v>
      </c>
      <c r="L6" s="186">
        <v>40908</v>
      </c>
      <c r="M6" s="186">
        <v>41274</v>
      </c>
      <c r="N6" s="186">
        <v>41639</v>
      </c>
      <c r="O6" s="186">
        <v>42004</v>
      </c>
      <c r="P6" s="186">
        <v>42369</v>
      </c>
      <c r="Q6" s="186">
        <v>42735</v>
      </c>
      <c r="R6" s="186">
        <v>43100</v>
      </c>
      <c r="S6" s="186">
        <v>43465</v>
      </c>
      <c r="T6" s="186">
        <v>43830</v>
      </c>
      <c r="U6" s="186">
        <v>44196</v>
      </c>
      <c r="V6" s="187"/>
      <c r="W6" s="187"/>
      <c r="X6" s="187"/>
    </row>
    <row r="7" spans="1:24" ht="12.7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2"/>
      <c r="S7" s="12"/>
      <c r="T7" s="12"/>
      <c r="U7" s="12"/>
      <c r="V7" s="2"/>
      <c r="W7" s="2"/>
      <c r="X7" s="2"/>
    </row>
    <row r="8" spans="1:24" ht="12.75" customHeight="1" x14ac:dyDescent="0.25">
      <c r="A8" s="1" t="s">
        <v>111</v>
      </c>
      <c r="B8" s="163">
        <f>IS!B27</f>
        <v>104396.79144458694</v>
      </c>
      <c r="C8" s="163">
        <f>IS!C27</f>
        <v>109598.94601289775</v>
      </c>
      <c r="D8" s="163">
        <f>IS!D27</f>
        <v>115076.91361189363</v>
      </c>
      <c r="E8" s="163">
        <f>IS!E27</f>
        <v>120948.44064066114</v>
      </c>
      <c r="F8" s="163">
        <f>IS!F27</f>
        <v>127148.83649557091</v>
      </c>
      <c r="G8" s="163">
        <f>IS!G27</f>
        <v>129162.35475149812</v>
      </c>
      <c r="H8" s="163">
        <f>IS!H27</f>
        <v>131264.71950378607</v>
      </c>
      <c r="I8" s="163">
        <f>IS!I27</f>
        <v>133467.32002694259</v>
      </c>
      <c r="J8" s="163">
        <f>IS!J27</f>
        <v>135811.20333967311</v>
      </c>
      <c r="K8" s="163">
        <f>IS!K27</f>
        <v>138274.78295393262</v>
      </c>
      <c r="L8" s="163">
        <f>IS!L27</f>
        <v>140465.24853179898</v>
      </c>
      <c r="M8" s="163">
        <f>IS!M27</f>
        <v>142851.19011208994</v>
      </c>
      <c r="N8" s="163">
        <f>IS!N27</f>
        <v>144922.85675622374</v>
      </c>
      <c r="O8" s="163">
        <f>IS!O27</f>
        <v>147387.46439098049</v>
      </c>
      <c r="P8" s="163">
        <f>IS!P27</f>
        <v>149450.75793123239</v>
      </c>
      <c r="Q8" s="163">
        <f>IS!Q27</f>
        <v>152174.28887801419</v>
      </c>
      <c r="R8" s="163">
        <f>IS!R27</f>
        <v>154338.58665743165</v>
      </c>
      <c r="S8" s="163">
        <f>IS!S27</f>
        <v>156530.26464153695</v>
      </c>
      <c r="T8" s="163">
        <f>IS!T27</f>
        <v>158749.5914630511</v>
      </c>
      <c r="U8" s="163">
        <f>IS!U27</f>
        <v>160996.83555254483</v>
      </c>
      <c r="V8" s="2"/>
      <c r="W8" s="2"/>
      <c r="X8" s="2"/>
    </row>
    <row r="9" spans="1:24" ht="12.75" customHeight="1" x14ac:dyDescent="0.25">
      <c r="A9" s="2"/>
      <c r="B9" s="4"/>
      <c r="C9" s="188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2"/>
      <c r="W9" s="2"/>
      <c r="X9" s="2"/>
    </row>
    <row r="10" spans="1:24" ht="12.75" customHeight="1" x14ac:dyDescent="0.25">
      <c r="A10" s="189" t="s">
        <v>12</v>
      </c>
      <c r="B10" s="4"/>
      <c r="C10" s="188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2"/>
      <c r="W10" s="2"/>
      <c r="X10" s="2"/>
    </row>
    <row r="11" spans="1:24" ht="12.75" customHeight="1" x14ac:dyDescent="0.25">
      <c r="A11" s="2"/>
      <c r="B11" s="190">
        <f>'Summary Output'!$C$14</f>
        <v>36892</v>
      </c>
      <c r="C11" s="190">
        <v>37257</v>
      </c>
      <c r="D11" s="190">
        <v>37622</v>
      </c>
      <c r="E11" s="190">
        <v>37987</v>
      </c>
      <c r="F11" s="190">
        <v>38353</v>
      </c>
      <c r="G11" s="190">
        <v>38718</v>
      </c>
      <c r="H11" s="190">
        <v>39083</v>
      </c>
      <c r="I11" s="190">
        <v>39448</v>
      </c>
      <c r="J11" s="190">
        <v>39814</v>
      </c>
      <c r="K11" s="190">
        <v>40179</v>
      </c>
      <c r="L11" s="190">
        <v>40544</v>
      </c>
      <c r="M11" s="190">
        <v>40909</v>
      </c>
      <c r="N11" s="190">
        <v>41275</v>
      </c>
      <c r="O11" s="190">
        <v>41640</v>
      </c>
      <c r="P11" s="190">
        <v>42005</v>
      </c>
      <c r="Q11" s="190">
        <v>42370</v>
      </c>
      <c r="R11" s="190">
        <v>42736</v>
      </c>
      <c r="S11" s="190">
        <v>43101</v>
      </c>
      <c r="T11" s="190">
        <v>43466</v>
      </c>
      <c r="U11" s="190">
        <v>43831</v>
      </c>
      <c r="V11" s="2"/>
      <c r="W11" s="191" t="s">
        <v>120</v>
      </c>
      <c r="X11" s="191" t="s">
        <v>121</v>
      </c>
    </row>
    <row r="12" spans="1:24" ht="12.75" customHeight="1" x14ac:dyDescent="0.25">
      <c r="A12" s="192" t="s">
        <v>122</v>
      </c>
      <c r="B12" s="193">
        <v>0</v>
      </c>
      <c r="C12" s="193">
        <f t="shared" ref="C12:U12" si="1">B28</f>
        <v>0</v>
      </c>
      <c r="D12" s="193">
        <f t="shared" si="1"/>
        <v>0</v>
      </c>
      <c r="E12" s="193">
        <f t="shared" si="1"/>
        <v>0</v>
      </c>
      <c r="F12" s="193">
        <f t="shared" si="1"/>
        <v>0</v>
      </c>
      <c r="G12" s="193">
        <f t="shared" si="1"/>
        <v>0</v>
      </c>
      <c r="H12" s="193">
        <f t="shared" si="1"/>
        <v>0</v>
      </c>
      <c r="I12" s="193">
        <f t="shared" si="1"/>
        <v>0</v>
      </c>
      <c r="J12" s="193">
        <f t="shared" si="1"/>
        <v>0</v>
      </c>
      <c r="K12" s="193">
        <f t="shared" si="1"/>
        <v>0</v>
      </c>
      <c r="L12" s="193">
        <f t="shared" si="1"/>
        <v>0</v>
      </c>
      <c r="M12" s="193">
        <f t="shared" si="1"/>
        <v>0</v>
      </c>
      <c r="N12" s="193">
        <f t="shared" si="1"/>
        <v>0</v>
      </c>
      <c r="O12" s="193">
        <f t="shared" si="1"/>
        <v>0</v>
      </c>
      <c r="P12" s="193">
        <f t="shared" si="1"/>
        <v>0</v>
      </c>
      <c r="Q12" s="193">
        <f t="shared" si="1"/>
        <v>0</v>
      </c>
      <c r="R12" s="193">
        <f t="shared" si="1"/>
        <v>0</v>
      </c>
      <c r="S12" s="193">
        <f t="shared" si="1"/>
        <v>0</v>
      </c>
      <c r="T12" s="193">
        <f t="shared" si="1"/>
        <v>0</v>
      </c>
      <c r="U12" s="193">
        <f t="shared" si="1"/>
        <v>0</v>
      </c>
      <c r="V12" s="2"/>
      <c r="W12" s="194"/>
      <c r="X12" s="194"/>
    </row>
    <row r="13" spans="1:24" ht="12.75" customHeight="1" x14ac:dyDescent="0.25">
      <c r="A13" s="192" t="s">
        <v>123</v>
      </c>
      <c r="B13" s="195">
        <v>0</v>
      </c>
      <c r="C13" s="196">
        <f t="shared" ref="C13:U13" si="2">C12*$E$89*(C11-B23)/365.25</f>
        <v>0</v>
      </c>
      <c r="D13" s="196">
        <f t="shared" si="2"/>
        <v>0</v>
      </c>
      <c r="E13" s="196">
        <f t="shared" si="2"/>
        <v>0</v>
      </c>
      <c r="F13" s="196">
        <f t="shared" si="2"/>
        <v>0</v>
      </c>
      <c r="G13" s="196">
        <f t="shared" si="2"/>
        <v>0</v>
      </c>
      <c r="H13" s="196">
        <f t="shared" si="2"/>
        <v>0</v>
      </c>
      <c r="I13" s="196">
        <f t="shared" si="2"/>
        <v>0</v>
      </c>
      <c r="J13" s="196">
        <f t="shared" si="2"/>
        <v>0</v>
      </c>
      <c r="K13" s="196">
        <f t="shared" si="2"/>
        <v>0</v>
      </c>
      <c r="L13" s="196">
        <f t="shared" si="2"/>
        <v>0</v>
      </c>
      <c r="M13" s="196">
        <f t="shared" si="2"/>
        <v>0</v>
      </c>
      <c r="N13" s="196">
        <f t="shared" si="2"/>
        <v>0</v>
      </c>
      <c r="O13" s="196">
        <f t="shared" si="2"/>
        <v>0</v>
      </c>
      <c r="P13" s="196">
        <f t="shared" si="2"/>
        <v>0</v>
      </c>
      <c r="Q13" s="196">
        <f t="shared" si="2"/>
        <v>0</v>
      </c>
      <c r="R13" s="196">
        <f t="shared" si="2"/>
        <v>0</v>
      </c>
      <c r="S13" s="196">
        <f t="shared" si="2"/>
        <v>0</v>
      </c>
      <c r="T13" s="196">
        <f t="shared" si="2"/>
        <v>0</v>
      </c>
      <c r="U13" s="196">
        <f t="shared" si="2"/>
        <v>0</v>
      </c>
      <c r="V13" s="2"/>
      <c r="W13" s="194"/>
      <c r="X13" s="194"/>
    </row>
    <row r="14" spans="1:24" ht="12.75" customHeight="1" x14ac:dyDescent="0.25">
      <c r="A14" s="192" t="s">
        <v>124</v>
      </c>
      <c r="B14" s="157">
        <f>'Summary Output'!B15</f>
        <v>0</v>
      </c>
      <c r="C14" s="197">
        <f t="shared" ref="C14:U14" si="3">C12</f>
        <v>0</v>
      </c>
      <c r="D14" s="197">
        <f t="shared" si="3"/>
        <v>0</v>
      </c>
      <c r="E14" s="197">
        <f t="shared" si="3"/>
        <v>0</v>
      </c>
      <c r="F14" s="197">
        <f t="shared" si="3"/>
        <v>0</v>
      </c>
      <c r="G14" s="197">
        <f t="shared" si="3"/>
        <v>0</v>
      </c>
      <c r="H14" s="197">
        <f t="shared" si="3"/>
        <v>0</v>
      </c>
      <c r="I14" s="197">
        <f t="shared" si="3"/>
        <v>0</v>
      </c>
      <c r="J14" s="197">
        <f t="shared" si="3"/>
        <v>0</v>
      </c>
      <c r="K14" s="197">
        <f t="shared" si="3"/>
        <v>0</v>
      </c>
      <c r="L14" s="197">
        <f t="shared" si="3"/>
        <v>0</v>
      </c>
      <c r="M14" s="197">
        <f t="shared" si="3"/>
        <v>0</v>
      </c>
      <c r="N14" s="197">
        <f t="shared" si="3"/>
        <v>0</v>
      </c>
      <c r="O14" s="197">
        <f t="shared" si="3"/>
        <v>0</v>
      </c>
      <c r="P14" s="197">
        <f t="shared" si="3"/>
        <v>0</v>
      </c>
      <c r="Q14" s="197">
        <f t="shared" si="3"/>
        <v>0</v>
      </c>
      <c r="R14" s="197">
        <f t="shared" si="3"/>
        <v>0</v>
      </c>
      <c r="S14" s="197">
        <f t="shared" si="3"/>
        <v>0</v>
      </c>
      <c r="T14" s="197">
        <f t="shared" si="3"/>
        <v>0</v>
      </c>
      <c r="U14" s="197">
        <f t="shared" si="3"/>
        <v>0</v>
      </c>
      <c r="V14" s="2"/>
      <c r="W14" s="198">
        <f>SUM(B19:U19,B26:U26)</f>
        <v>0</v>
      </c>
      <c r="X14" s="199">
        <f>B14-W14</f>
        <v>0</v>
      </c>
    </row>
    <row r="15" spans="1:24" ht="12.75" customHeight="1" x14ac:dyDescent="0.25">
      <c r="A15" s="2"/>
      <c r="B15" s="200"/>
      <c r="C15" s="188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2"/>
      <c r="W15" s="194"/>
      <c r="X15" s="194"/>
    </row>
    <row r="16" spans="1:24" ht="12.75" customHeight="1" x14ac:dyDescent="0.25">
      <c r="A16" s="165"/>
      <c r="B16" s="190">
        <v>37072</v>
      </c>
      <c r="C16" s="190">
        <v>37437</v>
      </c>
      <c r="D16" s="190">
        <v>37802</v>
      </c>
      <c r="E16" s="190">
        <v>38168</v>
      </c>
      <c r="F16" s="190">
        <v>38533</v>
      </c>
      <c r="G16" s="190">
        <v>38898</v>
      </c>
      <c r="H16" s="190">
        <v>39263</v>
      </c>
      <c r="I16" s="190">
        <v>39629</v>
      </c>
      <c r="J16" s="190">
        <v>39994</v>
      </c>
      <c r="K16" s="190">
        <v>40359</v>
      </c>
      <c r="L16" s="190">
        <v>40724</v>
      </c>
      <c r="M16" s="190">
        <v>41090</v>
      </c>
      <c r="N16" s="190">
        <v>41455</v>
      </c>
      <c r="O16" s="190">
        <v>41820</v>
      </c>
      <c r="P16" s="190">
        <v>42185</v>
      </c>
      <c r="Q16" s="190">
        <v>42551</v>
      </c>
      <c r="R16" s="190">
        <v>42916</v>
      </c>
      <c r="S16" s="190">
        <v>43281</v>
      </c>
      <c r="T16" s="190">
        <v>43646</v>
      </c>
      <c r="U16" s="190">
        <v>44012</v>
      </c>
      <c r="V16" s="2"/>
      <c r="W16" s="194"/>
      <c r="X16" s="194"/>
    </row>
    <row r="17" spans="1:24" ht="12.75" customHeight="1" x14ac:dyDescent="0.25">
      <c r="A17" s="192" t="s">
        <v>122</v>
      </c>
      <c r="B17" s="193">
        <f t="shared" ref="B17:U17" si="4">B14</f>
        <v>0</v>
      </c>
      <c r="C17" s="193">
        <f t="shared" si="4"/>
        <v>0</v>
      </c>
      <c r="D17" s="193">
        <f t="shared" si="4"/>
        <v>0</v>
      </c>
      <c r="E17" s="193">
        <f t="shared" si="4"/>
        <v>0</v>
      </c>
      <c r="F17" s="193">
        <f t="shared" si="4"/>
        <v>0</v>
      </c>
      <c r="G17" s="193">
        <f t="shared" si="4"/>
        <v>0</v>
      </c>
      <c r="H17" s="193">
        <f t="shared" si="4"/>
        <v>0</v>
      </c>
      <c r="I17" s="193">
        <f t="shared" si="4"/>
        <v>0</v>
      </c>
      <c r="J17" s="193">
        <f t="shared" si="4"/>
        <v>0</v>
      </c>
      <c r="K17" s="193">
        <f t="shared" si="4"/>
        <v>0</v>
      </c>
      <c r="L17" s="193">
        <f t="shared" si="4"/>
        <v>0</v>
      </c>
      <c r="M17" s="193">
        <f t="shared" si="4"/>
        <v>0</v>
      </c>
      <c r="N17" s="193">
        <f t="shared" si="4"/>
        <v>0</v>
      </c>
      <c r="O17" s="193">
        <f t="shared" si="4"/>
        <v>0</v>
      </c>
      <c r="P17" s="193">
        <f t="shared" si="4"/>
        <v>0</v>
      </c>
      <c r="Q17" s="193">
        <f t="shared" si="4"/>
        <v>0</v>
      </c>
      <c r="R17" s="193">
        <f t="shared" si="4"/>
        <v>0</v>
      </c>
      <c r="S17" s="193">
        <f t="shared" si="4"/>
        <v>0</v>
      </c>
      <c r="T17" s="193">
        <f t="shared" si="4"/>
        <v>0</v>
      </c>
      <c r="U17" s="193">
        <f t="shared" si="4"/>
        <v>0</v>
      </c>
      <c r="V17" s="2"/>
      <c r="W17" s="194"/>
      <c r="X17" s="194"/>
    </row>
    <row r="18" spans="1:24" ht="12.75" customHeight="1" x14ac:dyDescent="0.25">
      <c r="A18" s="192" t="s">
        <v>125</v>
      </c>
      <c r="B18" s="201">
        <v>0</v>
      </c>
      <c r="C18" s="201">
        <v>0</v>
      </c>
      <c r="D18" s="201">
        <v>0</v>
      </c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2"/>
      <c r="W18" s="194"/>
      <c r="X18" s="194"/>
    </row>
    <row r="19" spans="1:24" ht="12.75" customHeight="1" x14ac:dyDescent="0.25">
      <c r="A19" s="192" t="s">
        <v>126</v>
      </c>
      <c r="B19" s="193">
        <f t="shared" ref="B19:U19" si="5">$B$14*B18</f>
        <v>0</v>
      </c>
      <c r="C19" s="193">
        <f t="shared" si="5"/>
        <v>0</v>
      </c>
      <c r="D19" s="193">
        <f t="shared" si="5"/>
        <v>0</v>
      </c>
      <c r="E19" s="193">
        <f t="shared" si="5"/>
        <v>0</v>
      </c>
      <c r="F19" s="193">
        <f t="shared" si="5"/>
        <v>0</v>
      </c>
      <c r="G19" s="193">
        <f t="shared" si="5"/>
        <v>0</v>
      </c>
      <c r="H19" s="193">
        <f t="shared" si="5"/>
        <v>0</v>
      </c>
      <c r="I19" s="193">
        <f t="shared" si="5"/>
        <v>0</v>
      </c>
      <c r="J19" s="193">
        <f t="shared" si="5"/>
        <v>0</v>
      </c>
      <c r="K19" s="193">
        <f t="shared" si="5"/>
        <v>0</v>
      </c>
      <c r="L19" s="193">
        <f t="shared" si="5"/>
        <v>0</v>
      </c>
      <c r="M19" s="193">
        <f t="shared" si="5"/>
        <v>0</v>
      </c>
      <c r="N19" s="193">
        <f t="shared" si="5"/>
        <v>0</v>
      </c>
      <c r="O19" s="193">
        <f t="shared" si="5"/>
        <v>0</v>
      </c>
      <c r="P19" s="193">
        <f t="shared" si="5"/>
        <v>0</v>
      </c>
      <c r="Q19" s="193">
        <f t="shared" si="5"/>
        <v>0</v>
      </c>
      <c r="R19" s="193">
        <f t="shared" si="5"/>
        <v>0</v>
      </c>
      <c r="S19" s="193">
        <f t="shared" si="5"/>
        <v>0</v>
      </c>
      <c r="T19" s="193">
        <f t="shared" si="5"/>
        <v>0</v>
      </c>
      <c r="U19" s="193">
        <f t="shared" si="5"/>
        <v>0</v>
      </c>
      <c r="V19" s="4"/>
      <c r="W19" s="202"/>
      <c r="X19" s="202"/>
    </row>
    <row r="20" spans="1:24" ht="12.75" customHeight="1" x14ac:dyDescent="0.25">
      <c r="A20" s="192" t="s">
        <v>123</v>
      </c>
      <c r="B20" s="196">
        <f t="shared" ref="B20:U20" si="6">B17*$E$89*(B16-B11)/365.25</f>
        <v>0</v>
      </c>
      <c r="C20" s="196">
        <f t="shared" si="6"/>
        <v>0</v>
      </c>
      <c r="D20" s="196">
        <f t="shared" si="6"/>
        <v>0</v>
      </c>
      <c r="E20" s="196">
        <f t="shared" si="6"/>
        <v>0</v>
      </c>
      <c r="F20" s="196">
        <f t="shared" si="6"/>
        <v>0</v>
      </c>
      <c r="G20" s="196">
        <f t="shared" si="6"/>
        <v>0</v>
      </c>
      <c r="H20" s="196">
        <f t="shared" si="6"/>
        <v>0</v>
      </c>
      <c r="I20" s="196">
        <f t="shared" si="6"/>
        <v>0</v>
      </c>
      <c r="J20" s="196">
        <f t="shared" si="6"/>
        <v>0</v>
      </c>
      <c r="K20" s="196">
        <f t="shared" si="6"/>
        <v>0</v>
      </c>
      <c r="L20" s="196">
        <f t="shared" si="6"/>
        <v>0</v>
      </c>
      <c r="M20" s="196">
        <f t="shared" si="6"/>
        <v>0</v>
      </c>
      <c r="N20" s="196">
        <f t="shared" si="6"/>
        <v>0</v>
      </c>
      <c r="O20" s="196">
        <f t="shared" si="6"/>
        <v>0</v>
      </c>
      <c r="P20" s="196">
        <f t="shared" si="6"/>
        <v>0</v>
      </c>
      <c r="Q20" s="196">
        <f t="shared" si="6"/>
        <v>0</v>
      </c>
      <c r="R20" s="196">
        <f t="shared" si="6"/>
        <v>0</v>
      </c>
      <c r="S20" s="196">
        <f t="shared" si="6"/>
        <v>0</v>
      </c>
      <c r="T20" s="196">
        <f t="shared" si="6"/>
        <v>0</v>
      </c>
      <c r="U20" s="196">
        <f t="shared" si="6"/>
        <v>0</v>
      </c>
      <c r="V20" s="4"/>
      <c r="W20" s="202"/>
      <c r="X20" s="202"/>
    </row>
    <row r="21" spans="1:24" ht="12.75" customHeight="1" x14ac:dyDescent="0.25">
      <c r="A21" s="192" t="s">
        <v>124</v>
      </c>
      <c r="B21" s="197">
        <f t="shared" ref="B21:U21" si="7">B17-B19</f>
        <v>0</v>
      </c>
      <c r="C21" s="197">
        <f t="shared" si="7"/>
        <v>0</v>
      </c>
      <c r="D21" s="197">
        <f t="shared" si="7"/>
        <v>0</v>
      </c>
      <c r="E21" s="197">
        <f t="shared" si="7"/>
        <v>0</v>
      </c>
      <c r="F21" s="197">
        <f t="shared" si="7"/>
        <v>0</v>
      </c>
      <c r="G21" s="197">
        <f t="shared" si="7"/>
        <v>0</v>
      </c>
      <c r="H21" s="197">
        <f t="shared" si="7"/>
        <v>0</v>
      </c>
      <c r="I21" s="197">
        <f t="shared" si="7"/>
        <v>0</v>
      </c>
      <c r="J21" s="197">
        <f t="shared" si="7"/>
        <v>0</v>
      </c>
      <c r="K21" s="197">
        <f t="shared" si="7"/>
        <v>0</v>
      </c>
      <c r="L21" s="197">
        <f t="shared" si="7"/>
        <v>0</v>
      </c>
      <c r="M21" s="197">
        <f t="shared" si="7"/>
        <v>0</v>
      </c>
      <c r="N21" s="197">
        <f t="shared" si="7"/>
        <v>0</v>
      </c>
      <c r="O21" s="197">
        <f t="shared" si="7"/>
        <v>0</v>
      </c>
      <c r="P21" s="197">
        <f t="shared" si="7"/>
        <v>0</v>
      </c>
      <c r="Q21" s="197">
        <f t="shared" si="7"/>
        <v>0</v>
      </c>
      <c r="R21" s="197">
        <f t="shared" si="7"/>
        <v>0</v>
      </c>
      <c r="S21" s="197">
        <f t="shared" si="7"/>
        <v>0</v>
      </c>
      <c r="T21" s="197">
        <f t="shared" si="7"/>
        <v>0</v>
      </c>
      <c r="U21" s="197">
        <f t="shared" si="7"/>
        <v>0</v>
      </c>
      <c r="V21" s="4"/>
      <c r="W21" s="202"/>
      <c r="X21" s="202"/>
    </row>
    <row r="22" spans="1:24" ht="12.75" customHeight="1" x14ac:dyDescent="0.25">
      <c r="A22" s="192"/>
      <c r="B22" s="203"/>
      <c r="C22" s="203"/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203"/>
      <c r="S22" s="203"/>
      <c r="T22" s="203"/>
      <c r="U22" s="203"/>
      <c r="V22" s="4"/>
      <c r="W22" s="202"/>
      <c r="X22" s="202"/>
    </row>
    <row r="23" spans="1:24" ht="12.75" customHeight="1" x14ac:dyDescent="0.25">
      <c r="A23" s="165"/>
      <c r="B23" s="190">
        <v>37256</v>
      </c>
      <c r="C23" s="190">
        <v>37621</v>
      </c>
      <c r="D23" s="190">
        <v>37986</v>
      </c>
      <c r="E23" s="190">
        <v>38352</v>
      </c>
      <c r="F23" s="190">
        <v>38717</v>
      </c>
      <c r="G23" s="190">
        <v>39082</v>
      </c>
      <c r="H23" s="190">
        <v>39447</v>
      </c>
      <c r="I23" s="190">
        <v>39813</v>
      </c>
      <c r="J23" s="190">
        <v>40178</v>
      </c>
      <c r="K23" s="190">
        <v>40543</v>
      </c>
      <c r="L23" s="190">
        <v>40908</v>
      </c>
      <c r="M23" s="190">
        <v>41274</v>
      </c>
      <c r="N23" s="190">
        <v>41639</v>
      </c>
      <c r="O23" s="190">
        <v>42004</v>
      </c>
      <c r="P23" s="190">
        <v>42369</v>
      </c>
      <c r="Q23" s="190">
        <v>42735</v>
      </c>
      <c r="R23" s="190">
        <v>43100</v>
      </c>
      <c r="S23" s="190">
        <v>43465</v>
      </c>
      <c r="T23" s="190">
        <v>43830</v>
      </c>
      <c r="U23" s="190">
        <v>44196</v>
      </c>
      <c r="V23" s="4"/>
      <c r="W23" s="202"/>
      <c r="X23" s="202"/>
    </row>
    <row r="24" spans="1:24" ht="12.75" customHeight="1" x14ac:dyDescent="0.25">
      <c r="A24" s="192" t="s">
        <v>122</v>
      </c>
      <c r="B24" s="193">
        <f t="shared" ref="B24:U24" si="8">B21</f>
        <v>0</v>
      </c>
      <c r="C24" s="193">
        <f t="shared" si="8"/>
        <v>0</v>
      </c>
      <c r="D24" s="193">
        <f t="shared" si="8"/>
        <v>0</v>
      </c>
      <c r="E24" s="193">
        <f t="shared" si="8"/>
        <v>0</v>
      </c>
      <c r="F24" s="193">
        <f t="shared" si="8"/>
        <v>0</v>
      </c>
      <c r="G24" s="193">
        <f t="shared" si="8"/>
        <v>0</v>
      </c>
      <c r="H24" s="193">
        <f t="shared" si="8"/>
        <v>0</v>
      </c>
      <c r="I24" s="193">
        <f t="shared" si="8"/>
        <v>0</v>
      </c>
      <c r="J24" s="193">
        <f t="shared" si="8"/>
        <v>0</v>
      </c>
      <c r="K24" s="193">
        <f t="shared" si="8"/>
        <v>0</v>
      </c>
      <c r="L24" s="193">
        <f t="shared" si="8"/>
        <v>0</v>
      </c>
      <c r="M24" s="193">
        <f t="shared" si="8"/>
        <v>0</v>
      </c>
      <c r="N24" s="193">
        <f t="shared" si="8"/>
        <v>0</v>
      </c>
      <c r="O24" s="193">
        <f t="shared" si="8"/>
        <v>0</v>
      </c>
      <c r="P24" s="193">
        <f t="shared" si="8"/>
        <v>0</v>
      </c>
      <c r="Q24" s="193">
        <f t="shared" si="8"/>
        <v>0</v>
      </c>
      <c r="R24" s="193">
        <f t="shared" si="8"/>
        <v>0</v>
      </c>
      <c r="S24" s="193">
        <f t="shared" si="8"/>
        <v>0</v>
      </c>
      <c r="T24" s="193">
        <f t="shared" si="8"/>
        <v>0</v>
      </c>
      <c r="U24" s="193">
        <f t="shared" si="8"/>
        <v>0</v>
      </c>
      <c r="V24" s="4"/>
      <c r="W24" s="202"/>
      <c r="X24" s="202"/>
    </row>
    <row r="25" spans="1:24" ht="12.75" customHeight="1" x14ac:dyDescent="0.25">
      <c r="A25" s="192" t="s">
        <v>125</v>
      </c>
      <c r="B25" s="201">
        <v>0</v>
      </c>
      <c r="C25" s="201">
        <v>0</v>
      </c>
      <c r="D25" s="201">
        <v>0</v>
      </c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4"/>
      <c r="W25" s="202"/>
      <c r="X25" s="202"/>
    </row>
    <row r="26" spans="1:24" ht="12.75" customHeight="1" x14ac:dyDescent="0.25">
      <c r="A26" s="192" t="s">
        <v>126</v>
      </c>
      <c r="B26" s="193">
        <f t="shared" ref="B26:U26" si="9">B25*$B$14</f>
        <v>0</v>
      </c>
      <c r="C26" s="193">
        <f t="shared" si="9"/>
        <v>0</v>
      </c>
      <c r="D26" s="193">
        <f t="shared" si="9"/>
        <v>0</v>
      </c>
      <c r="E26" s="193">
        <f t="shared" si="9"/>
        <v>0</v>
      </c>
      <c r="F26" s="193">
        <f t="shared" si="9"/>
        <v>0</v>
      </c>
      <c r="G26" s="193">
        <f t="shared" si="9"/>
        <v>0</v>
      </c>
      <c r="H26" s="193">
        <f t="shared" si="9"/>
        <v>0</v>
      </c>
      <c r="I26" s="193">
        <f t="shared" si="9"/>
        <v>0</v>
      </c>
      <c r="J26" s="193">
        <f t="shared" si="9"/>
        <v>0</v>
      </c>
      <c r="K26" s="193">
        <f t="shared" si="9"/>
        <v>0</v>
      </c>
      <c r="L26" s="193">
        <f t="shared" si="9"/>
        <v>0</v>
      </c>
      <c r="M26" s="193">
        <f t="shared" si="9"/>
        <v>0</v>
      </c>
      <c r="N26" s="193">
        <f t="shared" si="9"/>
        <v>0</v>
      </c>
      <c r="O26" s="193">
        <f t="shared" si="9"/>
        <v>0</v>
      </c>
      <c r="P26" s="193">
        <f t="shared" si="9"/>
        <v>0</v>
      </c>
      <c r="Q26" s="193">
        <f t="shared" si="9"/>
        <v>0</v>
      </c>
      <c r="R26" s="193">
        <f t="shared" si="9"/>
        <v>0</v>
      </c>
      <c r="S26" s="193">
        <f t="shared" si="9"/>
        <v>0</v>
      </c>
      <c r="T26" s="193">
        <f t="shared" si="9"/>
        <v>0</v>
      </c>
      <c r="U26" s="193">
        <f t="shared" si="9"/>
        <v>0</v>
      </c>
      <c r="V26" s="4"/>
      <c r="W26" s="202"/>
      <c r="X26" s="202"/>
    </row>
    <row r="27" spans="1:24" ht="12.75" customHeight="1" x14ac:dyDescent="0.25">
      <c r="A27" s="192" t="s">
        <v>123</v>
      </c>
      <c r="B27" s="196">
        <f t="shared" ref="B27:U27" si="10">B24*$E$89*(B23-B16)/365.25</f>
        <v>0</v>
      </c>
      <c r="C27" s="196">
        <f t="shared" si="10"/>
        <v>0</v>
      </c>
      <c r="D27" s="196">
        <f t="shared" si="10"/>
        <v>0</v>
      </c>
      <c r="E27" s="196">
        <f t="shared" si="10"/>
        <v>0</v>
      </c>
      <c r="F27" s="196">
        <f t="shared" si="10"/>
        <v>0</v>
      </c>
      <c r="G27" s="196">
        <f t="shared" si="10"/>
        <v>0</v>
      </c>
      <c r="H27" s="196">
        <f t="shared" si="10"/>
        <v>0</v>
      </c>
      <c r="I27" s="196">
        <f t="shared" si="10"/>
        <v>0</v>
      </c>
      <c r="J27" s="196">
        <f t="shared" si="10"/>
        <v>0</v>
      </c>
      <c r="K27" s="196">
        <f t="shared" si="10"/>
        <v>0</v>
      </c>
      <c r="L27" s="196">
        <f t="shared" si="10"/>
        <v>0</v>
      </c>
      <c r="M27" s="196">
        <f t="shared" si="10"/>
        <v>0</v>
      </c>
      <c r="N27" s="196">
        <f t="shared" si="10"/>
        <v>0</v>
      </c>
      <c r="O27" s="196">
        <f t="shared" si="10"/>
        <v>0</v>
      </c>
      <c r="P27" s="196">
        <f t="shared" si="10"/>
        <v>0</v>
      </c>
      <c r="Q27" s="196">
        <f t="shared" si="10"/>
        <v>0</v>
      </c>
      <c r="R27" s="196">
        <f t="shared" si="10"/>
        <v>0</v>
      </c>
      <c r="S27" s="196">
        <f t="shared" si="10"/>
        <v>0</v>
      </c>
      <c r="T27" s="196">
        <f t="shared" si="10"/>
        <v>0</v>
      </c>
      <c r="U27" s="196">
        <f t="shared" si="10"/>
        <v>0</v>
      </c>
      <c r="V27" s="4"/>
      <c r="W27" s="202"/>
      <c r="X27" s="202"/>
    </row>
    <row r="28" spans="1:24" ht="12.75" customHeight="1" x14ac:dyDescent="0.25">
      <c r="A28" s="192" t="s">
        <v>124</v>
      </c>
      <c r="B28" s="197">
        <f t="shared" ref="B28:U28" si="11">B24-B26</f>
        <v>0</v>
      </c>
      <c r="C28" s="197">
        <f t="shared" si="11"/>
        <v>0</v>
      </c>
      <c r="D28" s="197">
        <f t="shared" si="11"/>
        <v>0</v>
      </c>
      <c r="E28" s="197">
        <f t="shared" si="11"/>
        <v>0</v>
      </c>
      <c r="F28" s="197">
        <f t="shared" si="11"/>
        <v>0</v>
      </c>
      <c r="G28" s="197">
        <f t="shared" si="11"/>
        <v>0</v>
      </c>
      <c r="H28" s="197">
        <f t="shared" si="11"/>
        <v>0</v>
      </c>
      <c r="I28" s="197">
        <f t="shared" si="11"/>
        <v>0</v>
      </c>
      <c r="J28" s="197">
        <f t="shared" si="11"/>
        <v>0</v>
      </c>
      <c r="K28" s="197">
        <f t="shared" si="11"/>
        <v>0</v>
      </c>
      <c r="L28" s="197">
        <f t="shared" si="11"/>
        <v>0</v>
      </c>
      <c r="M28" s="197">
        <f t="shared" si="11"/>
        <v>0</v>
      </c>
      <c r="N28" s="197">
        <f t="shared" si="11"/>
        <v>0</v>
      </c>
      <c r="O28" s="197">
        <f t="shared" si="11"/>
        <v>0</v>
      </c>
      <c r="P28" s="197">
        <f t="shared" si="11"/>
        <v>0</v>
      </c>
      <c r="Q28" s="197">
        <f t="shared" si="11"/>
        <v>0</v>
      </c>
      <c r="R28" s="197">
        <f t="shared" si="11"/>
        <v>0</v>
      </c>
      <c r="S28" s="197">
        <f t="shared" si="11"/>
        <v>0</v>
      </c>
      <c r="T28" s="197">
        <f t="shared" si="11"/>
        <v>0</v>
      </c>
      <c r="U28" s="197">
        <f t="shared" si="11"/>
        <v>0</v>
      </c>
      <c r="V28" s="2"/>
      <c r="W28" s="194"/>
      <c r="X28" s="194"/>
    </row>
    <row r="29" spans="1:24" ht="12.75" customHeight="1" x14ac:dyDescent="0.25">
      <c r="A29" s="192"/>
      <c r="B29" s="203"/>
      <c r="C29" s="203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"/>
      <c r="W29" s="194"/>
      <c r="X29" s="194"/>
    </row>
    <row r="30" spans="1:24" ht="12.75" customHeight="1" x14ac:dyDescent="0.25">
      <c r="A30" s="189" t="s">
        <v>13</v>
      </c>
      <c r="B30" s="4"/>
      <c r="C30" s="188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"/>
      <c r="W30" s="194"/>
      <c r="X30" s="194"/>
    </row>
    <row r="31" spans="1:24" ht="12.75" customHeight="1" x14ac:dyDescent="0.25">
      <c r="A31" s="2"/>
      <c r="B31" s="190">
        <f>'Summary Output'!$C$14</f>
        <v>36892</v>
      </c>
      <c r="C31" s="190">
        <v>37257</v>
      </c>
      <c r="D31" s="190">
        <v>37622</v>
      </c>
      <c r="E31" s="190">
        <v>37987</v>
      </c>
      <c r="F31" s="190">
        <v>38353</v>
      </c>
      <c r="G31" s="190">
        <v>38718</v>
      </c>
      <c r="H31" s="190">
        <v>39083</v>
      </c>
      <c r="I31" s="190">
        <v>39448</v>
      </c>
      <c r="J31" s="190">
        <v>39814</v>
      </c>
      <c r="K31" s="190">
        <v>40179</v>
      </c>
      <c r="L31" s="190">
        <v>40544</v>
      </c>
      <c r="M31" s="190">
        <v>40909</v>
      </c>
      <c r="N31" s="190">
        <v>41275</v>
      </c>
      <c r="O31" s="190">
        <v>41640</v>
      </c>
      <c r="P31" s="190">
        <v>42005</v>
      </c>
      <c r="Q31" s="190">
        <v>42370</v>
      </c>
      <c r="R31" s="190">
        <v>42736</v>
      </c>
      <c r="S31" s="190">
        <v>43101</v>
      </c>
      <c r="T31" s="190">
        <v>43466</v>
      </c>
      <c r="U31" s="190">
        <v>43831</v>
      </c>
      <c r="V31" s="2"/>
      <c r="W31" s="194"/>
      <c r="X31" s="194"/>
    </row>
    <row r="32" spans="1:24" ht="12.75" customHeight="1" x14ac:dyDescent="0.25">
      <c r="A32" s="192" t="s">
        <v>122</v>
      </c>
      <c r="B32" s="193">
        <v>0</v>
      </c>
      <c r="C32" s="193">
        <f t="shared" ref="C32:U32" si="12">B48</f>
        <v>107949.79560000001</v>
      </c>
      <c r="D32" s="193">
        <f t="shared" si="12"/>
        <v>99969.697800000024</v>
      </c>
      <c r="E32" s="193">
        <f t="shared" si="12"/>
        <v>90862.727400000033</v>
      </c>
      <c r="F32" s="193">
        <f t="shared" si="12"/>
        <v>80329.918200000044</v>
      </c>
      <c r="G32" s="193">
        <f t="shared" si="12"/>
        <v>68141.296200000041</v>
      </c>
      <c r="H32" s="193">
        <f t="shared" si="12"/>
        <v>55676.705400000035</v>
      </c>
      <c r="I32" s="193">
        <f t="shared" si="12"/>
        <v>42775.164000000033</v>
      </c>
      <c r="J32" s="193">
        <f t="shared" si="12"/>
        <v>29321.68500000003</v>
      </c>
      <c r="K32" s="193">
        <f t="shared" si="12"/>
        <v>15109.291800000032</v>
      </c>
      <c r="L32" s="193">
        <f t="shared" si="12"/>
        <v>3.2741809263825417E-11</v>
      </c>
      <c r="M32" s="193">
        <f t="shared" si="12"/>
        <v>3.2741809263825417E-11</v>
      </c>
      <c r="N32" s="193">
        <f t="shared" si="12"/>
        <v>3.2741809263825417E-11</v>
      </c>
      <c r="O32" s="193">
        <f t="shared" si="12"/>
        <v>3.2741809263825417E-11</v>
      </c>
      <c r="P32" s="193">
        <f t="shared" si="12"/>
        <v>3.2741809263825417E-11</v>
      </c>
      <c r="Q32" s="193">
        <f t="shared" si="12"/>
        <v>3.2741809263825417E-11</v>
      </c>
      <c r="R32" s="193">
        <f t="shared" si="12"/>
        <v>3.2741809263825417E-11</v>
      </c>
      <c r="S32" s="193">
        <f t="shared" si="12"/>
        <v>3.2741809263825417E-11</v>
      </c>
      <c r="T32" s="193">
        <f t="shared" si="12"/>
        <v>3.2741809263825417E-11</v>
      </c>
      <c r="U32" s="193">
        <f t="shared" si="12"/>
        <v>3.2741809263825417E-11</v>
      </c>
      <c r="V32" s="2"/>
      <c r="W32" s="194"/>
      <c r="X32" s="194"/>
    </row>
    <row r="33" spans="1:24" ht="12.75" customHeight="1" x14ac:dyDescent="0.25">
      <c r="A33" s="192" t="s">
        <v>123</v>
      </c>
      <c r="B33" s="195">
        <v>0</v>
      </c>
      <c r="C33" s="196">
        <f t="shared" ref="C33:U33" si="13">C32*$J$89*(C31-B43)/365.25</f>
        <v>32.510547613963041</v>
      </c>
      <c r="D33" s="196">
        <f t="shared" si="13"/>
        <v>30.107232739219722</v>
      </c>
      <c r="E33" s="196">
        <f t="shared" si="13"/>
        <v>27.364544870636561</v>
      </c>
      <c r="F33" s="196">
        <f t="shared" si="13"/>
        <v>24.192446275154019</v>
      </c>
      <c r="G33" s="196">
        <f t="shared" si="13"/>
        <v>20.521677158110897</v>
      </c>
      <c r="H33" s="196">
        <f t="shared" si="13"/>
        <v>16.767796287474344</v>
      </c>
      <c r="I33" s="196">
        <f t="shared" si="13"/>
        <v>12.88232180698153</v>
      </c>
      <c r="J33" s="196">
        <f t="shared" si="13"/>
        <v>8.8306238193018576</v>
      </c>
      <c r="K33" s="196">
        <f t="shared" si="13"/>
        <v>4.5503685092402559</v>
      </c>
      <c r="L33" s="196">
        <f t="shared" si="13"/>
        <v>9.860640709160289E-15</v>
      </c>
      <c r="M33" s="196">
        <f t="shared" si="13"/>
        <v>9.860640709160289E-15</v>
      </c>
      <c r="N33" s="196">
        <f t="shared" si="13"/>
        <v>9.860640709160289E-15</v>
      </c>
      <c r="O33" s="196">
        <f t="shared" si="13"/>
        <v>9.860640709160289E-15</v>
      </c>
      <c r="P33" s="196">
        <f t="shared" si="13"/>
        <v>9.860640709160289E-15</v>
      </c>
      <c r="Q33" s="196">
        <f t="shared" si="13"/>
        <v>9.860640709160289E-15</v>
      </c>
      <c r="R33" s="196">
        <f t="shared" si="13"/>
        <v>9.860640709160289E-15</v>
      </c>
      <c r="S33" s="196">
        <f t="shared" si="13"/>
        <v>9.860640709160289E-15</v>
      </c>
      <c r="T33" s="196">
        <f t="shared" si="13"/>
        <v>9.860640709160289E-15</v>
      </c>
      <c r="U33" s="196">
        <f t="shared" si="13"/>
        <v>9.860640709160289E-15</v>
      </c>
      <c r="V33" s="4"/>
      <c r="W33" s="202"/>
      <c r="X33" s="202"/>
    </row>
    <row r="34" spans="1:24" ht="12.75" customHeight="1" x14ac:dyDescent="0.25">
      <c r="A34" s="192" t="s">
        <v>124</v>
      </c>
      <c r="B34" s="157">
        <f>'Summary Output'!C15</f>
        <v>114987</v>
      </c>
      <c r="C34" s="197">
        <f t="shared" ref="C34:U34" si="14">C32</f>
        <v>107949.79560000001</v>
      </c>
      <c r="D34" s="197">
        <f t="shared" si="14"/>
        <v>99969.697800000024</v>
      </c>
      <c r="E34" s="197">
        <f t="shared" si="14"/>
        <v>90862.727400000033</v>
      </c>
      <c r="F34" s="197">
        <f t="shared" si="14"/>
        <v>80329.918200000044</v>
      </c>
      <c r="G34" s="197">
        <f t="shared" si="14"/>
        <v>68141.296200000041</v>
      </c>
      <c r="H34" s="197">
        <f t="shared" si="14"/>
        <v>55676.705400000035</v>
      </c>
      <c r="I34" s="197">
        <f t="shared" si="14"/>
        <v>42775.164000000033</v>
      </c>
      <c r="J34" s="197">
        <f t="shared" si="14"/>
        <v>29321.68500000003</v>
      </c>
      <c r="K34" s="197">
        <f t="shared" si="14"/>
        <v>15109.291800000032</v>
      </c>
      <c r="L34" s="197">
        <f t="shared" si="14"/>
        <v>3.2741809263825417E-11</v>
      </c>
      <c r="M34" s="197">
        <f t="shared" si="14"/>
        <v>3.2741809263825417E-11</v>
      </c>
      <c r="N34" s="197">
        <f t="shared" si="14"/>
        <v>3.2741809263825417E-11</v>
      </c>
      <c r="O34" s="197">
        <f t="shared" si="14"/>
        <v>3.2741809263825417E-11</v>
      </c>
      <c r="P34" s="197">
        <f t="shared" si="14"/>
        <v>3.2741809263825417E-11</v>
      </c>
      <c r="Q34" s="197">
        <f t="shared" si="14"/>
        <v>3.2741809263825417E-11</v>
      </c>
      <c r="R34" s="197">
        <f t="shared" si="14"/>
        <v>3.2741809263825417E-11</v>
      </c>
      <c r="S34" s="197">
        <f t="shared" si="14"/>
        <v>3.2741809263825417E-11</v>
      </c>
      <c r="T34" s="197">
        <f t="shared" si="14"/>
        <v>3.2741809263825417E-11</v>
      </c>
      <c r="U34" s="197">
        <f t="shared" si="14"/>
        <v>3.2741809263825417E-11</v>
      </c>
      <c r="V34" s="4"/>
      <c r="W34" s="198">
        <f>SUM(B39:U39,B46:U46)</f>
        <v>114986.99999999999</v>
      </c>
      <c r="X34" s="199">
        <f>B34-W34</f>
        <v>0</v>
      </c>
    </row>
    <row r="35" spans="1:24" ht="12.75" customHeight="1" x14ac:dyDescent="0.25">
      <c r="A35" s="2"/>
      <c r="B35" s="200"/>
      <c r="C35" s="188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202"/>
      <c r="X35" s="202"/>
    </row>
    <row r="36" spans="1:24" ht="12.75" customHeight="1" x14ac:dyDescent="0.25">
      <c r="A36" s="165"/>
      <c r="B36" s="190">
        <v>37072</v>
      </c>
      <c r="C36" s="190">
        <v>37437</v>
      </c>
      <c r="D36" s="190">
        <v>37802</v>
      </c>
      <c r="E36" s="190">
        <v>38168</v>
      </c>
      <c r="F36" s="190">
        <v>38533</v>
      </c>
      <c r="G36" s="190">
        <v>38898</v>
      </c>
      <c r="H36" s="190">
        <v>39263</v>
      </c>
      <c r="I36" s="190">
        <v>39629</v>
      </c>
      <c r="J36" s="190">
        <v>39994</v>
      </c>
      <c r="K36" s="190">
        <v>40359</v>
      </c>
      <c r="L36" s="190">
        <v>40724</v>
      </c>
      <c r="M36" s="190">
        <v>41090</v>
      </c>
      <c r="N36" s="190">
        <v>41455</v>
      </c>
      <c r="O36" s="190">
        <v>41820</v>
      </c>
      <c r="P36" s="190">
        <v>42185</v>
      </c>
      <c r="Q36" s="190">
        <v>42551</v>
      </c>
      <c r="R36" s="190">
        <v>42916</v>
      </c>
      <c r="S36" s="190">
        <v>43281</v>
      </c>
      <c r="T36" s="190">
        <v>43646</v>
      </c>
      <c r="U36" s="190">
        <v>44012</v>
      </c>
      <c r="V36" s="4"/>
      <c r="W36" s="202"/>
      <c r="X36" s="202"/>
    </row>
    <row r="37" spans="1:24" ht="12.75" customHeight="1" x14ac:dyDescent="0.25">
      <c r="A37" s="192" t="s">
        <v>122</v>
      </c>
      <c r="B37" s="193">
        <f t="shared" ref="B37:U37" si="15">B34</f>
        <v>114987</v>
      </c>
      <c r="C37" s="193">
        <f t="shared" si="15"/>
        <v>107949.79560000001</v>
      </c>
      <c r="D37" s="193">
        <f t="shared" si="15"/>
        <v>99969.697800000024</v>
      </c>
      <c r="E37" s="193">
        <f t="shared" si="15"/>
        <v>90862.727400000033</v>
      </c>
      <c r="F37" s="193">
        <f t="shared" si="15"/>
        <v>80329.918200000044</v>
      </c>
      <c r="G37" s="193">
        <f t="shared" si="15"/>
        <v>68141.296200000041</v>
      </c>
      <c r="H37" s="193">
        <f t="shared" si="15"/>
        <v>55676.705400000035</v>
      </c>
      <c r="I37" s="193">
        <f t="shared" si="15"/>
        <v>42775.164000000033</v>
      </c>
      <c r="J37" s="193">
        <f t="shared" si="15"/>
        <v>29321.68500000003</v>
      </c>
      <c r="K37" s="193">
        <f t="shared" si="15"/>
        <v>15109.291800000032</v>
      </c>
      <c r="L37" s="193">
        <f t="shared" si="15"/>
        <v>3.2741809263825417E-11</v>
      </c>
      <c r="M37" s="193">
        <f t="shared" si="15"/>
        <v>3.2741809263825417E-11</v>
      </c>
      <c r="N37" s="193">
        <f t="shared" si="15"/>
        <v>3.2741809263825417E-11</v>
      </c>
      <c r="O37" s="193">
        <f t="shared" si="15"/>
        <v>3.2741809263825417E-11</v>
      </c>
      <c r="P37" s="193">
        <f t="shared" si="15"/>
        <v>3.2741809263825417E-11</v>
      </c>
      <c r="Q37" s="193">
        <f t="shared" si="15"/>
        <v>3.2741809263825417E-11</v>
      </c>
      <c r="R37" s="193">
        <f t="shared" si="15"/>
        <v>3.2741809263825417E-11</v>
      </c>
      <c r="S37" s="193">
        <f t="shared" si="15"/>
        <v>3.2741809263825417E-11</v>
      </c>
      <c r="T37" s="193">
        <f t="shared" si="15"/>
        <v>3.2741809263825417E-11</v>
      </c>
      <c r="U37" s="193">
        <f t="shared" si="15"/>
        <v>3.2741809263825417E-11</v>
      </c>
      <c r="V37" s="4"/>
      <c r="W37" s="202"/>
      <c r="X37" s="202"/>
    </row>
    <row r="38" spans="1:24" ht="12.75" customHeight="1" x14ac:dyDescent="0.25">
      <c r="A38" s="192" t="s">
        <v>125</v>
      </c>
      <c r="B38" s="201">
        <v>3.0599999999999999E-2</v>
      </c>
      <c r="C38" s="201">
        <v>3.4700000000000002E-2</v>
      </c>
      <c r="D38" s="201">
        <v>3.9600000000000003E-2</v>
      </c>
      <c r="E38" s="201">
        <v>4.58E-2</v>
      </c>
      <c r="F38" s="201">
        <v>5.2999999999999999E-2</v>
      </c>
      <c r="G38" s="201">
        <v>5.4199999999999998E-2</v>
      </c>
      <c r="H38" s="201">
        <v>5.6099999999999997E-2</v>
      </c>
      <c r="I38" s="201">
        <v>5.8500000000000003E-2</v>
      </c>
      <c r="J38" s="201">
        <v>6.1800000000000001E-2</v>
      </c>
      <c r="K38" s="201">
        <v>6.5699999999999995E-2</v>
      </c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2"/>
      <c r="W38" s="194"/>
      <c r="X38" s="194"/>
    </row>
    <row r="39" spans="1:24" ht="12.75" customHeight="1" x14ac:dyDescent="0.25">
      <c r="A39" s="192" t="s">
        <v>126</v>
      </c>
      <c r="B39" s="193">
        <f t="shared" ref="B39:U39" si="16">B38*$B$34</f>
        <v>3518.6021999999998</v>
      </c>
      <c r="C39" s="193">
        <f t="shared" si="16"/>
        <v>3990.0489000000002</v>
      </c>
      <c r="D39" s="193">
        <f t="shared" si="16"/>
        <v>4553.4852000000001</v>
      </c>
      <c r="E39" s="193">
        <f t="shared" si="16"/>
        <v>5266.4045999999998</v>
      </c>
      <c r="F39" s="193">
        <f t="shared" si="16"/>
        <v>6094.3109999999997</v>
      </c>
      <c r="G39" s="193">
        <f t="shared" si="16"/>
        <v>6232.2954</v>
      </c>
      <c r="H39" s="193">
        <f t="shared" si="16"/>
        <v>6450.7707</v>
      </c>
      <c r="I39" s="193">
        <f t="shared" si="16"/>
        <v>6726.7395000000006</v>
      </c>
      <c r="J39" s="193">
        <f t="shared" si="16"/>
        <v>7106.1966000000002</v>
      </c>
      <c r="K39" s="193">
        <f t="shared" si="16"/>
        <v>7554.6458999999995</v>
      </c>
      <c r="L39" s="193">
        <f t="shared" si="16"/>
        <v>0</v>
      </c>
      <c r="M39" s="193">
        <f t="shared" si="16"/>
        <v>0</v>
      </c>
      <c r="N39" s="193">
        <f t="shared" si="16"/>
        <v>0</v>
      </c>
      <c r="O39" s="193">
        <f t="shared" si="16"/>
        <v>0</v>
      </c>
      <c r="P39" s="193">
        <f t="shared" si="16"/>
        <v>0</v>
      </c>
      <c r="Q39" s="193">
        <f t="shared" si="16"/>
        <v>0</v>
      </c>
      <c r="R39" s="193">
        <f t="shared" si="16"/>
        <v>0</v>
      </c>
      <c r="S39" s="193">
        <f t="shared" si="16"/>
        <v>0</v>
      </c>
      <c r="T39" s="193">
        <f t="shared" si="16"/>
        <v>0</v>
      </c>
      <c r="U39" s="193">
        <f t="shared" si="16"/>
        <v>0</v>
      </c>
      <c r="V39" s="4"/>
      <c r="W39" s="202"/>
      <c r="X39" s="202"/>
    </row>
    <row r="40" spans="1:24" ht="12.75" customHeight="1" x14ac:dyDescent="0.25">
      <c r="A40" s="192" t="s">
        <v>123</v>
      </c>
      <c r="B40" s="196">
        <f t="shared" ref="B40:U40" si="17">B37*$J$89*(B36-B31)/365.25</f>
        <v>6233.3815195071875</v>
      </c>
      <c r="C40" s="196">
        <f t="shared" si="17"/>
        <v>5851.8985705133473</v>
      </c>
      <c r="D40" s="196">
        <f t="shared" si="17"/>
        <v>5419.3018930595499</v>
      </c>
      <c r="E40" s="196">
        <f t="shared" si="17"/>
        <v>4952.9826215852181</v>
      </c>
      <c r="F40" s="196">
        <f t="shared" si="17"/>
        <v>4354.6403295277232</v>
      </c>
      <c r="G40" s="196">
        <f t="shared" si="17"/>
        <v>3693.9018884599609</v>
      </c>
      <c r="H40" s="196">
        <f t="shared" si="17"/>
        <v>3018.2033317453815</v>
      </c>
      <c r="I40" s="196">
        <f t="shared" si="17"/>
        <v>2331.7002470636567</v>
      </c>
      <c r="J40" s="196">
        <f t="shared" si="17"/>
        <v>1589.5122874743342</v>
      </c>
      <c r="K40" s="196">
        <f t="shared" si="17"/>
        <v>819.06633166324605</v>
      </c>
      <c r="L40" s="196">
        <f t="shared" si="17"/>
        <v>1.774915327648852E-12</v>
      </c>
      <c r="M40" s="196">
        <f t="shared" si="17"/>
        <v>1.7847759683580124E-12</v>
      </c>
      <c r="N40" s="196">
        <f t="shared" si="17"/>
        <v>1.774915327648852E-12</v>
      </c>
      <c r="O40" s="196">
        <f t="shared" si="17"/>
        <v>1.774915327648852E-12</v>
      </c>
      <c r="P40" s="196">
        <f t="shared" si="17"/>
        <v>1.774915327648852E-12</v>
      </c>
      <c r="Q40" s="196">
        <f t="shared" si="17"/>
        <v>1.7847759683580124E-12</v>
      </c>
      <c r="R40" s="196">
        <f t="shared" si="17"/>
        <v>1.774915327648852E-12</v>
      </c>
      <c r="S40" s="196">
        <f t="shared" si="17"/>
        <v>1.774915327648852E-12</v>
      </c>
      <c r="T40" s="196">
        <f t="shared" si="17"/>
        <v>1.774915327648852E-12</v>
      </c>
      <c r="U40" s="196">
        <f t="shared" si="17"/>
        <v>1.7847759683580124E-12</v>
      </c>
      <c r="V40" s="4"/>
      <c r="W40" s="202"/>
      <c r="X40" s="202"/>
    </row>
    <row r="41" spans="1:24" ht="12.75" customHeight="1" x14ac:dyDescent="0.25">
      <c r="A41" s="192" t="s">
        <v>124</v>
      </c>
      <c r="B41" s="197">
        <f t="shared" ref="B41:U41" si="18">B37-B39</f>
        <v>111468.39780000001</v>
      </c>
      <c r="C41" s="197">
        <f t="shared" si="18"/>
        <v>103959.74670000002</v>
      </c>
      <c r="D41" s="197">
        <f t="shared" si="18"/>
        <v>95416.212600000028</v>
      </c>
      <c r="E41" s="197">
        <f t="shared" si="18"/>
        <v>85596.322800000038</v>
      </c>
      <c r="F41" s="197">
        <f t="shared" si="18"/>
        <v>74235.607200000042</v>
      </c>
      <c r="G41" s="197">
        <f t="shared" si="18"/>
        <v>61909.000800000038</v>
      </c>
      <c r="H41" s="197">
        <f t="shared" si="18"/>
        <v>49225.934700000034</v>
      </c>
      <c r="I41" s="197">
        <f t="shared" si="18"/>
        <v>36048.42450000003</v>
      </c>
      <c r="J41" s="197">
        <f t="shared" si="18"/>
        <v>22215.488400000031</v>
      </c>
      <c r="K41" s="197">
        <f t="shared" si="18"/>
        <v>7554.6459000000323</v>
      </c>
      <c r="L41" s="197">
        <f t="shared" si="18"/>
        <v>3.2741809263825417E-11</v>
      </c>
      <c r="M41" s="197">
        <f t="shared" si="18"/>
        <v>3.2741809263825417E-11</v>
      </c>
      <c r="N41" s="197">
        <f t="shared" si="18"/>
        <v>3.2741809263825417E-11</v>
      </c>
      <c r="O41" s="197">
        <f t="shared" si="18"/>
        <v>3.2741809263825417E-11</v>
      </c>
      <c r="P41" s="197">
        <f t="shared" si="18"/>
        <v>3.2741809263825417E-11</v>
      </c>
      <c r="Q41" s="197">
        <f t="shared" si="18"/>
        <v>3.2741809263825417E-11</v>
      </c>
      <c r="R41" s="197">
        <f t="shared" si="18"/>
        <v>3.2741809263825417E-11</v>
      </c>
      <c r="S41" s="197">
        <f t="shared" si="18"/>
        <v>3.2741809263825417E-11</v>
      </c>
      <c r="T41" s="197">
        <f t="shared" si="18"/>
        <v>3.2741809263825417E-11</v>
      </c>
      <c r="U41" s="197">
        <f t="shared" si="18"/>
        <v>3.2741809263825417E-11</v>
      </c>
      <c r="V41" s="4"/>
      <c r="W41" s="202"/>
      <c r="X41" s="202"/>
    </row>
    <row r="42" spans="1:24" ht="12.75" customHeight="1" x14ac:dyDescent="0.25">
      <c r="A42" s="192"/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"/>
      <c r="W42" s="194"/>
      <c r="X42" s="194"/>
    </row>
    <row r="43" spans="1:24" ht="12.75" customHeight="1" x14ac:dyDescent="0.25">
      <c r="A43" s="165"/>
      <c r="B43" s="190">
        <v>37256</v>
      </c>
      <c r="C43" s="190">
        <v>37621</v>
      </c>
      <c r="D43" s="190">
        <v>37986</v>
      </c>
      <c r="E43" s="190">
        <v>38352</v>
      </c>
      <c r="F43" s="190">
        <v>38717</v>
      </c>
      <c r="G43" s="190">
        <v>39082</v>
      </c>
      <c r="H43" s="190">
        <v>39447</v>
      </c>
      <c r="I43" s="190">
        <v>39813</v>
      </c>
      <c r="J43" s="190">
        <v>40178</v>
      </c>
      <c r="K43" s="190">
        <v>40543</v>
      </c>
      <c r="L43" s="190">
        <v>40908</v>
      </c>
      <c r="M43" s="190">
        <v>41274</v>
      </c>
      <c r="N43" s="190">
        <v>41639</v>
      </c>
      <c r="O43" s="190">
        <v>42004</v>
      </c>
      <c r="P43" s="190">
        <v>42369</v>
      </c>
      <c r="Q43" s="190">
        <v>42735</v>
      </c>
      <c r="R43" s="190">
        <v>43100</v>
      </c>
      <c r="S43" s="190">
        <v>43465</v>
      </c>
      <c r="T43" s="190">
        <v>43830</v>
      </c>
      <c r="U43" s="190">
        <v>44196</v>
      </c>
      <c r="V43" s="2"/>
      <c r="W43" s="194"/>
      <c r="X43" s="194"/>
    </row>
    <row r="44" spans="1:24" ht="12.75" customHeight="1" x14ac:dyDescent="0.25">
      <c r="A44" s="192" t="s">
        <v>122</v>
      </c>
      <c r="B44" s="193">
        <f t="shared" ref="B44:U44" si="19">B41</f>
        <v>111468.39780000001</v>
      </c>
      <c r="C44" s="193">
        <f t="shared" si="19"/>
        <v>103959.74670000002</v>
      </c>
      <c r="D44" s="193">
        <f t="shared" si="19"/>
        <v>95416.212600000028</v>
      </c>
      <c r="E44" s="193">
        <f t="shared" si="19"/>
        <v>85596.322800000038</v>
      </c>
      <c r="F44" s="193">
        <f t="shared" si="19"/>
        <v>74235.607200000042</v>
      </c>
      <c r="G44" s="193">
        <f t="shared" si="19"/>
        <v>61909.000800000038</v>
      </c>
      <c r="H44" s="193">
        <f t="shared" si="19"/>
        <v>49225.934700000034</v>
      </c>
      <c r="I44" s="193">
        <f t="shared" si="19"/>
        <v>36048.42450000003</v>
      </c>
      <c r="J44" s="193">
        <f t="shared" si="19"/>
        <v>22215.488400000031</v>
      </c>
      <c r="K44" s="193">
        <f t="shared" si="19"/>
        <v>7554.6459000000323</v>
      </c>
      <c r="L44" s="193">
        <f t="shared" si="19"/>
        <v>3.2741809263825417E-11</v>
      </c>
      <c r="M44" s="193">
        <f t="shared" si="19"/>
        <v>3.2741809263825417E-11</v>
      </c>
      <c r="N44" s="193">
        <f t="shared" si="19"/>
        <v>3.2741809263825417E-11</v>
      </c>
      <c r="O44" s="193">
        <f t="shared" si="19"/>
        <v>3.2741809263825417E-11</v>
      </c>
      <c r="P44" s="193">
        <f t="shared" si="19"/>
        <v>3.2741809263825417E-11</v>
      </c>
      <c r="Q44" s="193">
        <f t="shared" si="19"/>
        <v>3.2741809263825417E-11</v>
      </c>
      <c r="R44" s="193">
        <f t="shared" si="19"/>
        <v>3.2741809263825417E-11</v>
      </c>
      <c r="S44" s="193">
        <f t="shared" si="19"/>
        <v>3.2741809263825417E-11</v>
      </c>
      <c r="T44" s="193">
        <f t="shared" si="19"/>
        <v>3.2741809263825417E-11</v>
      </c>
      <c r="U44" s="193">
        <f t="shared" si="19"/>
        <v>3.2741809263825417E-11</v>
      </c>
      <c r="V44" s="2"/>
      <c r="W44" s="194"/>
      <c r="X44" s="194"/>
    </row>
    <row r="45" spans="1:24" ht="12.75" customHeight="1" x14ac:dyDescent="0.25">
      <c r="A45" s="192" t="s">
        <v>125</v>
      </c>
      <c r="B45" s="201">
        <f t="shared" ref="B45:K45" si="20">B38</f>
        <v>3.0599999999999999E-2</v>
      </c>
      <c r="C45" s="201">
        <f t="shared" si="20"/>
        <v>3.4700000000000002E-2</v>
      </c>
      <c r="D45" s="201">
        <f t="shared" si="20"/>
        <v>3.9600000000000003E-2</v>
      </c>
      <c r="E45" s="201">
        <f t="shared" si="20"/>
        <v>4.58E-2</v>
      </c>
      <c r="F45" s="201">
        <f t="shared" si="20"/>
        <v>5.2999999999999999E-2</v>
      </c>
      <c r="G45" s="201">
        <f t="shared" si="20"/>
        <v>5.4199999999999998E-2</v>
      </c>
      <c r="H45" s="201">
        <f t="shared" si="20"/>
        <v>5.6099999999999997E-2</v>
      </c>
      <c r="I45" s="201">
        <f t="shared" si="20"/>
        <v>5.8500000000000003E-2</v>
      </c>
      <c r="J45" s="201">
        <f t="shared" si="20"/>
        <v>6.1800000000000001E-2</v>
      </c>
      <c r="K45" s="201">
        <f t="shared" si="20"/>
        <v>6.5699999999999995E-2</v>
      </c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2"/>
      <c r="W45" s="194"/>
      <c r="X45" s="194"/>
    </row>
    <row r="46" spans="1:24" ht="12.75" customHeight="1" x14ac:dyDescent="0.25">
      <c r="A46" s="192" t="s">
        <v>126</v>
      </c>
      <c r="B46" s="193">
        <f t="shared" ref="B46:U46" si="21">B45*$B$34</f>
        <v>3518.6021999999998</v>
      </c>
      <c r="C46" s="193">
        <f t="shared" si="21"/>
        <v>3990.0489000000002</v>
      </c>
      <c r="D46" s="193">
        <f t="shared" si="21"/>
        <v>4553.4852000000001</v>
      </c>
      <c r="E46" s="193">
        <f t="shared" si="21"/>
        <v>5266.4045999999998</v>
      </c>
      <c r="F46" s="193">
        <f t="shared" si="21"/>
        <v>6094.3109999999997</v>
      </c>
      <c r="G46" s="193">
        <f t="shared" si="21"/>
        <v>6232.2954</v>
      </c>
      <c r="H46" s="193">
        <f t="shared" si="21"/>
        <v>6450.7707</v>
      </c>
      <c r="I46" s="193">
        <f t="shared" si="21"/>
        <v>6726.7395000000006</v>
      </c>
      <c r="J46" s="193">
        <f t="shared" si="21"/>
        <v>7106.1966000000002</v>
      </c>
      <c r="K46" s="193">
        <f t="shared" si="21"/>
        <v>7554.6458999999995</v>
      </c>
      <c r="L46" s="193">
        <f t="shared" si="21"/>
        <v>0</v>
      </c>
      <c r="M46" s="193">
        <f t="shared" si="21"/>
        <v>0</v>
      </c>
      <c r="N46" s="193">
        <f t="shared" si="21"/>
        <v>0</v>
      </c>
      <c r="O46" s="193">
        <f t="shared" si="21"/>
        <v>0</v>
      </c>
      <c r="P46" s="193">
        <f t="shared" si="21"/>
        <v>0</v>
      </c>
      <c r="Q46" s="193">
        <f t="shared" si="21"/>
        <v>0</v>
      </c>
      <c r="R46" s="193">
        <f t="shared" si="21"/>
        <v>0</v>
      </c>
      <c r="S46" s="193">
        <f t="shared" si="21"/>
        <v>0</v>
      </c>
      <c r="T46" s="193">
        <f t="shared" si="21"/>
        <v>0</v>
      </c>
      <c r="U46" s="193">
        <f t="shared" si="21"/>
        <v>0</v>
      </c>
      <c r="V46" s="2"/>
      <c r="W46" s="194"/>
      <c r="X46" s="194"/>
    </row>
    <row r="47" spans="1:24" ht="12.75" customHeight="1" x14ac:dyDescent="0.25">
      <c r="A47" s="192" t="s">
        <v>123</v>
      </c>
      <c r="B47" s="196">
        <f t="shared" ref="B47:U47" si="22">B44*$J$89*(B43-B36)/365.25</f>
        <v>6176.9209348993845</v>
      </c>
      <c r="C47" s="196">
        <f t="shared" si="22"/>
        <v>5760.835792492815</v>
      </c>
      <c r="D47" s="196">
        <f t="shared" si="22"/>
        <v>5287.4035401067777</v>
      </c>
      <c r="E47" s="196">
        <f t="shared" si="22"/>
        <v>4743.2431854127326</v>
      </c>
      <c r="F47" s="196">
        <f t="shared" si="22"/>
        <v>4113.6993558603717</v>
      </c>
      <c r="G47" s="196">
        <f t="shared" si="22"/>
        <v>3430.631556993842</v>
      </c>
      <c r="H47" s="196">
        <f t="shared" si="22"/>
        <v>2727.8108646899404</v>
      </c>
      <c r="I47" s="196">
        <f t="shared" si="22"/>
        <v>1997.5909976180717</v>
      </c>
      <c r="J47" s="196">
        <f t="shared" si="22"/>
        <v>1231.0512942258745</v>
      </c>
      <c r="K47" s="196">
        <f t="shared" si="22"/>
        <v>418.6339028501045</v>
      </c>
      <c r="L47" s="196">
        <f t="shared" si="22"/>
        <v>1.8143578904854933E-12</v>
      </c>
      <c r="M47" s="196">
        <f t="shared" si="22"/>
        <v>1.8143578904854933E-12</v>
      </c>
      <c r="N47" s="196">
        <f t="shared" si="22"/>
        <v>1.8143578904854933E-12</v>
      </c>
      <c r="O47" s="196">
        <f t="shared" si="22"/>
        <v>1.8143578904854933E-12</v>
      </c>
      <c r="P47" s="196">
        <f t="shared" si="22"/>
        <v>1.8143578904854933E-12</v>
      </c>
      <c r="Q47" s="196">
        <f t="shared" si="22"/>
        <v>1.8143578904854933E-12</v>
      </c>
      <c r="R47" s="196">
        <f t="shared" si="22"/>
        <v>1.8143578904854933E-12</v>
      </c>
      <c r="S47" s="196">
        <f t="shared" si="22"/>
        <v>1.8143578904854933E-12</v>
      </c>
      <c r="T47" s="196">
        <f t="shared" si="22"/>
        <v>1.8143578904854933E-12</v>
      </c>
      <c r="U47" s="196">
        <f t="shared" si="22"/>
        <v>1.8143578904854933E-12</v>
      </c>
      <c r="V47" s="2"/>
      <c r="W47" s="194"/>
      <c r="X47" s="194"/>
    </row>
    <row r="48" spans="1:24" ht="12.75" customHeight="1" x14ac:dyDescent="0.25">
      <c r="A48" s="192" t="s">
        <v>124</v>
      </c>
      <c r="B48" s="197">
        <f t="shared" ref="B48:U48" si="23">B44-B46</f>
        <v>107949.79560000001</v>
      </c>
      <c r="C48" s="197">
        <f t="shared" si="23"/>
        <v>99969.697800000024</v>
      </c>
      <c r="D48" s="197">
        <f t="shared" si="23"/>
        <v>90862.727400000033</v>
      </c>
      <c r="E48" s="197">
        <f t="shared" si="23"/>
        <v>80329.918200000044</v>
      </c>
      <c r="F48" s="197">
        <f t="shared" si="23"/>
        <v>68141.296200000041</v>
      </c>
      <c r="G48" s="197">
        <f t="shared" si="23"/>
        <v>55676.705400000035</v>
      </c>
      <c r="H48" s="197">
        <f t="shared" si="23"/>
        <v>42775.164000000033</v>
      </c>
      <c r="I48" s="197">
        <f t="shared" si="23"/>
        <v>29321.68500000003</v>
      </c>
      <c r="J48" s="197">
        <f t="shared" si="23"/>
        <v>15109.291800000032</v>
      </c>
      <c r="K48" s="197">
        <f t="shared" si="23"/>
        <v>3.2741809263825417E-11</v>
      </c>
      <c r="L48" s="197">
        <f t="shared" si="23"/>
        <v>3.2741809263825417E-11</v>
      </c>
      <c r="M48" s="197">
        <f t="shared" si="23"/>
        <v>3.2741809263825417E-11</v>
      </c>
      <c r="N48" s="197">
        <f t="shared" si="23"/>
        <v>3.2741809263825417E-11</v>
      </c>
      <c r="O48" s="197">
        <f t="shared" si="23"/>
        <v>3.2741809263825417E-11</v>
      </c>
      <c r="P48" s="197">
        <f t="shared" si="23"/>
        <v>3.2741809263825417E-11</v>
      </c>
      <c r="Q48" s="197">
        <f t="shared" si="23"/>
        <v>3.2741809263825417E-11</v>
      </c>
      <c r="R48" s="197">
        <f t="shared" si="23"/>
        <v>3.2741809263825417E-11</v>
      </c>
      <c r="S48" s="197">
        <f t="shared" si="23"/>
        <v>3.2741809263825417E-11</v>
      </c>
      <c r="T48" s="197">
        <f t="shared" si="23"/>
        <v>3.2741809263825417E-11</v>
      </c>
      <c r="U48" s="197">
        <f t="shared" si="23"/>
        <v>3.2741809263825417E-11</v>
      </c>
      <c r="V48" s="2"/>
      <c r="W48" s="194"/>
      <c r="X48" s="194"/>
    </row>
    <row r="49" spans="1:24" ht="12.75" customHeight="1" x14ac:dyDescent="0.25">
      <c r="A49" s="192"/>
      <c r="B49" s="200"/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"/>
      <c r="W49" s="194"/>
      <c r="X49" s="194"/>
    </row>
    <row r="50" spans="1:24" ht="12.75" customHeight="1" x14ac:dyDescent="0.25">
      <c r="A50" s="189" t="s">
        <v>14</v>
      </c>
      <c r="B50" s="4"/>
      <c r="C50" s="188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2"/>
      <c r="W50" s="194"/>
      <c r="X50" s="194"/>
    </row>
    <row r="51" spans="1:24" ht="12.75" customHeight="1" x14ac:dyDescent="0.25">
      <c r="A51" s="2"/>
      <c r="B51" s="190">
        <f>'Summary Output'!$C$14</f>
        <v>36892</v>
      </c>
      <c r="C51" s="190">
        <v>37257</v>
      </c>
      <c r="D51" s="190">
        <v>37622</v>
      </c>
      <c r="E51" s="190">
        <v>37987</v>
      </c>
      <c r="F51" s="190">
        <v>38353</v>
      </c>
      <c r="G51" s="190">
        <v>38718</v>
      </c>
      <c r="H51" s="190">
        <v>39083</v>
      </c>
      <c r="I51" s="190">
        <v>39448</v>
      </c>
      <c r="J51" s="190">
        <v>39814</v>
      </c>
      <c r="K51" s="190">
        <v>40179</v>
      </c>
      <c r="L51" s="190">
        <v>40544</v>
      </c>
      <c r="M51" s="190">
        <v>40909</v>
      </c>
      <c r="N51" s="190">
        <v>41275</v>
      </c>
      <c r="O51" s="190">
        <v>41640</v>
      </c>
      <c r="P51" s="190">
        <v>42005</v>
      </c>
      <c r="Q51" s="190">
        <v>42370</v>
      </c>
      <c r="R51" s="190">
        <v>42736</v>
      </c>
      <c r="S51" s="190">
        <v>43101</v>
      </c>
      <c r="T51" s="190">
        <v>43466</v>
      </c>
      <c r="U51" s="190">
        <v>43831</v>
      </c>
      <c r="V51" s="2"/>
      <c r="W51" s="194"/>
      <c r="X51" s="194"/>
    </row>
    <row r="52" spans="1:24" ht="12.75" customHeight="1" x14ac:dyDescent="0.25">
      <c r="A52" s="192" t="s">
        <v>122</v>
      </c>
      <c r="B52" s="193">
        <v>0</v>
      </c>
      <c r="C52" s="193">
        <f t="shared" ref="C52:U52" si="24">B68</f>
        <v>240367</v>
      </c>
      <c r="D52" s="193">
        <f t="shared" si="24"/>
        <v>240367</v>
      </c>
      <c r="E52" s="193">
        <f t="shared" si="24"/>
        <v>240367</v>
      </c>
      <c r="F52" s="193">
        <f t="shared" si="24"/>
        <v>240367</v>
      </c>
      <c r="G52" s="193">
        <f t="shared" si="24"/>
        <v>240367</v>
      </c>
      <c r="H52" s="193">
        <f t="shared" si="24"/>
        <v>240367</v>
      </c>
      <c r="I52" s="193">
        <f t="shared" si="24"/>
        <v>240367</v>
      </c>
      <c r="J52" s="193">
        <f t="shared" si="24"/>
        <v>240367</v>
      </c>
      <c r="K52" s="193">
        <f t="shared" si="24"/>
        <v>240367</v>
      </c>
      <c r="L52" s="193">
        <f t="shared" si="24"/>
        <v>240367</v>
      </c>
      <c r="M52" s="193">
        <f t="shared" si="24"/>
        <v>224262.41100000002</v>
      </c>
      <c r="N52" s="193">
        <f t="shared" si="24"/>
        <v>206955.98700000002</v>
      </c>
      <c r="O52" s="193">
        <f t="shared" si="24"/>
        <v>188303.50780000002</v>
      </c>
      <c r="P52" s="193">
        <f t="shared" si="24"/>
        <v>168064.60640000005</v>
      </c>
      <c r="Q52" s="193">
        <f t="shared" si="24"/>
        <v>146095.06260000006</v>
      </c>
      <c r="R52" s="193">
        <f t="shared" si="24"/>
        <v>122010.28920000006</v>
      </c>
      <c r="S52" s="193">
        <f t="shared" si="24"/>
        <v>95666.06600000005</v>
      </c>
      <c r="T52" s="193">
        <f t="shared" si="24"/>
        <v>66773.952600000048</v>
      </c>
      <c r="U52" s="193">
        <f t="shared" si="24"/>
        <v>34997.435200000036</v>
      </c>
      <c r="V52" s="2"/>
      <c r="W52" s="194"/>
      <c r="X52" s="194"/>
    </row>
    <row r="53" spans="1:24" ht="12.75" customHeight="1" x14ac:dyDescent="0.25">
      <c r="A53" s="204" t="s">
        <v>123</v>
      </c>
      <c r="B53" s="195">
        <v>0</v>
      </c>
      <c r="C53" s="196">
        <f t="shared" ref="C53:U53" si="25">C52*$O$89*(C51-B63)/365.25</f>
        <v>73.705965776865156</v>
      </c>
      <c r="D53" s="196">
        <f t="shared" si="25"/>
        <v>73.705965776865156</v>
      </c>
      <c r="E53" s="196">
        <f t="shared" si="25"/>
        <v>73.705965776865156</v>
      </c>
      <c r="F53" s="196">
        <f t="shared" si="25"/>
        <v>73.705965776865156</v>
      </c>
      <c r="G53" s="196">
        <f t="shared" si="25"/>
        <v>73.705965776865156</v>
      </c>
      <c r="H53" s="196">
        <f t="shared" si="25"/>
        <v>73.705965776865156</v>
      </c>
      <c r="I53" s="196">
        <f t="shared" si="25"/>
        <v>73.705965776865156</v>
      </c>
      <c r="J53" s="196">
        <f t="shared" si="25"/>
        <v>73.705965776865156</v>
      </c>
      <c r="K53" s="196">
        <f t="shared" si="25"/>
        <v>73.705965776865156</v>
      </c>
      <c r="L53" s="196">
        <f t="shared" si="25"/>
        <v>73.705965776865156</v>
      </c>
      <c r="M53" s="196">
        <f t="shared" si="25"/>
        <v>68.767666069815206</v>
      </c>
      <c r="N53" s="196">
        <f t="shared" si="25"/>
        <v>63.460836533880908</v>
      </c>
      <c r="O53" s="196">
        <f t="shared" si="25"/>
        <v>57.741253589596177</v>
      </c>
      <c r="P53" s="196">
        <f t="shared" si="25"/>
        <v>51.535211271184139</v>
      </c>
      <c r="Q53" s="196">
        <f t="shared" si="25"/>
        <v>44.798485999178666</v>
      </c>
      <c r="R53" s="196">
        <f t="shared" si="25"/>
        <v>37.413148228336773</v>
      </c>
      <c r="S53" s="196">
        <f t="shared" si="25"/>
        <v>29.334974379192349</v>
      </c>
      <c r="T53" s="196">
        <f t="shared" si="25"/>
        <v>20.475517292813155</v>
      </c>
      <c r="U53" s="196">
        <f t="shared" si="25"/>
        <v>10.731588617111578</v>
      </c>
      <c r="V53" s="2"/>
      <c r="W53" s="194"/>
      <c r="X53" s="194"/>
    </row>
    <row r="54" spans="1:24" ht="12.75" customHeight="1" x14ac:dyDescent="0.25">
      <c r="A54" s="204" t="s">
        <v>124</v>
      </c>
      <c r="B54" s="157">
        <f>'Summary Output'!D15</f>
        <v>240367</v>
      </c>
      <c r="C54" s="197">
        <f t="shared" ref="C54:U54" si="26">C52</f>
        <v>240367</v>
      </c>
      <c r="D54" s="197">
        <f t="shared" si="26"/>
        <v>240367</v>
      </c>
      <c r="E54" s="197">
        <f t="shared" si="26"/>
        <v>240367</v>
      </c>
      <c r="F54" s="197">
        <f t="shared" si="26"/>
        <v>240367</v>
      </c>
      <c r="G54" s="197">
        <f t="shared" si="26"/>
        <v>240367</v>
      </c>
      <c r="H54" s="197">
        <f t="shared" si="26"/>
        <v>240367</v>
      </c>
      <c r="I54" s="197">
        <f t="shared" si="26"/>
        <v>240367</v>
      </c>
      <c r="J54" s="197">
        <f t="shared" si="26"/>
        <v>240367</v>
      </c>
      <c r="K54" s="197">
        <f t="shared" si="26"/>
        <v>240367</v>
      </c>
      <c r="L54" s="197">
        <f t="shared" si="26"/>
        <v>240367</v>
      </c>
      <c r="M54" s="197">
        <f t="shared" si="26"/>
        <v>224262.41100000002</v>
      </c>
      <c r="N54" s="197">
        <f t="shared" si="26"/>
        <v>206955.98700000002</v>
      </c>
      <c r="O54" s="197">
        <f t="shared" si="26"/>
        <v>188303.50780000002</v>
      </c>
      <c r="P54" s="197">
        <f t="shared" si="26"/>
        <v>168064.60640000005</v>
      </c>
      <c r="Q54" s="197">
        <f t="shared" si="26"/>
        <v>146095.06260000006</v>
      </c>
      <c r="R54" s="197">
        <f t="shared" si="26"/>
        <v>122010.28920000006</v>
      </c>
      <c r="S54" s="197">
        <f t="shared" si="26"/>
        <v>95666.06600000005</v>
      </c>
      <c r="T54" s="197">
        <f t="shared" si="26"/>
        <v>66773.952600000048</v>
      </c>
      <c r="U54" s="197">
        <f t="shared" si="26"/>
        <v>34997.435200000036</v>
      </c>
      <c r="V54" s="2"/>
      <c r="W54" s="198">
        <f>SUM(B59:U59,B66:U66)</f>
        <v>240367.00000000003</v>
      </c>
      <c r="X54" s="199">
        <f>B54-W54</f>
        <v>0</v>
      </c>
    </row>
    <row r="55" spans="1:24" ht="12.75" customHeight="1" x14ac:dyDescent="0.25">
      <c r="A55" s="2"/>
      <c r="B55" s="200"/>
      <c r="C55" s="188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2"/>
      <c r="W55" s="194"/>
      <c r="X55" s="194"/>
    </row>
    <row r="56" spans="1:24" ht="12.75" customHeight="1" x14ac:dyDescent="0.25">
      <c r="A56" s="188"/>
      <c r="B56" s="190">
        <v>37072</v>
      </c>
      <c r="C56" s="190">
        <v>37437</v>
      </c>
      <c r="D56" s="190">
        <v>37802</v>
      </c>
      <c r="E56" s="190">
        <v>38168</v>
      </c>
      <c r="F56" s="190">
        <v>38533</v>
      </c>
      <c r="G56" s="190">
        <v>38898</v>
      </c>
      <c r="H56" s="190">
        <v>39263</v>
      </c>
      <c r="I56" s="190">
        <v>39629</v>
      </c>
      <c r="J56" s="190">
        <v>39994</v>
      </c>
      <c r="K56" s="190">
        <v>40359</v>
      </c>
      <c r="L56" s="190">
        <v>40724</v>
      </c>
      <c r="M56" s="190">
        <v>41090</v>
      </c>
      <c r="N56" s="190">
        <v>41455</v>
      </c>
      <c r="O56" s="190">
        <v>41820</v>
      </c>
      <c r="P56" s="190">
        <v>42185</v>
      </c>
      <c r="Q56" s="190">
        <v>42551</v>
      </c>
      <c r="R56" s="190">
        <v>42916</v>
      </c>
      <c r="S56" s="190">
        <v>43281</v>
      </c>
      <c r="T56" s="190">
        <v>43646</v>
      </c>
      <c r="U56" s="190">
        <v>44012</v>
      </c>
      <c r="V56" s="2"/>
      <c r="W56" s="194"/>
      <c r="X56" s="194"/>
    </row>
    <row r="57" spans="1:24" ht="12.75" customHeight="1" x14ac:dyDescent="0.25">
      <c r="A57" s="204" t="s">
        <v>122</v>
      </c>
      <c r="B57" s="193">
        <f t="shared" ref="B57:U57" si="27">B54</f>
        <v>240367</v>
      </c>
      <c r="C57" s="193">
        <f t="shared" si="27"/>
        <v>240367</v>
      </c>
      <c r="D57" s="193">
        <f t="shared" si="27"/>
        <v>240367</v>
      </c>
      <c r="E57" s="193">
        <f t="shared" si="27"/>
        <v>240367</v>
      </c>
      <c r="F57" s="193">
        <f t="shared" si="27"/>
        <v>240367</v>
      </c>
      <c r="G57" s="193">
        <f t="shared" si="27"/>
        <v>240367</v>
      </c>
      <c r="H57" s="193">
        <f t="shared" si="27"/>
        <v>240367</v>
      </c>
      <c r="I57" s="193">
        <f t="shared" si="27"/>
        <v>240367</v>
      </c>
      <c r="J57" s="193">
        <f t="shared" si="27"/>
        <v>240367</v>
      </c>
      <c r="K57" s="193">
        <f t="shared" si="27"/>
        <v>240367</v>
      </c>
      <c r="L57" s="193">
        <f t="shared" si="27"/>
        <v>240367</v>
      </c>
      <c r="M57" s="193">
        <f t="shared" si="27"/>
        <v>224262.41100000002</v>
      </c>
      <c r="N57" s="193">
        <f t="shared" si="27"/>
        <v>206955.98700000002</v>
      </c>
      <c r="O57" s="193">
        <f t="shared" si="27"/>
        <v>188303.50780000002</v>
      </c>
      <c r="P57" s="193">
        <f t="shared" si="27"/>
        <v>168064.60640000005</v>
      </c>
      <c r="Q57" s="193">
        <f t="shared" si="27"/>
        <v>146095.06260000006</v>
      </c>
      <c r="R57" s="193">
        <f t="shared" si="27"/>
        <v>122010.28920000006</v>
      </c>
      <c r="S57" s="193">
        <f t="shared" si="27"/>
        <v>95666.06600000005</v>
      </c>
      <c r="T57" s="193">
        <f t="shared" si="27"/>
        <v>66773.952600000048</v>
      </c>
      <c r="U57" s="193">
        <f t="shared" si="27"/>
        <v>34997.435200000036</v>
      </c>
      <c r="V57" s="2"/>
      <c r="W57" s="194"/>
      <c r="X57" s="194"/>
    </row>
    <row r="58" spans="1:24" ht="12.75" customHeight="1" x14ac:dyDescent="0.25">
      <c r="A58" s="192" t="s">
        <v>125</v>
      </c>
      <c r="B58" s="201">
        <v>0</v>
      </c>
      <c r="C58" s="201">
        <v>0</v>
      </c>
      <c r="D58" s="201">
        <v>0</v>
      </c>
      <c r="E58" s="201">
        <v>0</v>
      </c>
      <c r="F58" s="201">
        <v>0</v>
      </c>
      <c r="G58" s="201">
        <v>0</v>
      </c>
      <c r="H58" s="201">
        <v>0</v>
      </c>
      <c r="I58" s="201">
        <v>0</v>
      </c>
      <c r="J58" s="201">
        <v>0</v>
      </c>
      <c r="K58" s="201">
        <v>0</v>
      </c>
      <c r="L58" s="201">
        <v>3.3500000000000002E-2</v>
      </c>
      <c r="M58" s="201">
        <v>3.5999999999999997E-2</v>
      </c>
      <c r="N58" s="201">
        <v>3.8800000000000001E-2</v>
      </c>
      <c r="O58" s="201">
        <v>4.2099999999999999E-2</v>
      </c>
      <c r="P58" s="201">
        <v>4.5699999999999998E-2</v>
      </c>
      <c r="Q58" s="201">
        <v>5.0099999999999999E-2</v>
      </c>
      <c r="R58" s="201">
        <v>5.4800000000000001E-2</v>
      </c>
      <c r="S58" s="201">
        <v>6.0100000000000001E-2</v>
      </c>
      <c r="T58" s="201">
        <v>6.6100000000000006E-2</v>
      </c>
      <c r="U58" s="201">
        <v>7.2800000000000004E-2</v>
      </c>
      <c r="V58" s="2"/>
      <c r="W58" s="194"/>
      <c r="X58" s="194"/>
    </row>
    <row r="59" spans="1:24" ht="12.75" customHeight="1" x14ac:dyDescent="0.25">
      <c r="A59" s="204" t="s">
        <v>126</v>
      </c>
      <c r="B59" s="193">
        <f t="shared" ref="B59:U59" si="28">$B$54*B58</f>
        <v>0</v>
      </c>
      <c r="C59" s="193">
        <f t="shared" si="28"/>
        <v>0</v>
      </c>
      <c r="D59" s="193">
        <f t="shared" si="28"/>
        <v>0</v>
      </c>
      <c r="E59" s="193">
        <f t="shared" si="28"/>
        <v>0</v>
      </c>
      <c r="F59" s="193">
        <f t="shared" si="28"/>
        <v>0</v>
      </c>
      <c r="G59" s="193">
        <f t="shared" si="28"/>
        <v>0</v>
      </c>
      <c r="H59" s="193">
        <f t="shared" si="28"/>
        <v>0</v>
      </c>
      <c r="I59" s="193">
        <f t="shared" si="28"/>
        <v>0</v>
      </c>
      <c r="J59" s="193">
        <f t="shared" si="28"/>
        <v>0</v>
      </c>
      <c r="K59" s="193">
        <f t="shared" si="28"/>
        <v>0</v>
      </c>
      <c r="L59" s="193">
        <f t="shared" si="28"/>
        <v>8052.2945000000009</v>
      </c>
      <c r="M59" s="193">
        <f t="shared" si="28"/>
        <v>8653.2119999999995</v>
      </c>
      <c r="N59" s="193">
        <f t="shared" si="28"/>
        <v>9326.2396000000008</v>
      </c>
      <c r="O59" s="193">
        <f t="shared" si="28"/>
        <v>10119.450699999999</v>
      </c>
      <c r="P59" s="193">
        <f t="shared" si="28"/>
        <v>10984.7719</v>
      </c>
      <c r="Q59" s="193">
        <f t="shared" si="28"/>
        <v>12042.386699999999</v>
      </c>
      <c r="R59" s="193">
        <f t="shared" si="28"/>
        <v>13172.1116</v>
      </c>
      <c r="S59" s="193">
        <f t="shared" si="28"/>
        <v>14446.056700000001</v>
      </c>
      <c r="T59" s="193">
        <f t="shared" si="28"/>
        <v>15888.258700000002</v>
      </c>
      <c r="U59" s="193">
        <f t="shared" si="28"/>
        <v>17498.7176</v>
      </c>
      <c r="V59" s="2"/>
      <c r="W59" s="205"/>
      <c r="X59" s="205"/>
    </row>
    <row r="60" spans="1:24" ht="12.75" customHeight="1" x14ac:dyDescent="0.25">
      <c r="A60" s="192" t="s">
        <v>123</v>
      </c>
      <c r="B60" s="196">
        <f t="shared" ref="B60:U60" si="29">B57*$O$89*(B56-B51)/365.25</f>
        <v>13267.073839835728</v>
      </c>
      <c r="C60" s="196">
        <f t="shared" si="29"/>
        <v>13267.073839835728</v>
      </c>
      <c r="D60" s="196">
        <f t="shared" si="29"/>
        <v>13267.073839835728</v>
      </c>
      <c r="E60" s="196">
        <f t="shared" si="29"/>
        <v>13340.779805612594</v>
      </c>
      <c r="F60" s="196">
        <f t="shared" si="29"/>
        <v>13267.073839835728</v>
      </c>
      <c r="G60" s="196">
        <f t="shared" si="29"/>
        <v>13267.073839835728</v>
      </c>
      <c r="H60" s="196">
        <f t="shared" si="29"/>
        <v>13267.073839835728</v>
      </c>
      <c r="I60" s="196">
        <f t="shared" si="29"/>
        <v>13340.779805612594</v>
      </c>
      <c r="J60" s="196">
        <f t="shared" si="29"/>
        <v>13267.073839835728</v>
      </c>
      <c r="K60" s="196">
        <f t="shared" si="29"/>
        <v>13267.073839835728</v>
      </c>
      <c r="L60" s="196">
        <f t="shared" si="29"/>
        <v>13267.073839835728</v>
      </c>
      <c r="M60" s="196">
        <f t="shared" si="29"/>
        <v>12446.947558636552</v>
      </c>
      <c r="N60" s="196">
        <f t="shared" si="29"/>
        <v>11422.950576098563</v>
      </c>
      <c r="O60" s="196">
        <f t="shared" si="29"/>
        <v>10393.425646127313</v>
      </c>
      <c r="P60" s="196">
        <f t="shared" si="29"/>
        <v>9276.3380288131448</v>
      </c>
      <c r="Q60" s="196">
        <f t="shared" si="29"/>
        <v>8108.5259658513387</v>
      </c>
      <c r="R60" s="196">
        <f t="shared" si="29"/>
        <v>6734.3666811006187</v>
      </c>
      <c r="S60" s="196">
        <f t="shared" si="29"/>
        <v>5280.2953882546226</v>
      </c>
      <c r="T60" s="196">
        <f t="shared" si="29"/>
        <v>3685.5931127063682</v>
      </c>
      <c r="U60" s="196">
        <f t="shared" si="29"/>
        <v>1942.4175396971957</v>
      </c>
      <c r="V60" s="2"/>
      <c r="W60" s="205"/>
      <c r="X60" s="205"/>
    </row>
    <row r="61" spans="1:24" ht="12.75" customHeight="1" x14ac:dyDescent="0.25">
      <c r="A61" s="192" t="s">
        <v>124</v>
      </c>
      <c r="B61" s="197">
        <f t="shared" ref="B61:U61" si="30">B57-B59</f>
        <v>240367</v>
      </c>
      <c r="C61" s="197">
        <f t="shared" si="30"/>
        <v>240367</v>
      </c>
      <c r="D61" s="197">
        <f t="shared" si="30"/>
        <v>240367</v>
      </c>
      <c r="E61" s="197">
        <f t="shared" si="30"/>
        <v>240367</v>
      </c>
      <c r="F61" s="197">
        <f t="shared" si="30"/>
        <v>240367</v>
      </c>
      <c r="G61" s="197">
        <f t="shared" si="30"/>
        <v>240367</v>
      </c>
      <c r="H61" s="197">
        <f t="shared" si="30"/>
        <v>240367</v>
      </c>
      <c r="I61" s="197">
        <f t="shared" si="30"/>
        <v>240367</v>
      </c>
      <c r="J61" s="197">
        <f t="shared" si="30"/>
        <v>240367</v>
      </c>
      <c r="K61" s="197">
        <f t="shared" si="30"/>
        <v>240367</v>
      </c>
      <c r="L61" s="197">
        <f t="shared" si="30"/>
        <v>232314.70550000001</v>
      </c>
      <c r="M61" s="197">
        <f t="shared" si="30"/>
        <v>215609.19900000002</v>
      </c>
      <c r="N61" s="197">
        <f t="shared" si="30"/>
        <v>197629.74740000002</v>
      </c>
      <c r="O61" s="197">
        <f t="shared" si="30"/>
        <v>178184.05710000003</v>
      </c>
      <c r="P61" s="197">
        <f t="shared" si="30"/>
        <v>157079.83450000006</v>
      </c>
      <c r="Q61" s="197">
        <f t="shared" si="30"/>
        <v>134052.67590000006</v>
      </c>
      <c r="R61" s="197">
        <f t="shared" si="30"/>
        <v>108838.17760000005</v>
      </c>
      <c r="S61" s="197">
        <f t="shared" si="30"/>
        <v>81220.009300000049</v>
      </c>
      <c r="T61" s="197">
        <f t="shared" si="30"/>
        <v>50885.693900000042</v>
      </c>
      <c r="U61" s="197">
        <f t="shared" si="30"/>
        <v>17498.717600000036</v>
      </c>
      <c r="V61" s="2"/>
      <c r="W61" s="205"/>
      <c r="X61" s="205"/>
    </row>
    <row r="62" spans="1:24" ht="12.75" customHeight="1" x14ac:dyDescent="0.25">
      <c r="A62" s="192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"/>
      <c r="W62" s="205"/>
      <c r="X62" s="205"/>
    </row>
    <row r="63" spans="1:24" ht="12.75" customHeight="1" x14ac:dyDescent="0.25">
      <c r="A63" s="165"/>
      <c r="B63" s="190">
        <v>37256</v>
      </c>
      <c r="C63" s="190">
        <v>37621</v>
      </c>
      <c r="D63" s="190">
        <v>37986</v>
      </c>
      <c r="E63" s="190">
        <v>38352</v>
      </c>
      <c r="F63" s="190">
        <v>38717</v>
      </c>
      <c r="G63" s="190">
        <v>39082</v>
      </c>
      <c r="H63" s="190">
        <v>39447</v>
      </c>
      <c r="I63" s="190">
        <v>39813</v>
      </c>
      <c r="J63" s="190">
        <v>40178</v>
      </c>
      <c r="K63" s="190">
        <v>40543</v>
      </c>
      <c r="L63" s="190">
        <v>40908</v>
      </c>
      <c r="M63" s="190">
        <v>41274</v>
      </c>
      <c r="N63" s="190">
        <v>41639</v>
      </c>
      <c r="O63" s="190">
        <v>42004</v>
      </c>
      <c r="P63" s="190">
        <v>42369</v>
      </c>
      <c r="Q63" s="190">
        <v>42735</v>
      </c>
      <c r="R63" s="190">
        <v>43100</v>
      </c>
      <c r="S63" s="190">
        <v>43465</v>
      </c>
      <c r="T63" s="190">
        <v>43830</v>
      </c>
      <c r="U63" s="190">
        <v>44196</v>
      </c>
      <c r="V63" s="2"/>
      <c r="W63" s="205"/>
      <c r="X63" s="205"/>
    </row>
    <row r="64" spans="1:24" ht="12.75" customHeight="1" x14ac:dyDescent="0.25">
      <c r="A64" s="192" t="s">
        <v>122</v>
      </c>
      <c r="B64" s="193">
        <f t="shared" ref="B64:U64" si="31">B61</f>
        <v>240367</v>
      </c>
      <c r="C64" s="193">
        <f t="shared" si="31"/>
        <v>240367</v>
      </c>
      <c r="D64" s="193">
        <f t="shared" si="31"/>
        <v>240367</v>
      </c>
      <c r="E64" s="193">
        <f t="shared" si="31"/>
        <v>240367</v>
      </c>
      <c r="F64" s="193">
        <f t="shared" si="31"/>
        <v>240367</v>
      </c>
      <c r="G64" s="193">
        <f t="shared" si="31"/>
        <v>240367</v>
      </c>
      <c r="H64" s="193">
        <f t="shared" si="31"/>
        <v>240367</v>
      </c>
      <c r="I64" s="193">
        <f t="shared" si="31"/>
        <v>240367</v>
      </c>
      <c r="J64" s="193">
        <f t="shared" si="31"/>
        <v>240367</v>
      </c>
      <c r="K64" s="193">
        <f t="shared" si="31"/>
        <v>240367</v>
      </c>
      <c r="L64" s="193">
        <f t="shared" si="31"/>
        <v>232314.70550000001</v>
      </c>
      <c r="M64" s="193">
        <f t="shared" si="31"/>
        <v>215609.19900000002</v>
      </c>
      <c r="N64" s="193">
        <f t="shared" si="31"/>
        <v>197629.74740000002</v>
      </c>
      <c r="O64" s="193">
        <f t="shared" si="31"/>
        <v>178184.05710000003</v>
      </c>
      <c r="P64" s="193">
        <f t="shared" si="31"/>
        <v>157079.83450000006</v>
      </c>
      <c r="Q64" s="193">
        <f t="shared" si="31"/>
        <v>134052.67590000006</v>
      </c>
      <c r="R64" s="193">
        <f t="shared" si="31"/>
        <v>108838.17760000005</v>
      </c>
      <c r="S64" s="193">
        <f t="shared" si="31"/>
        <v>81220.009300000049</v>
      </c>
      <c r="T64" s="193">
        <f t="shared" si="31"/>
        <v>50885.693900000042</v>
      </c>
      <c r="U64" s="193">
        <f t="shared" si="31"/>
        <v>17498.717600000036</v>
      </c>
      <c r="V64" s="2"/>
      <c r="W64" s="205"/>
      <c r="X64" s="205"/>
    </row>
    <row r="65" spans="1:24" ht="12.75" customHeight="1" x14ac:dyDescent="0.25">
      <c r="A65" s="192" t="s">
        <v>125</v>
      </c>
      <c r="B65" s="201">
        <v>0</v>
      </c>
      <c r="C65" s="201">
        <v>0</v>
      </c>
      <c r="D65" s="201">
        <v>0</v>
      </c>
      <c r="E65" s="201">
        <v>0</v>
      </c>
      <c r="F65" s="201">
        <v>0</v>
      </c>
      <c r="G65" s="201">
        <v>0</v>
      </c>
      <c r="H65" s="201">
        <v>0</v>
      </c>
      <c r="I65" s="201">
        <v>0</v>
      </c>
      <c r="J65" s="201">
        <v>0</v>
      </c>
      <c r="K65" s="201">
        <v>0</v>
      </c>
      <c r="L65" s="201">
        <f t="shared" ref="L65:U65" si="32">L58</f>
        <v>3.3500000000000002E-2</v>
      </c>
      <c r="M65" s="201">
        <f t="shared" si="32"/>
        <v>3.5999999999999997E-2</v>
      </c>
      <c r="N65" s="201">
        <f t="shared" si="32"/>
        <v>3.8800000000000001E-2</v>
      </c>
      <c r="O65" s="201">
        <f t="shared" si="32"/>
        <v>4.2099999999999999E-2</v>
      </c>
      <c r="P65" s="201">
        <f t="shared" si="32"/>
        <v>4.5699999999999998E-2</v>
      </c>
      <c r="Q65" s="201">
        <f t="shared" si="32"/>
        <v>5.0099999999999999E-2</v>
      </c>
      <c r="R65" s="201">
        <f t="shared" si="32"/>
        <v>5.4800000000000001E-2</v>
      </c>
      <c r="S65" s="201">
        <f t="shared" si="32"/>
        <v>6.0100000000000001E-2</v>
      </c>
      <c r="T65" s="201">
        <f t="shared" si="32"/>
        <v>6.6100000000000006E-2</v>
      </c>
      <c r="U65" s="201">
        <f t="shared" si="32"/>
        <v>7.2800000000000004E-2</v>
      </c>
      <c r="V65" s="2"/>
      <c r="W65" s="194"/>
      <c r="X65" s="194"/>
    </row>
    <row r="66" spans="1:24" ht="12.75" customHeight="1" x14ac:dyDescent="0.25">
      <c r="A66" s="204" t="s">
        <v>126</v>
      </c>
      <c r="B66" s="193">
        <f t="shared" ref="B66:U66" si="33">B65*$B$54</f>
        <v>0</v>
      </c>
      <c r="C66" s="193">
        <f t="shared" si="33"/>
        <v>0</v>
      </c>
      <c r="D66" s="193">
        <f t="shared" si="33"/>
        <v>0</v>
      </c>
      <c r="E66" s="193">
        <f t="shared" si="33"/>
        <v>0</v>
      </c>
      <c r="F66" s="193">
        <f t="shared" si="33"/>
        <v>0</v>
      </c>
      <c r="G66" s="193">
        <f t="shared" si="33"/>
        <v>0</v>
      </c>
      <c r="H66" s="193">
        <f t="shared" si="33"/>
        <v>0</v>
      </c>
      <c r="I66" s="193">
        <f t="shared" si="33"/>
        <v>0</v>
      </c>
      <c r="J66" s="193">
        <f t="shared" si="33"/>
        <v>0</v>
      </c>
      <c r="K66" s="193">
        <f t="shared" si="33"/>
        <v>0</v>
      </c>
      <c r="L66" s="193">
        <f t="shared" si="33"/>
        <v>8052.2945000000009</v>
      </c>
      <c r="M66" s="193">
        <f t="shared" si="33"/>
        <v>8653.2119999999995</v>
      </c>
      <c r="N66" s="193">
        <f t="shared" si="33"/>
        <v>9326.2396000000008</v>
      </c>
      <c r="O66" s="193">
        <f t="shared" si="33"/>
        <v>10119.450699999999</v>
      </c>
      <c r="P66" s="193">
        <f t="shared" si="33"/>
        <v>10984.7719</v>
      </c>
      <c r="Q66" s="193">
        <f t="shared" si="33"/>
        <v>12042.386699999999</v>
      </c>
      <c r="R66" s="193">
        <f t="shared" si="33"/>
        <v>13172.1116</v>
      </c>
      <c r="S66" s="193">
        <f t="shared" si="33"/>
        <v>14446.056700000001</v>
      </c>
      <c r="T66" s="193">
        <f t="shared" si="33"/>
        <v>15888.258700000002</v>
      </c>
      <c r="U66" s="193">
        <f t="shared" si="33"/>
        <v>17498.7176</v>
      </c>
      <c r="V66" s="2"/>
      <c r="W66" s="205"/>
      <c r="X66" s="205"/>
    </row>
    <row r="67" spans="1:24" ht="12.75" customHeight="1" x14ac:dyDescent="0.25">
      <c r="A67" s="192" t="s">
        <v>123</v>
      </c>
      <c r="B67" s="196">
        <f t="shared" ref="B67:U67" si="34">B64*$O$89*(B63-B56)/365.25</f>
        <v>13561.89770294319</v>
      </c>
      <c r="C67" s="196">
        <f t="shared" si="34"/>
        <v>13561.89770294319</v>
      </c>
      <c r="D67" s="196">
        <f t="shared" si="34"/>
        <v>13561.89770294319</v>
      </c>
      <c r="E67" s="196">
        <f t="shared" si="34"/>
        <v>13561.89770294319</v>
      </c>
      <c r="F67" s="196">
        <f t="shared" si="34"/>
        <v>13561.89770294319</v>
      </c>
      <c r="G67" s="196">
        <f t="shared" si="34"/>
        <v>13561.89770294319</v>
      </c>
      <c r="H67" s="196">
        <f t="shared" si="34"/>
        <v>13561.89770294319</v>
      </c>
      <c r="I67" s="196">
        <f t="shared" si="34"/>
        <v>13561.89770294319</v>
      </c>
      <c r="J67" s="196">
        <f t="shared" si="34"/>
        <v>13561.89770294319</v>
      </c>
      <c r="K67" s="196">
        <f t="shared" si="34"/>
        <v>13561.89770294319</v>
      </c>
      <c r="L67" s="196">
        <f t="shared" si="34"/>
        <v>13107.574129894592</v>
      </c>
      <c r="M67" s="196">
        <f t="shared" si="34"/>
        <v>12165.022239540043</v>
      </c>
      <c r="N67" s="196">
        <f t="shared" si="34"/>
        <v>11150.592291359892</v>
      </c>
      <c r="O67" s="196">
        <f t="shared" si="34"/>
        <v>10053.434767191789</v>
      </c>
      <c r="P67" s="196">
        <f t="shared" si="34"/>
        <v>8862.7001488733786</v>
      </c>
      <c r="Q67" s="196">
        <f t="shared" si="34"/>
        <v>7563.4703489314206</v>
      </c>
      <c r="R67" s="196">
        <f t="shared" si="34"/>
        <v>6140.8272798926791</v>
      </c>
      <c r="S67" s="196">
        <f t="shared" si="34"/>
        <v>4582.5652338245063</v>
      </c>
      <c r="T67" s="196">
        <f t="shared" si="34"/>
        <v>2871.0537437130756</v>
      </c>
      <c r="U67" s="196">
        <f t="shared" si="34"/>
        <v>987.30615277426625</v>
      </c>
      <c r="V67" s="2"/>
      <c r="W67" s="205"/>
      <c r="X67" s="205"/>
    </row>
    <row r="68" spans="1:24" ht="12.75" customHeight="1" x14ac:dyDescent="0.25">
      <c r="A68" s="192" t="s">
        <v>124</v>
      </c>
      <c r="B68" s="197">
        <f t="shared" ref="B68:U68" si="35">B64-B66</f>
        <v>240367</v>
      </c>
      <c r="C68" s="197">
        <f t="shared" si="35"/>
        <v>240367</v>
      </c>
      <c r="D68" s="197">
        <f t="shared" si="35"/>
        <v>240367</v>
      </c>
      <c r="E68" s="197">
        <f t="shared" si="35"/>
        <v>240367</v>
      </c>
      <c r="F68" s="197">
        <f t="shared" si="35"/>
        <v>240367</v>
      </c>
      <c r="G68" s="197">
        <f t="shared" si="35"/>
        <v>240367</v>
      </c>
      <c r="H68" s="197">
        <f t="shared" si="35"/>
        <v>240367</v>
      </c>
      <c r="I68" s="197">
        <f t="shared" si="35"/>
        <v>240367</v>
      </c>
      <c r="J68" s="197">
        <f t="shared" si="35"/>
        <v>240367</v>
      </c>
      <c r="K68" s="197">
        <f t="shared" si="35"/>
        <v>240367</v>
      </c>
      <c r="L68" s="197">
        <f t="shared" si="35"/>
        <v>224262.41100000002</v>
      </c>
      <c r="M68" s="197">
        <f t="shared" si="35"/>
        <v>206955.98700000002</v>
      </c>
      <c r="N68" s="197">
        <f t="shared" si="35"/>
        <v>188303.50780000002</v>
      </c>
      <c r="O68" s="197">
        <f t="shared" si="35"/>
        <v>168064.60640000005</v>
      </c>
      <c r="P68" s="197">
        <f t="shared" si="35"/>
        <v>146095.06260000006</v>
      </c>
      <c r="Q68" s="197">
        <f t="shared" si="35"/>
        <v>122010.28920000006</v>
      </c>
      <c r="R68" s="197">
        <f t="shared" si="35"/>
        <v>95666.06600000005</v>
      </c>
      <c r="S68" s="197">
        <f t="shared" si="35"/>
        <v>66773.952600000048</v>
      </c>
      <c r="T68" s="197">
        <f t="shared" si="35"/>
        <v>34997.435200000036</v>
      </c>
      <c r="U68" s="197">
        <f t="shared" si="35"/>
        <v>3.637978807091713E-11</v>
      </c>
      <c r="V68" s="2"/>
      <c r="W68" s="205"/>
      <c r="X68" s="205"/>
    </row>
    <row r="69" spans="1:24" ht="12.75" customHeight="1" x14ac:dyDescent="0.25">
      <c r="A69" s="192"/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"/>
      <c r="W69" s="2"/>
      <c r="X69" s="2"/>
    </row>
    <row r="70" spans="1:24" ht="12.75" customHeight="1" x14ac:dyDescent="0.25">
      <c r="A70" s="206" t="s">
        <v>127</v>
      </c>
      <c r="B70" s="200"/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00"/>
      <c r="O70" s="200"/>
      <c r="P70" s="200"/>
      <c r="Q70" s="200"/>
      <c r="R70" s="200"/>
      <c r="S70" s="200"/>
      <c r="T70" s="200"/>
      <c r="U70" s="200"/>
      <c r="V70" s="207"/>
      <c r="W70" s="207"/>
      <c r="X70" s="207"/>
    </row>
    <row r="71" spans="1:24" ht="12.75" customHeight="1" x14ac:dyDescent="0.25">
      <c r="A71" s="206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7"/>
      <c r="W71" s="207"/>
      <c r="X71" s="207"/>
    </row>
    <row r="72" spans="1:24" ht="12.75" customHeight="1" x14ac:dyDescent="0.25">
      <c r="A72" s="192" t="s">
        <v>122</v>
      </c>
      <c r="B72" s="203">
        <f>B54+B34+B14</f>
        <v>355354</v>
      </c>
      <c r="C72" s="203">
        <f t="shared" ref="C72:U72" si="36">C52+C32+C12</f>
        <v>348316.79560000001</v>
      </c>
      <c r="D72" s="203">
        <f t="shared" si="36"/>
        <v>340336.69780000002</v>
      </c>
      <c r="E72" s="203">
        <f t="shared" si="36"/>
        <v>331229.72740000003</v>
      </c>
      <c r="F72" s="203">
        <f t="shared" si="36"/>
        <v>320696.91820000007</v>
      </c>
      <c r="G72" s="203">
        <f t="shared" si="36"/>
        <v>308508.29620000004</v>
      </c>
      <c r="H72" s="203">
        <f t="shared" si="36"/>
        <v>296043.70540000004</v>
      </c>
      <c r="I72" s="203">
        <f t="shared" si="36"/>
        <v>283142.16400000005</v>
      </c>
      <c r="J72" s="203">
        <f t="shared" si="36"/>
        <v>269688.68500000006</v>
      </c>
      <c r="K72" s="203">
        <f t="shared" si="36"/>
        <v>255476.29180000004</v>
      </c>
      <c r="L72" s="203">
        <f t="shared" si="36"/>
        <v>240367.00000000003</v>
      </c>
      <c r="M72" s="203">
        <f t="shared" si="36"/>
        <v>224262.41100000005</v>
      </c>
      <c r="N72" s="203">
        <f t="shared" si="36"/>
        <v>206955.98700000005</v>
      </c>
      <c r="O72" s="203">
        <f t="shared" si="36"/>
        <v>188303.50780000005</v>
      </c>
      <c r="P72" s="203">
        <f t="shared" si="36"/>
        <v>168064.60640000008</v>
      </c>
      <c r="Q72" s="203">
        <f t="shared" si="36"/>
        <v>146095.06260000009</v>
      </c>
      <c r="R72" s="203">
        <f t="shared" si="36"/>
        <v>122010.28920000009</v>
      </c>
      <c r="S72" s="203">
        <f t="shared" si="36"/>
        <v>95666.066000000079</v>
      </c>
      <c r="T72" s="203">
        <f t="shared" si="36"/>
        <v>66773.952600000077</v>
      </c>
      <c r="U72" s="203">
        <f t="shared" si="36"/>
        <v>34997.435200000065</v>
      </c>
      <c r="V72" s="207"/>
      <c r="W72" s="207"/>
      <c r="X72" s="207"/>
    </row>
    <row r="73" spans="1:24" ht="12.75" customHeight="1" x14ac:dyDescent="0.25">
      <c r="A73" s="192" t="s">
        <v>124</v>
      </c>
      <c r="B73" s="203">
        <f t="shared" ref="B73:U73" si="37">B68+B48+B28</f>
        <v>348316.79560000001</v>
      </c>
      <c r="C73" s="203">
        <f t="shared" si="37"/>
        <v>340336.69780000002</v>
      </c>
      <c r="D73" s="203">
        <f t="shared" si="37"/>
        <v>331229.72740000003</v>
      </c>
      <c r="E73" s="203">
        <f t="shared" si="37"/>
        <v>320696.91820000007</v>
      </c>
      <c r="F73" s="203">
        <f t="shared" si="37"/>
        <v>308508.29620000004</v>
      </c>
      <c r="G73" s="203">
        <f t="shared" si="37"/>
        <v>296043.70540000004</v>
      </c>
      <c r="H73" s="203">
        <f t="shared" si="37"/>
        <v>283142.16400000005</v>
      </c>
      <c r="I73" s="203">
        <f t="shared" si="37"/>
        <v>269688.68500000006</v>
      </c>
      <c r="J73" s="203">
        <f t="shared" si="37"/>
        <v>255476.29180000004</v>
      </c>
      <c r="K73" s="203">
        <f t="shared" si="37"/>
        <v>240367.00000000003</v>
      </c>
      <c r="L73" s="203">
        <f t="shared" si="37"/>
        <v>224262.41100000005</v>
      </c>
      <c r="M73" s="203">
        <f t="shared" si="37"/>
        <v>206955.98700000005</v>
      </c>
      <c r="N73" s="203">
        <f t="shared" si="37"/>
        <v>188303.50780000005</v>
      </c>
      <c r="O73" s="203">
        <f t="shared" si="37"/>
        <v>168064.60640000008</v>
      </c>
      <c r="P73" s="203">
        <f t="shared" si="37"/>
        <v>146095.06260000009</v>
      </c>
      <c r="Q73" s="203">
        <f t="shared" si="37"/>
        <v>122010.28920000009</v>
      </c>
      <c r="R73" s="203">
        <f t="shared" si="37"/>
        <v>95666.066000000079</v>
      </c>
      <c r="S73" s="203">
        <f t="shared" si="37"/>
        <v>66773.952600000077</v>
      </c>
      <c r="T73" s="203">
        <f t="shared" si="37"/>
        <v>34997.435200000065</v>
      </c>
      <c r="U73" s="203">
        <f t="shared" si="37"/>
        <v>6.9121597334742546E-11</v>
      </c>
      <c r="V73" s="207"/>
      <c r="W73" s="207"/>
      <c r="X73" s="207"/>
    </row>
    <row r="74" spans="1:24" ht="12.75" customHeight="1" x14ac:dyDescent="0.25">
      <c r="A74" s="192"/>
      <c r="B74" s="200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7"/>
      <c r="W74" s="207"/>
      <c r="X74" s="207"/>
    </row>
    <row r="75" spans="1:24" ht="12.75" customHeight="1" x14ac:dyDescent="0.25">
      <c r="A75" s="192" t="s">
        <v>128</v>
      </c>
      <c r="B75" s="203">
        <f t="shared" ref="B75:U75" si="38">SUM(B66,B59,B46,B39,B26,B19)</f>
        <v>7037.2043999999996</v>
      </c>
      <c r="C75" s="203">
        <f t="shared" si="38"/>
        <v>7980.0978000000005</v>
      </c>
      <c r="D75" s="203">
        <f t="shared" si="38"/>
        <v>9106.9704000000002</v>
      </c>
      <c r="E75" s="203">
        <f t="shared" si="38"/>
        <v>10532.8092</v>
      </c>
      <c r="F75" s="203">
        <f t="shared" si="38"/>
        <v>12188.621999999999</v>
      </c>
      <c r="G75" s="203">
        <f t="shared" si="38"/>
        <v>12464.5908</v>
      </c>
      <c r="H75" s="203">
        <f t="shared" si="38"/>
        <v>12901.5414</v>
      </c>
      <c r="I75" s="203">
        <f t="shared" si="38"/>
        <v>13453.479000000001</v>
      </c>
      <c r="J75" s="203">
        <f t="shared" si="38"/>
        <v>14212.3932</v>
      </c>
      <c r="K75" s="203">
        <f t="shared" si="38"/>
        <v>15109.291799999999</v>
      </c>
      <c r="L75" s="203">
        <f t="shared" si="38"/>
        <v>16104.589000000002</v>
      </c>
      <c r="M75" s="203">
        <f t="shared" si="38"/>
        <v>17306.423999999999</v>
      </c>
      <c r="N75" s="203">
        <f t="shared" si="38"/>
        <v>18652.479200000002</v>
      </c>
      <c r="O75" s="203">
        <f t="shared" si="38"/>
        <v>20238.901399999999</v>
      </c>
      <c r="P75" s="203">
        <f t="shared" si="38"/>
        <v>21969.543799999999</v>
      </c>
      <c r="Q75" s="203">
        <f t="shared" si="38"/>
        <v>24084.773399999998</v>
      </c>
      <c r="R75" s="203">
        <f t="shared" si="38"/>
        <v>26344.2232</v>
      </c>
      <c r="S75" s="203">
        <f t="shared" si="38"/>
        <v>28892.113400000002</v>
      </c>
      <c r="T75" s="203">
        <f t="shared" si="38"/>
        <v>31776.517400000004</v>
      </c>
      <c r="U75" s="203">
        <f t="shared" si="38"/>
        <v>34997.4352</v>
      </c>
      <c r="V75" s="207"/>
      <c r="W75" s="207"/>
      <c r="X75" s="207"/>
    </row>
    <row r="76" spans="1:24" ht="12.75" customHeight="1" x14ac:dyDescent="0.25">
      <c r="A76" s="208" t="s">
        <v>114</v>
      </c>
      <c r="B76" s="209">
        <f t="shared" ref="B76:U76" si="39">SUM(B13,B20,B33,B40,B53,B60,B67,B47,B27)</f>
        <v>39239.27399718549</v>
      </c>
      <c r="C76" s="209">
        <f t="shared" si="39"/>
        <v>38547.922419175906</v>
      </c>
      <c r="D76" s="209">
        <f t="shared" si="39"/>
        <v>37639.490174461331</v>
      </c>
      <c r="E76" s="209">
        <f t="shared" si="39"/>
        <v>36699.97382620124</v>
      </c>
      <c r="F76" s="209">
        <f t="shared" si="39"/>
        <v>35395.209640219029</v>
      </c>
      <c r="G76" s="209">
        <f t="shared" si="39"/>
        <v>34047.732631167702</v>
      </c>
      <c r="H76" s="209">
        <f t="shared" si="39"/>
        <v>32665.459501278579</v>
      </c>
      <c r="I76" s="209">
        <f t="shared" si="39"/>
        <v>31318.557040821357</v>
      </c>
      <c r="J76" s="209">
        <f t="shared" si="39"/>
        <v>29732.071714075293</v>
      </c>
      <c r="K76" s="209">
        <f t="shared" si="39"/>
        <v>28144.928111578378</v>
      </c>
      <c r="L76" s="209">
        <f t="shared" si="39"/>
        <v>26448.353935507188</v>
      </c>
      <c r="M76" s="209">
        <f t="shared" si="39"/>
        <v>24680.737464246413</v>
      </c>
      <c r="N76" s="209">
        <f t="shared" si="39"/>
        <v>22637.003703992337</v>
      </c>
      <c r="O76" s="209">
        <f t="shared" si="39"/>
        <v>20504.6016669087</v>
      </c>
      <c r="P76" s="209">
        <f t="shared" si="39"/>
        <v>18190.57338895771</v>
      </c>
      <c r="Q76" s="209">
        <f t="shared" si="39"/>
        <v>15716.794800781941</v>
      </c>
      <c r="R76" s="209">
        <f t="shared" si="39"/>
        <v>12912.607109221639</v>
      </c>
      <c r="S76" s="209">
        <f t="shared" si="39"/>
        <v>9892.1955964583249</v>
      </c>
      <c r="T76" s="209">
        <f t="shared" si="39"/>
        <v>6577.12237371226</v>
      </c>
      <c r="U76" s="209">
        <f t="shared" si="39"/>
        <v>2940.4552810885771</v>
      </c>
      <c r="V76" s="207"/>
      <c r="W76" s="207"/>
      <c r="X76" s="207"/>
    </row>
    <row r="77" spans="1:24" ht="12.75" customHeight="1" x14ac:dyDescent="0.25">
      <c r="A77" s="207" t="s">
        <v>129</v>
      </c>
      <c r="B77" s="207">
        <f t="shared" ref="B77:U77" si="40">SUM(B75:B76)</f>
        <v>46276.478397185492</v>
      </c>
      <c r="C77" s="207">
        <f t="shared" si="40"/>
        <v>46528.020219175909</v>
      </c>
      <c r="D77" s="207">
        <f t="shared" si="40"/>
        <v>46746.460574461329</v>
      </c>
      <c r="E77" s="207">
        <f t="shared" si="40"/>
        <v>47232.783026201243</v>
      </c>
      <c r="F77" s="207">
        <f t="shared" si="40"/>
        <v>47583.831640219025</v>
      </c>
      <c r="G77" s="207">
        <f t="shared" si="40"/>
        <v>46512.323431167701</v>
      </c>
      <c r="H77" s="207">
        <f t="shared" si="40"/>
        <v>45567.000901278581</v>
      </c>
      <c r="I77" s="207">
        <f t="shared" si="40"/>
        <v>44772.03604082136</v>
      </c>
      <c r="J77" s="207">
        <f t="shared" si="40"/>
        <v>43944.464914075295</v>
      </c>
      <c r="K77" s="207">
        <f t="shared" si="40"/>
        <v>43254.219911578373</v>
      </c>
      <c r="L77" s="207">
        <f t="shared" si="40"/>
        <v>42552.942935507192</v>
      </c>
      <c r="M77" s="207">
        <f t="shared" si="40"/>
        <v>41987.161464246412</v>
      </c>
      <c r="N77" s="207">
        <f t="shared" si="40"/>
        <v>41289.482903992335</v>
      </c>
      <c r="O77" s="207">
        <f t="shared" si="40"/>
        <v>40743.503066908699</v>
      </c>
      <c r="P77" s="207">
        <f t="shared" si="40"/>
        <v>40160.117188957709</v>
      </c>
      <c r="Q77" s="207">
        <f t="shared" si="40"/>
        <v>39801.568200781941</v>
      </c>
      <c r="R77" s="207">
        <f t="shared" si="40"/>
        <v>39256.830309221637</v>
      </c>
      <c r="S77" s="207">
        <f t="shared" si="40"/>
        <v>38784.308996458327</v>
      </c>
      <c r="T77" s="207">
        <f t="shared" si="40"/>
        <v>38353.639773712261</v>
      </c>
      <c r="U77" s="207">
        <f t="shared" si="40"/>
        <v>37937.89048108858</v>
      </c>
      <c r="V77" s="207"/>
      <c r="W77" s="207"/>
      <c r="X77" s="207"/>
    </row>
    <row r="78" spans="1:24" ht="13.5" customHeight="1" thickBot="1" x14ac:dyDescent="0.3">
      <c r="A78" s="207"/>
      <c r="B78" s="207"/>
      <c r="C78" s="207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</row>
    <row r="79" spans="1:24" ht="13.5" customHeight="1" thickBot="1" x14ac:dyDescent="0.3">
      <c r="A79" s="210" t="s">
        <v>130</v>
      </c>
      <c r="B79" s="211">
        <f t="shared" ref="B79:U79" si="41">IF(B77&gt;0.1,B8/B77," ")</f>
        <v>2.2559363862686728</v>
      </c>
      <c r="C79" s="211">
        <f t="shared" si="41"/>
        <v>2.355547162690752</v>
      </c>
      <c r="D79" s="211">
        <f t="shared" si="41"/>
        <v>2.4617246353569451</v>
      </c>
      <c r="E79" s="211">
        <f t="shared" si="41"/>
        <v>2.5606884221403581</v>
      </c>
      <c r="F79" s="211">
        <f t="shared" si="41"/>
        <v>2.6721016806074438</v>
      </c>
      <c r="G79" s="211">
        <f t="shared" si="41"/>
        <v>2.7769491012987539</v>
      </c>
      <c r="H79" s="211">
        <f t="shared" si="41"/>
        <v>2.8806969277651726</v>
      </c>
      <c r="I79" s="211">
        <f t="shared" si="41"/>
        <v>2.9810420036572025</v>
      </c>
      <c r="J79" s="211">
        <f t="shared" si="41"/>
        <v>3.0905189903944681</v>
      </c>
      <c r="K79" s="211">
        <f t="shared" si="41"/>
        <v>3.1967928964294869</v>
      </c>
      <c r="L79" s="211">
        <f t="shared" si="41"/>
        <v>3.3009526214129696</v>
      </c>
      <c r="M79" s="211">
        <f t="shared" si="41"/>
        <v>3.4022588127023758</v>
      </c>
      <c r="N79" s="211">
        <f t="shared" si="41"/>
        <v>3.5099218145502848</v>
      </c>
      <c r="O79" s="211">
        <f t="shared" si="41"/>
        <v>3.6174470356400579</v>
      </c>
      <c r="P79" s="211">
        <f t="shared" si="41"/>
        <v>3.7213725554646757</v>
      </c>
      <c r="Q79" s="211">
        <f t="shared" si="41"/>
        <v>3.8233239482012316</v>
      </c>
      <c r="R79" s="211">
        <f t="shared" si="41"/>
        <v>3.9315091269907416</v>
      </c>
      <c r="S79" s="211">
        <f t="shared" si="41"/>
        <v>4.0359173256336955</v>
      </c>
      <c r="T79" s="211">
        <f t="shared" si="41"/>
        <v>4.1391010709721145</v>
      </c>
      <c r="U79" s="212">
        <f t="shared" si="41"/>
        <v>4.2436949843797755</v>
      </c>
      <c r="V79" s="187"/>
      <c r="W79" s="187"/>
      <c r="X79" s="187"/>
    </row>
    <row r="80" spans="1:24" ht="12.75" customHeight="1" x14ac:dyDescent="0.25">
      <c r="A80" s="213" t="s">
        <v>131</v>
      </c>
      <c r="B80" s="214">
        <f>MIN(B79:U79)</f>
        <v>2.2559363862686728</v>
      </c>
      <c r="C80" s="215"/>
      <c r="D80" s="215"/>
      <c r="E80" s="215"/>
      <c r="F80" s="215"/>
      <c r="G80" s="215"/>
      <c r="H80" s="215"/>
      <c r="I80" s="215"/>
      <c r="J80" s="215"/>
      <c r="K80" s="215"/>
      <c r="L80" s="215"/>
      <c r="M80" s="215"/>
      <c r="N80" s="215"/>
      <c r="O80" s="215"/>
      <c r="P80" s="215"/>
      <c r="Q80" s="215"/>
      <c r="R80" s="215"/>
      <c r="S80" s="215"/>
      <c r="T80" s="215"/>
      <c r="U80" s="215"/>
      <c r="V80" s="187"/>
      <c r="W80" s="187"/>
      <c r="X80" s="187"/>
    </row>
    <row r="81" spans="1:24" ht="12.75" customHeight="1" x14ac:dyDescent="0.25">
      <c r="A81" s="216" t="s">
        <v>132</v>
      </c>
      <c r="B81" s="217">
        <f>AVERAGE(B79:U79)</f>
        <v>3.2478748751278586</v>
      </c>
      <c r="C81" s="218"/>
      <c r="D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187"/>
      <c r="W81" s="187"/>
      <c r="X81" s="187"/>
    </row>
    <row r="82" spans="1:24" ht="12.75" customHeight="1" x14ac:dyDescent="0.25">
      <c r="A82" s="219"/>
      <c r="B82" s="178"/>
      <c r="C82" s="12"/>
      <c r="D82" s="12"/>
      <c r="E82" s="59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187"/>
      <c r="W82" s="187"/>
      <c r="X82" s="187"/>
    </row>
    <row r="83" spans="1:24" ht="12.75" customHeight="1" x14ac:dyDescent="0.25">
      <c r="A83" s="219" t="s">
        <v>133</v>
      </c>
      <c r="B83" s="220">
        <f t="shared" ref="B83:U83" si="42">SUM(B13,B20,B27,B33,B40,B47,B53,B60,B67)</f>
        <v>39239.27399718549</v>
      </c>
      <c r="C83" s="220">
        <f t="shared" si="42"/>
        <v>38547.922419175913</v>
      </c>
      <c r="D83" s="220">
        <f t="shared" si="42"/>
        <v>37639.490174461331</v>
      </c>
      <c r="E83" s="220">
        <f t="shared" si="42"/>
        <v>36699.97382620124</v>
      </c>
      <c r="F83" s="220">
        <f t="shared" si="42"/>
        <v>35395.209640219036</v>
      </c>
      <c r="G83" s="220">
        <f t="shared" si="42"/>
        <v>34047.732631167695</v>
      </c>
      <c r="H83" s="220">
        <f t="shared" si="42"/>
        <v>32665.459501278579</v>
      </c>
      <c r="I83" s="220">
        <f t="shared" si="42"/>
        <v>31318.557040821361</v>
      </c>
      <c r="J83" s="220">
        <f t="shared" si="42"/>
        <v>29732.071714075293</v>
      </c>
      <c r="K83" s="220">
        <f t="shared" si="42"/>
        <v>28144.928111578374</v>
      </c>
      <c r="L83" s="220">
        <f t="shared" si="42"/>
        <v>26448.353935507192</v>
      </c>
      <c r="M83" s="220">
        <f t="shared" si="42"/>
        <v>24680.737464246413</v>
      </c>
      <c r="N83" s="220">
        <f t="shared" si="42"/>
        <v>22637.003703992341</v>
      </c>
      <c r="O83" s="220">
        <f t="shared" si="42"/>
        <v>20504.601666908704</v>
      </c>
      <c r="P83" s="220">
        <f t="shared" si="42"/>
        <v>18190.57338895771</v>
      </c>
      <c r="Q83" s="220">
        <f t="shared" si="42"/>
        <v>15716.794800781941</v>
      </c>
      <c r="R83" s="220">
        <f t="shared" si="42"/>
        <v>12912.607109221637</v>
      </c>
      <c r="S83" s="220">
        <f t="shared" si="42"/>
        <v>9892.1955964583249</v>
      </c>
      <c r="T83" s="220">
        <f t="shared" si="42"/>
        <v>6577.12237371226</v>
      </c>
      <c r="U83" s="220">
        <f t="shared" si="42"/>
        <v>2940.4552810885771</v>
      </c>
      <c r="V83" s="187"/>
      <c r="W83" s="187"/>
      <c r="X83" s="187"/>
    </row>
    <row r="84" spans="1:24" ht="12.75" customHeight="1" x14ac:dyDescent="0.25">
      <c r="A84" s="219"/>
      <c r="B84" s="178"/>
      <c r="C84" s="12"/>
      <c r="D84" s="12"/>
      <c r="E84" s="59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187"/>
      <c r="W84" s="187"/>
      <c r="X84" s="187"/>
    </row>
    <row r="85" spans="1:24" ht="12.75" customHeight="1" x14ac:dyDescent="0.25">
      <c r="A85" s="219"/>
      <c r="B85" s="178"/>
      <c r="C85" s="12"/>
      <c r="D85" s="12"/>
      <c r="E85" s="59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187"/>
      <c r="W85" s="187"/>
      <c r="X85" s="187"/>
    </row>
    <row r="86" spans="1:24" ht="12.75" customHeight="1" x14ac:dyDescent="0.25">
      <c r="A86" s="2"/>
      <c r="B86" s="394" t="s">
        <v>12</v>
      </c>
      <c r="C86" s="395"/>
      <c r="D86" s="395"/>
      <c r="E86" s="396"/>
      <c r="F86" s="187"/>
      <c r="G86" s="394" t="s">
        <v>13</v>
      </c>
      <c r="H86" s="395"/>
      <c r="I86" s="395"/>
      <c r="J86" s="396"/>
      <c r="K86" s="187"/>
      <c r="L86" s="394" t="s">
        <v>14</v>
      </c>
      <c r="M86" s="395"/>
      <c r="N86" s="395"/>
      <c r="O86" s="396"/>
      <c r="P86" s="165"/>
      <c r="Q86" s="165"/>
      <c r="R86" s="165"/>
      <c r="S86" s="187"/>
      <c r="T86" s="187"/>
      <c r="U86" s="187"/>
      <c r="V86" s="187"/>
      <c r="W86" s="187"/>
      <c r="X86" s="187"/>
    </row>
    <row r="87" spans="1:24" ht="12.75" customHeight="1" x14ac:dyDescent="0.25">
      <c r="A87" s="2"/>
      <c r="B87" s="221" t="s">
        <v>134</v>
      </c>
      <c r="C87" s="222"/>
      <c r="D87" s="222"/>
      <c r="E87" s="223">
        <f>'Summary Output'!B20</f>
        <v>6.8000000000000005E-2</v>
      </c>
      <c r="F87" s="219"/>
      <c r="G87" s="221" t="s">
        <v>134</v>
      </c>
      <c r="H87" s="222"/>
      <c r="I87" s="222"/>
      <c r="J87" s="223">
        <f>'Summary Output'!C20</f>
        <v>6.5000000000000002E-2</v>
      </c>
      <c r="K87" s="219"/>
      <c r="L87" s="221" t="s">
        <v>134</v>
      </c>
      <c r="M87" s="222"/>
      <c r="N87" s="222"/>
      <c r="O87" s="223">
        <f>'Summary Output'!D20</f>
        <v>6.2E-2</v>
      </c>
      <c r="P87" s="165"/>
      <c r="Q87" s="165"/>
      <c r="R87" s="165"/>
      <c r="S87" s="187"/>
      <c r="T87" s="187"/>
      <c r="U87" s="187"/>
      <c r="V87" s="187"/>
      <c r="W87" s="187"/>
      <c r="X87" s="187"/>
    </row>
    <row r="88" spans="1:24" ht="12.75" customHeight="1" x14ac:dyDescent="0.25">
      <c r="A88" s="2"/>
      <c r="B88" s="224" t="s">
        <v>23</v>
      </c>
      <c r="C88" s="12"/>
      <c r="D88" s="12"/>
      <c r="E88" s="225">
        <f>'Summary Output'!B21</f>
        <v>2.2499999999999999E-2</v>
      </c>
      <c r="F88" s="2"/>
      <c r="G88" s="224" t="s">
        <v>23</v>
      </c>
      <c r="H88" s="12"/>
      <c r="I88" s="12"/>
      <c r="J88" s="225">
        <f>'Summary Output'!C21</f>
        <v>4.4999999999999998E-2</v>
      </c>
      <c r="K88" s="2"/>
      <c r="L88" s="224" t="s">
        <v>23</v>
      </c>
      <c r="M88" s="12"/>
      <c r="N88" s="12"/>
      <c r="O88" s="225">
        <f>'Summary Output'!D21</f>
        <v>0.05</v>
      </c>
      <c r="P88" s="2"/>
      <c r="Q88" s="2"/>
      <c r="R88" s="2"/>
      <c r="S88" s="2"/>
      <c r="T88" s="2"/>
      <c r="U88" s="2"/>
      <c r="V88" s="2"/>
      <c r="W88" s="2"/>
      <c r="X88" s="2"/>
    </row>
    <row r="89" spans="1:24" ht="12.75" customHeight="1" x14ac:dyDescent="0.25">
      <c r="A89" s="192"/>
      <c r="B89" s="226" t="s">
        <v>135</v>
      </c>
      <c r="C89" s="227"/>
      <c r="D89" s="227"/>
      <c r="E89" s="228">
        <f>E88+E87</f>
        <v>9.0499999999999997E-2</v>
      </c>
      <c r="F89" s="2"/>
      <c r="G89" s="226" t="s">
        <v>135</v>
      </c>
      <c r="H89" s="227"/>
      <c r="I89" s="227"/>
      <c r="J89" s="228">
        <f>J88+J87</f>
        <v>0.11</v>
      </c>
      <c r="K89" s="2"/>
      <c r="L89" s="226" t="s">
        <v>135</v>
      </c>
      <c r="M89" s="227"/>
      <c r="N89" s="227"/>
      <c r="O89" s="228">
        <f>O88+O87</f>
        <v>0.112</v>
      </c>
      <c r="P89" s="2"/>
      <c r="Q89" s="2"/>
      <c r="R89" s="2"/>
      <c r="S89" s="2"/>
      <c r="T89" s="2"/>
      <c r="U89" s="2"/>
      <c r="V89" s="2"/>
      <c r="W89" s="2"/>
      <c r="X89" s="2"/>
    </row>
    <row r="90" spans="1:24" ht="12.75" customHeight="1" x14ac:dyDescent="0.25">
      <c r="A90" s="2"/>
      <c r="B90" s="229" t="s">
        <v>136</v>
      </c>
      <c r="C90" s="222"/>
      <c r="D90" s="222"/>
      <c r="E90" s="230" t="e">
        <f>('Summary Output'!B17-'Summary Output'!$C$14)/365.25</f>
        <v>#N/A</v>
      </c>
      <c r="F90" s="2"/>
      <c r="G90" s="229" t="s">
        <v>136</v>
      </c>
      <c r="H90" s="222"/>
      <c r="I90" s="222"/>
      <c r="J90" s="230">
        <f>('Summary Output'!C17-'Summary Output'!$C$14)/365.25</f>
        <v>9.9958932238193015</v>
      </c>
      <c r="K90" s="2"/>
      <c r="L90" s="229" t="s">
        <v>136</v>
      </c>
      <c r="M90" s="222"/>
      <c r="N90" s="222"/>
      <c r="O90" s="230">
        <f>('Summary Output'!D17-'Summary Output'!$C$14)/365.25</f>
        <v>19.997262149212869</v>
      </c>
      <c r="P90" s="2"/>
      <c r="Q90" s="2"/>
      <c r="R90" s="2"/>
      <c r="S90" s="2"/>
      <c r="T90" s="2"/>
      <c r="U90" s="2"/>
      <c r="V90" s="2"/>
      <c r="W90" s="2"/>
      <c r="X90" s="2"/>
    </row>
    <row r="91" spans="1:24" ht="12.75" customHeight="1" x14ac:dyDescent="0.25">
      <c r="A91" s="2"/>
      <c r="B91" s="231" t="s">
        <v>137</v>
      </c>
      <c r="C91" s="12"/>
      <c r="D91" s="12"/>
      <c r="E91" s="232" t="str">
        <f>B101</f>
        <v/>
      </c>
      <c r="F91" s="2"/>
      <c r="G91" s="231" t="s">
        <v>137</v>
      </c>
      <c r="H91" s="12"/>
      <c r="I91" s="12"/>
      <c r="J91" s="232">
        <f>B102</f>
        <v>5.8765645448323065</v>
      </c>
      <c r="K91" s="2"/>
      <c r="L91" s="231" t="s">
        <v>137</v>
      </c>
      <c r="M91" s="12"/>
      <c r="N91" s="12"/>
      <c r="O91" s="232">
        <f>B103</f>
        <v>15.957775222450378</v>
      </c>
      <c r="P91" s="2"/>
      <c r="Q91" s="2"/>
      <c r="R91" s="2"/>
      <c r="S91" s="2"/>
      <c r="T91" s="2"/>
      <c r="U91" s="2"/>
      <c r="V91" s="2"/>
      <c r="W91" s="2"/>
      <c r="X91" s="2"/>
    </row>
    <row r="92" spans="1:24" ht="12.75" customHeight="1" x14ac:dyDescent="0.25">
      <c r="A92" s="2"/>
      <c r="B92" s="226" t="s">
        <v>138</v>
      </c>
      <c r="C92" s="227"/>
      <c r="D92" s="227"/>
      <c r="E92" s="233">
        <f>B14</f>
        <v>0</v>
      </c>
      <c r="F92" s="2"/>
      <c r="G92" s="226" t="s">
        <v>138</v>
      </c>
      <c r="H92" s="227"/>
      <c r="I92" s="227"/>
      <c r="J92" s="233">
        <f>B34</f>
        <v>114987</v>
      </c>
      <c r="K92" s="2"/>
      <c r="L92" s="226" t="s">
        <v>138</v>
      </c>
      <c r="M92" s="227"/>
      <c r="N92" s="227"/>
      <c r="O92" s="233">
        <f>B54</f>
        <v>240367</v>
      </c>
      <c r="P92" s="2"/>
      <c r="Q92" s="2"/>
      <c r="R92" s="2"/>
      <c r="S92" s="2"/>
      <c r="T92" s="2"/>
      <c r="U92" s="2"/>
      <c r="V92" s="2"/>
      <c r="W92" s="2"/>
      <c r="X92" s="2"/>
    </row>
    <row r="93" spans="1:24" ht="12.75" customHeight="1" x14ac:dyDescent="0.25">
      <c r="A93" s="2"/>
      <c r="B93" s="19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2.75" customHeight="1" x14ac:dyDescent="0.25">
      <c r="A94" s="2"/>
      <c r="B94" s="19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3.5" customHeight="1" thickBot="1" x14ac:dyDescent="0.3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"/>
      <c r="W95" s="2"/>
      <c r="X95" s="2"/>
    </row>
    <row r="96" spans="1:24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2.75" customHeight="1" x14ac:dyDescent="0.25">
      <c r="A97" s="1" t="s">
        <v>139</v>
      </c>
      <c r="B97" s="234">
        <f t="shared" ref="B97:U97" si="43">(B16-$B$11)/365.25</f>
        <v>0.49281314168377821</v>
      </c>
      <c r="C97" s="234">
        <f t="shared" si="43"/>
        <v>1.4921286789869952</v>
      </c>
      <c r="D97" s="234">
        <f t="shared" si="43"/>
        <v>2.4914442162902124</v>
      </c>
      <c r="E97" s="234">
        <f t="shared" si="43"/>
        <v>3.4934976043805612</v>
      </c>
      <c r="F97" s="234">
        <f t="shared" si="43"/>
        <v>4.4928131416837784</v>
      </c>
      <c r="G97" s="234">
        <f t="shared" si="43"/>
        <v>5.4921286789869956</v>
      </c>
      <c r="H97" s="234">
        <f t="shared" si="43"/>
        <v>6.491444216290212</v>
      </c>
      <c r="I97" s="234">
        <f t="shared" si="43"/>
        <v>7.4934976043805612</v>
      </c>
      <c r="J97" s="234">
        <f t="shared" si="43"/>
        <v>8.4928131416837775</v>
      </c>
      <c r="K97" s="234">
        <f t="shared" si="43"/>
        <v>9.4921286789869956</v>
      </c>
      <c r="L97" s="234">
        <f t="shared" si="43"/>
        <v>10.491444216290212</v>
      </c>
      <c r="M97" s="234">
        <f t="shared" si="43"/>
        <v>11.493497604380561</v>
      </c>
      <c r="N97" s="234">
        <f t="shared" si="43"/>
        <v>12.492813141683778</v>
      </c>
      <c r="O97" s="234">
        <f t="shared" si="43"/>
        <v>13.492128678986996</v>
      </c>
      <c r="P97" s="234">
        <f t="shared" si="43"/>
        <v>14.491444216290212</v>
      </c>
      <c r="Q97" s="234">
        <f t="shared" si="43"/>
        <v>15.493497604380561</v>
      </c>
      <c r="R97" s="234">
        <f t="shared" si="43"/>
        <v>16.492813141683779</v>
      </c>
      <c r="S97" s="234">
        <f t="shared" si="43"/>
        <v>17.492128678986994</v>
      </c>
      <c r="T97" s="234">
        <f t="shared" si="43"/>
        <v>18.491444216290212</v>
      </c>
      <c r="U97" s="234">
        <f t="shared" si="43"/>
        <v>19.493497604380561</v>
      </c>
      <c r="V97" s="235"/>
      <c r="W97" s="235"/>
      <c r="X97" s="235"/>
    </row>
    <row r="98" spans="1:24" ht="12.75" customHeight="1" x14ac:dyDescent="0.25">
      <c r="A98" s="2"/>
      <c r="B98" s="234">
        <f t="shared" ref="B98:U98" si="44">(B23-$B$11)/365.25</f>
        <v>0.99657768651608492</v>
      </c>
      <c r="C98" s="234">
        <f t="shared" si="44"/>
        <v>1.9958932238193019</v>
      </c>
      <c r="D98" s="234">
        <f t="shared" si="44"/>
        <v>2.9952087611225187</v>
      </c>
      <c r="E98" s="234">
        <f t="shared" si="44"/>
        <v>3.9972621492128679</v>
      </c>
      <c r="F98" s="234">
        <f t="shared" si="44"/>
        <v>4.9965776865160851</v>
      </c>
      <c r="G98" s="234">
        <f t="shared" si="44"/>
        <v>5.9958932238193015</v>
      </c>
      <c r="H98" s="234">
        <f t="shared" si="44"/>
        <v>6.9952087611225187</v>
      </c>
      <c r="I98" s="234">
        <f t="shared" si="44"/>
        <v>7.9972621492128679</v>
      </c>
      <c r="J98" s="234">
        <f t="shared" si="44"/>
        <v>8.9965776865160851</v>
      </c>
      <c r="K98" s="234">
        <f t="shared" si="44"/>
        <v>9.9958932238193015</v>
      </c>
      <c r="L98" s="234">
        <f t="shared" si="44"/>
        <v>10.99520876112252</v>
      </c>
      <c r="M98" s="234">
        <f t="shared" si="44"/>
        <v>11.997262149212867</v>
      </c>
      <c r="N98" s="234">
        <f t="shared" si="44"/>
        <v>12.996577686516085</v>
      </c>
      <c r="O98" s="234">
        <f t="shared" si="44"/>
        <v>13.995893223819301</v>
      </c>
      <c r="P98" s="234">
        <f t="shared" si="44"/>
        <v>14.99520876112252</v>
      </c>
      <c r="Q98" s="234">
        <f t="shared" si="44"/>
        <v>15.997262149212867</v>
      </c>
      <c r="R98" s="234">
        <f t="shared" si="44"/>
        <v>16.996577686516083</v>
      </c>
      <c r="S98" s="234">
        <f t="shared" si="44"/>
        <v>17.995893223819301</v>
      </c>
      <c r="T98" s="234">
        <f t="shared" si="44"/>
        <v>18.99520876112252</v>
      </c>
      <c r="U98" s="234">
        <f t="shared" si="44"/>
        <v>19.997262149212869</v>
      </c>
      <c r="V98" s="234"/>
      <c r="W98" s="234"/>
      <c r="X98" s="234"/>
    </row>
    <row r="99" spans="1:24" ht="12.75" customHeight="1" x14ac:dyDescent="0.25">
      <c r="A99" s="2"/>
      <c r="B99" s="234"/>
      <c r="C99" s="234"/>
      <c r="D99" s="234"/>
      <c r="E99" s="234"/>
      <c r="F99" s="234"/>
      <c r="G99" s="234"/>
      <c r="H99" s="234"/>
      <c r="I99" s="234"/>
      <c r="J99" s="234"/>
      <c r="K99" s="234"/>
      <c r="L99" s="234"/>
      <c r="M99" s="234"/>
      <c r="N99" s="234"/>
      <c r="O99" s="234"/>
      <c r="P99" s="234"/>
      <c r="Q99" s="234"/>
      <c r="R99" s="234"/>
      <c r="S99" s="234"/>
      <c r="T99" s="234"/>
      <c r="U99" s="234"/>
      <c r="V99" s="234"/>
      <c r="W99" s="234"/>
      <c r="X99" s="234"/>
    </row>
    <row r="100" spans="1:24" ht="12.75" customHeight="1" x14ac:dyDescent="0.25">
      <c r="A100" s="1" t="s">
        <v>140</v>
      </c>
      <c r="B100" s="2"/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2"/>
      <c r="X100" s="2"/>
    </row>
    <row r="101" spans="1:24" ht="12.75" customHeight="1" x14ac:dyDescent="0.25">
      <c r="A101" s="2" t="s">
        <v>12</v>
      </c>
      <c r="B101" s="236" t="str">
        <f>IF(E92=0,"",(SUMPRODUCT($B$97:$U$97,B19:U19)+SUMPRODUCT($B$98:$U$98,B26:U26))/E92)</f>
        <v/>
      </c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2"/>
      <c r="X101" s="2"/>
    </row>
    <row r="102" spans="1:24" ht="12.75" customHeight="1" x14ac:dyDescent="0.25">
      <c r="A102" s="2" t="s">
        <v>13</v>
      </c>
      <c r="B102" s="236">
        <f>(SUMPRODUCT($B$97:$U$97,B39:U39)+SUMPRODUCT($B$98:$U$98,B46:U46))/J92</f>
        <v>5.8765645448323065</v>
      </c>
      <c r="C102" s="192"/>
      <c r="D102" s="192"/>
      <c r="E102" s="192"/>
      <c r="F102" s="192"/>
      <c r="G102" s="192"/>
      <c r="H102" s="192"/>
      <c r="I102" s="192"/>
      <c r="J102" s="192"/>
      <c r="K102" s="192"/>
      <c r="L102" s="192"/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2"/>
      <c r="X102" s="2"/>
    </row>
    <row r="103" spans="1:24" ht="12.75" customHeight="1" x14ac:dyDescent="0.25">
      <c r="A103" s="2" t="s">
        <v>14</v>
      </c>
      <c r="B103" s="236">
        <f>(SUMPRODUCT($B$97:$U$97,B59:U59)+SUMPRODUCT($B$98:$U$98,B66:U66))/O92</f>
        <v>15.957775222450378</v>
      </c>
      <c r="C103" s="2"/>
      <c r="D103" s="2"/>
      <c r="E103" s="2"/>
      <c r="F103" s="192"/>
      <c r="G103" s="192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</row>
    <row r="104" spans="1:24" ht="13.5" customHeight="1" thickBot="1" x14ac:dyDescent="0.3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"/>
      <c r="W104" s="2"/>
      <c r="X104" s="2"/>
    </row>
  </sheetData>
  <mergeCells count="3">
    <mergeCell ref="B86:E86"/>
    <mergeCell ref="G86:J86"/>
    <mergeCell ref="L86:O86"/>
  </mergeCells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32"/>
  <sheetViews>
    <sheetView workbookViewId="0"/>
  </sheetViews>
  <sheetFormatPr defaultRowHeight="13.2" x14ac:dyDescent="0.25"/>
  <cols>
    <col min="1" max="1" width="31" customWidth="1"/>
    <col min="2" max="2" width="9.33203125" customWidth="1"/>
    <col min="3" max="22" width="8.6640625" customWidth="1"/>
    <col min="23" max="24" width="10.33203125" customWidth="1"/>
    <col min="25" max="25" width="4.6640625" customWidth="1"/>
  </cols>
  <sheetData>
    <row r="1" spans="1:25" ht="12.75" customHeight="1" x14ac:dyDescent="0.25"/>
    <row r="2" spans="1:25" ht="18" customHeight="1" x14ac:dyDescent="0.3">
      <c r="A2" s="146" t="s">
        <v>141</v>
      </c>
      <c r="B2" s="14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91"/>
      <c r="X2" s="91"/>
      <c r="Y2" s="91"/>
    </row>
    <row r="3" spans="1:25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1"/>
      <c r="X3" s="91"/>
      <c r="Y3" s="91"/>
    </row>
    <row r="4" spans="1:25" ht="12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1"/>
      <c r="X4" s="91"/>
      <c r="Y4" s="91"/>
    </row>
    <row r="5" spans="1:25" ht="18" customHeight="1" x14ac:dyDescent="0.3">
      <c r="A5" s="237" t="s">
        <v>142</v>
      </c>
      <c r="B5" s="23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91"/>
      <c r="X5" s="91"/>
      <c r="Y5" s="91"/>
    </row>
    <row r="6" spans="1:25" ht="12.7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38"/>
      <c r="X6" s="238"/>
      <c r="Y6" s="91"/>
    </row>
    <row r="7" spans="1:25" ht="13.5" customHeight="1" thickBot="1" x14ac:dyDescent="0.3">
      <c r="A7" s="151" t="s">
        <v>99</v>
      </c>
      <c r="B7" s="184" t="s">
        <v>143</v>
      </c>
      <c r="C7" s="152">
        <v>2001</v>
      </c>
      <c r="D7" s="152">
        <f t="shared" ref="D7:V7" si="0">C7+1</f>
        <v>2002</v>
      </c>
      <c r="E7" s="152">
        <f t="shared" si="0"/>
        <v>2003</v>
      </c>
      <c r="F7" s="152">
        <f t="shared" si="0"/>
        <v>2004</v>
      </c>
      <c r="G7" s="152">
        <f t="shared" si="0"/>
        <v>2005</v>
      </c>
      <c r="H7" s="152">
        <f t="shared" si="0"/>
        <v>2006</v>
      </c>
      <c r="I7" s="152">
        <f t="shared" si="0"/>
        <v>2007</v>
      </c>
      <c r="J7" s="152">
        <f t="shared" si="0"/>
        <v>2008</v>
      </c>
      <c r="K7" s="152">
        <f t="shared" si="0"/>
        <v>2009</v>
      </c>
      <c r="L7" s="152">
        <f t="shared" si="0"/>
        <v>2010</v>
      </c>
      <c r="M7" s="152">
        <f t="shared" si="0"/>
        <v>2011</v>
      </c>
      <c r="N7" s="152">
        <f t="shared" si="0"/>
        <v>2012</v>
      </c>
      <c r="O7" s="152">
        <f t="shared" si="0"/>
        <v>2013</v>
      </c>
      <c r="P7" s="152">
        <f t="shared" si="0"/>
        <v>2014</v>
      </c>
      <c r="Q7" s="152">
        <f t="shared" si="0"/>
        <v>2015</v>
      </c>
      <c r="R7" s="152">
        <f t="shared" si="0"/>
        <v>2016</v>
      </c>
      <c r="S7" s="152">
        <f t="shared" si="0"/>
        <v>2017</v>
      </c>
      <c r="T7" s="152">
        <f t="shared" si="0"/>
        <v>2018</v>
      </c>
      <c r="U7" s="152">
        <f t="shared" si="0"/>
        <v>2019</v>
      </c>
      <c r="V7" s="152">
        <f t="shared" si="0"/>
        <v>2020</v>
      </c>
      <c r="W7" s="239" t="s">
        <v>15</v>
      </c>
      <c r="X7" s="397" t="s">
        <v>121</v>
      </c>
      <c r="Y7" s="397"/>
    </row>
    <row r="8" spans="1:25" ht="12.75" customHeight="1" x14ac:dyDescent="0.25">
      <c r="A8" s="241"/>
      <c r="B8" s="242">
        <f>'Summary Output'!B27</f>
        <v>36892</v>
      </c>
      <c r="C8" s="242">
        <v>37256</v>
      </c>
      <c r="D8" s="242">
        <v>37621</v>
      </c>
      <c r="E8" s="242">
        <v>37986</v>
      </c>
      <c r="F8" s="242">
        <v>38352</v>
      </c>
      <c r="G8" s="242">
        <v>38717</v>
      </c>
      <c r="H8" s="242">
        <v>39082</v>
      </c>
      <c r="I8" s="242">
        <v>39447</v>
      </c>
      <c r="J8" s="242">
        <v>39813</v>
      </c>
      <c r="K8" s="242">
        <v>40178</v>
      </c>
      <c r="L8" s="242">
        <v>40543</v>
      </c>
      <c r="M8" s="242">
        <v>40908</v>
      </c>
      <c r="N8" s="242">
        <v>41274</v>
      </c>
      <c r="O8" s="242">
        <v>41639</v>
      </c>
      <c r="P8" s="242">
        <v>42004</v>
      </c>
      <c r="Q8" s="242">
        <v>42369</v>
      </c>
      <c r="R8" s="242">
        <v>42735</v>
      </c>
      <c r="S8" s="242">
        <v>43100</v>
      </c>
      <c r="T8" s="242">
        <v>43465</v>
      </c>
      <c r="U8" s="242">
        <v>43830</v>
      </c>
      <c r="V8" s="242">
        <v>44196</v>
      </c>
      <c r="W8" s="243"/>
      <c r="X8" s="240"/>
      <c r="Y8" s="244"/>
    </row>
    <row r="9" spans="1:25" ht="12.75" customHeight="1" x14ac:dyDescent="0.25">
      <c r="A9" s="156"/>
      <c r="B9" s="156"/>
      <c r="C9" s="153"/>
      <c r="D9" s="153"/>
      <c r="E9" s="153"/>
      <c r="F9" s="153"/>
      <c r="G9" s="245"/>
      <c r="H9" s="245"/>
      <c r="I9" s="246"/>
      <c r="J9" s="246"/>
      <c r="K9" s="245"/>
      <c r="L9" s="245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243"/>
      <c r="X9" s="240"/>
      <c r="Y9" s="244"/>
    </row>
    <row r="10" spans="1:25" ht="12.75" customHeight="1" x14ac:dyDescent="0.25">
      <c r="A10" s="247" t="s">
        <v>111</v>
      </c>
      <c r="B10" s="169">
        <v>0</v>
      </c>
      <c r="C10" s="169">
        <f>IS!B27</f>
        <v>104396.79144458694</v>
      </c>
      <c r="D10" s="169">
        <f>IS!C27</f>
        <v>109598.94601289775</v>
      </c>
      <c r="E10" s="169">
        <f>IS!D27</f>
        <v>115076.91361189363</v>
      </c>
      <c r="F10" s="169">
        <f>IS!E27</f>
        <v>120948.44064066114</v>
      </c>
      <c r="G10" s="169">
        <f>IS!F27</f>
        <v>127148.83649557091</v>
      </c>
      <c r="H10" s="169">
        <f>IS!G27</f>
        <v>129162.35475149812</v>
      </c>
      <c r="I10" s="169">
        <f>IS!H27</f>
        <v>131264.71950378607</v>
      </c>
      <c r="J10" s="169">
        <f>IS!I27</f>
        <v>133467.32002694259</v>
      </c>
      <c r="K10" s="169">
        <f>IS!J27</f>
        <v>135811.20333967311</v>
      </c>
      <c r="L10" s="169">
        <f>IS!K27</f>
        <v>138274.78295393262</v>
      </c>
      <c r="M10" s="169">
        <f>IS!L27</f>
        <v>140465.24853179898</v>
      </c>
      <c r="N10" s="169">
        <f>IS!M27</f>
        <v>142851.19011208994</v>
      </c>
      <c r="O10" s="169">
        <f>IS!N27</f>
        <v>144922.85675622374</v>
      </c>
      <c r="P10" s="169">
        <f>IS!O27</f>
        <v>147387.46439098049</v>
      </c>
      <c r="Q10" s="169">
        <f>IS!P27</f>
        <v>149450.75793123239</v>
      </c>
      <c r="R10" s="169">
        <f>IS!Q27</f>
        <v>152174.28887801419</v>
      </c>
      <c r="S10" s="169">
        <f>IS!R27</f>
        <v>154338.58665743165</v>
      </c>
      <c r="T10" s="169">
        <f>IS!S27</f>
        <v>156530.26464153695</v>
      </c>
      <c r="U10" s="169">
        <f>IS!T27</f>
        <v>158749.5914630511</v>
      </c>
      <c r="V10" s="169">
        <f>IS!U27</f>
        <v>160996.83555254483</v>
      </c>
      <c r="W10" s="248">
        <f>SUM(C10:V10)</f>
        <v>2753017.3936963473</v>
      </c>
      <c r="X10" s="249">
        <f>SUM(Wheatland!W41,Wilton!W41,Gleason!W41)</f>
        <v>2753017.3936963468</v>
      </c>
      <c r="Y10" s="250">
        <f>W10-X10</f>
        <v>0</v>
      </c>
    </row>
    <row r="11" spans="1:25" ht="12.75" customHeight="1" x14ac:dyDescent="0.25">
      <c r="A11" s="2"/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97"/>
      <c r="X11" s="244"/>
      <c r="Y11" s="244"/>
    </row>
    <row r="12" spans="1:25" ht="12" customHeight="1" x14ac:dyDescent="0.25">
      <c r="A12" s="251" t="s">
        <v>144</v>
      </c>
      <c r="B12" s="252">
        <v>0</v>
      </c>
      <c r="C12" s="253">
        <f>IS!B22</f>
        <v>746.46</v>
      </c>
      <c r="D12" s="253">
        <f>IS!C22</f>
        <v>1050.307</v>
      </c>
      <c r="E12" s="253">
        <f>IS!D22</f>
        <v>1248.0929999999998</v>
      </c>
      <c r="F12" s="253">
        <f>IS!E22</f>
        <v>1339.135</v>
      </c>
      <c r="G12" s="253">
        <f>IS!F22</f>
        <v>1401.501</v>
      </c>
      <c r="H12" s="253">
        <f>IS!G22</f>
        <v>1623.5369999999998</v>
      </c>
      <c r="I12" s="253">
        <f>IS!H22</f>
        <v>1795.9389999999999</v>
      </c>
      <c r="J12" s="253">
        <f>IS!I22</f>
        <v>1908.1120000000001</v>
      </c>
      <c r="K12" s="253">
        <f>IS!J22</f>
        <v>1920.1799999999998</v>
      </c>
      <c r="L12" s="253">
        <f>IS!K22</f>
        <v>1854.1379999999999</v>
      </c>
      <c r="M12" s="253">
        <f>IS!L22</f>
        <v>2009.2130000000002</v>
      </c>
      <c r="N12" s="253">
        <f>IS!M22</f>
        <v>2009.1799999999998</v>
      </c>
      <c r="O12" s="253">
        <f>IS!N22</f>
        <v>2358.1</v>
      </c>
      <c r="P12" s="253">
        <f>IS!O22</f>
        <v>2358.1</v>
      </c>
      <c r="Q12" s="253">
        <f>IS!P22</f>
        <v>2794.25</v>
      </c>
      <c r="R12" s="253">
        <f>IS!Q22</f>
        <v>2229.731045</v>
      </c>
      <c r="S12" s="253">
        <f>IS!R22</f>
        <v>2244.6096659</v>
      </c>
      <c r="T12" s="253">
        <f>IS!S22</f>
        <v>2259.785859218</v>
      </c>
      <c r="U12" s="253">
        <f>IS!T22</f>
        <v>2275.2655764023598</v>
      </c>
      <c r="V12" s="253">
        <f>IS!U22</f>
        <v>2291.0548879304069</v>
      </c>
      <c r="W12" s="248">
        <f>SUM(C12:V12)</f>
        <v>37716.69203445076</v>
      </c>
      <c r="X12" s="249">
        <f>SUM(IS!B22:U22)</f>
        <v>37716.69203445076</v>
      </c>
      <c r="Y12" s="250">
        <f>W12-X12</f>
        <v>0</v>
      </c>
    </row>
    <row r="13" spans="1:25" ht="12.75" customHeight="1" x14ac:dyDescent="0.25">
      <c r="A13" s="251" t="s">
        <v>145</v>
      </c>
      <c r="B13" s="252">
        <v>0</v>
      </c>
      <c r="C13" s="253">
        <f>SUM(Gleason!B43,Wheatland!B43,Wilton!B43)</f>
        <v>-629.19810140000004</v>
      </c>
      <c r="D13" s="253">
        <f t="shared" ref="D13:V13" si="1">-C12</f>
        <v>-746.46</v>
      </c>
      <c r="E13" s="253">
        <f t="shared" si="1"/>
        <v>-1050.307</v>
      </c>
      <c r="F13" s="253">
        <f t="shared" si="1"/>
        <v>-1248.0929999999998</v>
      </c>
      <c r="G13" s="253">
        <f t="shared" si="1"/>
        <v>-1339.135</v>
      </c>
      <c r="H13" s="253">
        <f t="shared" si="1"/>
        <v>-1401.501</v>
      </c>
      <c r="I13" s="253">
        <f t="shared" si="1"/>
        <v>-1623.5369999999998</v>
      </c>
      <c r="J13" s="253">
        <f t="shared" si="1"/>
        <v>-1795.9389999999999</v>
      </c>
      <c r="K13" s="253">
        <f t="shared" si="1"/>
        <v>-1908.1120000000001</v>
      </c>
      <c r="L13" s="253">
        <f t="shared" si="1"/>
        <v>-1920.1799999999998</v>
      </c>
      <c r="M13" s="253">
        <f t="shared" si="1"/>
        <v>-1854.1379999999999</v>
      </c>
      <c r="N13" s="253">
        <f t="shared" si="1"/>
        <v>-2009.2130000000002</v>
      </c>
      <c r="O13" s="253">
        <f t="shared" si="1"/>
        <v>-2009.1799999999998</v>
      </c>
      <c r="P13" s="253">
        <f t="shared" si="1"/>
        <v>-2358.1</v>
      </c>
      <c r="Q13" s="253">
        <f t="shared" si="1"/>
        <v>-2358.1</v>
      </c>
      <c r="R13" s="253">
        <f t="shared" si="1"/>
        <v>-2794.25</v>
      </c>
      <c r="S13" s="253">
        <f t="shared" si="1"/>
        <v>-2229.731045</v>
      </c>
      <c r="T13" s="253">
        <f t="shared" si="1"/>
        <v>-2244.6096659</v>
      </c>
      <c r="U13" s="253">
        <f t="shared" si="1"/>
        <v>-2259.785859218</v>
      </c>
      <c r="V13" s="253">
        <f t="shared" si="1"/>
        <v>-2275.2655764023598</v>
      </c>
      <c r="W13" s="248">
        <f>SUM(C13:V13)</f>
        <v>-36054.835247920353</v>
      </c>
      <c r="X13" s="249">
        <f>SUM(Wheatland!W43,Wilton!W43,Gleason!W43)</f>
        <v>-36054.83524792036</v>
      </c>
      <c r="Y13" s="250">
        <f>W13-X13</f>
        <v>0</v>
      </c>
    </row>
    <row r="14" spans="1:25" ht="12.75" customHeight="1" x14ac:dyDescent="0.25">
      <c r="A14" s="251" t="s">
        <v>146</v>
      </c>
      <c r="B14" s="252">
        <v>0</v>
      </c>
      <c r="C14" s="252">
        <f>-Debt!B75</f>
        <v>-7037.2043999999996</v>
      </c>
      <c r="D14" s="252">
        <f>-Debt!C75</f>
        <v>-7980.0978000000005</v>
      </c>
      <c r="E14" s="252">
        <f>-Debt!D75</f>
        <v>-9106.9704000000002</v>
      </c>
      <c r="F14" s="252">
        <f>-Debt!E75</f>
        <v>-10532.8092</v>
      </c>
      <c r="G14" s="252">
        <f>-Debt!F75</f>
        <v>-12188.621999999999</v>
      </c>
      <c r="H14" s="252">
        <f>-Debt!G75</f>
        <v>-12464.5908</v>
      </c>
      <c r="I14" s="252">
        <f>-Debt!H75</f>
        <v>-12901.5414</v>
      </c>
      <c r="J14" s="252">
        <f>-Debt!I75</f>
        <v>-13453.479000000001</v>
      </c>
      <c r="K14" s="252">
        <f>-Debt!J75</f>
        <v>-14212.3932</v>
      </c>
      <c r="L14" s="252">
        <f>-Debt!K75</f>
        <v>-15109.291799999999</v>
      </c>
      <c r="M14" s="252">
        <f>-Debt!L75</f>
        <v>-16104.589000000002</v>
      </c>
      <c r="N14" s="252">
        <f>-Debt!M75</f>
        <v>-17306.423999999999</v>
      </c>
      <c r="O14" s="252">
        <f>-Debt!N75</f>
        <v>-18652.479200000002</v>
      </c>
      <c r="P14" s="252">
        <f>-Debt!O75</f>
        <v>-20238.901399999999</v>
      </c>
      <c r="Q14" s="252">
        <f>-Debt!P75</f>
        <v>-21969.543799999999</v>
      </c>
      <c r="R14" s="252">
        <f>-Debt!Q75</f>
        <v>-24084.773399999998</v>
      </c>
      <c r="S14" s="252">
        <f>-Debt!R75</f>
        <v>-26344.2232</v>
      </c>
      <c r="T14" s="252">
        <f>-Debt!S75</f>
        <v>-28892.113400000002</v>
      </c>
      <c r="U14" s="252">
        <f>-Debt!T75</f>
        <v>-31776.517400000004</v>
      </c>
      <c r="V14" s="252">
        <f>-Debt!U75</f>
        <v>-34997.4352</v>
      </c>
      <c r="W14" s="248">
        <f>SUM(C14:V14)</f>
        <v>-355354.00000000006</v>
      </c>
      <c r="X14" s="249">
        <f>SUM(Debt!B75:U75)</f>
        <v>355354.00000000006</v>
      </c>
      <c r="Y14" s="250">
        <f>W14+X14</f>
        <v>0</v>
      </c>
    </row>
    <row r="15" spans="1:25" ht="12.75" customHeight="1" x14ac:dyDescent="0.25">
      <c r="A15" s="251" t="s">
        <v>147</v>
      </c>
      <c r="B15" s="254">
        <v>0</v>
      </c>
      <c r="C15" s="254">
        <f>-Debt!B76</f>
        <v>-39239.27399718549</v>
      </c>
      <c r="D15" s="254">
        <f>-Debt!C76</f>
        <v>-38547.922419175906</v>
      </c>
      <c r="E15" s="254">
        <f>-Debt!D76</f>
        <v>-37639.490174461331</v>
      </c>
      <c r="F15" s="254">
        <f>-Debt!E76</f>
        <v>-36699.97382620124</v>
      </c>
      <c r="G15" s="254">
        <f>-Debt!F76</f>
        <v>-35395.209640219029</v>
      </c>
      <c r="H15" s="254">
        <f>-Debt!G76</f>
        <v>-34047.732631167702</v>
      </c>
      <c r="I15" s="254">
        <f>-Debt!H76</f>
        <v>-32665.459501278579</v>
      </c>
      <c r="J15" s="254">
        <f>-Debt!I76</f>
        <v>-31318.557040821357</v>
      </c>
      <c r="K15" s="254">
        <f>-Debt!J76</f>
        <v>-29732.071714075293</v>
      </c>
      <c r="L15" s="254">
        <f>-Debt!K76</f>
        <v>-28144.928111578378</v>
      </c>
      <c r="M15" s="254">
        <f>-Debt!L76</f>
        <v>-26448.353935507188</v>
      </c>
      <c r="N15" s="254">
        <f>-Debt!M76</f>
        <v>-24680.737464246413</v>
      </c>
      <c r="O15" s="254">
        <f>-Debt!N76</f>
        <v>-22637.003703992337</v>
      </c>
      <c r="P15" s="254">
        <f>-Debt!O76</f>
        <v>-20504.6016669087</v>
      </c>
      <c r="Q15" s="254">
        <f>-Debt!P76</f>
        <v>-18190.57338895771</v>
      </c>
      <c r="R15" s="254">
        <f>-Debt!Q76</f>
        <v>-15716.794800781941</v>
      </c>
      <c r="S15" s="254">
        <f>-Debt!R76</f>
        <v>-12912.607109221639</v>
      </c>
      <c r="T15" s="254">
        <f>-Debt!S76</f>
        <v>-9892.1955964583249</v>
      </c>
      <c r="U15" s="254">
        <f>-Debt!T76</f>
        <v>-6577.12237371226</v>
      </c>
      <c r="V15" s="254">
        <f>-Debt!U76</f>
        <v>-2940.4552810885771</v>
      </c>
      <c r="W15" s="255">
        <f>SUM(C15:V15)</f>
        <v>-503931.06437703944</v>
      </c>
      <c r="X15" s="249">
        <f>SUM(Debt!B76:U76)</f>
        <v>503931.06437703944</v>
      </c>
      <c r="Y15" s="250">
        <f>W15+X15</f>
        <v>0</v>
      </c>
    </row>
    <row r="16" spans="1:25" ht="12.75" customHeight="1" x14ac:dyDescent="0.25">
      <c r="A16" s="251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93"/>
      <c r="X16" s="249"/>
      <c r="Y16" s="165"/>
    </row>
    <row r="17" spans="1:25" ht="12.75" customHeight="1" x14ac:dyDescent="0.25">
      <c r="A17" s="247" t="s">
        <v>148</v>
      </c>
      <c r="B17" s="256">
        <f t="shared" ref="B17:V17" si="2">SUM(B10:B15)</f>
        <v>0</v>
      </c>
      <c r="C17" s="256">
        <f t="shared" si="2"/>
        <v>58237.574946001449</v>
      </c>
      <c r="D17" s="256">
        <f t="shared" si="2"/>
        <v>63374.772793721837</v>
      </c>
      <c r="E17" s="256">
        <f t="shared" si="2"/>
        <v>68528.239037432286</v>
      </c>
      <c r="F17" s="256">
        <f t="shared" si="2"/>
        <v>73806.699614459896</v>
      </c>
      <c r="G17" s="256">
        <f t="shared" si="2"/>
        <v>79627.370855351881</v>
      </c>
      <c r="H17" s="256">
        <f t="shared" si="2"/>
        <v>82872.067320330403</v>
      </c>
      <c r="I17" s="256">
        <f t="shared" si="2"/>
        <v>85870.120602507493</v>
      </c>
      <c r="J17" s="256">
        <f t="shared" si="2"/>
        <v>88807.456986121208</v>
      </c>
      <c r="K17" s="256">
        <f t="shared" si="2"/>
        <v>91878.80642559781</v>
      </c>
      <c r="L17" s="256">
        <f t="shared" si="2"/>
        <v>94954.521042354245</v>
      </c>
      <c r="M17" s="256">
        <f t="shared" si="2"/>
        <v>98067.380596291769</v>
      </c>
      <c r="N17" s="256">
        <f t="shared" si="2"/>
        <v>100863.99564784353</v>
      </c>
      <c r="O17" s="256">
        <f t="shared" si="2"/>
        <v>103982.29385223142</v>
      </c>
      <c r="P17" s="256">
        <f t="shared" si="2"/>
        <v>106643.96132407179</v>
      </c>
      <c r="Q17" s="256">
        <f t="shared" si="2"/>
        <v>109726.79074227468</v>
      </c>
      <c r="R17" s="256">
        <f t="shared" si="2"/>
        <v>111808.20172223225</v>
      </c>
      <c r="S17" s="256">
        <f t="shared" si="2"/>
        <v>115096.63496911</v>
      </c>
      <c r="T17" s="256">
        <f t="shared" si="2"/>
        <v>117761.13183839663</v>
      </c>
      <c r="U17" s="256">
        <f t="shared" si="2"/>
        <v>120411.43140652317</v>
      </c>
      <c r="V17" s="256">
        <f t="shared" si="2"/>
        <v>123074.73438298427</v>
      </c>
      <c r="W17" s="248">
        <f>SUM(C17:V17)</f>
        <v>1895394.1861058378</v>
      </c>
      <c r="X17" s="249">
        <f>SUM(Wheatland!W46,Wilton!W46,Gleason!W46)</f>
        <v>1895394.186105838</v>
      </c>
      <c r="Y17" s="250">
        <f>W17-X17</f>
        <v>0</v>
      </c>
    </row>
    <row r="18" spans="1:25" ht="12.75" customHeight="1" x14ac:dyDescent="0.25">
      <c r="A18" s="247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93"/>
      <c r="X18" s="244"/>
      <c r="Y18" s="165"/>
    </row>
    <row r="19" spans="1:25" ht="12.75" customHeight="1" x14ac:dyDescent="0.25">
      <c r="A19" s="166" t="s">
        <v>149</v>
      </c>
      <c r="B19" s="169">
        <v>0</v>
      </c>
      <c r="C19" s="169">
        <f>-Tax!B8</f>
        <v>-1897.7950809276299</v>
      </c>
      <c r="D19" s="169">
        <f>-Tax!C8</f>
        <v>-559.75601199144899</v>
      </c>
      <c r="E19" s="169">
        <f>-Tax!D8</f>
        <v>-1065.6152125351014</v>
      </c>
      <c r="F19" s="169">
        <f>-Tax!E8</f>
        <v>-1568.8159887340789</v>
      </c>
      <c r="G19" s="169">
        <f>-Tax!F8</f>
        <v>-2663.2041645378704</v>
      </c>
      <c r="H19" s="169">
        <f>-Tax!G8</f>
        <v>-3403.4279412702031</v>
      </c>
      <c r="I19" s="169">
        <f>-Tax!H8</f>
        <v>-3812.0763287999171</v>
      </c>
      <c r="J19" s="169">
        <f>-Tax!I8</f>
        <v>-4058.942412258938</v>
      </c>
      <c r="K19" s="169">
        <f>-Tax!J8</f>
        <v>-4343.4100294097507</v>
      </c>
      <c r="L19" s="169">
        <f>-Tax!K8</f>
        <v>-4627.3187295237276</v>
      </c>
      <c r="M19" s="169">
        <f>-Tax!L8</f>
        <v>-4901.7749264784834</v>
      </c>
      <c r="N19" s="169">
        <f>-Tax!M8</f>
        <v>-5186.4416440741415</v>
      </c>
      <c r="O19" s="169">
        <f>-Tax!N8</f>
        <v>-5481.8246425801881</v>
      </c>
      <c r="P19" s="169">
        <f>-Tax!O8</f>
        <v>-5797.5311718730918</v>
      </c>
      <c r="Q19" s="169">
        <f>-Tax!P8</f>
        <v>-6112.0944431634589</v>
      </c>
      <c r="R19" s="169">
        <f>-Tax!Q8</f>
        <v>-6471.8919885713458</v>
      </c>
      <c r="S19" s="169">
        <f>-Tax!R8</f>
        <v>-9719.2686906611325</v>
      </c>
      <c r="T19" s="169">
        <f>-Tax!S8</f>
        <v>-10086.199555639618</v>
      </c>
      <c r="U19" s="169">
        <f>-Tax!T8</f>
        <v>-10475.81776837146</v>
      </c>
      <c r="V19" s="169">
        <f>-Tax!U8</f>
        <v>-10890.037080663751</v>
      </c>
      <c r="W19" s="248">
        <f>SUM(C19:V19)</f>
        <v>-103123.24381206532</v>
      </c>
      <c r="X19" s="249">
        <f>SUM(Wheatland!W48,Wilton!W48,Gleason!W48)</f>
        <v>-103123.24381206532</v>
      </c>
      <c r="Y19" s="250">
        <f>W19-X19</f>
        <v>0</v>
      </c>
    </row>
    <row r="20" spans="1:25" ht="12.75" customHeight="1" x14ac:dyDescent="0.25">
      <c r="A20" s="166" t="s">
        <v>150</v>
      </c>
      <c r="B20" s="257">
        <v>0</v>
      </c>
      <c r="C20" s="257">
        <f>-Tax!B24</f>
        <v>-8069.8166560005047</v>
      </c>
      <c r="D20" s="257">
        <f>-Tax!C24</f>
        <v>0</v>
      </c>
      <c r="E20" s="257">
        <f>-Tax!D24</f>
        <v>-605.45545044180972</v>
      </c>
      <c r="F20" s="257">
        <f>-Tax!E24</f>
        <v>-7268.4050837154273</v>
      </c>
      <c r="G20" s="257">
        <f>-Tax!F24</f>
        <v>-11679.122507025153</v>
      </c>
      <c r="H20" s="257">
        <f>-Tax!G24</f>
        <v>-14566.344592028481</v>
      </c>
      <c r="I20" s="257">
        <f>-Tax!H24</f>
        <v>-16571.632602524558</v>
      </c>
      <c r="J20" s="257">
        <f>-Tax!I24</f>
        <v>-17699.413345234181</v>
      </c>
      <c r="K20" s="257">
        <f>-Tax!J24</f>
        <v>-19003.620875392735</v>
      </c>
      <c r="L20" s="257">
        <f>-Tax!K24</f>
        <v>-20293.863783873065</v>
      </c>
      <c r="M20" s="257">
        <f>-Tax!L24</f>
        <v>-21586.410201161572</v>
      </c>
      <c r="N20" s="257">
        <f>-Tax!M24</f>
        <v>-22912.379995701667</v>
      </c>
      <c r="O20" s="257">
        <f>-Tax!N24</f>
        <v>-24277.528260104835</v>
      </c>
      <c r="P20" s="257">
        <f>-Tax!O24</f>
        <v>-25747.842187651917</v>
      </c>
      <c r="Q20" s="257">
        <f>-Tax!P24</f>
        <v>-27197.949851415844</v>
      </c>
      <c r="R20" s="257">
        <f>-Tax!Q24</f>
        <v>-28891.079047758234</v>
      </c>
      <c r="S20" s="257">
        <f>-Tax!R24</f>
        <v>-46097.348800142114</v>
      </c>
      <c r="T20" s="257">
        <f>-Tax!S24</f>
        <v>-47793.154321303649</v>
      </c>
      <c r="U20" s="257">
        <f>-Tax!T24</f>
        <v>-49593.827962338582</v>
      </c>
      <c r="V20" s="257">
        <f>-Tax!U24</f>
        <v>-51508.220116777375</v>
      </c>
      <c r="W20" s="255">
        <f>SUM(C20:V20)</f>
        <v>-461363.41564059164</v>
      </c>
      <c r="X20" s="249">
        <f>SUM(Wheatland!W49,Wilton!W49,Gleason!W49)</f>
        <v>-461363.4156405917</v>
      </c>
      <c r="Y20" s="250">
        <f>W20-X20</f>
        <v>0</v>
      </c>
    </row>
    <row r="21" spans="1:25" ht="12.75" customHeight="1" x14ac:dyDescent="0.25">
      <c r="A21" s="251"/>
      <c r="B21" s="258"/>
      <c r="C21" s="258"/>
      <c r="D21" s="258"/>
      <c r="E21" s="258"/>
      <c r="F21" s="258"/>
      <c r="G21" s="258"/>
      <c r="H21" s="258"/>
      <c r="I21" s="258"/>
      <c r="J21" s="258"/>
      <c r="K21" s="258"/>
      <c r="L21" s="258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195"/>
      <c r="X21" s="259"/>
      <c r="Y21" s="165"/>
    </row>
    <row r="22" spans="1:25" ht="12.75" customHeight="1" x14ac:dyDescent="0.25">
      <c r="A22" s="247" t="s">
        <v>151</v>
      </c>
      <c r="B22" s="256">
        <f t="shared" ref="B22:W22" si="3">SUM(B20,B19,B17)</f>
        <v>0</v>
      </c>
      <c r="C22" s="256">
        <f t="shared" si="3"/>
        <v>48269.963209073314</v>
      </c>
      <c r="D22" s="256">
        <f t="shared" si="3"/>
        <v>62815.016781730388</v>
      </c>
      <c r="E22" s="256">
        <f t="shared" si="3"/>
        <v>66857.168374455374</v>
      </c>
      <c r="F22" s="256">
        <f t="shared" si="3"/>
        <v>64969.478542010387</v>
      </c>
      <c r="G22" s="256">
        <f t="shared" si="3"/>
        <v>65285.044183788857</v>
      </c>
      <c r="H22" s="256">
        <f t="shared" si="3"/>
        <v>64902.294787031715</v>
      </c>
      <c r="I22" s="256">
        <f t="shared" si="3"/>
        <v>65486.411671183014</v>
      </c>
      <c r="J22" s="256">
        <f t="shared" si="3"/>
        <v>67049.101228628089</v>
      </c>
      <c r="K22" s="256">
        <f t="shared" si="3"/>
        <v>68531.775520795316</v>
      </c>
      <c r="L22" s="256">
        <f t="shared" si="3"/>
        <v>70033.338528957451</v>
      </c>
      <c r="M22" s="256">
        <f t="shared" si="3"/>
        <v>71579.195468651713</v>
      </c>
      <c r="N22" s="256">
        <f t="shared" si="3"/>
        <v>72765.174008067726</v>
      </c>
      <c r="O22" s="256">
        <f t="shared" si="3"/>
        <v>74222.940949546406</v>
      </c>
      <c r="P22" s="256">
        <f t="shared" si="3"/>
        <v>75098.587964546779</v>
      </c>
      <c r="Q22" s="256">
        <f t="shared" si="3"/>
        <v>76416.746447695376</v>
      </c>
      <c r="R22" s="256">
        <f t="shared" si="3"/>
        <v>76445.230685902672</v>
      </c>
      <c r="S22" s="256">
        <f t="shared" si="3"/>
        <v>59280.017478306756</v>
      </c>
      <c r="T22" s="256">
        <f t="shared" si="3"/>
        <v>59881.777961453365</v>
      </c>
      <c r="U22" s="256">
        <f t="shared" si="3"/>
        <v>60341.785675813131</v>
      </c>
      <c r="V22" s="256">
        <f t="shared" si="3"/>
        <v>60676.477185543146</v>
      </c>
      <c r="W22" s="260">
        <f t="shared" si="3"/>
        <v>1330907.5266531808</v>
      </c>
      <c r="X22" s="249">
        <f>SUM(Wheatland!W51,Wilton!W51,Gleason!W51)</f>
        <v>1330907.5266531811</v>
      </c>
      <c r="Y22" s="250">
        <f>W22-X22</f>
        <v>0</v>
      </c>
    </row>
    <row r="23" spans="1:25" ht="12.75" customHeight="1" x14ac:dyDescent="0.25">
      <c r="A23" s="251"/>
      <c r="B23" s="258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95"/>
      <c r="X23" s="196"/>
      <c r="Y23" s="2"/>
    </row>
    <row r="24" spans="1:25" ht="18" customHeight="1" x14ac:dyDescent="0.3">
      <c r="A24" s="237" t="s">
        <v>152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1"/>
      <c r="X24" s="91"/>
      <c r="Y24" s="91"/>
    </row>
    <row r="25" spans="1:25" ht="12" customHeight="1" x14ac:dyDescent="0.3">
      <c r="A25" s="23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1"/>
      <c r="X25" s="91"/>
      <c r="Y25" s="91"/>
    </row>
    <row r="26" spans="1:25" ht="13.5" customHeight="1" thickBot="1" x14ac:dyDescent="0.3">
      <c r="A26" s="151" t="s">
        <v>99</v>
      </c>
      <c r="B26" s="184" t="s">
        <v>143</v>
      </c>
      <c r="C26" s="152">
        <v>2001</v>
      </c>
      <c r="D26" s="152">
        <f t="shared" ref="D26:V26" si="4">C26+1</f>
        <v>2002</v>
      </c>
      <c r="E26" s="152">
        <f t="shared" si="4"/>
        <v>2003</v>
      </c>
      <c r="F26" s="152">
        <f t="shared" si="4"/>
        <v>2004</v>
      </c>
      <c r="G26" s="152">
        <f t="shared" si="4"/>
        <v>2005</v>
      </c>
      <c r="H26" s="152">
        <f t="shared" si="4"/>
        <v>2006</v>
      </c>
      <c r="I26" s="152">
        <f t="shared" si="4"/>
        <v>2007</v>
      </c>
      <c r="J26" s="152">
        <f t="shared" si="4"/>
        <v>2008</v>
      </c>
      <c r="K26" s="152">
        <f t="shared" si="4"/>
        <v>2009</v>
      </c>
      <c r="L26" s="152">
        <f t="shared" si="4"/>
        <v>2010</v>
      </c>
      <c r="M26" s="152">
        <f t="shared" si="4"/>
        <v>2011</v>
      </c>
      <c r="N26" s="152">
        <f t="shared" si="4"/>
        <v>2012</v>
      </c>
      <c r="O26" s="152">
        <f t="shared" si="4"/>
        <v>2013</v>
      </c>
      <c r="P26" s="152">
        <f t="shared" si="4"/>
        <v>2014</v>
      </c>
      <c r="Q26" s="152">
        <f t="shared" si="4"/>
        <v>2015</v>
      </c>
      <c r="R26" s="152">
        <f t="shared" si="4"/>
        <v>2016</v>
      </c>
      <c r="S26" s="152">
        <f t="shared" si="4"/>
        <v>2017</v>
      </c>
      <c r="T26" s="152">
        <f t="shared" si="4"/>
        <v>2018</v>
      </c>
      <c r="U26" s="152">
        <f t="shared" si="4"/>
        <v>2019</v>
      </c>
      <c r="V26" s="152">
        <f t="shared" si="4"/>
        <v>2020</v>
      </c>
      <c r="W26" s="91"/>
      <c r="X26" s="2"/>
      <c r="Y26" s="91"/>
    </row>
    <row r="27" spans="1:25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91"/>
      <c r="W27" s="91"/>
      <c r="X27" s="2"/>
      <c r="Y27" s="91"/>
    </row>
    <row r="28" spans="1:25" ht="12.75" customHeight="1" x14ac:dyDescent="0.25">
      <c r="A28" s="2" t="s">
        <v>153</v>
      </c>
      <c r="B28" s="169">
        <f>-'Summary Output'!C7</f>
        <v>-448708.0669865901</v>
      </c>
      <c r="C28" s="169">
        <v>0</v>
      </c>
      <c r="D28" s="169">
        <v>0</v>
      </c>
      <c r="E28" s="169">
        <v>0</v>
      </c>
      <c r="F28" s="169">
        <v>0</v>
      </c>
      <c r="G28" s="169">
        <v>0</v>
      </c>
      <c r="H28" s="169">
        <v>0</v>
      </c>
      <c r="I28" s="169">
        <v>0</v>
      </c>
      <c r="J28" s="169">
        <v>0</v>
      </c>
      <c r="K28" s="169">
        <v>0</v>
      </c>
      <c r="L28" s="169">
        <v>0</v>
      </c>
      <c r="M28" s="169">
        <v>0</v>
      </c>
      <c r="N28" s="169">
        <v>0</v>
      </c>
      <c r="O28" s="169">
        <v>0</v>
      </c>
      <c r="P28" s="169">
        <v>0</v>
      </c>
      <c r="Q28" s="169">
        <v>0</v>
      </c>
      <c r="R28" s="169">
        <v>0</v>
      </c>
      <c r="S28" s="169">
        <v>0</v>
      </c>
      <c r="T28" s="169">
        <v>0</v>
      </c>
      <c r="U28" s="169">
        <v>0</v>
      </c>
      <c r="V28" s="197">
        <v>0</v>
      </c>
      <c r="W28" s="91"/>
      <c r="X28" s="91"/>
      <c r="Y28" s="91"/>
    </row>
    <row r="29" spans="1:25" ht="12.75" customHeight="1" x14ac:dyDescent="0.25">
      <c r="A29" s="2" t="s">
        <v>154</v>
      </c>
      <c r="B29" s="252">
        <f t="shared" ref="B29:V29" si="5">B22</f>
        <v>0</v>
      </c>
      <c r="C29" s="252">
        <f t="shared" si="5"/>
        <v>48269.963209073314</v>
      </c>
      <c r="D29" s="252">
        <f t="shared" si="5"/>
        <v>62815.016781730388</v>
      </c>
      <c r="E29" s="252">
        <f t="shared" si="5"/>
        <v>66857.168374455374</v>
      </c>
      <c r="F29" s="252">
        <f t="shared" si="5"/>
        <v>64969.478542010387</v>
      </c>
      <c r="G29" s="252">
        <f t="shared" si="5"/>
        <v>65285.044183788857</v>
      </c>
      <c r="H29" s="252">
        <f t="shared" si="5"/>
        <v>64902.294787031715</v>
      </c>
      <c r="I29" s="252">
        <f t="shared" si="5"/>
        <v>65486.411671183014</v>
      </c>
      <c r="J29" s="252">
        <f t="shared" si="5"/>
        <v>67049.101228628089</v>
      </c>
      <c r="K29" s="252">
        <f t="shared" si="5"/>
        <v>68531.775520795316</v>
      </c>
      <c r="L29" s="252">
        <f t="shared" si="5"/>
        <v>70033.338528957451</v>
      </c>
      <c r="M29" s="252">
        <f t="shared" si="5"/>
        <v>71579.195468651713</v>
      </c>
      <c r="N29" s="252">
        <f t="shared" si="5"/>
        <v>72765.174008067726</v>
      </c>
      <c r="O29" s="252">
        <f t="shared" si="5"/>
        <v>74222.940949546406</v>
      </c>
      <c r="P29" s="252">
        <f t="shared" si="5"/>
        <v>75098.587964546779</v>
      </c>
      <c r="Q29" s="252">
        <f t="shared" si="5"/>
        <v>76416.746447695376</v>
      </c>
      <c r="R29" s="252">
        <f t="shared" si="5"/>
        <v>76445.230685902672</v>
      </c>
      <c r="S29" s="252">
        <f t="shared" si="5"/>
        <v>59280.017478306756</v>
      </c>
      <c r="T29" s="252">
        <f t="shared" si="5"/>
        <v>59881.777961453365</v>
      </c>
      <c r="U29" s="252">
        <f t="shared" si="5"/>
        <v>60341.785675813131</v>
      </c>
      <c r="V29" s="252">
        <f t="shared" si="5"/>
        <v>60676.477185543146</v>
      </c>
      <c r="W29" s="91"/>
      <c r="X29" s="91"/>
      <c r="Y29" s="91"/>
    </row>
    <row r="30" spans="1:25" ht="12.75" customHeight="1" x14ac:dyDescent="0.25">
      <c r="A30" s="2" t="s">
        <v>155</v>
      </c>
      <c r="B30" s="257">
        <v>0</v>
      </c>
      <c r="C30" s="257">
        <v>0</v>
      </c>
      <c r="D30" s="257">
        <v>0</v>
      </c>
      <c r="E30" s="257">
        <v>0</v>
      </c>
      <c r="F30" s="257">
        <v>0</v>
      </c>
      <c r="G30" s="257">
        <v>0</v>
      </c>
      <c r="H30" s="257">
        <v>0</v>
      </c>
      <c r="I30" s="257">
        <v>0</v>
      </c>
      <c r="J30" s="257">
        <v>0</v>
      </c>
      <c r="K30" s="257">
        <v>0</v>
      </c>
      <c r="L30" s="257">
        <v>0</v>
      </c>
      <c r="M30" s="257">
        <v>0</v>
      </c>
      <c r="N30" s="257">
        <v>0</v>
      </c>
      <c r="O30" s="257">
        <v>0</v>
      </c>
      <c r="P30" s="257">
        <v>0</v>
      </c>
      <c r="Q30" s="257">
        <v>0</v>
      </c>
      <c r="R30" s="257">
        <v>0</v>
      </c>
      <c r="S30" s="257">
        <v>0</v>
      </c>
      <c r="T30" s="257">
        <v>0</v>
      </c>
      <c r="U30" s="257">
        <v>0</v>
      </c>
      <c r="V30" s="257">
        <f>2*V10</f>
        <v>321993.67110508966</v>
      </c>
      <c r="W30" s="91"/>
      <c r="X30" s="91"/>
      <c r="Y30" s="91"/>
    </row>
    <row r="31" spans="1:25" ht="12.75" customHeight="1" x14ac:dyDescent="0.25">
      <c r="A31" s="2" t="s">
        <v>156</v>
      </c>
      <c r="B31" s="169">
        <f t="shared" ref="B31:V31" si="6">SUM(B28:B30)</f>
        <v>-448708.0669865901</v>
      </c>
      <c r="C31" s="169">
        <f t="shared" si="6"/>
        <v>48269.963209073314</v>
      </c>
      <c r="D31" s="169">
        <f t="shared" si="6"/>
        <v>62815.016781730388</v>
      </c>
      <c r="E31" s="169">
        <f t="shared" si="6"/>
        <v>66857.168374455374</v>
      </c>
      <c r="F31" s="169">
        <f t="shared" si="6"/>
        <v>64969.478542010387</v>
      </c>
      <c r="G31" s="169">
        <f t="shared" si="6"/>
        <v>65285.044183788857</v>
      </c>
      <c r="H31" s="169">
        <f t="shared" si="6"/>
        <v>64902.294787031715</v>
      </c>
      <c r="I31" s="169">
        <f t="shared" si="6"/>
        <v>65486.411671183014</v>
      </c>
      <c r="J31" s="169">
        <f t="shared" si="6"/>
        <v>67049.101228628089</v>
      </c>
      <c r="K31" s="169">
        <f t="shared" si="6"/>
        <v>68531.775520795316</v>
      </c>
      <c r="L31" s="169">
        <f t="shared" si="6"/>
        <v>70033.338528957451</v>
      </c>
      <c r="M31" s="169">
        <f t="shared" si="6"/>
        <v>71579.195468651713</v>
      </c>
      <c r="N31" s="169">
        <f t="shared" si="6"/>
        <v>72765.174008067726</v>
      </c>
      <c r="O31" s="169">
        <f t="shared" si="6"/>
        <v>74222.940949546406</v>
      </c>
      <c r="P31" s="169">
        <f t="shared" si="6"/>
        <v>75098.587964546779</v>
      </c>
      <c r="Q31" s="169">
        <f t="shared" si="6"/>
        <v>76416.746447695376</v>
      </c>
      <c r="R31" s="169">
        <f t="shared" si="6"/>
        <v>76445.230685902672</v>
      </c>
      <c r="S31" s="169">
        <f t="shared" si="6"/>
        <v>59280.017478306756</v>
      </c>
      <c r="T31" s="169">
        <f t="shared" si="6"/>
        <v>59881.777961453365</v>
      </c>
      <c r="U31" s="169">
        <f t="shared" si="6"/>
        <v>60341.785675813131</v>
      </c>
      <c r="V31" s="169">
        <f t="shared" si="6"/>
        <v>382670.14829063282</v>
      </c>
      <c r="W31" s="91"/>
      <c r="X31" s="91"/>
      <c r="Y31" s="91"/>
    </row>
    <row r="32" spans="1:25" ht="12.75" customHeight="1" x14ac:dyDescent="0.25">
      <c r="A32" s="2" t="s">
        <v>157</v>
      </c>
      <c r="B32" s="261">
        <f>XIRR(B31:V31,B8:V8)</f>
        <v>0.14038297533988953</v>
      </c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97"/>
      <c r="W32" s="91"/>
      <c r="X32" s="91"/>
      <c r="Y32" s="91"/>
    </row>
  </sheetData>
  <mergeCells count="1">
    <mergeCell ref="X7:Y7"/>
  </mergeCells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68"/>
  <sheetViews>
    <sheetView workbookViewId="0"/>
  </sheetViews>
  <sheetFormatPr defaultRowHeight="13.2" x14ac:dyDescent="0.25"/>
  <cols>
    <col min="1" max="1" width="24" customWidth="1"/>
    <col min="2" max="2" width="11.44140625" customWidth="1"/>
    <col min="3" max="22" width="8.6640625" customWidth="1"/>
    <col min="23" max="23" width="11.6640625" customWidth="1"/>
    <col min="24" max="24" width="20.6640625" customWidth="1"/>
    <col min="25" max="25" width="7.33203125" customWidth="1"/>
  </cols>
  <sheetData>
    <row r="1" spans="1:25" ht="12.7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8" customHeight="1" x14ac:dyDescent="0.3">
      <c r="A2" s="146" t="s">
        <v>158</v>
      </c>
      <c r="B2" s="146"/>
      <c r="C2" s="262"/>
      <c r="D2" s="26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 x14ac:dyDescent="0.25">
      <c r="A3" s="2"/>
      <c r="B3" s="264" t="s">
        <v>159</v>
      </c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"/>
      <c r="X3" s="2"/>
      <c r="Y3" s="2"/>
    </row>
    <row r="4" spans="1:25" ht="13.5" customHeight="1" thickBot="1" x14ac:dyDescent="0.3">
      <c r="A4" s="151" t="s">
        <v>99</v>
      </c>
      <c r="B4" s="184" t="s">
        <v>160</v>
      </c>
      <c r="C4" s="265">
        <v>2001</v>
      </c>
      <c r="D4" s="265">
        <v>2002</v>
      </c>
      <c r="E4" s="265">
        <v>2003</v>
      </c>
      <c r="F4" s="265">
        <v>2004</v>
      </c>
      <c r="G4" s="265">
        <v>2005</v>
      </c>
      <c r="H4" s="265">
        <v>2006</v>
      </c>
      <c r="I4" s="265">
        <v>2007</v>
      </c>
      <c r="J4" s="265">
        <v>2008</v>
      </c>
      <c r="K4" s="265">
        <v>2009</v>
      </c>
      <c r="L4" s="265">
        <v>2010</v>
      </c>
      <c r="M4" s="265">
        <v>2011</v>
      </c>
      <c r="N4" s="265">
        <v>2012</v>
      </c>
      <c r="O4" s="265">
        <v>2013</v>
      </c>
      <c r="P4" s="265">
        <v>2014</v>
      </c>
      <c r="Q4" s="265">
        <v>2015</v>
      </c>
      <c r="R4" s="265">
        <v>2016</v>
      </c>
      <c r="S4" s="265">
        <v>2017</v>
      </c>
      <c r="T4" s="265">
        <v>2018</v>
      </c>
      <c r="U4" s="265">
        <v>2019</v>
      </c>
      <c r="V4" s="265">
        <v>2020</v>
      </c>
      <c r="W4" s="266"/>
      <c r="X4" s="266"/>
      <c r="Y4" s="266"/>
    </row>
    <row r="5" spans="1:25" ht="12.75" customHeight="1" x14ac:dyDescent="0.25">
      <c r="A5" s="2"/>
      <c r="B5" s="267">
        <v>0</v>
      </c>
      <c r="C5" s="267">
        <v>1</v>
      </c>
      <c r="D5" s="267">
        <v>2</v>
      </c>
      <c r="E5" s="267">
        <f t="shared" ref="E5:V5" si="0">D5+1</f>
        <v>3</v>
      </c>
      <c r="F5" s="267">
        <f t="shared" si="0"/>
        <v>4</v>
      </c>
      <c r="G5" s="267">
        <f t="shared" si="0"/>
        <v>5</v>
      </c>
      <c r="H5" s="267">
        <f t="shared" si="0"/>
        <v>6</v>
      </c>
      <c r="I5" s="267">
        <f t="shared" si="0"/>
        <v>7</v>
      </c>
      <c r="J5" s="267">
        <f t="shared" si="0"/>
        <v>8</v>
      </c>
      <c r="K5" s="267">
        <f t="shared" si="0"/>
        <v>9</v>
      </c>
      <c r="L5" s="267">
        <f t="shared" si="0"/>
        <v>10</v>
      </c>
      <c r="M5" s="267">
        <f t="shared" si="0"/>
        <v>11</v>
      </c>
      <c r="N5" s="267">
        <f t="shared" si="0"/>
        <v>12</v>
      </c>
      <c r="O5" s="267">
        <f t="shared" si="0"/>
        <v>13</v>
      </c>
      <c r="P5" s="267">
        <f t="shared" si="0"/>
        <v>14</v>
      </c>
      <c r="Q5" s="267">
        <f t="shared" si="0"/>
        <v>15</v>
      </c>
      <c r="R5" s="267">
        <f t="shared" si="0"/>
        <v>16</v>
      </c>
      <c r="S5" s="267">
        <f t="shared" si="0"/>
        <v>17</v>
      </c>
      <c r="T5" s="267">
        <f t="shared" si="0"/>
        <v>18</v>
      </c>
      <c r="U5" s="267">
        <f t="shared" si="0"/>
        <v>19</v>
      </c>
      <c r="V5" s="267">
        <f t="shared" si="0"/>
        <v>20</v>
      </c>
      <c r="W5" s="2"/>
      <c r="X5" s="2"/>
      <c r="Y5" s="2"/>
    </row>
    <row r="6" spans="1:25" ht="12.75" customHeight="1" x14ac:dyDescent="0.25">
      <c r="A6" s="268" t="s">
        <v>36</v>
      </c>
      <c r="B6" s="267">
        <v>0</v>
      </c>
      <c r="C6" s="267">
        <v>1</v>
      </c>
      <c r="D6" s="267">
        <v>2</v>
      </c>
      <c r="E6" s="267">
        <f t="shared" ref="E6:V6" si="1">D6+1</f>
        <v>3</v>
      </c>
      <c r="F6" s="267">
        <f t="shared" si="1"/>
        <v>4</v>
      </c>
      <c r="G6" s="267">
        <f t="shared" si="1"/>
        <v>5</v>
      </c>
      <c r="H6" s="267">
        <f t="shared" si="1"/>
        <v>6</v>
      </c>
      <c r="I6" s="267">
        <f t="shared" si="1"/>
        <v>7</v>
      </c>
      <c r="J6" s="267">
        <f t="shared" si="1"/>
        <v>8</v>
      </c>
      <c r="K6" s="267">
        <f t="shared" si="1"/>
        <v>9</v>
      </c>
      <c r="L6" s="267">
        <f t="shared" si="1"/>
        <v>10</v>
      </c>
      <c r="M6" s="267">
        <f t="shared" si="1"/>
        <v>11</v>
      </c>
      <c r="N6" s="267">
        <f t="shared" si="1"/>
        <v>12</v>
      </c>
      <c r="O6" s="267">
        <f t="shared" si="1"/>
        <v>13</v>
      </c>
      <c r="P6" s="267">
        <f t="shared" si="1"/>
        <v>14</v>
      </c>
      <c r="Q6" s="267">
        <f t="shared" si="1"/>
        <v>15</v>
      </c>
      <c r="R6" s="267">
        <f t="shared" si="1"/>
        <v>16</v>
      </c>
      <c r="S6" s="267">
        <f t="shared" si="1"/>
        <v>17</v>
      </c>
      <c r="T6" s="267">
        <f t="shared" si="1"/>
        <v>18</v>
      </c>
      <c r="U6" s="267">
        <f t="shared" si="1"/>
        <v>19</v>
      </c>
      <c r="V6" s="267">
        <f t="shared" si="1"/>
        <v>20</v>
      </c>
      <c r="W6" s="269"/>
      <c r="X6" s="269"/>
      <c r="Y6" s="269"/>
    </row>
    <row r="7" spans="1:25" ht="12.75" customHeight="1" x14ac:dyDescent="0.25">
      <c r="A7" s="269"/>
      <c r="B7" s="263"/>
      <c r="C7" s="263"/>
      <c r="D7" s="263"/>
      <c r="E7" s="263"/>
      <c r="F7" s="263"/>
      <c r="G7" s="263"/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9"/>
      <c r="X7" s="269"/>
      <c r="Y7" s="269"/>
    </row>
    <row r="8" spans="1:25" ht="12.75" customHeight="1" x14ac:dyDescent="0.25">
      <c r="A8" s="189" t="s">
        <v>54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 x14ac:dyDescent="0.25">
      <c r="A9" s="24" t="s">
        <v>161</v>
      </c>
      <c r="B9" s="270">
        <v>0</v>
      </c>
      <c r="C9" s="270">
        <v>12</v>
      </c>
      <c r="D9" s="270">
        <v>12</v>
      </c>
      <c r="E9" s="270">
        <v>12</v>
      </c>
      <c r="F9" s="270">
        <v>12</v>
      </c>
      <c r="G9" s="270">
        <v>12</v>
      </c>
      <c r="H9" s="270">
        <v>12</v>
      </c>
      <c r="I9" s="270">
        <v>12</v>
      </c>
      <c r="J9" s="270">
        <v>12</v>
      </c>
      <c r="K9" s="270">
        <v>12</v>
      </c>
      <c r="L9" s="270">
        <v>12</v>
      </c>
      <c r="M9" s="270">
        <v>12</v>
      </c>
      <c r="N9" s="270">
        <v>12</v>
      </c>
      <c r="O9" s="270">
        <v>12</v>
      </c>
      <c r="P9" s="270">
        <v>12</v>
      </c>
      <c r="Q9" s="270">
        <v>12</v>
      </c>
      <c r="R9" s="270">
        <v>12</v>
      </c>
      <c r="S9" s="270">
        <v>12</v>
      </c>
      <c r="T9" s="270">
        <v>12</v>
      </c>
      <c r="U9" s="270">
        <v>12</v>
      </c>
      <c r="V9" s="270">
        <v>12</v>
      </c>
      <c r="W9" s="2"/>
      <c r="X9" s="2"/>
      <c r="Y9" s="2"/>
    </row>
    <row r="10" spans="1:25" ht="12.75" customHeight="1" x14ac:dyDescent="0.25">
      <c r="A10" s="2" t="s">
        <v>162</v>
      </c>
      <c r="B10" s="271">
        <v>0</v>
      </c>
      <c r="C10" s="271">
        <f t="shared" ref="C10:V10" si="2">90%/30</f>
        <v>3.0000000000000002E-2</v>
      </c>
      <c r="D10" s="271">
        <f t="shared" si="2"/>
        <v>3.0000000000000002E-2</v>
      </c>
      <c r="E10" s="271">
        <f t="shared" si="2"/>
        <v>3.0000000000000002E-2</v>
      </c>
      <c r="F10" s="271">
        <f t="shared" si="2"/>
        <v>3.0000000000000002E-2</v>
      </c>
      <c r="G10" s="271">
        <f t="shared" si="2"/>
        <v>3.0000000000000002E-2</v>
      </c>
      <c r="H10" s="271">
        <f t="shared" si="2"/>
        <v>3.0000000000000002E-2</v>
      </c>
      <c r="I10" s="271">
        <f t="shared" si="2"/>
        <v>3.0000000000000002E-2</v>
      </c>
      <c r="J10" s="271">
        <f t="shared" si="2"/>
        <v>3.0000000000000002E-2</v>
      </c>
      <c r="K10" s="271">
        <f t="shared" si="2"/>
        <v>3.0000000000000002E-2</v>
      </c>
      <c r="L10" s="271">
        <f t="shared" si="2"/>
        <v>3.0000000000000002E-2</v>
      </c>
      <c r="M10" s="271">
        <f t="shared" si="2"/>
        <v>3.0000000000000002E-2</v>
      </c>
      <c r="N10" s="271">
        <f t="shared" si="2"/>
        <v>3.0000000000000002E-2</v>
      </c>
      <c r="O10" s="271">
        <f t="shared" si="2"/>
        <v>3.0000000000000002E-2</v>
      </c>
      <c r="P10" s="271">
        <f t="shared" si="2"/>
        <v>3.0000000000000002E-2</v>
      </c>
      <c r="Q10" s="271">
        <f t="shared" si="2"/>
        <v>3.0000000000000002E-2</v>
      </c>
      <c r="R10" s="271">
        <f t="shared" si="2"/>
        <v>3.0000000000000002E-2</v>
      </c>
      <c r="S10" s="271">
        <f t="shared" si="2"/>
        <v>3.0000000000000002E-2</v>
      </c>
      <c r="T10" s="271">
        <f t="shared" si="2"/>
        <v>3.0000000000000002E-2</v>
      </c>
      <c r="U10" s="271">
        <f t="shared" si="2"/>
        <v>3.0000000000000002E-2</v>
      </c>
      <c r="V10" s="271">
        <f t="shared" si="2"/>
        <v>3.0000000000000002E-2</v>
      </c>
      <c r="W10" s="2"/>
      <c r="X10" s="2"/>
      <c r="Y10" s="2"/>
    </row>
    <row r="11" spans="1:25" ht="12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customHeight="1" x14ac:dyDescent="0.25">
      <c r="A12" s="2" t="s">
        <v>163</v>
      </c>
      <c r="B12" s="157">
        <f>'Summary Output'!$G$7*Allocation!$C$6</f>
        <v>237363.08918282689</v>
      </c>
      <c r="C12" s="169">
        <f t="shared" ref="C12:V12" si="3">B14</f>
        <v>237363.08918282689</v>
      </c>
      <c r="D12" s="169">
        <f t="shared" si="3"/>
        <v>230242.1965073421</v>
      </c>
      <c r="E12" s="169">
        <f t="shared" si="3"/>
        <v>223121.30383185728</v>
      </c>
      <c r="F12" s="169">
        <f t="shared" si="3"/>
        <v>216000.41115637246</v>
      </c>
      <c r="G12" s="169">
        <f t="shared" si="3"/>
        <v>208879.51848088764</v>
      </c>
      <c r="H12" s="169">
        <f t="shared" si="3"/>
        <v>201758.62580540281</v>
      </c>
      <c r="I12" s="169">
        <f t="shared" si="3"/>
        <v>194637.73312991799</v>
      </c>
      <c r="J12" s="169">
        <f t="shared" si="3"/>
        <v>187516.84045443317</v>
      </c>
      <c r="K12" s="169">
        <f t="shared" si="3"/>
        <v>180395.94777894835</v>
      </c>
      <c r="L12" s="169">
        <f t="shared" si="3"/>
        <v>173275.05510346353</v>
      </c>
      <c r="M12" s="169">
        <f t="shared" si="3"/>
        <v>166154.16242797871</v>
      </c>
      <c r="N12" s="169">
        <f t="shared" si="3"/>
        <v>159033.26975249388</v>
      </c>
      <c r="O12" s="169">
        <f t="shared" si="3"/>
        <v>151912.37707700906</v>
      </c>
      <c r="P12" s="169">
        <f t="shared" si="3"/>
        <v>144791.48440152424</v>
      </c>
      <c r="Q12" s="169">
        <f t="shared" si="3"/>
        <v>137670.59172603942</v>
      </c>
      <c r="R12" s="169">
        <f t="shared" si="3"/>
        <v>130549.69905055461</v>
      </c>
      <c r="S12" s="169">
        <f t="shared" si="3"/>
        <v>123428.80637506981</v>
      </c>
      <c r="T12" s="169">
        <f t="shared" si="3"/>
        <v>116307.913699585</v>
      </c>
      <c r="U12" s="169">
        <f t="shared" si="3"/>
        <v>109187.02102410019</v>
      </c>
      <c r="V12" s="169">
        <f t="shared" si="3"/>
        <v>102066.12834861538</v>
      </c>
      <c r="W12" s="2"/>
      <c r="X12" s="2"/>
      <c r="Y12" s="2"/>
    </row>
    <row r="13" spans="1:25" ht="12.75" customHeight="1" x14ac:dyDescent="0.25">
      <c r="A13" s="2" t="s">
        <v>164</v>
      </c>
      <c r="B13" s="258">
        <f t="shared" ref="B13:V13" si="4">$B$12*B10</f>
        <v>0</v>
      </c>
      <c r="C13" s="258">
        <f t="shared" si="4"/>
        <v>7120.8926754848071</v>
      </c>
      <c r="D13" s="258">
        <f t="shared" si="4"/>
        <v>7120.8926754848071</v>
      </c>
      <c r="E13" s="258">
        <f t="shared" si="4"/>
        <v>7120.8926754848071</v>
      </c>
      <c r="F13" s="258">
        <f t="shared" si="4"/>
        <v>7120.8926754848071</v>
      </c>
      <c r="G13" s="258">
        <f t="shared" si="4"/>
        <v>7120.8926754848071</v>
      </c>
      <c r="H13" s="258">
        <f t="shared" si="4"/>
        <v>7120.8926754848071</v>
      </c>
      <c r="I13" s="258">
        <f t="shared" si="4"/>
        <v>7120.8926754848071</v>
      </c>
      <c r="J13" s="258">
        <f t="shared" si="4"/>
        <v>7120.8926754848071</v>
      </c>
      <c r="K13" s="258">
        <f t="shared" si="4"/>
        <v>7120.8926754848071</v>
      </c>
      <c r="L13" s="258">
        <f t="shared" si="4"/>
        <v>7120.8926754848071</v>
      </c>
      <c r="M13" s="258">
        <f t="shared" si="4"/>
        <v>7120.8926754848071</v>
      </c>
      <c r="N13" s="258">
        <f t="shared" si="4"/>
        <v>7120.8926754848071</v>
      </c>
      <c r="O13" s="258">
        <f t="shared" si="4"/>
        <v>7120.8926754848071</v>
      </c>
      <c r="P13" s="258">
        <f t="shared" si="4"/>
        <v>7120.8926754848071</v>
      </c>
      <c r="Q13" s="258">
        <f t="shared" si="4"/>
        <v>7120.8926754848071</v>
      </c>
      <c r="R13" s="258">
        <f t="shared" si="4"/>
        <v>7120.8926754848071</v>
      </c>
      <c r="S13" s="258">
        <f t="shared" si="4"/>
        <v>7120.8926754848071</v>
      </c>
      <c r="T13" s="258">
        <f t="shared" si="4"/>
        <v>7120.8926754848071</v>
      </c>
      <c r="U13" s="258">
        <f t="shared" si="4"/>
        <v>7120.8926754848071</v>
      </c>
      <c r="V13" s="258">
        <f t="shared" si="4"/>
        <v>7120.8926754848071</v>
      </c>
      <c r="W13" s="2"/>
      <c r="X13" s="2"/>
      <c r="Y13" s="2"/>
    </row>
    <row r="14" spans="1:25" ht="12.75" customHeight="1" x14ac:dyDescent="0.25">
      <c r="A14" s="2" t="s">
        <v>165</v>
      </c>
      <c r="B14" s="169">
        <f t="shared" ref="B14:V14" si="5">B12-B13</f>
        <v>237363.08918282689</v>
      </c>
      <c r="C14" s="169">
        <f t="shared" si="5"/>
        <v>230242.1965073421</v>
      </c>
      <c r="D14" s="169">
        <f t="shared" si="5"/>
        <v>223121.30383185728</v>
      </c>
      <c r="E14" s="169">
        <f t="shared" si="5"/>
        <v>216000.41115637246</v>
      </c>
      <c r="F14" s="169">
        <f t="shared" si="5"/>
        <v>208879.51848088764</v>
      </c>
      <c r="G14" s="169">
        <f t="shared" si="5"/>
        <v>201758.62580540281</v>
      </c>
      <c r="H14" s="169">
        <f t="shared" si="5"/>
        <v>194637.73312991799</v>
      </c>
      <c r="I14" s="169">
        <f t="shared" si="5"/>
        <v>187516.84045443317</v>
      </c>
      <c r="J14" s="169">
        <f t="shared" si="5"/>
        <v>180395.94777894835</v>
      </c>
      <c r="K14" s="169">
        <f t="shared" si="5"/>
        <v>173275.05510346353</v>
      </c>
      <c r="L14" s="169">
        <f t="shared" si="5"/>
        <v>166154.16242797871</v>
      </c>
      <c r="M14" s="169">
        <f t="shared" si="5"/>
        <v>159033.26975249388</v>
      </c>
      <c r="N14" s="169">
        <f t="shared" si="5"/>
        <v>151912.37707700906</v>
      </c>
      <c r="O14" s="169">
        <f t="shared" si="5"/>
        <v>144791.48440152424</v>
      </c>
      <c r="P14" s="169">
        <f t="shared" si="5"/>
        <v>137670.59172603942</v>
      </c>
      <c r="Q14" s="169">
        <f t="shared" si="5"/>
        <v>130549.69905055461</v>
      </c>
      <c r="R14" s="169">
        <f t="shared" si="5"/>
        <v>123428.80637506981</v>
      </c>
      <c r="S14" s="169">
        <f t="shared" si="5"/>
        <v>116307.913699585</v>
      </c>
      <c r="T14" s="169">
        <f t="shared" si="5"/>
        <v>109187.02102410019</v>
      </c>
      <c r="U14" s="169">
        <f t="shared" si="5"/>
        <v>102066.12834861538</v>
      </c>
      <c r="V14" s="169">
        <f t="shared" si="5"/>
        <v>94945.235673130577</v>
      </c>
      <c r="W14" s="2"/>
      <c r="X14" s="2"/>
      <c r="Y14" s="2"/>
    </row>
    <row r="15" spans="1:25" ht="12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customHeight="1" x14ac:dyDescent="0.25">
      <c r="A16" s="189" t="s">
        <v>55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" customHeight="1" x14ac:dyDescent="0.25">
      <c r="A17" s="24" t="s">
        <v>161</v>
      </c>
      <c r="B17" s="270">
        <v>0</v>
      </c>
      <c r="C17" s="270">
        <v>12</v>
      </c>
      <c r="D17" s="270">
        <v>12</v>
      </c>
      <c r="E17" s="270">
        <v>12</v>
      </c>
      <c r="F17" s="270">
        <v>12</v>
      </c>
      <c r="G17" s="270">
        <v>12</v>
      </c>
      <c r="H17" s="270">
        <v>12</v>
      </c>
      <c r="I17" s="270">
        <v>12</v>
      </c>
      <c r="J17" s="270">
        <v>12</v>
      </c>
      <c r="K17" s="270">
        <v>12</v>
      </c>
      <c r="L17" s="270">
        <v>12</v>
      </c>
      <c r="M17" s="270">
        <v>12</v>
      </c>
      <c r="N17" s="270">
        <v>12</v>
      </c>
      <c r="O17" s="270">
        <v>12</v>
      </c>
      <c r="P17" s="270">
        <v>12</v>
      </c>
      <c r="Q17" s="270">
        <v>12</v>
      </c>
      <c r="R17" s="270">
        <v>12</v>
      </c>
      <c r="S17" s="270">
        <v>12</v>
      </c>
      <c r="T17" s="270">
        <v>12</v>
      </c>
      <c r="U17" s="270">
        <v>12</v>
      </c>
      <c r="V17" s="270">
        <v>12</v>
      </c>
      <c r="W17" s="2"/>
      <c r="X17" s="2"/>
      <c r="Y17" s="2"/>
    </row>
    <row r="18" spans="1:25" ht="12.75" customHeight="1" x14ac:dyDescent="0.25">
      <c r="A18" s="2" t="s">
        <v>162</v>
      </c>
      <c r="B18" s="271">
        <v>0</v>
      </c>
      <c r="C18" s="271">
        <f t="shared" ref="C18:V18" si="6">90%/30</f>
        <v>3.0000000000000002E-2</v>
      </c>
      <c r="D18" s="271">
        <f t="shared" si="6"/>
        <v>3.0000000000000002E-2</v>
      </c>
      <c r="E18" s="271">
        <f t="shared" si="6"/>
        <v>3.0000000000000002E-2</v>
      </c>
      <c r="F18" s="271">
        <f t="shared" si="6"/>
        <v>3.0000000000000002E-2</v>
      </c>
      <c r="G18" s="271">
        <f t="shared" si="6"/>
        <v>3.0000000000000002E-2</v>
      </c>
      <c r="H18" s="271">
        <f t="shared" si="6"/>
        <v>3.0000000000000002E-2</v>
      </c>
      <c r="I18" s="271">
        <f t="shared" si="6"/>
        <v>3.0000000000000002E-2</v>
      </c>
      <c r="J18" s="271">
        <f t="shared" si="6"/>
        <v>3.0000000000000002E-2</v>
      </c>
      <c r="K18" s="271">
        <f t="shared" si="6"/>
        <v>3.0000000000000002E-2</v>
      </c>
      <c r="L18" s="271">
        <f t="shared" si="6"/>
        <v>3.0000000000000002E-2</v>
      </c>
      <c r="M18" s="271">
        <f t="shared" si="6"/>
        <v>3.0000000000000002E-2</v>
      </c>
      <c r="N18" s="271">
        <f t="shared" si="6"/>
        <v>3.0000000000000002E-2</v>
      </c>
      <c r="O18" s="271">
        <f t="shared" si="6"/>
        <v>3.0000000000000002E-2</v>
      </c>
      <c r="P18" s="271">
        <f t="shared" si="6"/>
        <v>3.0000000000000002E-2</v>
      </c>
      <c r="Q18" s="271">
        <f t="shared" si="6"/>
        <v>3.0000000000000002E-2</v>
      </c>
      <c r="R18" s="271">
        <f t="shared" si="6"/>
        <v>3.0000000000000002E-2</v>
      </c>
      <c r="S18" s="271">
        <f t="shared" si="6"/>
        <v>3.0000000000000002E-2</v>
      </c>
      <c r="T18" s="271">
        <f t="shared" si="6"/>
        <v>3.0000000000000002E-2</v>
      </c>
      <c r="U18" s="271">
        <f t="shared" si="6"/>
        <v>3.0000000000000002E-2</v>
      </c>
      <c r="V18" s="271">
        <f t="shared" si="6"/>
        <v>3.0000000000000002E-2</v>
      </c>
      <c r="W18" s="2"/>
      <c r="X18" s="2"/>
      <c r="Y18" s="2"/>
    </row>
    <row r="19" spans="1:25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72" t="s">
        <v>166</v>
      </c>
      <c r="Y19" s="273"/>
    </row>
    <row r="20" spans="1:25" ht="12.75" customHeight="1" x14ac:dyDescent="0.25">
      <c r="A20" s="2" t="s">
        <v>163</v>
      </c>
      <c r="B20" s="157">
        <f>'Summary Output'!$G$7*Allocation!$C$7</f>
        <v>217125.80092491247</v>
      </c>
      <c r="C20" s="169">
        <f t="shared" ref="C20:V20" si="7">B22</f>
        <v>217125.80092491247</v>
      </c>
      <c r="D20" s="169">
        <f t="shared" si="7"/>
        <v>210612.02689716511</v>
      </c>
      <c r="E20" s="169">
        <f t="shared" si="7"/>
        <v>204098.25286941775</v>
      </c>
      <c r="F20" s="169">
        <f t="shared" si="7"/>
        <v>197584.47884167038</v>
      </c>
      <c r="G20" s="169">
        <f t="shared" si="7"/>
        <v>191070.70481392302</v>
      </c>
      <c r="H20" s="169">
        <f t="shared" si="7"/>
        <v>184556.93078617565</v>
      </c>
      <c r="I20" s="169">
        <f t="shared" si="7"/>
        <v>178043.15675842829</v>
      </c>
      <c r="J20" s="169">
        <f t="shared" si="7"/>
        <v>171529.38273068093</v>
      </c>
      <c r="K20" s="169">
        <f t="shared" si="7"/>
        <v>165015.60870293356</v>
      </c>
      <c r="L20" s="169">
        <f t="shared" si="7"/>
        <v>158501.8346751862</v>
      </c>
      <c r="M20" s="169">
        <f t="shared" si="7"/>
        <v>151988.06064743883</v>
      </c>
      <c r="N20" s="169">
        <f t="shared" si="7"/>
        <v>145474.28661969147</v>
      </c>
      <c r="O20" s="169">
        <f t="shared" si="7"/>
        <v>138960.51259194411</v>
      </c>
      <c r="P20" s="169">
        <f t="shared" si="7"/>
        <v>132446.73856419674</v>
      </c>
      <c r="Q20" s="169">
        <f t="shared" si="7"/>
        <v>125932.96453644936</v>
      </c>
      <c r="R20" s="169">
        <f t="shared" si="7"/>
        <v>119419.19050870198</v>
      </c>
      <c r="S20" s="169">
        <f t="shared" si="7"/>
        <v>112905.41648095461</v>
      </c>
      <c r="T20" s="169">
        <f t="shared" si="7"/>
        <v>106391.64245320723</v>
      </c>
      <c r="U20" s="169">
        <f t="shared" si="7"/>
        <v>99877.868425459848</v>
      </c>
      <c r="V20" s="169">
        <f t="shared" si="7"/>
        <v>93364.09439771247</v>
      </c>
      <c r="W20" s="2"/>
      <c r="X20" s="274"/>
      <c r="Y20" s="275"/>
    </row>
    <row r="21" spans="1:25" ht="12.75" customHeight="1" x14ac:dyDescent="0.25">
      <c r="A21" s="2" t="s">
        <v>164</v>
      </c>
      <c r="B21" s="258">
        <f t="shared" ref="B21:V21" si="8">$B$20*B18</f>
        <v>0</v>
      </c>
      <c r="C21" s="258">
        <f t="shared" si="8"/>
        <v>6513.7740277473749</v>
      </c>
      <c r="D21" s="258">
        <f t="shared" si="8"/>
        <v>6513.7740277473749</v>
      </c>
      <c r="E21" s="258">
        <f t="shared" si="8"/>
        <v>6513.7740277473749</v>
      </c>
      <c r="F21" s="258">
        <f t="shared" si="8"/>
        <v>6513.7740277473749</v>
      </c>
      <c r="G21" s="258">
        <f t="shared" si="8"/>
        <v>6513.7740277473749</v>
      </c>
      <c r="H21" s="258">
        <f t="shared" si="8"/>
        <v>6513.7740277473749</v>
      </c>
      <c r="I21" s="258">
        <f t="shared" si="8"/>
        <v>6513.7740277473749</v>
      </c>
      <c r="J21" s="258">
        <f t="shared" si="8"/>
        <v>6513.7740277473749</v>
      </c>
      <c r="K21" s="258">
        <f t="shared" si="8"/>
        <v>6513.7740277473749</v>
      </c>
      <c r="L21" s="258">
        <f t="shared" si="8"/>
        <v>6513.7740277473749</v>
      </c>
      <c r="M21" s="258">
        <f t="shared" si="8"/>
        <v>6513.7740277473749</v>
      </c>
      <c r="N21" s="258">
        <f t="shared" si="8"/>
        <v>6513.7740277473749</v>
      </c>
      <c r="O21" s="258">
        <f t="shared" si="8"/>
        <v>6513.7740277473749</v>
      </c>
      <c r="P21" s="258">
        <f t="shared" si="8"/>
        <v>6513.7740277473749</v>
      </c>
      <c r="Q21" s="258">
        <f t="shared" si="8"/>
        <v>6513.7740277473749</v>
      </c>
      <c r="R21" s="258">
        <f t="shared" si="8"/>
        <v>6513.7740277473749</v>
      </c>
      <c r="S21" s="258">
        <f t="shared" si="8"/>
        <v>6513.7740277473749</v>
      </c>
      <c r="T21" s="258">
        <f t="shared" si="8"/>
        <v>6513.7740277473749</v>
      </c>
      <c r="U21" s="258">
        <f t="shared" si="8"/>
        <v>6513.7740277473749</v>
      </c>
      <c r="V21" s="258">
        <f t="shared" si="8"/>
        <v>6513.7740277473749</v>
      </c>
      <c r="W21" s="2"/>
      <c r="X21" s="276">
        <v>0</v>
      </c>
      <c r="Y21" s="277">
        <v>0</v>
      </c>
    </row>
    <row r="22" spans="1:25" ht="12.75" customHeight="1" x14ac:dyDescent="0.25">
      <c r="A22" s="2" t="s">
        <v>165</v>
      </c>
      <c r="B22" s="169">
        <f t="shared" ref="B22:V22" si="9">B20-B21</f>
        <v>217125.80092491247</v>
      </c>
      <c r="C22" s="169">
        <f t="shared" si="9"/>
        <v>210612.02689716511</v>
      </c>
      <c r="D22" s="169">
        <f t="shared" si="9"/>
        <v>204098.25286941775</v>
      </c>
      <c r="E22" s="169">
        <f t="shared" si="9"/>
        <v>197584.47884167038</v>
      </c>
      <c r="F22" s="169">
        <f t="shared" si="9"/>
        <v>191070.70481392302</v>
      </c>
      <c r="G22" s="169">
        <f t="shared" si="9"/>
        <v>184556.93078617565</v>
      </c>
      <c r="H22" s="169">
        <f t="shared" si="9"/>
        <v>178043.15675842829</v>
      </c>
      <c r="I22" s="169">
        <f t="shared" si="9"/>
        <v>171529.38273068093</v>
      </c>
      <c r="J22" s="169">
        <f t="shared" si="9"/>
        <v>165015.60870293356</v>
      </c>
      <c r="K22" s="169">
        <f t="shared" si="9"/>
        <v>158501.8346751862</v>
      </c>
      <c r="L22" s="169">
        <f t="shared" si="9"/>
        <v>151988.06064743883</v>
      </c>
      <c r="M22" s="169">
        <f t="shared" si="9"/>
        <v>145474.28661969147</v>
      </c>
      <c r="N22" s="169">
        <f t="shared" si="9"/>
        <v>138960.51259194411</v>
      </c>
      <c r="O22" s="169">
        <f t="shared" si="9"/>
        <v>132446.73856419674</v>
      </c>
      <c r="P22" s="169">
        <f t="shared" si="9"/>
        <v>125932.96453644936</v>
      </c>
      <c r="Q22" s="169">
        <f t="shared" si="9"/>
        <v>119419.19050870198</v>
      </c>
      <c r="R22" s="169">
        <f t="shared" si="9"/>
        <v>112905.41648095461</v>
      </c>
      <c r="S22" s="169">
        <f t="shared" si="9"/>
        <v>106391.64245320723</v>
      </c>
      <c r="T22" s="169">
        <f t="shared" si="9"/>
        <v>99877.868425459848</v>
      </c>
      <c r="U22" s="169">
        <f t="shared" si="9"/>
        <v>93364.09439771247</v>
      </c>
      <c r="V22" s="169">
        <f t="shared" si="9"/>
        <v>86850.320369965091</v>
      </c>
      <c r="W22" s="2"/>
      <c r="X22" s="276">
        <v>1</v>
      </c>
      <c r="Y22" s="277">
        <v>0.05</v>
      </c>
    </row>
    <row r="23" spans="1:25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76">
        <v>2</v>
      </c>
      <c r="Y23" s="277">
        <v>9.5000000000000001E-2</v>
      </c>
    </row>
    <row r="24" spans="1:25" ht="12.75" customHeight="1" x14ac:dyDescent="0.25">
      <c r="A24" s="189" t="s">
        <v>56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76">
        <v>3</v>
      </c>
      <c r="Y24" s="277">
        <v>8.5500000000000007E-2</v>
      </c>
    </row>
    <row r="25" spans="1:25" ht="12.75" customHeight="1" x14ac:dyDescent="0.25">
      <c r="A25" s="24" t="s">
        <v>161</v>
      </c>
      <c r="B25" s="270">
        <v>0</v>
      </c>
      <c r="C25" s="270">
        <v>12</v>
      </c>
      <c r="D25" s="270">
        <v>12</v>
      </c>
      <c r="E25" s="270">
        <v>12</v>
      </c>
      <c r="F25" s="270">
        <v>12</v>
      </c>
      <c r="G25" s="270">
        <v>12</v>
      </c>
      <c r="H25" s="270">
        <v>12</v>
      </c>
      <c r="I25" s="270">
        <v>12</v>
      </c>
      <c r="J25" s="270">
        <v>12</v>
      </c>
      <c r="K25" s="270">
        <v>12</v>
      </c>
      <c r="L25" s="270">
        <v>12</v>
      </c>
      <c r="M25" s="270">
        <v>12</v>
      </c>
      <c r="N25" s="270">
        <v>12</v>
      </c>
      <c r="O25" s="270">
        <v>12</v>
      </c>
      <c r="P25" s="270">
        <v>12</v>
      </c>
      <c r="Q25" s="270">
        <v>12</v>
      </c>
      <c r="R25" s="270">
        <v>12</v>
      </c>
      <c r="S25" s="270">
        <v>12</v>
      </c>
      <c r="T25" s="270">
        <v>12</v>
      </c>
      <c r="U25" s="270">
        <v>12</v>
      </c>
      <c r="V25" s="270">
        <v>12</v>
      </c>
      <c r="W25" s="2"/>
      <c r="X25" s="276">
        <v>4</v>
      </c>
      <c r="Y25" s="277">
        <v>7.6999999999999999E-2</v>
      </c>
    </row>
    <row r="26" spans="1:25" ht="12.75" customHeight="1" x14ac:dyDescent="0.25">
      <c r="A26" s="2" t="s">
        <v>162</v>
      </c>
      <c r="B26" s="271">
        <v>0</v>
      </c>
      <c r="C26" s="271">
        <f t="shared" ref="C26:V26" si="10">90%/30</f>
        <v>3.0000000000000002E-2</v>
      </c>
      <c r="D26" s="271">
        <f t="shared" si="10"/>
        <v>3.0000000000000002E-2</v>
      </c>
      <c r="E26" s="271">
        <f t="shared" si="10"/>
        <v>3.0000000000000002E-2</v>
      </c>
      <c r="F26" s="271">
        <f t="shared" si="10"/>
        <v>3.0000000000000002E-2</v>
      </c>
      <c r="G26" s="271">
        <f t="shared" si="10"/>
        <v>3.0000000000000002E-2</v>
      </c>
      <c r="H26" s="271">
        <f t="shared" si="10"/>
        <v>3.0000000000000002E-2</v>
      </c>
      <c r="I26" s="271">
        <f t="shared" si="10"/>
        <v>3.0000000000000002E-2</v>
      </c>
      <c r="J26" s="271">
        <f t="shared" si="10"/>
        <v>3.0000000000000002E-2</v>
      </c>
      <c r="K26" s="271">
        <f t="shared" si="10"/>
        <v>3.0000000000000002E-2</v>
      </c>
      <c r="L26" s="271">
        <f t="shared" si="10"/>
        <v>3.0000000000000002E-2</v>
      </c>
      <c r="M26" s="271">
        <f t="shared" si="10"/>
        <v>3.0000000000000002E-2</v>
      </c>
      <c r="N26" s="271">
        <f t="shared" si="10"/>
        <v>3.0000000000000002E-2</v>
      </c>
      <c r="O26" s="271">
        <f t="shared" si="10"/>
        <v>3.0000000000000002E-2</v>
      </c>
      <c r="P26" s="271">
        <f t="shared" si="10"/>
        <v>3.0000000000000002E-2</v>
      </c>
      <c r="Q26" s="271">
        <f t="shared" si="10"/>
        <v>3.0000000000000002E-2</v>
      </c>
      <c r="R26" s="271">
        <f t="shared" si="10"/>
        <v>3.0000000000000002E-2</v>
      </c>
      <c r="S26" s="271">
        <f t="shared" si="10"/>
        <v>3.0000000000000002E-2</v>
      </c>
      <c r="T26" s="271">
        <f t="shared" si="10"/>
        <v>3.0000000000000002E-2</v>
      </c>
      <c r="U26" s="271">
        <f t="shared" si="10"/>
        <v>3.0000000000000002E-2</v>
      </c>
      <c r="V26" s="271">
        <f t="shared" si="10"/>
        <v>3.0000000000000002E-2</v>
      </c>
      <c r="W26" s="2"/>
      <c r="X26" s="276">
        <v>5</v>
      </c>
      <c r="Y26" s="277">
        <v>6.93E-2</v>
      </c>
    </row>
    <row r="27" spans="1:25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76">
        <v>6</v>
      </c>
      <c r="Y27" s="277">
        <v>6.2300000000000001E-2</v>
      </c>
    </row>
    <row r="28" spans="1:25" ht="12.75" customHeight="1" x14ac:dyDescent="0.25">
      <c r="A28" s="2" t="s">
        <v>163</v>
      </c>
      <c r="B28" s="157">
        <f>'Summary Output'!$G$7*Allocation!$C$8</f>
        <v>349573.17687885091</v>
      </c>
      <c r="C28" s="169">
        <f t="shared" ref="C28:V28" si="11">B30</f>
        <v>349573.17687885091</v>
      </c>
      <c r="D28" s="169">
        <f t="shared" si="11"/>
        <v>339085.98157248535</v>
      </c>
      <c r="E28" s="169">
        <f t="shared" si="11"/>
        <v>328598.7862661198</v>
      </c>
      <c r="F28" s="169">
        <f t="shared" si="11"/>
        <v>318111.59095975425</v>
      </c>
      <c r="G28" s="169">
        <f t="shared" si="11"/>
        <v>307624.3956533887</v>
      </c>
      <c r="H28" s="169">
        <f t="shared" si="11"/>
        <v>297137.20034702314</v>
      </c>
      <c r="I28" s="169">
        <f t="shared" si="11"/>
        <v>286650.00504065759</v>
      </c>
      <c r="J28" s="169">
        <f t="shared" si="11"/>
        <v>276162.80973429204</v>
      </c>
      <c r="K28" s="169">
        <f t="shared" si="11"/>
        <v>265675.61442792648</v>
      </c>
      <c r="L28" s="169">
        <f t="shared" si="11"/>
        <v>255188.41912156096</v>
      </c>
      <c r="M28" s="169">
        <f t="shared" si="11"/>
        <v>244701.22381519544</v>
      </c>
      <c r="N28" s="169">
        <f t="shared" si="11"/>
        <v>234214.02850882991</v>
      </c>
      <c r="O28" s="169">
        <f t="shared" si="11"/>
        <v>223726.83320246439</v>
      </c>
      <c r="P28" s="169">
        <f t="shared" si="11"/>
        <v>213239.63789609887</v>
      </c>
      <c r="Q28" s="169">
        <f t="shared" si="11"/>
        <v>202752.44258973334</v>
      </c>
      <c r="R28" s="169">
        <f t="shared" si="11"/>
        <v>192265.24728336782</v>
      </c>
      <c r="S28" s="169">
        <f t="shared" si="11"/>
        <v>181778.05197700229</v>
      </c>
      <c r="T28" s="169">
        <f t="shared" si="11"/>
        <v>171290.85667063677</v>
      </c>
      <c r="U28" s="169">
        <f t="shared" si="11"/>
        <v>160803.66136427125</v>
      </c>
      <c r="V28" s="169">
        <f t="shared" si="11"/>
        <v>150316.46605790572</v>
      </c>
      <c r="W28" s="2"/>
      <c r="X28" s="276">
        <v>7</v>
      </c>
      <c r="Y28" s="277">
        <v>5.8999999999999997E-2</v>
      </c>
    </row>
    <row r="29" spans="1:25" ht="12.75" customHeight="1" x14ac:dyDescent="0.25">
      <c r="A29" s="2" t="s">
        <v>164</v>
      </c>
      <c r="B29" s="258">
        <f t="shared" ref="B29:V29" si="12">$B$28*B26</f>
        <v>0</v>
      </c>
      <c r="C29" s="258">
        <f t="shared" si="12"/>
        <v>10487.195306365527</v>
      </c>
      <c r="D29" s="258">
        <f t="shared" si="12"/>
        <v>10487.195306365527</v>
      </c>
      <c r="E29" s="258">
        <f t="shared" si="12"/>
        <v>10487.195306365527</v>
      </c>
      <c r="F29" s="258">
        <f t="shared" si="12"/>
        <v>10487.195306365527</v>
      </c>
      <c r="G29" s="258">
        <f t="shared" si="12"/>
        <v>10487.195306365527</v>
      </c>
      <c r="H29" s="258">
        <f t="shared" si="12"/>
        <v>10487.195306365527</v>
      </c>
      <c r="I29" s="258">
        <f t="shared" si="12"/>
        <v>10487.195306365527</v>
      </c>
      <c r="J29" s="258">
        <f t="shared" si="12"/>
        <v>10487.195306365527</v>
      </c>
      <c r="K29" s="258">
        <f t="shared" si="12"/>
        <v>10487.195306365527</v>
      </c>
      <c r="L29" s="258">
        <f t="shared" si="12"/>
        <v>10487.195306365527</v>
      </c>
      <c r="M29" s="258">
        <f t="shared" si="12"/>
        <v>10487.195306365527</v>
      </c>
      <c r="N29" s="258">
        <f t="shared" si="12"/>
        <v>10487.195306365527</v>
      </c>
      <c r="O29" s="258">
        <f t="shared" si="12"/>
        <v>10487.195306365527</v>
      </c>
      <c r="P29" s="258">
        <f t="shared" si="12"/>
        <v>10487.195306365527</v>
      </c>
      <c r="Q29" s="258">
        <f t="shared" si="12"/>
        <v>10487.195306365527</v>
      </c>
      <c r="R29" s="258">
        <f t="shared" si="12"/>
        <v>10487.195306365527</v>
      </c>
      <c r="S29" s="258">
        <f t="shared" si="12"/>
        <v>10487.195306365527</v>
      </c>
      <c r="T29" s="258">
        <f t="shared" si="12"/>
        <v>10487.195306365527</v>
      </c>
      <c r="U29" s="258">
        <f t="shared" si="12"/>
        <v>10487.195306365527</v>
      </c>
      <c r="V29" s="258">
        <f t="shared" si="12"/>
        <v>10487.195306365527</v>
      </c>
      <c r="W29" s="2"/>
      <c r="X29" s="276">
        <v>8</v>
      </c>
      <c r="Y29" s="277">
        <v>5.91E-2</v>
      </c>
    </row>
    <row r="30" spans="1:25" ht="12.75" customHeight="1" x14ac:dyDescent="0.25">
      <c r="A30" s="2" t="s">
        <v>165</v>
      </c>
      <c r="B30" s="169">
        <f t="shared" ref="B30:V30" si="13">B28-B29</f>
        <v>349573.17687885091</v>
      </c>
      <c r="C30" s="169">
        <f t="shared" si="13"/>
        <v>339085.98157248535</v>
      </c>
      <c r="D30" s="169">
        <f t="shared" si="13"/>
        <v>328598.7862661198</v>
      </c>
      <c r="E30" s="169">
        <f t="shared" si="13"/>
        <v>318111.59095975425</v>
      </c>
      <c r="F30" s="169">
        <f t="shared" si="13"/>
        <v>307624.3956533887</v>
      </c>
      <c r="G30" s="169">
        <f t="shared" si="13"/>
        <v>297137.20034702314</v>
      </c>
      <c r="H30" s="169">
        <f t="shared" si="13"/>
        <v>286650.00504065759</v>
      </c>
      <c r="I30" s="169">
        <f t="shared" si="13"/>
        <v>276162.80973429204</v>
      </c>
      <c r="J30" s="169">
        <f t="shared" si="13"/>
        <v>265675.61442792648</v>
      </c>
      <c r="K30" s="169">
        <f t="shared" si="13"/>
        <v>255188.41912156096</v>
      </c>
      <c r="L30" s="169">
        <f t="shared" si="13"/>
        <v>244701.22381519544</v>
      </c>
      <c r="M30" s="169">
        <f t="shared" si="13"/>
        <v>234214.02850882991</v>
      </c>
      <c r="N30" s="169">
        <f t="shared" si="13"/>
        <v>223726.83320246439</v>
      </c>
      <c r="O30" s="169">
        <f t="shared" si="13"/>
        <v>213239.63789609887</v>
      </c>
      <c r="P30" s="169">
        <f t="shared" si="13"/>
        <v>202752.44258973334</v>
      </c>
      <c r="Q30" s="169">
        <f t="shared" si="13"/>
        <v>192265.24728336782</v>
      </c>
      <c r="R30" s="169">
        <f t="shared" si="13"/>
        <v>181778.05197700229</v>
      </c>
      <c r="S30" s="169">
        <f t="shared" si="13"/>
        <v>171290.85667063677</v>
      </c>
      <c r="T30" s="169">
        <f t="shared" si="13"/>
        <v>160803.66136427125</v>
      </c>
      <c r="U30" s="169">
        <f t="shared" si="13"/>
        <v>150316.46605790572</v>
      </c>
      <c r="V30" s="169">
        <f t="shared" si="13"/>
        <v>139829.2707515402</v>
      </c>
      <c r="W30" s="2"/>
      <c r="X30" s="276">
        <v>9</v>
      </c>
      <c r="Y30" s="277">
        <v>5.8999999999999997E-2</v>
      </c>
    </row>
    <row r="31" spans="1:25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76">
        <v>10</v>
      </c>
      <c r="Y31" s="277">
        <v>5.91E-2</v>
      </c>
    </row>
    <row r="32" spans="1:25" ht="12.75" customHeight="1" x14ac:dyDescent="0.25">
      <c r="A32" s="189" t="s">
        <v>167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76">
        <v>11</v>
      </c>
      <c r="Y32" s="277">
        <v>5.8999999999999997E-2</v>
      </c>
    </row>
    <row r="33" spans="1:25" ht="12.75" customHeight="1" x14ac:dyDescent="0.25">
      <c r="A33" s="2" t="s">
        <v>163</v>
      </c>
      <c r="B33" s="278">
        <f>SUM(B20,B28,B12)</f>
        <v>804062.06698659027</v>
      </c>
      <c r="C33" s="278">
        <f t="shared" ref="C33:V33" si="14">B35</f>
        <v>804062.06698659027</v>
      </c>
      <c r="D33" s="278">
        <f t="shared" si="14"/>
        <v>779940.20497699257</v>
      </c>
      <c r="E33" s="278">
        <f t="shared" si="14"/>
        <v>755818.34296739486</v>
      </c>
      <c r="F33" s="278">
        <f t="shared" si="14"/>
        <v>731696.48095779715</v>
      </c>
      <c r="G33" s="278">
        <f t="shared" si="14"/>
        <v>707574.61894819944</v>
      </c>
      <c r="H33" s="278">
        <f t="shared" si="14"/>
        <v>683452.75693860173</v>
      </c>
      <c r="I33" s="278">
        <f t="shared" si="14"/>
        <v>659330.89492900402</v>
      </c>
      <c r="J33" s="278">
        <f t="shared" si="14"/>
        <v>635209.03291940631</v>
      </c>
      <c r="K33" s="278">
        <f t="shared" si="14"/>
        <v>611087.1709098086</v>
      </c>
      <c r="L33" s="278">
        <f t="shared" si="14"/>
        <v>586965.30890021089</v>
      </c>
      <c r="M33" s="278">
        <f t="shared" si="14"/>
        <v>562843.44689061318</v>
      </c>
      <c r="N33" s="278">
        <f t="shared" si="14"/>
        <v>538721.58488101547</v>
      </c>
      <c r="O33" s="278">
        <f t="shared" si="14"/>
        <v>514599.72287141776</v>
      </c>
      <c r="P33" s="278">
        <f t="shared" si="14"/>
        <v>490477.86086182005</v>
      </c>
      <c r="Q33" s="278">
        <f t="shared" si="14"/>
        <v>466355.99885222234</v>
      </c>
      <c r="R33" s="278">
        <f t="shared" si="14"/>
        <v>442234.13684262463</v>
      </c>
      <c r="S33" s="278">
        <f t="shared" si="14"/>
        <v>418112.27483302692</v>
      </c>
      <c r="T33" s="278">
        <f t="shared" si="14"/>
        <v>393990.41282342921</v>
      </c>
      <c r="U33" s="278">
        <f t="shared" si="14"/>
        <v>369868.55081383151</v>
      </c>
      <c r="V33" s="278">
        <f t="shared" si="14"/>
        <v>345746.6888042338</v>
      </c>
      <c r="W33" s="2"/>
      <c r="X33" s="276">
        <v>12</v>
      </c>
      <c r="Y33" s="277">
        <v>5.91E-2</v>
      </c>
    </row>
    <row r="34" spans="1:25" ht="12.75" customHeight="1" x14ac:dyDescent="0.25">
      <c r="A34" s="2" t="s">
        <v>164</v>
      </c>
      <c r="B34" s="279">
        <f>SUM(B21,B29,B13)</f>
        <v>0</v>
      </c>
      <c r="C34" s="279">
        <f t="shared" ref="C34:V34" si="15">SUM(C21,C29,C13)</f>
        <v>24121.862009597709</v>
      </c>
      <c r="D34" s="279">
        <f t="shared" si="15"/>
        <v>24121.862009597709</v>
      </c>
      <c r="E34" s="279">
        <f t="shared" si="15"/>
        <v>24121.862009597709</v>
      </c>
      <c r="F34" s="279">
        <f t="shared" si="15"/>
        <v>24121.862009597709</v>
      </c>
      <c r="G34" s="279">
        <f t="shared" si="15"/>
        <v>24121.862009597709</v>
      </c>
      <c r="H34" s="279">
        <f t="shared" si="15"/>
        <v>24121.862009597709</v>
      </c>
      <c r="I34" s="279">
        <f t="shared" si="15"/>
        <v>24121.862009597709</v>
      </c>
      <c r="J34" s="279">
        <f t="shared" si="15"/>
        <v>24121.862009597709</v>
      </c>
      <c r="K34" s="279">
        <f t="shared" si="15"/>
        <v>24121.862009597709</v>
      </c>
      <c r="L34" s="279">
        <f t="shared" si="15"/>
        <v>24121.862009597709</v>
      </c>
      <c r="M34" s="279">
        <f t="shared" si="15"/>
        <v>24121.862009597709</v>
      </c>
      <c r="N34" s="279">
        <f t="shared" si="15"/>
        <v>24121.862009597709</v>
      </c>
      <c r="O34" s="279">
        <f t="shared" si="15"/>
        <v>24121.862009597709</v>
      </c>
      <c r="P34" s="279">
        <f t="shared" si="15"/>
        <v>24121.862009597709</v>
      </c>
      <c r="Q34" s="279">
        <f t="shared" si="15"/>
        <v>24121.862009597709</v>
      </c>
      <c r="R34" s="279">
        <f t="shared" si="15"/>
        <v>24121.862009597709</v>
      </c>
      <c r="S34" s="279">
        <f t="shared" si="15"/>
        <v>24121.862009597709</v>
      </c>
      <c r="T34" s="279">
        <f t="shared" si="15"/>
        <v>24121.862009597709</v>
      </c>
      <c r="U34" s="279">
        <f t="shared" si="15"/>
        <v>24121.862009597709</v>
      </c>
      <c r="V34" s="279">
        <f t="shared" si="15"/>
        <v>24121.862009597709</v>
      </c>
      <c r="W34" s="2"/>
      <c r="X34" s="276">
        <v>13</v>
      </c>
      <c r="Y34" s="277">
        <v>5.8999999999999997E-2</v>
      </c>
    </row>
    <row r="35" spans="1:25" ht="12.75" customHeight="1" x14ac:dyDescent="0.25">
      <c r="A35" s="2" t="s">
        <v>165</v>
      </c>
      <c r="B35" s="278">
        <f t="shared" ref="B35:V35" si="16">B33-B34</f>
        <v>804062.06698659027</v>
      </c>
      <c r="C35" s="278">
        <f t="shared" si="16"/>
        <v>779940.20497699257</v>
      </c>
      <c r="D35" s="278">
        <f t="shared" si="16"/>
        <v>755818.34296739486</v>
      </c>
      <c r="E35" s="278">
        <f t="shared" si="16"/>
        <v>731696.48095779715</v>
      </c>
      <c r="F35" s="278">
        <f t="shared" si="16"/>
        <v>707574.61894819944</v>
      </c>
      <c r="G35" s="278">
        <f t="shared" si="16"/>
        <v>683452.75693860173</v>
      </c>
      <c r="H35" s="278">
        <f t="shared" si="16"/>
        <v>659330.89492900402</v>
      </c>
      <c r="I35" s="278">
        <f t="shared" si="16"/>
        <v>635209.03291940631</v>
      </c>
      <c r="J35" s="278">
        <f t="shared" si="16"/>
        <v>611087.1709098086</v>
      </c>
      <c r="K35" s="278">
        <f t="shared" si="16"/>
        <v>586965.30890021089</v>
      </c>
      <c r="L35" s="278">
        <f t="shared" si="16"/>
        <v>562843.44689061318</v>
      </c>
      <c r="M35" s="278">
        <f t="shared" si="16"/>
        <v>538721.58488101547</v>
      </c>
      <c r="N35" s="278">
        <f t="shared" si="16"/>
        <v>514599.72287141776</v>
      </c>
      <c r="O35" s="278">
        <f t="shared" si="16"/>
        <v>490477.86086182005</v>
      </c>
      <c r="P35" s="278">
        <f t="shared" si="16"/>
        <v>466355.99885222234</v>
      </c>
      <c r="Q35" s="278">
        <f t="shared" si="16"/>
        <v>442234.13684262463</v>
      </c>
      <c r="R35" s="278">
        <f t="shared" si="16"/>
        <v>418112.27483302692</v>
      </c>
      <c r="S35" s="278">
        <f t="shared" si="16"/>
        <v>393990.41282342921</v>
      </c>
      <c r="T35" s="278">
        <f t="shared" si="16"/>
        <v>369868.55081383151</v>
      </c>
      <c r="U35" s="278">
        <f t="shared" si="16"/>
        <v>345746.6888042338</v>
      </c>
      <c r="V35" s="278">
        <f t="shared" si="16"/>
        <v>321624.82679463609</v>
      </c>
      <c r="W35" s="2"/>
      <c r="X35" s="276">
        <v>14</v>
      </c>
      <c r="Y35" s="277">
        <v>5.91E-2</v>
      </c>
    </row>
    <row r="36" spans="1:25" ht="12.75" customHeight="1" x14ac:dyDescent="0.25">
      <c r="A36" s="2"/>
      <c r="B36" s="280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81"/>
      <c r="W36" s="2"/>
      <c r="X36" s="276">
        <v>15</v>
      </c>
      <c r="Y36" s="277">
        <v>5.8999999999999997E-2</v>
      </c>
    </row>
    <row r="37" spans="1:25" ht="12.75" customHeight="1" x14ac:dyDescent="0.25">
      <c r="A37" s="268" t="s">
        <v>168</v>
      </c>
      <c r="B37" s="263"/>
      <c r="C37" s="263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69"/>
      <c r="X37" s="282"/>
      <c r="Y37" s="283">
        <f>SUM(Y22:Y36)</f>
        <v>0.97050000000000036</v>
      </c>
    </row>
    <row r="38" spans="1:25" ht="12.75" customHeight="1" x14ac:dyDescent="0.25">
      <c r="A38" s="269"/>
      <c r="B38" s="263"/>
      <c r="C38" s="263"/>
      <c r="D38" s="263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69"/>
      <c r="X38" s="2"/>
      <c r="Y38" s="2"/>
    </row>
    <row r="39" spans="1:25" ht="12.75" customHeight="1" x14ac:dyDescent="0.25">
      <c r="A39" s="189" t="s">
        <v>169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 x14ac:dyDescent="0.25">
      <c r="A40" s="18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 x14ac:dyDescent="0.25">
      <c r="A41" s="284" t="s">
        <v>54</v>
      </c>
      <c r="B41" s="263"/>
      <c r="C41" s="263"/>
      <c r="D41" s="26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 x14ac:dyDescent="0.25">
      <c r="A42" s="2" t="s">
        <v>170</v>
      </c>
      <c r="B42" s="285">
        <f>'Summary Output'!$G$7*Allocation!$C$6</f>
        <v>237363.08918282689</v>
      </c>
      <c r="C42" s="285">
        <f t="shared" ref="C42:V42" si="17">B45</f>
        <v>237363.08918282689</v>
      </c>
      <c r="D42" s="285">
        <f t="shared" si="17"/>
        <v>225494.93472368555</v>
      </c>
      <c r="E42" s="285">
        <f t="shared" si="17"/>
        <v>202945.44125131701</v>
      </c>
      <c r="F42" s="285">
        <f t="shared" si="17"/>
        <v>182650.8971261853</v>
      </c>
      <c r="G42" s="285">
        <f t="shared" si="17"/>
        <v>164373.93925910763</v>
      </c>
      <c r="H42" s="285">
        <f t="shared" si="17"/>
        <v>147924.67717873774</v>
      </c>
      <c r="I42" s="285">
        <f t="shared" si="17"/>
        <v>133136.95672264762</v>
      </c>
      <c r="J42" s="285">
        <f t="shared" si="17"/>
        <v>119132.53446086083</v>
      </c>
      <c r="K42" s="285">
        <f t="shared" si="17"/>
        <v>105104.37589015576</v>
      </c>
      <c r="L42" s="285">
        <f t="shared" si="17"/>
        <v>91099.953628368967</v>
      </c>
      <c r="M42" s="285">
        <f t="shared" si="17"/>
        <v>77071.795057663898</v>
      </c>
      <c r="N42" s="285">
        <f t="shared" si="17"/>
        <v>63067.372795877112</v>
      </c>
      <c r="O42" s="285">
        <f t="shared" si="17"/>
        <v>49039.214225172043</v>
      </c>
      <c r="P42" s="285">
        <f t="shared" si="17"/>
        <v>35034.791963385258</v>
      </c>
      <c r="Q42" s="285">
        <f t="shared" si="17"/>
        <v>21006.633392680189</v>
      </c>
      <c r="R42" s="285">
        <f t="shared" si="17"/>
        <v>7002.2111308934036</v>
      </c>
      <c r="S42" s="285">
        <f t="shared" si="17"/>
        <v>-7002.2111308933818</v>
      </c>
      <c r="T42" s="285">
        <f t="shared" si="17"/>
        <v>-7002.2111308933818</v>
      </c>
      <c r="U42" s="285">
        <f t="shared" si="17"/>
        <v>-7002.2111308933818</v>
      </c>
      <c r="V42" s="285">
        <f t="shared" si="17"/>
        <v>-7002.2111308933818</v>
      </c>
      <c r="W42" s="2"/>
      <c r="X42" s="2"/>
      <c r="Y42" s="2"/>
    </row>
    <row r="43" spans="1:25" ht="12.75" customHeight="1" x14ac:dyDescent="0.25">
      <c r="A43" s="2" t="s">
        <v>162</v>
      </c>
      <c r="B43" s="286">
        <f t="shared" ref="B43:R43" si="18">VLOOKUP(B6,$X$21:$Y$36,2)</f>
        <v>0</v>
      </c>
      <c r="C43" s="286">
        <f t="shared" si="18"/>
        <v>0.05</v>
      </c>
      <c r="D43" s="286">
        <f t="shared" si="18"/>
        <v>9.5000000000000001E-2</v>
      </c>
      <c r="E43" s="286">
        <f t="shared" si="18"/>
        <v>8.5500000000000007E-2</v>
      </c>
      <c r="F43" s="286">
        <f t="shared" si="18"/>
        <v>7.6999999999999999E-2</v>
      </c>
      <c r="G43" s="286">
        <f t="shared" si="18"/>
        <v>6.93E-2</v>
      </c>
      <c r="H43" s="286">
        <f t="shared" si="18"/>
        <v>6.2300000000000001E-2</v>
      </c>
      <c r="I43" s="286">
        <f t="shared" si="18"/>
        <v>5.8999999999999997E-2</v>
      </c>
      <c r="J43" s="286">
        <f t="shared" si="18"/>
        <v>5.91E-2</v>
      </c>
      <c r="K43" s="286">
        <f t="shared" si="18"/>
        <v>5.8999999999999997E-2</v>
      </c>
      <c r="L43" s="286">
        <f t="shared" si="18"/>
        <v>5.91E-2</v>
      </c>
      <c r="M43" s="286">
        <f t="shared" si="18"/>
        <v>5.8999999999999997E-2</v>
      </c>
      <c r="N43" s="286">
        <f t="shared" si="18"/>
        <v>5.91E-2</v>
      </c>
      <c r="O43" s="286">
        <f t="shared" si="18"/>
        <v>5.8999999999999997E-2</v>
      </c>
      <c r="P43" s="286">
        <f t="shared" si="18"/>
        <v>5.91E-2</v>
      </c>
      <c r="Q43" s="286">
        <f t="shared" si="18"/>
        <v>5.8999999999999997E-2</v>
      </c>
      <c r="R43" s="286">
        <f t="shared" si="18"/>
        <v>5.8999999999999997E-2</v>
      </c>
      <c r="S43" s="286">
        <v>0</v>
      </c>
      <c r="T43" s="286">
        <v>0</v>
      </c>
      <c r="U43" s="286">
        <v>0</v>
      </c>
      <c r="V43" s="286">
        <v>0</v>
      </c>
      <c r="W43" s="2"/>
      <c r="X43" s="2"/>
      <c r="Y43" s="2"/>
    </row>
    <row r="44" spans="1:25" ht="12.75" customHeight="1" x14ac:dyDescent="0.25">
      <c r="A44" s="2" t="s">
        <v>164</v>
      </c>
      <c r="B44" s="257">
        <f t="shared" ref="B44:V44" si="19">$B$42*B43</f>
        <v>0</v>
      </c>
      <c r="C44" s="257">
        <f t="shared" si="19"/>
        <v>11868.154459141346</v>
      </c>
      <c r="D44" s="257">
        <f t="shared" si="19"/>
        <v>22549.493472368555</v>
      </c>
      <c r="E44" s="257">
        <f t="shared" si="19"/>
        <v>20294.544125131702</v>
      </c>
      <c r="F44" s="257">
        <f t="shared" si="19"/>
        <v>18276.957867077672</v>
      </c>
      <c r="G44" s="257">
        <f t="shared" si="19"/>
        <v>16449.262080369903</v>
      </c>
      <c r="H44" s="257">
        <f t="shared" si="19"/>
        <v>14787.720456090115</v>
      </c>
      <c r="I44" s="257">
        <f t="shared" si="19"/>
        <v>14004.422261786785</v>
      </c>
      <c r="J44" s="257">
        <f t="shared" si="19"/>
        <v>14028.158570705069</v>
      </c>
      <c r="K44" s="257">
        <f t="shared" si="19"/>
        <v>14004.422261786785</v>
      </c>
      <c r="L44" s="257">
        <f t="shared" si="19"/>
        <v>14028.158570705069</v>
      </c>
      <c r="M44" s="257">
        <f t="shared" si="19"/>
        <v>14004.422261786785</v>
      </c>
      <c r="N44" s="257">
        <f t="shared" si="19"/>
        <v>14028.158570705069</v>
      </c>
      <c r="O44" s="257">
        <f t="shared" si="19"/>
        <v>14004.422261786785</v>
      </c>
      <c r="P44" s="257">
        <f t="shared" si="19"/>
        <v>14028.158570705069</v>
      </c>
      <c r="Q44" s="257">
        <f t="shared" si="19"/>
        <v>14004.422261786785</v>
      </c>
      <c r="R44" s="257">
        <f t="shared" si="19"/>
        <v>14004.422261786785</v>
      </c>
      <c r="S44" s="257">
        <f t="shared" si="19"/>
        <v>0</v>
      </c>
      <c r="T44" s="257">
        <f t="shared" si="19"/>
        <v>0</v>
      </c>
      <c r="U44" s="257">
        <f t="shared" si="19"/>
        <v>0</v>
      </c>
      <c r="V44" s="257">
        <f t="shared" si="19"/>
        <v>0</v>
      </c>
      <c r="W44" s="2"/>
      <c r="X44" s="2"/>
      <c r="Y44" s="2"/>
    </row>
    <row r="45" spans="1:25" ht="12.75" customHeight="1" x14ac:dyDescent="0.25">
      <c r="A45" s="2" t="s">
        <v>171</v>
      </c>
      <c r="B45" s="169">
        <f t="shared" ref="B45:V45" si="20">B42-B44</f>
        <v>237363.08918282689</v>
      </c>
      <c r="C45" s="169">
        <f t="shared" si="20"/>
        <v>225494.93472368555</v>
      </c>
      <c r="D45" s="169">
        <f t="shared" si="20"/>
        <v>202945.44125131701</v>
      </c>
      <c r="E45" s="169">
        <f t="shared" si="20"/>
        <v>182650.8971261853</v>
      </c>
      <c r="F45" s="169">
        <f t="shared" si="20"/>
        <v>164373.93925910763</v>
      </c>
      <c r="G45" s="169">
        <f t="shared" si="20"/>
        <v>147924.67717873774</v>
      </c>
      <c r="H45" s="169">
        <f t="shared" si="20"/>
        <v>133136.95672264762</v>
      </c>
      <c r="I45" s="169">
        <f t="shared" si="20"/>
        <v>119132.53446086083</v>
      </c>
      <c r="J45" s="169">
        <f t="shared" si="20"/>
        <v>105104.37589015576</v>
      </c>
      <c r="K45" s="169">
        <f t="shared" si="20"/>
        <v>91099.953628368967</v>
      </c>
      <c r="L45" s="169">
        <f t="shared" si="20"/>
        <v>77071.795057663898</v>
      </c>
      <c r="M45" s="169">
        <f t="shared" si="20"/>
        <v>63067.372795877112</v>
      </c>
      <c r="N45" s="169">
        <f t="shared" si="20"/>
        <v>49039.214225172043</v>
      </c>
      <c r="O45" s="169">
        <f t="shared" si="20"/>
        <v>35034.791963385258</v>
      </c>
      <c r="P45" s="169">
        <f t="shared" si="20"/>
        <v>21006.633392680189</v>
      </c>
      <c r="Q45" s="169">
        <f t="shared" si="20"/>
        <v>7002.2111308934036</v>
      </c>
      <c r="R45" s="169">
        <f t="shared" si="20"/>
        <v>-7002.2111308933818</v>
      </c>
      <c r="S45" s="169">
        <f t="shared" si="20"/>
        <v>-7002.2111308933818</v>
      </c>
      <c r="T45" s="169">
        <f t="shared" si="20"/>
        <v>-7002.2111308933818</v>
      </c>
      <c r="U45" s="169">
        <f t="shared" si="20"/>
        <v>-7002.2111308933818</v>
      </c>
      <c r="V45" s="169">
        <f t="shared" si="20"/>
        <v>-7002.2111308933818</v>
      </c>
      <c r="W45" s="2"/>
      <c r="X45" s="2"/>
      <c r="Y45" s="2"/>
    </row>
    <row r="46" spans="1:25" ht="12.75" customHeight="1" x14ac:dyDescent="0.25">
      <c r="A46" s="2"/>
      <c r="B46" s="263"/>
      <c r="C46" s="263"/>
      <c r="D46" s="26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 x14ac:dyDescent="0.25">
      <c r="A47" s="284" t="s">
        <v>55</v>
      </c>
      <c r="B47" s="263"/>
      <c r="C47" s="263"/>
      <c r="D47" s="26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 x14ac:dyDescent="0.25">
      <c r="A48" s="2" t="s">
        <v>170</v>
      </c>
      <c r="B48" s="285">
        <f>'Summary Output'!$G$7*Allocation!$C$7</f>
        <v>217125.80092491247</v>
      </c>
      <c r="C48" s="285">
        <f t="shared" ref="C48:V48" si="21">B51</f>
        <v>217125.80092491247</v>
      </c>
      <c r="D48" s="285">
        <f t="shared" si="21"/>
        <v>206269.51087866686</v>
      </c>
      <c r="E48" s="285">
        <f t="shared" si="21"/>
        <v>185642.55979080018</v>
      </c>
      <c r="F48" s="285">
        <f t="shared" si="21"/>
        <v>167078.30381172016</v>
      </c>
      <c r="G48" s="285">
        <f t="shared" si="21"/>
        <v>150359.61714050191</v>
      </c>
      <c r="H48" s="285">
        <f t="shared" si="21"/>
        <v>135312.79913640549</v>
      </c>
      <c r="I48" s="285">
        <f t="shared" si="21"/>
        <v>121785.86173878344</v>
      </c>
      <c r="J48" s="285">
        <f t="shared" si="21"/>
        <v>108975.4394842136</v>
      </c>
      <c r="K48" s="285">
        <f t="shared" si="21"/>
        <v>96143.304649551268</v>
      </c>
      <c r="L48" s="285">
        <f t="shared" si="21"/>
        <v>83332.882394981425</v>
      </c>
      <c r="M48" s="285">
        <f t="shared" si="21"/>
        <v>70500.747560319098</v>
      </c>
      <c r="N48" s="285">
        <f t="shared" si="21"/>
        <v>57690.325305749262</v>
      </c>
      <c r="O48" s="285">
        <f t="shared" si="21"/>
        <v>44858.190471086935</v>
      </c>
      <c r="P48" s="285">
        <f t="shared" si="21"/>
        <v>32047.768216517099</v>
      </c>
      <c r="Q48" s="285">
        <f t="shared" si="21"/>
        <v>19215.633381854772</v>
      </c>
      <c r="R48" s="285">
        <f t="shared" si="21"/>
        <v>6405.2111272849361</v>
      </c>
      <c r="S48" s="285">
        <f t="shared" si="21"/>
        <v>-6405.2111272848997</v>
      </c>
      <c r="T48" s="285">
        <f t="shared" si="21"/>
        <v>-6405.2111272848997</v>
      </c>
      <c r="U48" s="285">
        <f t="shared" si="21"/>
        <v>-6405.2111272848997</v>
      </c>
      <c r="V48" s="285">
        <f t="shared" si="21"/>
        <v>-6405.2111272848997</v>
      </c>
      <c r="W48" s="2"/>
      <c r="X48" s="2"/>
      <c r="Y48" s="2"/>
    </row>
    <row r="49" spans="1:25" ht="12.75" customHeight="1" x14ac:dyDescent="0.25">
      <c r="A49" s="2" t="s">
        <v>162</v>
      </c>
      <c r="B49" s="286">
        <f t="shared" ref="B49:R49" si="22">VLOOKUP(B6,$X$21:$Y$36,2)</f>
        <v>0</v>
      </c>
      <c r="C49" s="286">
        <f t="shared" si="22"/>
        <v>0.05</v>
      </c>
      <c r="D49" s="286">
        <f t="shared" si="22"/>
        <v>9.5000000000000001E-2</v>
      </c>
      <c r="E49" s="286">
        <f t="shared" si="22"/>
        <v>8.5500000000000007E-2</v>
      </c>
      <c r="F49" s="286">
        <f t="shared" si="22"/>
        <v>7.6999999999999999E-2</v>
      </c>
      <c r="G49" s="286">
        <f t="shared" si="22"/>
        <v>6.93E-2</v>
      </c>
      <c r="H49" s="286">
        <f t="shared" si="22"/>
        <v>6.2300000000000001E-2</v>
      </c>
      <c r="I49" s="286">
        <f t="shared" si="22"/>
        <v>5.8999999999999997E-2</v>
      </c>
      <c r="J49" s="286">
        <f t="shared" si="22"/>
        <v>5.91E-2</v>
      </c>
      <c r="K49" s="286">
        <f t="shared" si="22"/>
        <v>5.8999999999999997E-2</v>
      </c>
      <c r="L49" s="286">
        <f t="shared" si="22"/>
        <v>5.91E-2</v>
      </c>
      <c r="M49" s="286">
        <f t="shared" si="22"/>
        <v>5.8999999999999997E-2</v>
      </c>
      <c r="N49" s="286">
        <f t="shared" si="22"/>
        <v>5.91E-2</v>
      </c>
      <c r="O49" s="286">
        <f t="shared" si="22"/>
        <v>5.8999999999999997E-2</v>
      </c>
      <c r="P49" s="286">
        <f t="shared" si="22"/>
        <v>5.91E-2</v>
      </c>
      <c r="Q49" s="286">
        <f t="shared" si="22"/>
        <v>5.8999999999999997E-2</v>
      </c>
      <c r="R49" s="286">
        <f t="shared" si="22"/>
        <v>5.8999999999999997E-2</v>
      </c>
      <c r="S49" s="286">
        <v>0</v>
      </c>
      <c r="T49" s="286">
        <v>0</v>
      </c>
      <c r="U49" s="286">
        <v>0</v>
      </c>
      <c r="V49" s="286">
        <v>0</v>
      </c>
      <c r="W49" s="2"/>
      <c r="X49" s="2"/>
      <c r="Y49" s="2"/>
    </row>
    <row r="50" spans="1:25" ht="12.75" customHeight="1" x14ac:dyDescent="0.25">
      <c r="A50" s="2" t="s">
        <v>164</v>
      </c>
      <c r="B50" s="257">
        <f t="shared" ref="B50:V50" si="23">$B$48*B49</f>
        <v>0</v>
      </c>
      <c r="C50" s="257">
        <f t="shared" si="23"/>
        <v>10856.290046245624</v>
      </c>
      <c r="D50" s="257">
        <f t="shared" si="23"/>
        <v>20626.951087866684</v>
      </c>
      <c r="E50" s="257">
        <f t="shared" si="23"/>
        <v>18564.255979080019</v>
      </c>
      <c r="F50" s="257">
        <f t="shared" si="23"/>
        <v>16718.68667121826</v>
      </c>
      <c r="G50" s="257">
        <f t="shared" si="23"/>
        <v>15046.818004096434</v>
      </c>
      <c r="H50" s="257">
        <f t="shared" si="23"/>
        <v>13526.937397622047</v>
      </c>
      <c r="I50" s="257">
        <f t="shared" si="23"/>
        <v>12810.422254569836</v>
      </c>
      <c r="J50" s="257">
        <f t="shared" si="23"/>
        <v>12832.134834662327</v>
      </c>
      <c r="K50" s="257">
        <f t="shared" si="23"/>
        <v>12810.422254569836</v>
      </c>
      <c r="L50" s="257">
        <f t="shared" si="23"/>
        <v>12832.134834662327</v>
      </c>
      <c r="M50" s="257">
        <f t="shared" si="23"/>
        <v>12810.422254569836</v>
      </c>
      <c r="N50" s="257">
        <f t="shared" si="23"/>
        <v>12832.134834662327</v>
      </c>
      <c r="O50" s="257">
        <f t="shared" si="23"/>
        <v>12810.422254569836</v>
      </c>
      <c r="P50" s="257">
        <f t="shared" si="23"/>
        <v>12832.134834662327</v>
      </c>
      <c r="Q50" s="257">
        <f t="shared" si="23"/>
        <v>12810.422254569836</v>
      </c>
      <c r="R50" s="257">
        <f t="shared" si="23"/>
        <v>12810.422254569836</v>
      </c>
      <c r="S50" s="257">
        <f t="shared" si="23"/>
        <v>0</v>
      </c>
      <c r="T50" s="257">
        <f t="shared" si="23"/>
        <v>0</v>
      </c>
      <c r="U50" s="257">
        <f t="shared" si="23"/>
        <v>0</v>
      </c>
      <c r="V50" s="257">
        <f t="shared" si="23"/>
        <v>0</v>
      </c>
      <c r="W50" s="2"/>
      <c r="X50" s="2"/>
      <c r="Y50" s="2"/>
    </row>
    <row r="51" spans="1:25" ht="12.75" customHeight="1" x14ac:dyDescent="0.25">
      <c r="A51" s="2" t="s">
        <v>171</v>
      </c>
      <c r="B51" s="169">
        <f t="shared" ref="B51:V51" si="24">B48-B50</f>
        <v>217125.80092491247</v>
      </c>
      <c r="C51" s="169">
        <f t="shared" si="24"/>
        <v>206269.51087866686</v>
      </c>
      <c r="D51" s="169">
        <f t="shared" si="24"/>
        <v>185642.55979080018</v>
      </c>
      <c r="E51" s="169">
        <f t="shared" si="24"/>
        <v>167078.30381172016</v>
      </c>
      <c r="F51" s="169">
        <f t="shared" si="24"/>
        <v>150359.61714050191</v>
      </c>
      <c r="G51" s="169">
        <f t="shared" si="24"/>
        <v>135312.79913640549</v>
      </c>
      <c r="H51" s="169">
        <f t="shared" si="24"/>
        <v>121785.86173878344</v>
      </c>
      <c r="I51" s="169">
        <f t="shared" si="24"/>
        <v>108975.4394842136</v>
      </c>
      <c r="J51" s="169">
        <f t="shared" si="24"/>
        <v>96143.304649551268</v>
      </c>
      <c r="K51" s="169">
        <f t="shared" si="24"/>
        <v>83332.882394981425</v>
      </c>
      <c r="L51" s="169">
        <f t="shared" si="24"/>
        <v>70500.747560319098</v>
      </c>
      <c r="M51" s="169">
        <f t="shared" si="24"/>
        <v>57690.325305749262</v>
      </c>
      <c r="N51" s="169">
        <f t="shared" si="24"/>
        <v>44858.190471086935</v>
      </c>
      <c r="O51" s="169">
        <f t="shared" si="24"/>
        <v>32047.768216517099</v>
      </c>
      <c r="P51" s="169">
        <f t="shared" si="24"/>
        <v>19215.633381854772</v>
      </c>
      <c r="Q51" s="169">
        <f t="shared" si="24"/>
        <v>6405.2111272849361</v>
      </c>
      <c r="R51" s="169">
        <f t="shared" si="24"/>
        <v>-6405.2111272848997</v>
      </c>
      <c r="S51" s="169">
        <f t="shared" si="24"/>
        <v>-6405.2111272848997</v>
      </c>
      <c r="T51" s="169">
        <f t="shared" si="24"/>
        <v>-6405.2111272848997</v>
      </c>
      <c r="U51" s="169">
        <f t="shared" si="24"/>
        <v>-6405.2111272848997</v>
      </c>
      <c r="V51" s="169">
        <f t="shared" si="24"/>
        <v>-6405.2111272848997</v>
      </c>
      <c r="W51" s="2"/>
      <c r="X51" s="2"/>
      <c r="Y51" s="2"/>
    </row>
    <row r="52" spans="1:25" ht="12.75" customHeight="1" x14ac:dyDescent="0.25">
      <c r="A52" s="2"/>
      <c r="B52" s="263"/>
      <c r="C52" s="263"/>
      <c r="D52" s="26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 x14ac:dyDescent="0.25">
      <c r="A53" s="284" t="s">
        <v>56</v>
      </c>
      <c r="B53" s="263"/>
      <c r="C53" s="263"/>
      <c r="D53" s="26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 x14ac:dyDescent="0.25">
      <c r="A54" s="2" t="s">
        <v>170</v>
      </c>
      <c r="B54" s="285">
        <f>'Summary Output'!$G$7*Allocation!$C$8</f>
        <v>349573.17687885091</v>
      </c>
      <c r="C54" s="169">
        <f t="shared" ref="C54:V54" si="25">B57</f>
        <v>349573.17687885091</v>
      </c>
      <c r="D54" s="169">
        <f t="shared" si="25"/>
        <v>332094.51803490834</v>
      </c>
      <c r="E54" s="169">
        <f t="shared" si="25"/>
        <v>298885.06623141747</v>
      </c>
      <c r="F54" s="169">
        <f t="shared" si="25"/>
        <v>268996.55960827571</v>
      </c>
      <c r="G54" s="169">
        <f t="shared" si="25"/>
        <v>242079.42498860418</v>
      </c>
      <c r="H54" s="169">
        <f t="shared" si="25"/>
        <v>217854.0038308998</v>
      </c>
      <c r="I54" s="169">
        <f t="shared" si="25"/>
        <v>196075.59491134741</v>
      </c>
      <c r="J54" s="169">
        <f t="shared" si="25"/>
        <v>175450.77747549521</v>
      </c>
      <c r="K54" s="169">
        <f t="shared" si="25"/>
        <v>154791.00272195513</v>
      </c>
      <c r="L54" s="169">
        <f t="shared" si="25"/>
        <v>134166.18528610293</v>
      </c>
      <c r="M54" s="169">
        <f t="shared" si="25"/>
        <v>113506.41053256285</v>
      </c>
      <c r="N54" s="169">
        <f t="shared" si="25"/>
        <v>92881.593096710654</v>
      </c>
      <c r="O54" s="169">
        <f t="shared" si="25"/>
        <v>72221.818343170569</v>
      </c>
      <c r="P54" s="169">
        <f t="shared" si="25"/>
        <v>51597.000907318368</v>
      </c>
      <c r="Q54" s="169">
        <f t="shared" si="25"/>
        <v>30937.22615377828</v>
      </c>
      <c r="R54" s="169">
        <f t="shared" si="25"/>
        <v>10312.408717926079</v>
      </c>
      <c r="S54" s="169">
        <f t="shared" si="25"/>
        <v>-10312.408717926122</v>
      </c>
      <c r="T54" s="169">
        <f t="shared" si="25"/>
        <v>-10312.408717926122</v>
      </c>
      <c r="U54" s="169">
        <f t="shared" si="25"/>
        <v>-10312.408717926122</v>
      </c>
      <c r="V54" s="169">
        <f t="shared" si="25"/>
        <v>-10312.408717926122</v>
      </c>
      <c r="W54" s="2"/>
      <c r="X54" s="2"/>
      <c r="Y54" s="2"/>
    </row>
    <row r="55" spans="1:25" ht="12.75" customHeight="1" x14ac:dyDescent="0.25">
      <c r="A55" s="2" t="s">
        <v>162</v>
      </c>
      <c r="B55" s="286">
        <f t="shared" ref="B55:R55" si="26">VLOOKUP(B6,$X$21:$Y$36,2)</f>
        <v>0</v>
      </c>
      <c r="C55" s="286">
        <f t="shared" si="26"/>
        <v>0.05</v>
      </c>
      <c r="D55" s="286">
        <f t="shared" si="26"/>
        <v>9.5000000000000001E-2</v>
      </c>
      <c r="E55" s="286">
        <f t="shared" si="26"/>
        <v>8.5500000000000007E-2</v>
      </c>
      <c r="F55" s="286">
        <f t="shared" si="26"/>
        <v>7.6999999999999999E-2</v>
      </c>
      <c r="G55" s="286">
        <f t="shared" si="26"/>
        <v>6.93E-2</v>
      </c>
      <c r="H55" s="286">
        <f t="shared" si="26"/>
        <v>6.2300000000000001E-2</v>
      </c>
      <c r="I55" s="286">
        <f t="shared" si="26"/>
        <v>5.8999999999999997E-2</v>
      </c>
      <c r="J55" s="286">
        <f t="shared" si="26"/>
        <v>5.91E-2</v>
      </c>
      <c r="K55" s="286">
        <f t="shared" si="26"/>
        <v>5.8999999999999997E-2</v>
      </c>
      <c r="L55" s="286">
        <f t="shared" si="26"/>
        <v>5.91E-2</v>
      </c>
      <c r="M55" s="286">
        <f t="shared" si="26"/>
        <v>5.8999999999999997E-2</v>
      </c>
      <c r="N55" s="286">
        <f t="shared" si="26"/>
        <v>5.91E-2</v>
      </c>
      <c r="O55" s="286">
        <f t="shared" si="26"/>
        <v>5.8999999999999997E-2</v>
      </c>
      <c r="P55" s="286">
        <f t="shared" si="26"/>
        <v>5.91E-2</v>
      </c>
      <c r="Q55" s="286">
        <f t="shared" si="26"/>
        <v>5.8999999999999997E-2</v>
      </c>
      <c r="R55" s="286">
        <f t="shared" si="26"/>
        <v>5.8999999999999997E-2</v>
      </c>
      <c r="S55" s="286">
        <v>0</v>
      </c>
      <c r="T55" s="286">
        <v>0</v>
      </c>
      <c r="U55" s="286">
        <v>0</v>
      </c>
      <c r="V55" s="286">
        <v>0</v>
      </c>
      <c r="W55" s="2"/>
      <c r="X55" s="2"/>
      <c r="Y55" s="2"/>
    </row>
    <row r="56" spans="1:25" ht="12.75" customHeight="1" x14ac:dyDescent="0.25">
      <c r="A56" s="2" t="s">
        <v>164</v>
      </c>
      <c r="B56" s="257">
        <f t="shared" ref="B56:V56" si="27">$B$54*B55</f>
        <v>0</v>
      </c>
      <c r="C56" s="257">
        <f t="shared" si="27"/>
        <v>17478.658843942547</v>
      </c>
      <c r="D56" s="257">
        <f t="shared" si="27"/>
        <v>33209.45180349084</v>
      </c>
      <c r="E56" s="257">
        <f t="shared" si="27"/>
        <v>29888.506623141755</v>
      </c>
      <c r="F56" s="257">
        <f t="shared" si="27"/>
        <v>26917.13461967152</v>
      </c>
      <c r="G56" s="257">
        <f t="shared" si="27"/>
        <v>24225.421157704368</v>
      </c>
      <c r="H56" s="257">
        <f t="shared" si="27"/>
        <v>21778.40891955241</v>
      </c>
      <c r="I56" s="257">
        <f t="shared" si="27"/>
        <v>20624.817435852201</v>
      </c>
      <c r="J56" s="257">
        <f t="shared" si="27"/>
        <v>20659.774753540089</v>
      </c>
      <c r="K56" s="257">
        <f t="shared" si="27"/>
        <v>20624.817435852201</v>
      </c>
      <c r="L56" s="257">
        <f t="shared" si="27"/>
        <v>20659.774753540089</v>
      </c>
      <c r="M56" s="257">
        <f t="shared" si="27"/>
        <v>20624.817435852201</v>
      </c>
      <c r="N56" s="257">
        <f t="shared" si="27"/>
        <v>20659.774753540089</v>
      </c>
      <c r="O56" s="257">
        <f t="shared" si="27"/>
        <v>20624.817435852201</v>
      </c>
      <c r="P56" s="257">
        <f t="shared" si="27"/>
        <v>20659.774753540089</v>
      </c>
      <c r="Q56" s="257">
        <f t="shared" si="27"/>
        <v>20624.817435852201</v>
      </c>
      <c r="R56" s="257">
        <f t="shared" si="27"/>
        <v>20624.817435852201</v>
      </c>
      <c r="S56" s="257">
        <f t="shared" si="27"/>
        <v>0</v>
      </c>
      <c r="T56" s="257">
        <f t="shared" si="27"/>
        <v>0</v>
      </c>
      <c r="U56" s="257">
        <f t="shared" si="27"/>
        <v>0</v>
      </c>
      <c r="V56" s="257">
        <f t="shared" si="27"/>
        <v>0</v>
      </c>
      <c r="W56" s="2"/>
      <c r="X56" s="2"/>
      <c r="Y56" s="2"/>
    </row>
    <row r="57" spans="1:25" ht="12.75" customHeight="1" x14ac:dyDescent="0.25">
      <c r="A57" s="2" t="s">
        <v>171</v>
      </c>
      <c r="B57" s="169">
        <f t="shared" ref="B57:V57" si="28">B54-B56</f>
        <v>349573.17687885091</v>
      </c>
      <c r="C57" s="169">
        <f t="shared" si="28"/>
        <v>332094.51803490834</v>
      </c>
      <c r="D57" s="169">
        <f t="shared" si="28"/>
        <v>298885.06623141747</v>
      </c>
      <c r="E57" s="169">
        <f t="shared" si="28"/>
        <v>268996.55960827571</v>
      </c>
      <c r="F57" s="169">
        <f t="shared" si="28"/>
        <v>242079.42498860418</v>
      </c>
      <c r="G57" s="169">
        <f t="shared" si="28"/>
        <v>217854.0038308998</v>
      </c>
      <c r="H57" s="169">
        <f t="shared" si="28"/>
        <v>196075.59491134741</v>
      </c>
      <c r="I57" s="169">
        <f t="shared" si="28"/>
        <v>175450.77747549521</v>
      </c>
      <c r="J57" s="169">
        <f t="shared" si="28"/>
        <v>154791.00272195513</v>
      </c>
      <c r="K57" s="169">
        <f t="shared" si="28"/>
        <v>134166.18528610293</v>
      </c>
      <c r="L57" s="169">
        <f t="shared" si="28"/>
        <v>113506.41053256285</v>
      </c>
      <c r="M57" s="169">
        <f t="shared" si="28"/>
        <v>92881.593096710654</v>
      </c>
      <c r="N57" s="169">
        <f t="shared" si="28"/>
        <v>72221.818343170569</v>
      </c>
      <c r="O57" s="169">
        <f t="shared" si="28"/>
        <v>51597.000907318368</v>
      </c>
      <c r="P57" s="169">
        <f t="shared" si="28"/>
        <v>30937.22615377828</v>
      </c>
      <c r="Q57" s="169">
        <f t="shared" si="28"/>
        <v>10312.408717926079</v>
      </c>
      <c r="R57" s="169">
        <f t="shared" si="28"/>
        <v>-10312.408717926122</v>
      </c>
      <c r="S57" s="169">
        <f t="shared" si="28"/>
        <v>-10312.408717926122</v>
      </c>
      <c r="T57" s="169">
        <f t="shared" si="28"/>
        <v>-10312.408717926122</v>
      </c>
      <c r="U57" s="169">
        <f t="shared" si="28"/>
        <v>-10312.408717926122</v>
      </c>
      <c r="V57" s="169">
        <f t="shared" si="28"/>
        <v>-10312.408717926122</v>
      </c>
      <c r="W57" s="2"/>
      <c r="X57" s="2"/>
      <c r="Y57" s="2"/>
    </row>
    <row r="58" spans="1:25" ht="12.75" customHeight="1" x14ac:dyDescent="0.25">
      <c r="A58" s="2"/>
      <c r="B58" s="263"/>
      <c r="C58" s="263"/>
      <c r="D58" s="26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 x14ac:dyDescent="0.25">
      <c r="A59" s="284" t="s">
        <v>167</v>
      </c>
      <c r="B59" s="263"/>
      <c r="C59" s="263"/>
      <c r="D59" s="26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 x14ac:dyDescent="0.25">
      <c r="A60" s="2" t="s">
        <v>170</v>
      </c>
      <c r="B60" s="169">
        <f>SUM(B42,B48,B54)</f>
        <v>804062.06698659027</v>
      </c>
      <c r="C60" s="169">
        <f t="shared" ref="C60:V60" si="29">B62</f>
        <v>804062.06698659027</v>
      </c>
      <c r="D60" s="169">
        <f t="shared" si="29"/>
        <v>763858.96363726072</v>
      </c>
      <c r="E60" s="169">
        <f t="shared" si="29"/>
        <v>687473.0672735346</v>
      </c>
      <c r="F60" s="169">
        <f t="shared" si="29"/>
        <v>618725.76054618112</v>
      </c>
      <c r="G60" s="169">
        <f t="shared" si="29"/>
        <v>556812.9813882137</v>
      </c>
      <c r="H60" s="169">
        <f t="shared" si="29"/>
        <v>501091.480146043</v>
      </c>
      <c r="I60" s="169">
        <f t="shared" si="29"/>
        <v>450998.41337277845</v>
      </c>
      <c r="J60" s="169">
        <f t="shared" si="29"/>
        <v>403558.75142056961</v>
      </c>
      <c r="K60" s="169">
        <f t="shared" si="29"/>
        <v>356038.68326166214</v>
      </c>
      <c r="L60" s="169">
        <f t="shared" si="29"/>
        <v>308599.0213094533</v>
      </c>
      <c r="M60" s="169">
        <f t="shared" si="29"/>
        <v>261078.95315054583</v>
      </c>
      <c r="N60" s="169">
        <f t="shared" si="29"/>
        <v>213639.29119833701</v>
      </c>
      <c r="O60" s="169">
        <f t="shared" si="29"/>
        <v>166119.22303942952</v>
      </c>
      <c r="P60" s="169">
        <f t="shared" si="29"/>
        <v>118679.5610872207</v>
      </c>
      <c r="Q60" s="169">
        <f t="shared" si="29"/>
        <v>71159.492928313222</v>
      </c>
      <c r="R60" s="169">
        <f t="shared" si="29"/>
        <v>23719.8309761044</v>
      </c>
      <c r="S60" s="169">
        <f t="shared" si="29"/>
        <v>-23719.830976104422</v>
      </c>
      <c r="T60" s="169">
        <f t="shared" si="29"/>
        <v>-23719.830976104422</v>
      </c>
      <c r="U60" s="169">
        <f t="shared" si="29"/>
        <v>-23719.830976104422</v>
      </c>
      <c r="V60" s="169">
        <f t="shared" si="29"/>
        <v>-23719.830976104422</v>
      </c>
      <c r="W60" s="2"/>
      <c r="X60" s="2"/>
      <c r="Y60" s="2"/>
    </row>
    <row r="61" spans="1:25" ht="12.75" customHeight="1" x14ac:dyDescent="0.25">
      <c r="A61" s="2" t="s">
        <v>164</v>
      </c>
      <c r="B61" s="257">
        <f t="shared" ref="B61:V61" si="30">SUM(B44,B50,B56)</f>
        <v>0</v>
      </c>
      <c r="C61" s="257">
        <f t="shared" si="30"/>
        <v>40203.103349329518</v>
      </c>
      <c r="D61" s="257">
        <f t="shared" si="30"/>
        <v>76385.896363726075</v>
      </c>
      <c r="E61" s="257">
        <f t="shared" si="30"/>
        <v>68747.306727353483</v>
      </c>
      <c r="F61" s="257">
        <f t="shared" si="30"/>
        <v>61912.779157967452</v>
      </c>
      <c r="G61" s="257">
        <f t="shared" si="30"/>
        <v>55721.501242170707</v>
      </c>
      <c r="H61" s="257">
        <f t="shared" si="30"/>
        <v>50093.066773264567</v>
      </c>
      <c r="I61" s="257">
        <f t="shared" si="30"/>
        <v>47439.661952208822</v>
      </c>
      <c r="J61" s="257">
        <f t="shared" si="30"/>
        <v>47520.068158907481</v>
      </c>
      <c r="K61" s="257">
        <f t="shared" si="30"/>
        <v>47439.661952208822</v>
      </c>
      <c r="L61" s="257">
        <f t="shared" si="30"/>
        <v>47520.068158907481</v>
      </c>
      <c r="M61" s="257">
        <f t="shared" si="30"/>
        <v>47439.661952208822</v>
      </c>
      <c r="N61" s="257">
        <f t="shared" si="30"/>
        <v>47520.068158907481</v>
      </c>
      <c r="O61" s="257">
        <f t="shared" si="30"/>
        <v>47439.661952208822</v>
      </c>
      <c r="P61" s="257">
        <f t="shared" si="30"/>
        <v>47520.068158907481</v>
      </c>
      <c r="Q61" s="257">
        <f t="shared" si="30"/>
        <v>47439.661952208822</v>
      </c>
      <c r="R61" s="257">
        <f t="shared" si="30"/>
        <v>47439.661952208822</v>
      </c>
      <c r="S61" s="257">
        <f t="shared" si="30"/>
        <v>0</v>
      </c>
      <c r="T61" s="257">
        <f t="shared" si="30"/>
        <v>0</v>
      </c>
      <c r="U61" s="257">
        <f t="shared" si="30"/>
        <v>0</v>
      </c>
      <c r="V61" s="257">
        <f t="shared" si="30"/>
        <v>0</v>
      </c>
      <c r="W61" s="2"/>
      <c r="X61" s="2"/>
      <c r="Y61" s="2"/>
    </row>
    <row r="62" spans="1:25" ht="12.75" customHeight="1" x14ac:dyDescent="0.25">
      <c r="A62" s="2" t="s">
        <v>171</v>
      </c>
      <c r="B62" s="169">
        <f t="shared" ref="B62:V62" si="31">B60-B61</f>
        <v>804062.06698659027</v>
      </c>
      <c r="C62" s="169">
        <f t="shared" si="31"/>
        <v>763858.96363726072</v>
      </c>
      <c r="D62" s="169">
        <f t="shared" si="31"/>
        <v>687473.0672735346</v>
      </c>
      <c r="E62" s="169">
        <f t="shared" si="31"/>
        <v>618725.76054618112</v>
      </c>
      <c r="F62" s="169">
        <f t="shared" si="31"/>
        <v>556812.9813882137</v>
      </c>
      <c r="G62" s="169">
        <f t="shared" si="31"/>
        <v>501091.480146043</v>
      </c>
      <c r="H62" s="169">
        <f t="shared" si="31"/>
        <v>450998.41337277845</v>
      </c>
      <c r="I62" s="169">
        <f t="shared" si="31"/>
        <v>403558.75142056961</v>
      </c>
      <c r="J62" s="169">
        <f t="shared" si="31"/>
        <v>356038.68326166214</v>
      </c>
      <c r="K62" s="169">
        <f t="shared" si="31"/>
        <v>308599.0213094533</v>
      </c>
      <c r="L62" s="169">
        <f t="shared" si="31"/>
        <v>261078.95315054583</v>
      </c>
      <c r="M62" s="169">
        <f t="shared" si="31"/>
        <v>213639.29119833701</v>
      </c>
      <c r="N62" s="169">
        <f t="shared" si="31"/>
        <v>166119.22303942952</v>
      </c>
      <c r="O62" s="169">
        <f t="shared" si="31"/>
        <v>118679.5610872207</v>
      </c>
      <c r="P62" s="169">
        <f t="shared" si="31"/>
        <v>71159.492928313222</v>
      </c>
      <c r="Q62" s="169">
        <f t="shared" si="31"/>
        <v>23719.8309761044</v>
      </c>
      <c r="R62" s="169">
        <f t="shared" si="31"/>
        <v>-23719.830976104422</v>
      </c>
      <c r="S62" s="169">
        <f t="shared" si="31"/>
        <v>-23719.830976104422</v>
      </c>
      <c r="T62" s="169">
        <f t="shared" si="31"/>
        <v>-23719.830976104422</v>
      </c>
      <c r="U62" s="169">
        <f t="shared" si="31"/>
        <v>-23719.830976104422</v>
      </c>
      <c r="V62" s="169">
        <f t="shared" si="31"/>
        <v>-23719.830976104422</v>
      </c>
      <c r="W62" s="2"/>
      <c r="X62" s="2"/>
      <c r="Y62" s="2"/>
    </row>
    <row r="63" spans="1:25" ht="12.75" customHeight="1" x14ac:dyDescent="0.25">
      <c r="A63" s="2"/>
      <c r="B63" s="263"/>
      <c r="C63" s="263"/>
      <c r="D63" s="26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 x14ac:dyDescent="0.25">
      <c r="A64" s="2"/>
      <c r="B64" s="263"/>
      <c r="C64" s="263"/>
      <c r="D64" s="26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 x14ac:dyDescent="0.25">
      <c r="A65" s="2"/>
      <c r="B65" s="263"/>
      <c r="C65" s="263"/>
      <c r="D65" s="26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 x14ac:dyDescent="0.25">
      <c r="A66" s="165" t="s">
        <v>172</v>
      </c>
      <c r="B66" s="287"/>
      <c r="C66" s="287">
        <f t="shared" ref="C66:V66" si="32">C61</f>
        <v>40203.103349329518</v>
      </c>
      <c r="D66" s="287">
        <f t="shared" si="32"/>
        <v>76385.896363726075</v>
      </c>
      <c r="E66" s="287">
        <f t="shared" si="32"/>
        <v>68747.306727353483</v>
      </c>
      <c r="F66" s="287">
        <f t="shared" si="32"/>
        <v>61912.779157967452</v>
      </c>
      <c r="G66" s="287">
        <f t="shared" si="32"/>
        <v>55721.501242170707</v>
      </c>
      <c r="H66" s="287">
        <f t="shared" si="32"/>
        <v>50093.066773264567</v>
      </c>
      <c r="I66" s="287">
        <f t="shared" si="32"/>
        <v>47439.661952208822</v>
      </c>
      <c r="J66" s="287">
        <f t="shared" si="32"/>
        <v>47520.068158907481</v>
      </c>
      <c r="K66" s="287">
        <f t="shared" si="32"/>
        <v>47439.661952208822</v>
      </c>
      <c r="L66" s="287">
        <f t="shared" si="32"/>
        <v>47520.068158907481</v>
      </c>
      <c r="M66" s="287">
        <f t="shared" si="32"/>
        <v>47439.661952208822</v>
      </c>
      <c r="N66" s="287">
        <f t="shared" si="32"/>
        <v>47520.068158907481</v>
      </c>
      <c r="O66" s="287">
        <f t="shared" si="32"/>
        <v>47439.661952208822</v>
      </c>
      <c r="P66" s="287">
        <f t="shared" si="32"/>
        <v>47520.068158907481</v>
      </c>
      <c r="Q66" s="287">
        <f t="shared" si="32"/>
        <v>47439.661952208822</v>
      </c>
      <c r="R66" s="287">
        <f t="shared" si="32"/>
        <v>47439.661952208822</v>
      </c>
      <c r="S66" s="287">
        <f t="shared" si="32"/>
        <v>0</v>
      </c>
      <c r="T66" s="287">
        <f t="shared" si="32"/>
        <v>0</v>
      </c>
      <c r="U66" s="287">
        <f t="shared" si="32"/>
        <v>0</v>
      </c>
      <c r="V66" s="287">
        <f t="shared" si="32"/>
        <v>0</v>
      </c>
      <c r="W66" s="2"/>
      <c r="X66" s="2"/>
      <c r="Y66" s="2"/>
    </row>
    <row r="67" spans="1:25" ht="12.75" customHeight="1" x14ac:dyDescent="0.25">
      <c r="A67" s="288" t="s">
        <v>173</v>
      </c>
      <c r="B67" s="289"/>
      <c r="C67" s="289">
        <f>SUM(Gleason!B73,Wheatland!B75,Wilton!B67)</f>
        <v>-40203.103349329518</v>
      </c>
      <c r="D67" s="289">
        <f>SUM(Gleason!C73,Wheatland!C75,Wilton!C67)</f>
        <v>-76385.896363726075</v>
      </c>
      <c r="E67" s="289">
        <f>SUM(Gleason!D73,Wheatland!D75,Wilton!D67)</f>
        <v>-68747.306727353483</v>
      </c>
      <c r="F67" s="289">
        <f>SUM(Gleason!E73,Wheatland!E75,Wilton!E67)</f>
        <v>-61912.779157967452</v>
      </c>
      <c r="G67" s="289">
        <f>SUM(Gleason!F73,Wheatland!F75,Wilton!F67)</f>
        <v>-55721.501242170707</v>
      </c>
      <c r="H67" s="289">
        <f>SUM(Gleason!G73,Wheatland!G75,Wilton!G67)</f>
        <v>-50093.066773264567</v>
      </c>
      <c r="I67" s="289">
        <f>SUM(Gleason!H73,Wheatland!H75,Wilton!H67)</f>
        <v>-47439.661952208822</v>
      </c>
      <c r="J67" s="289">
        <f>SUM(Gleason!I73,Wheatland!I75,Wilton!I67)</f>
        <v>-47520.068158907481</v>
      </c>
      <c r="K67" s="289">
        <f>SUM(Gleason!J73,Wheatland!J75,Wilton!J67)</f>
        <v>-47439.661952208822</v>
      </c>
      <c r="L67" s="289">
        <f>SUM(Gleason!K73,Wheatland!K75,Wilton!K67)</f>
        <v>-47520.068158907481</v>
      </c>
      <c r="M67" s="289">
        <f>SUM(Gleason!L73,Wheatland!L75,Wilton!L67)</f>
        <v>-47439.661952208822</v>
      </c>
      <c r="N67" s="289">
        <f>SUM(Gleason!M73,Wheatland!M75,Wilton!M67)</f>
        <v>-47520.068158907481</v>
      </c>
      <c r="O67" s="289">
        <f>SUM(Gleason!N73,Wheatland!N75,Wilton!N67)</f>
        <v>-47439.661952208822</v>
      </c>
      <c r="P67" s="289">
        <f>SUM(Gleason!O73,Wheatland!O75,Wilton!O67)</f>
        <v>-47520.068158907481</v>
      </c>
      <c r="Q67" s="289">
        <f>SUM(Gleason!P73,Wheatland!P75,Wilton!P67)</f>
        <v>-47439.661952208822</v>
      </c>
      <c r="R67" s="289">
        <f>SUM(Gleason!Q73,Wheatland!Q75,Wilton!Q67)</f>
        <v>-47439.661952208822</v>
      </c>
      <c r="S67" s="289">
        <f>SUM(Gleason!R73,Wheatland!R75,Wilton!R67)</f>
        <v>0</v>
      </c>
      <c r="T67" s="289">
        <f>SUM(Gleason!S73,Wheatland!S75,Wilton!S67)</f>
        <v>0</v>
      </c>
      <c r="U67" s="289">
        <f>SUM(Gleason!T73,Wheatland!T75,Wilton!T67)</f>
        <v>0</v>
      </c>
      <c r="V67" s="289">
        <f>SUM(Gleason!U73,Wheatland!U75,Wilton!U67)</f>
        <v>0</v>
      </c>
      <c r="W67" s="2"/>
      <c r="X67" s="2"/>
      <c r="Y67" s="2"/>
    </row>
    <row r="68" spans="1:25" ht="12.75" customHeight="1" x14ac:dyDescent="0.25">
      <c r="A68" s="165" t="s">
        <v>174</v>
      </c>
      <c r="B68" s="287"/>
      <c r="C68" s="287">
        <f t="shared" ref="C68:V68" si="33">C66+C67</f>
        <v>0</v>
      </c>
      <c r="D68" s="287">
        <f t="shared" si="33"/>
        <v>0</v>
      </c>
      <c r="E68" s="287">
        <f t="shared" si="33"/>
        <v>0</v>
      </c>
      <c r="F68" s="287">
        <f t="shared" si="33"/>
        <v>0</v>
      </c>
      <c r="G68" s="287">
        <f t="shared" si="33"/>
        <v>0</v>
      </c>
      <c r="H68" s="287">
        <f t="shared" si="33"/>
        <v>0</v>
      </c>
      <c r="I68" s="287">
        <f t="shared" si="33"/>
        <v>0</v>
      </c>
      <c r="J68" s="287">
        <f t="shared" si="33"/>
        <v>0</v>
      </c>
      <c r="K68" s="287">
        <f t="shared" si="33"/>
        <v>0</v>
      </c>
      <c r="L68" s="287">
        <f t="shared" si="33"/>
        <v>0</v>
      </c>
      <c r="M68" s="287">
        <f t="shared" si="33"/>
        <v>0</v>
      </c>
      <c r="N68" s="287">
        <f t="shared" si="33"/>
        <v>0</v>
      </c>
      <c r="O68" s="287">
        <f t="shared" si="33"/>
        <v>0</v>
      </c>
      <c r="P68" s="287">
        <f t="shared" si="33"/>
        <v>0</v>
      </c>
      <c r="Q68" s="287">
        <f t="shared" si="33"/>
        <v>0</v>
      </c>
      <c r="R68" s="287">
        <f t="shared" si="33"/>
        <v>0</v>
      </c>
      <c r="S68" s="287">
        <f t="shared" si="33"/>
        <v>0</v>
      </c>
      <c r="T68" s="287">
        <f t="shared" si="33"/>
        <v>0</v>
      </c>
      <c r="U68" s="287">
        <f t="shared" si="33"/>
        <v>0</v>
      </c>
      <c r="V68" s="287">
        <f t="shared" si="33"/>
        <v>0</v>
      </c>
      <c r="W68" s="2"/>
      <c r="X68" s="2"/>
      <c r="Y68" s="2"/>
    </row>
  </sheetData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25"/>
  <sheetViews>
    <sheetView workbookViewId="0"/>
  </sheetViews>
  <sheetFormatPr defaultRowHeight="13.2" x14ac:dyDescent="0.25"/>
  <cols>
    <col min="1" max="1" width="31.5546875" customWidth="1"/>
    <col min="2" max="14" width="8.33203125" customWidth="1"/>
    <col min="15" max="21" width="8.6640625" customWidth="1"/>
    <col min="23" max="24" width="10.88671875" customWidth="1"/>
    <col min="25" max="25" width="4.6640625" customWidth="1"/>
  </cols>
  <sheetData>
    <row r="1" spans="1:25" ht="12.75" customHeight="1" x14ac:dyDescent="0.25"/>
    <row r="2" spans="1:25" ht="18" customHeight="1" x14ac:dyDescent="0.3">
      <c r="A2" s="290" t="s">
        <v>175</v>
      </c>
      <c r="B2" s="290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91"/>
      <c r="W2" s="291"/>
      <c r="X2" s="4"/>
      <c r="Y2" s="4"/>
    </row>
    <row r="3" spans="1:25" ht="12.75" customHeight="1" x14ac:dyDescent="0.25">
      <c r="A3" s="292"/>
      <c r="B3" s="293"/>
      <c r="C3" s="293"/>
      <c r="D3" s="293"/>
      <c r="E3" s="293"/>
      <c r="F3" s="293"/>
      <c r="G3" s="294"/>
      <c r="H3" s="293"/>
      <c r="I3" s="293"/>
      <c r="J3" s="293"/>
      <c r="K3" s="293"/>
      <c r="L3" s="293"/>
      <c r="M3" s="294"/>
      <c r="N3" s="293"/>
      <c r="O3" s="293"/>
      <c r="P3" s="293"/>
      <c r="Q3" s="293"/>
      <c r="R3" s="293"/>
      <c r="S3" s="294"/>
      <c r="T3" s="293"/>
      <c r="U3" s="293"/>
      <c r="V3" s="295"/>
      <c r="W3" s="295"/>
      <c r="X3" s="4"/>
      <c r="Y3" s="4"/>
    </row>
    <row r="4" spans="1:25" ht="12.75" customHeight="1" x14ac:dyDescent="0.25">
      <c r="A4" s="241"/>
      <c r="B4" s="296">
        <v>3</v>
      </c>
      <c r="C4" s="296">
        <v>4</v>
      </c>
      <c r="D4" s="296">
        <v>5</v>
      </c>
      <c r="E4" s="297">
        <v>6</v>
      </c>
      <c r="F4" s="296">
        <v>7</v>
      </c>
      <c r="G4" s="296">
        <v>8</v>
      </c>
      <c r="H4" s="296">
        <v>9</v>
      </c>
      <c r="I4" s="296">
        <v>10</v>
      </c>
      <c r="J4" s="296">
        <v>11</v>
      </c>
      <c r="K4" s="297">
        <v>12</v>
      </c>
      <c r="L4" s="296">
        <v>13</v>
      </c>
      <c r="M4" s="296">
        <v>14</v>
      </c>
      <c r="N4" s="296">
        <v>15</v>
      </c>
      <c r="O4" s="296">
        <v>16</v>
      </c>
      <c r="P4" s="296">
        <v>17</v>
      </c>
      <c r="Q4" s="297">
        <v>18</v>
      </c>
      <c r="R4" s="296">
        <v>19</v>
      </c>
      <c r="S4" s="296">
        <v>20</v>
      </c>
      <c r="T4" s="296">
        <v>21</v>
      </c>
      <c r="U4" s="296">
        <v>22</v>
      </c>
      <c r="V4" s="298"/>
      <c r="W4" s="295"/>
      <c r="X4" s="4"/>
      <c r="Y4" s="4"/>
    </row>
    <row r="5" spans="1:25" ht="13.5" customHeight="1" thickBot="1" x14ac:dyDescent="0.3">
      <c r="A5" s="151" t="s">
        <v>99</v>
      </c>
      <c r="B5" s="152">
        <v>2001</v>
      </c>
      <c r="C5" s="152">
        <v>2002</v>
      </c>
      <c r="D5" s="152">
        <v>2003</v>
      </c>
      <c r="E5" s="152">
        <v>2004</v>
      </c>
      <c r="F5" s="152">
        <v>2005</v>
      </c>
      <c r="G5" s="152">
        <v>2006</v>
      </c>
      <c r="H5" s="152">
        <v>2007</v>
      </c>
      <c r="I5" s="152">
        <v>2008</v>
      </c>
      <c r="J5" s="152">
        <v>2009</v>
      </c>
      <c r="K5" s="152">
        <v>2010</v>
      </c>
      <c r="L5" s="152">
        <v>2011</v>
      </c>
      <c r="M5" s="152">
        <v>2012</v>
      </c>
      <c r="N5" s="152">
        <v>2013</v>
      </c>
      <c r="O5" s="152">
        <v>2014</v>
      </c>
      <c r="P5" s="152">
        <v>2015</v>
      </c>
      <c r="Q5" s="152">
        <v>2016</v>
      </c>
      <c r="R5" s="152">
        <v>2017</v>
      </c>
      <c r="S5" s="152">
        <v>2018</v>
      </c>
      <c r="T5" s="152">
        <v>2019</v>
      </c>
      <c r="U5" s="152">
        <v>2020</v>
      </c>
      <c r="V5" s="4"/>
      <c r="W5" s="4"/>
      <c r="X5" s="4"/>
      <c r="Y5" s="4"/>
    </row>
    <row r="6" spans="1:25" ht="12.75" customHeight="1" x14ac:dyDescent="0.25">
      <c r="A6" s="241"/>
      <c r="B6" s="299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4"/>
    </row>
    <row r="7" spans="1:25" ht="12.75" customHeight="1" x14ac:dyDescent="0.25">
      <c r="A7" s="300" t="s">
        <v>176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301"/>
      <c r="W7" s="301"/>
      <c r="X7" s="4"/>
      <c r="Y7" s="4"/>
    </row>
    <row r="8" spans="1:25" ht="13.5" customHeight="1" thickBot="1" x14ac:dyDescent="0.3">
      <c r="A8" s="40" t="s">
        <v>177</v>
      </c>
      <c r="B8" s="302">
        <f>SUM(Wheatland!B89,Wilton!B79,Gleason!B85)</f>
        <v>1897.7950809276299</v>
      </c>
      <c r="C8" s="302">
        <f>SUM(Wheatland!C89,Wilton!C79,Gleason!C85)</f>
        <v>559.75601199144899</v>
      </c>
      <c r="D8" s="302">
        <f>SUM(Wheatland!D89,Wilton!D79,Gleason!D85)</f>
        <v>1065.6152125351014</v>
      </c>
      <c r="E8" s="302">
        <f>SUM(Wheatland!E89,Wilton!E79,Gleason!E85)</f>
        <v>1568.8159887340789</v>
      </c>
      <c r="F8" s="302">
        <f>SUM(Wheatland!F89,Wilton!F79,Gleason!F85)</f>
        <v>2663.2041645378704</v>
      </c>
      <c r="G8" s="302">
        <f>SUM(Wheatland!G89,Wilton!G79,Gleason!G85)</f>
        <v>3403.4279412702031</v>
      </c>
      <c r="H8" s="302">
        <f>SUM(Wheatland!H89,Wilton!H79,Gleason!H85)</f>
        <v>3812.0763287999171</v>
      </c>
      <c r="I8" s="302">
        <f>SUM(Wheatland!I89,Wilton!I79,Gleason!I85)</f>
        <v>4058.942412258938</v>
      </c>
      <c r="J8" s="302">
        <f>SUM(Wheatland!J89,Wilton!J79,Gleason!J85)</f>
        <v>4343.4100294097507</v>
      </c>
      <c r="K8" s="302">
        <f>SUM(Wheatland!K89,Wilton!K79,Gleason!K85)</f>
        <v>4627.3187295237276</v>
      </c>
      <c r="L8" s="302">
        <f>SUM(Wheatland!L89,Wilton!L79,Gleason!L85)</f>
        <v>4901.7749264784834</v>
      </c>
      <c r="M8" s="302">
        <f>SUM(Wheatland!M89,Wilton!M79,Gleason!M85)</f>
        <v>5186.4416440741415</v>
      </c>
      <c r="N8" s="302">
        <f>SUM(Wheatland!N89,Wilton!N79,Gleason!N85)</f>
        <v>5481.8246425801881</v>
      </c>
      <c r="O8" s="302">
        <f>SUM(Wheatland!O89,Wilton!O79,Gleason!O85)</f>
        <v>5797.5311718730918</v>
      </c>
      <c r="P8" s="302">
        <f>SUM(Wheatland!P89,Wilton!P79,Gleason!P85)</f>
        <v>6112.0944431634589</v>
      </c>
      <c r="Q8" s="302">
        <f>SUM(Wheatland!Q89,Wilton!Q79,Gleason!Q85)</f>
        <v>6471.8919885713458</v>
      </c>
      <c r="R8" s="302">
        <f>SUM(Wheatland!R89,Wilton!R79,Gleason!R85)</f>
        <v>9719.2686906611325</v>
      </c>
      <c r="S8" s="302">
        <f>SUM(Wheatland!S89,Wilton!S79,Gleason!S85)</f>
        <v>10086.199555639618</v>
      </c>
      <c r="T8" s="302">
        <f>SUM(Wheatland!T89,Wilton!T79,Gleason!T85)</f>
        <v>10475.81776837146</v>
      </c>
      <c r="U8" s="302">
        <f>SUM(Wheatland!U89,Wilton!U79,Gleason!U85)</f>
        <v>10890.037080663751</v>
      </c>
      <c r="V8" s="303"/>
      <c r="W8" s="304">
        <f>SUM(B8:U8)</f>
        <v>103123.24381206532</v>
      </c>
      <c r="X8" s="305">
        <f>SUM(Gleason!W85,Wheatland!W89,Wilton!W79)</f>
        <v>103123.24381206532</v>
      </c>
      <c r="Y8" s="149">
        <f>W8-X8</f>
        <v>0</v>
      </c>
    </row>
    <row r="9" spans="1:25" ht="12.75" customHeight="1" x14ac:dyDescent="0.25">
      <c r="A9" s="40"/>
      <c r="B9" s="306"/>
      <c r="C9" s="306"/>
      <c r="D9" s="306"/>
      <c r="E9" s="306"/>
      <c r="F9" s="306"/>
      <c r="G9" s="306"/>
      <c r="H9" s="306"/>
      <c r="I9" s="306"/>
      <c r="J9" s="306"/>
      <c r="K9" s="306"/>
      <c r="L9" s="306"/>
      <c r="M9" s="306"/>
      <c r="N9" s="306"/>
      <c r="O9" s="306"/>
      <c r="P9" s="306"/>
      <c r="Q9" s="306"/>
      <c r="R9" s="306"/>
      <c r="S9" s="306"/>
      <c r="T9" s="306"/>
      <c r="U9" s="306"/>
      <c r="V9" s="303"/>
      <c r="W9" s="303"/>
      <c r="X9" s="4"/>
      <c r="Y9" s="4"/>
    </row>
    <row r="10" spans="1:25" ht="12.75" customHeight="1" x14ac:dyDescent="0.25">
      <c r="A10" s="24"/>
      <c r="B10" s="307"/>
      <c r="C10" s="307"/>
      <c r="D10" s="307"/>
      <c r="E10" s="307"/>
      <c r="F10" s="307"/>
      <c r="G10" s="307"/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8"/>
      <c r="W10" s="308"/>
      <c r="X10" s="4"/>
      <c r="Y10" s="4"/>
    </row>
    <row r="11" spans="1:25" ht="12.75" customHeight="1" x14ac:dyDescent="0.25">
      <c r="A11" s="300" t="s">
        <v>178</v>
      </c>
      <c r="B11" s="252"/>
      <c r="C11" s="252"/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309"/>
      <c r="W11" s="309"/>
      <c r="X11" s="4"/>
      <c r="Y11" s="4"/>
    </row>
    <row r="12" spans="1:25" ht="12.75" customHeight="1" x14ac:dyDescent="0.25">
      <c r="A12" s="24" t="s">
        <v>179</v>
      </c>
      <c r="B12" s="307">
        <f>IS!B35</f>
        <v>41035.65543780374</v>
      </c>
      <c r="C12" s="307">
        <f>IS!C35</f>
        <v>46929.161584124129</v>
      </c>
      <c r="D12" s="307">
        <f>IS!D35</f>
        <v>53315.561427834589</v>
      </c>
      <c r="E12" s="307">
        <f>IS!E35</f>
        <v>60126.604804862189</v>
      </c>
      <c r="F12" s="307">
        <f>IS!F35</f>
        <v>67631.764845754165</v>
      </c>
      <c r="G12" s="307">
        <f>IS!G35</f>
        <v>70992.760110732721</v>
      </c>
      <c r="H12" s="307">
        <f>IS!H35</f>
        <v>74477.39799290977</v>
      </c>
      <c r="I12" s="307">
        <f>IS!I35</f>
        <v>78026.900976523524</v>
      </c>
      <c r="J12" s="307">
        <f>IS!J35</f>
        <v>81957.269616000107</v>
      </c>
      <c r="K12" s="307">
        <f>IS!K35</f>
        <v>86007.992832756543</v>
      </c>
      <c r="L12" s="307">
        <f>IS!L35</f>
        <v>89895.032586694084</v>
      </c>
      <c r="M12" s="307">
        <f>IS!M35</f>
        <v>94048.59063824582</v>
      </c>
      <c r="N12" s="307">
        <f>IS!N35</f>
        <v>98163.991042633686</v>
      </c>
      <c r="O12" s="307">
        <f>IS!O35</f>
        <v>102761.00071447407</v>
      </c>
      <c r="P12" s="307">
        <f>IS!P35</f>
        <v>107138.32253267698</v>
      </c>
      <c r="Q12" s="307">
        <f>IS!Q35</f>
        <v>112335.63206763455</v>
      </c>
      <c r="R12" s="307">
        <f>IS!R35</f>
        <v>117304.11753861231</v>
      </c>
      <c r="S12" s="307">
        <f>IS!S35</f>
        <v>122516.20703548091</v>
      </c>
      <c r="T12" s="307">
        <f>IS!T35</f>
        <v>128050.60707974112</v>
      </c>
      <c r="U12" s="307">
        <f>IS!U35</f>
        <v>133934.51826185855</v>
      </c>
      <c r="V12" s="308"/>
      <c r="W12" s="304">
        <f>SUM(B12:U12)</f>
        <v>1766649.0891273534</v>
      </c>
      <c r="X12" s="305">
        <f>SUM(Wheatland!W73,Wilton!W65,Gleason!W71)</f>
        <v>1766649.0891273536</v>
      </c>
      <c r="Y12" s="149">
        <f>W12-X12</f>
        <v>0</v>
      </c>
    </row>
    <row r="13" spans="1:25" ht="12.75" customHeight="1" x14ac:dyDescent="0.25">
      <c r="A13" s="24" t="s">
        <v>180</v>
      </c>
      <c r="B13" s="307">
        <f>IS!B29</f>
        <v>24121.862009597709</v>
      </c>
      <c r="C13" s="307">
        <f>IS!C29</f>
        <v>24121.862009597709</v>
      </c>
      <c r="D13" s="307">
        <f>IS!D29</f>
        <v>24121.862009597709</v>
      </c>
      <c r="E13" s="307">
        <f>IS!E29</f>
        <v>24121.862009597709</v>
      </c>
      <c r="F13" s="307">
        <f>IS!F29</f>
        <v>24121.862009597709</v>
      </c>
      <c r="G13" s="307">
        <f>IS!G29</f>
        <v>24121.862009597709</v>
      </c>
      <c r="H13" s="307">
        <f>IS!H29</f>
        <v>24121.862009597709</v>
      </c>
      <c r="I13" s="307">
        <f>IS!I29</f>
        <v>24121.862009597709</v>
      </c>
      <c r="J13" s="307">
        <f>IS!J29</f>
        <v>24121.862009597709</v>
      </c>
      <c r="K13" s="307">
        <f>IS!K29</f>
        <v>24121.862009597709</v>
      </c>
      <c r="L13" s="307">
        <f>IS!L29</f>
        <v>24121.862009597709</v>
      </c>
      <c r="M13" s="307">
        <f>IS!M29</f>
        <v>24121.862009597709</v>
      </c>
      <c r="N13" s="307">
        <f>IS!N29</f>
        <v>24121.862009597709</v>
      </c>
      <c r="O13" s="307">
        <f>IS!O29</f>
        <v>24121.862009597709</v>
      </c>
      <c r="P13" s="307">
        <f>IS!P29</f>
        <v>24121.862009597709</v>
      </c>
      <c r="Q13" s="307">
        <f>IS!Q29</f>
        <v>24121.862009597709</v>
      </c>
      <c r="R13" s="307">
        <f>IS!R29</f>
        <v>24121.862009597709</v>
      </c>
      <c r="S13" s="307">
        <f>IS!S29</f>
        <v>24121.862009597709</v>
      </c>
      <c r="T13" s="307">
        <f>IS!T29</f>
        <v>24121.862009597709</v>
      </c>
      <c r="U13" s="307">
        <f>IS!U29</f>
        <v>24121.862009597709</v>
      </c>
      <c r="V13" s="308"/>
      <c r="W13" s="304">
        <f>SUM(B13:U13)</f>
        <v>482437.24019195419</v>
      </c>
      <c r="X13" s="305">
        <f>SUM(Wheatland!W74,Wilton!W66,Gleason!W72)</f>
        <v>482437.24019195419</v>
      </c>
      <c r="Y13" s="149">
        <f>W13-X13</f>
        <v>0</v>
      </c>
    </row>
    <row r="14" spans="1:25" ht="12.75" customHeight="1" x14ac:dyDescent="0.25">
      <c r="A14" s="24" t="s">
        <v>181</v>
      </c>
      <c r="B14" s="252">
        <f>-Depreciation!C61</f>
        <v>-40203.103349329518</v>
      </c>
      <c r="C14" s="252">
        <f>-Depreciation!D61</f>
        <v>-76385.896363726075</v>
      </c>
      <c r="D14" s="252">
        <f>-Depreciation!E61</f>
        <v>-68747.306727353483</v>
      </c>
      <c r="E14" s="252">
        <f>-Depreciation!F61</f>
        <v>-61912.779157967452</v>
      </c>
      <c r="F14" s="252">
        <f>-Depreciation!G61</f>
        <v>-55721.501242170707</v>
      </c>
      <c r="G14" s="252">
        <f>-Depreciation!H61</f>
        <v>-50093.066773264567</v>
      </c>
      <c r="H14" s="252">
        <f>-Depreciation!I61</f>
        <v>-47439.661952208822</v>
      </c>
      <c r="I14" s="252">
        <f>-Depreciation!J61</f>
        <v>-47520.068158907481</v>
      </c>
      <c r="J14" s="252">
        <f>-Depreciation!K61</f>
        <v>-47439.661952208822</v>
      </c>
      <c r="K14" s="252">
        <f>-Depreciation!L61</f>
        <v>-47520.068158907481</v>
      </c>
      <c r="L14" s="252">
        <f>-Depreciation!M61</f>
        <v>-47439.661952208822</v>
      </c>
      <c r="M14" s="252">
        <f>-Depreciation!N61</f>
        <v>-47520.068158907481</v>
      </c>
      <c r="N14" s="252">
        <f>-Depreciation!O61</f>
        <v>-47439.661952208822</v>
      </c>
      <c r="O14" s="252">
        <f>-Depreciation!P61</f>
        <v>-47520.068158907481</v>
      </c>
      <c r="P14" s="252">
        <f>-Depreciation!Q61</f>
        <v>-47439.661952208822</v>
      </c>
      <c r="Q14" s="252">
        <f>-Depreciation!R61</f>
        <v>-47439.661952208822</v>
      </c>
      <c r="R14" s="252">
        <f>-Depreciation!S61</f>
        <v>0</v>
      </c>
      <c r="S14" s="252">
        <f>-Depreciation!T61</f>
        <v>0</v>
      </c>
      <c r="T14" s="252">
        <f>-Depreciation!U61</f>
        <v>0</v>
      </c>
      <c r="U14" s="252">
        <f>-Depreciation!V61</f>
        <v>0</v>
      </c>
      <c r="V14" s="308"/>
      <c r="W14" s="304">
        <f>SUM(B14:U14)</f>
        <v>-827781.89796269475</v>
      </c>
      <c r="X14" s="305">
        <f>SUM(Wheatland!W75,Wilton!W67,Gleason!W73)</f>
        <v>-827781.89796269464</v>
      </c>
      <c r="Y14" s="149">
        <f>W14-X14</f>
        <v>0</v>
      </c>
    </row>
    <row r="15" spans="1:25" ht="15" customHeight="1" x14ac:dyDescent="0.4">
      <c r="A15" s="24" t="s">
        <v>182</v>
      </c>
      <c r="B15" s="310">
        <f t="shared" ref="B15:U15" si="0">-B8</f>
        <v>-1897.7950809276299</v>
      </c>
      <c r="C15" s="310">
        <f t="shared" si="0"/>
        <v>-559.75601199144899</v>
      </c>
      <c r="D15" s="310">
        <f t="shared" si="0"/>
        <v>-1065.6152125351014</v>
      </c>
      <c r="E15" s="310">
        <f t="shared" si="0"/>
        <v>-1568.8159887340789</v>
      </c>
      <c r="F15" s="310">
        <f t="shared" si="0"/>
        <v>-2663.2041645378704</v>
      </c>
      <c r="G15" s="310">
        <f t="shared" si="0"/>
        <v>-3403.4279412702031</v>
      </c>
      <c r="H15" s="310">
        <f t="shared" si="0"/>
        <v>-3812.0763287999171</v>
      </c>
      <c r="I15" s="310">
        <f t="shared" si="0"/>
        <v>-4058.942412258938</v>
      </c>
      <c r="J15" s="310">
        <f t="shared" si="0"/>
        <v>-4343.4100294097507</v>
      </c>
      <c r="K15" s="310">
        <f t="shared" si="0"/>
        <v>-4627.3187295237276</v>
      </c>
      <c r="L15" s="310">
        <f t="shared" si="0"/>
        <v>-4901.7749264784834</v>
      </c>
      <c r="M15" s="310">
        <f t="shared" si="0"/>
        <v>-5186.4416440741415</v>
      </c>
      <c r="N15" s="310">
        <f t="shared" si="0"/>
        <v>-5481.8246425801881</v>
      </c>
      <c r="O15" s="310">
        <f t="shared" si="0"/>
        <v>-5797.5311718730918</v>
      </c>
      <c r="P15" s="310">
        <f t="shared" si="0"/>
        <v>-6112.0944431634589</v>
      </c>
      <c r="Q15" s="310">
        <f t="shared" si="0"/>
        <v>-6471.8919885713458</v>
      </c>
      <c r="R15" s="310">
        <f t="shared" si="0"/>
        <v>-9719.2686906611325</v>
      </c>
      <c r="S15" s="310">
        <f t="shared" si="0"/>
        <v>-10086.199555639618</v>
      </c>
      <c r="T15" s="310">
        <f t="shared" si="0"/>
        <v>-10475.81776837146</v>
      </c>
      <c r="U15" s="310">
        <f t="shared" si="0"/>
        <v>-10890.037080663751</v>
      </c>
      <c r="V15" s="311"/>
      <c r="W15" s="304">
        <f>SUM(B15:U15)</f>
        <v>-103123.24381206532</v>
      </c>
      <c r="X15" s="305">
        <f>SUM(Gleason!W85,Wheatland!W89,Wilton!W79)</f>
        <v>103123.24381206532</v>
      </c>
      <c r="Y15" s="149">
        <f>X15+W15</f>
        <v>0</v>
      </c>
    </row>
    <row r="16" spans="1:25" ht="12.75" customHeight="1" x14ac:dyDescent="0.25">
      <c r="A16" s="312" t="s">
        <v>183</v>
      </c>
      <c r="B16" s="313">
        <f t="shared" ref="B16:U16" si="1">SUM(B12:B15)</f>
        <v>23056.619017144301</v>
      </c>
      <c r="C16" s="313">
        <f t="shared" si="1"/>
        <v>-5894.6287819956851</v>
      </c>
      <c r="D16" s="313">
        <f t="shared" si="1"/>
        <v>7624.5014975437134</v>
      </c>
      <c r="E16" s="313">
        <f t="shared" si="1"/>
        <v>20766.871667758365</v>
      </c>
      <c r="F16" s="313">
        <f t="shared" si="1"/>
        <v>33368.921448643297</v>
      </c>
      <c r="G16" s="313">
        <f t="shared" si="1"/>
        <v>41618.127405795662</v>
      </c>
      <c r="H16" s="313">
        <f t="shared" si="1"/>
        <v>47347.521721498742</v>
      </c>
      <c r="I16" s="313">
        <f t="shared" si="1"/>
        <v>50569.752414954812</v>
      </c>
      <c r="J16" s="313">
        <f t="shared" si="1"/>
        <v>54296.059643979243</v>
      </c>
      <c r="K16" s="313">
        <f t="shared" si="1"/>
        <v>57982.467953923042</v>
      </c>
      <c r="L16" s="313">
        <f t="shared" si="1"/>
        <v>61675.457717604499</v>
      </c>
      <c r="M16" s="313">
        <f t="shared" si="1"/>
        <v>65463.942844861907</v>
      </c>
      <c r="N16" s="313">
        <f t="shared" si="1"/>
        <v>69364.366457442389</v>
      </c>
      <c r="O16" s="313">
        <f t="shared" si="1"/>
        <v>73565.263393291199</v>
      </c>
      <c r="P16" s="313">
        <f t="shared" si="1"/>
        <v>77708.428146902414</v>
      </c>
      <c r="Q16" s="313">
        <f t="shared" si="1"/>
        <v>82545.940136452104</v>
      </c>
      <c r="R16" s="313">
        <f t="shared" si="1"/>
        <v>131706.7108575489</v>
      </c>
      <c r="S16" s="313">
        <f t="shared" si="1"/>
        <v>136551.86948943901</v>
      </c>
      <c r="T16" s="313">
        <f t="shared" si="1"/>
        <v>141696.65132096739</v>
      </c>
      <c r="U16" s="313">
        <f t="shared" si="1"/>
        <v>147166.34319079251</v>
      </c>
      <c r="V16" s="314"/>
      <c r="W16" s="304"/>
      <c r="X16" s="305"/>
      <c r="Y16" s="149"/>
    </row>
    <row r="17" spans="1:25" ht="12.75" customHeight="1" x14ac:dyDescent="0.25">
      <c r="A17" s="312"/>
      <c r="B17" s="313"/>
      <c r="C17" s="313"/>
      <c r="D17" s="313"/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  <c r="U17" s="313"/>
      <c r="V17" s="314"/>
      <c r="W17" s="314"/>
      <c r="X17" s="4"/>
      <c r="Y17" s="4"/>
    </row>
    <row r="18" spans="1:25" ht="12.75" customHeight="1" x14ac:dyDescent="0.25">
      <c r="A18" s="24" t="s">
        <v>184</v>
      </c>
      <c r="B18" s="315">
        <f>Assumptions!$G$36</f>
        <v>0.35</v>
      </c>
      <c r="C18" s="315">
        <f>Assumptions!$G$36</f>
        <v>0.35</v>
      </c>
      <c r="D18" s="315">
        <f>Assumptions!$G$36</f>
        <v>0.35</v>
      </c>
      <c r="E18" s="315">
        <f>Assumptions!$G$36</f>
        <v>0.35</v>
      </c>
      <c r="F18" s="315">
        <f>Assumptions!$G$36</f>
        <v>0.35</v>
      </c>
      <c r="G18" s="315">
        <f>Assumptions!$G$36</f>
        <v>0.35</v>
      </c>
      <c r="H18" s="315">
        <f>Assumptions!$G$36</f>
        <v>0.35</v>
      </c>
      <c r="I18" s="315">
        <f>Assumptions!$G$36</f>
        <v>0.35</v>
      </c>
      <c r="J18" s="315">
        <f>Assumptions!$G$36</f>
        <v>0.35</v>
      </c>
      <c r="K18" s="315">
        <f>Assumptions!$G$36</f>
        <v>0.35</v>
      </c>
      <c r="L18" s="315">
        <f>Assumptions!$G$36</f>
        <v>0.35</v>
      </c>
      <c r="M18" s="315">
        <f>Assumptions!$G$36</f>
        <v>0.35</v>
      </c>
      <c r="N18" s="315">
        <f>Assumptions!$G$36</f>
        <v>0.35</v>
      </c>
      <c r="O18" s="315">
        <f>Assumptions!$G$36</f>
        <v>0.35</v>
      </c>
      <c r="P18" s="315">
        <f>Assumptions!$G$36</f>
        <v>0.35</v>
      </c>
      <c r="Q18" s="315">
        <f>Assumptions!$G$36</f>
        <v>0.35</v>
      </c>
      <c r="R18" s="315">
        <f>Assumptions!$G$36</f>
        <v>0.35</v>
      </c>
      <c r="S18" s="315">
        <f>Assumptions!$G$36</f>
        <v>0.35</v>
      </c>
      <c r="T18" s="315">
        <f>Assumptions!$G$36</f>
        <v>0.35</v>
      </c>
      <c r="U18" s="315">
        <f>Assumptions!$G$36</f>
        <v>0.35</v>
      </c>
      <c r="V18" s="316"/>
      <c r="W18" s="316"/>
      <c r="X18" s="4"/>
      <c r="Y18" s="4"/>
    </row>
    <row r="19" spans="1:25" ht="12.75" customHeight="1" x14ac:dyDescent="0.25">
      <c r="A19" s="312" t="s">
        <v>185</v>
      </c>
      <c r="B19" s="313">
        <f t="shared" ref="B19:U19" si="2">B16*B18</f>
        <v>8069.8166560005047</v>
      </c>
      <c r="C19" s="313">
        <f t="shared" si="2"/>
        <v>-2063.1200736984897</v>
      </c>
      <c r="D19" s="313">
        <f t="shared" si="2"/>
        <v>2668.5755241402994</v>
      </c>
      <c r="E19" s="313">
        <f t="shared" si="2"/>
        <v>7268.4050837154273</v>
      </c>
      <c r="F19" s="313">
        <f t="shared" si="2"/>
        <v>11679.122507025153</v>
      </c>
      <c r="G19" s="313">
        <f t="shared" si="2"/>
        <v>14566.344592028481</v>
      </c>
      <c r="H19" s="313">
        <f t="shared" si="2"/>
        <v>16571.632602524558</v>
      </c>
      <c r="I19" s="313">
        <f t="shared" si="2"/>
        <v>17699.413345234181</v>
      </c>
      <c r="J19" s="313">
        <f t="shared" si="2"/>
        <v>19003.620875392735</v>
      </c>
      <c r="K19" s="313">
        <f t="shared" si="2"/>
        <v>20293.863783873065</v>
      </c>
      <c r="L19" s="313">
        <f t="shared" si="2"/>
        <v>21586.410201161572</v>
      </c>
      <c r="M19" s="313">
        <f t="shared" si="2"/>
        <v>22912.379995701667</v>
      </c>
      <c r="N19" s="313">
        <f t="shared" si="2"/>
        <v>24277.528260104835</v>
      </c>
      <c r="O19" s="313">
        <f t="shared" si="2"/>
        <v>25747.842187651917</v>
      </c>
      <c r="P19" s="313">
        <f t="shared" si="2"/>
        <v>27197.949851415844</v>
      </c>
      <c r="Q19" s="313">
        <f t="shared" si="2"/>
        <v>28891.079047758234</v>
      </c>
      <c r="R19" s="313">
        <f t="shared" si="2"/>
        <v>46097.348800142114</v>
      </c>
      <c r="S19" s="313">
        <f t="shared" si="2"/>
        <v>47793.154321303649</v>
      </c>
      <c r="T19" s="313">
        <f t="shared" si="2"/>
        <v>49593.827962338582</v>
      </c>
      <c r="U19" s="313">
        <f t="shared" si="2"/>
        <v>51508.220116777375</v>
      </c>
      <c r="V19" s="308"/>
      <c r="W19" s="308"/>
      <c r="X19" s="4"/>
      <c r="Y19" s="4"/>
    </row>
    <row r="20" spans="1:25" ht="12.75" customHeight="1" x14ac:dyDescent="0.25">
      <c r="A20" s="12"/>
      <c r="B20" s="252"/>
      <c r="C20" s="252"/>
      <c r="D20" s="252"/>
      <c r="E20" s="252"/>
      <c r="F20" s="252"/>
      <c r="G20" s="252"/>
      <c r="H20" s="252"/>
      <c r="I20" s="252"/>
      <c r="J20" s="252"/>
      <c r="K20" s="252"/>
      <c r="L20" s="252"/>
      <c r="M20" s="252"/>
      <c r="N20" s="252"/>
      <c r="O20" s="252"/>
      <c r="P20" s="252"/>
      <c r="Q20" s="252"/>
      <c r="R20" s="252"/>
      <c r="S20" s="252"/>
      <c r="T20" s="252"/>
      <c r="U20" s="252"/>
      <c r="V20" s="309"/>
      <c r="W20" s="309"/>
      <c r="X20" s="4"/>
      <c r="Y20" s="4"/>
    </row>
    <row r="21" spans="1:25" ht="12.75" customHeight="1" x14ac:dyDescent="0.25">
      <c r="A21" s="12" t="s">
        <v>186</v>
      </c>
      <c r="B21" s="317">
        <f>IF(B19&lt;0,-B19,0)</f>
        <v>0</v>
      </c>
      <c r="C21" s="317">
        <f t="shared" ref="C21:U21" si="3">IF(C19&lt;0,-C19+B21-B22,B21-B22)</f>
        <v>2063.1200736984897</v>
      </c>
      <c r="D21" s="317">
        <f t="shared" si="3"/>
        <v>2063.1200736984897</v>
      </c>
      <c r="E21" s="317">
        <f t="shared" si="3"/>
        <v>0</v>
      </c>
      <c r="F21" s="317">
        <f t="shared" si="3"/>
        <v>0</v>
      </c>
      <c r="G21" s="317">
        <f t="shared" si="3"/>
        <v>0</v>
      </c>
      <c r="H21" s="317">
        <f t="shared" si="3"/>
        <v>0</v>
      </c>
      <c r="I21" s="317">
        <f t="shared" si="3"/>
        <v>0</v>
      </c>
      <c r="J21" s="317">
        <f t="shared" si="3"/>
        <v>0</v>
      </c>
      <c r="K21" s="317">
        <f t="shared" si="3"/>
        <v>0</v>
      </c>
      <c r="L21" s="317">
        <f t="shared" si="3"/>
        <v>0</v>
      </c>
      <c r="M21" s="317">
        <f t="shared" si="3"/>
        <v>0</v>
      </c>
      <c r="N21" s="317">
        <f t="shared" si="3"/>
        <v>0</v>
      </c>
      <c r="O21" s="317">
        <f t="shared" si="3"/>
        <v>0</v>
      </c>
      <c r="P21" s="317">
        <f t="shared" si="3"/>
        <v>0</v>
      </c>
      <c r="Q21" s="317">
        <f t="shared" si="3"/>
        <v>0</v>
      </c>
      <c r="R21" s="317">
        <f t="shared" si="3"/>
        <v>0</v>
      </c>
      <c r="S21" s="317">
        <f t="shared" si="3"/>
        <v>0</v>
      </c>
      <c r="T21" s="317">
        <f t="shared" si="3"/>
        <v>0</v>
      </c>
      <c r="U21" s="317">
        <f t="shared" si="3"/>
        <v>0</v>
      </c>
      <c r="V21" s="308"/>
      <c r="W21" s="308"/>
      <c r="X21" s="4"/>
      <c r="Y21" s="4"/>
    </row>
    <row r="22" spans="1:25" ht="12.75" customHeight="1" x14ac:dyDescent="0.25">
      <c r="A22" s="12" t="s">
        <v>187</v>
      </c>
      <c r="B22" s="307">
        <f t="shared" ref="B22:U22" si="4">IF(B19&lt;0,0,IF(B21&gt;B19,B19,B21))</f>
        <v>0</v>
      </c>
      <c r="C22" s="307">
        <f t="shared" si="4"/>
        <v>0</v>
      </c>
      <c r="D22" s="307">
        <f t="shared" si="4"/>
        <v>2063.1200736984897</v>
      </c>
      <c r="E22" s="307">
        <f t="shared" si="4"/>
        <v>0</v>
      </c>
      <c r="F22" s="307">
        <f t="shared" si="4"/>
        <v>0</v>
      </c>
      <c r="G22" s="307">
        <f t="shared" si="4"/>
        <v>0</v>
      </c>
      <c r="H22" s="317">
        <f t="shared" si="4"/>
        <v>0</v>
      </c>
      <c r="I22" s="317">
        <f t="shared" si="4"/>
        <v>0</v>
      </c>
      <c r="J22" s="317">
        <f t="shared" si="4"/>
        <v>0</v>
      </c>
      <c r="K22" s="317">
        <f t="shared" si="4"/>
        <v>0</v>
      </c>
      <c r="L22" s="317">
        <f t="shared" si="4"/>
        <v>0</v>
      </c>
      <c r="M22" s="317">
        <f t="shared" si="4"/>
        <v>0</v>
      </c>
      <c r="N22" s="317">
        <f t="shared" si="4"/>
        <v>0</v>
      </c>
      <c r="O22" s="317">
        <f t="shared" si="4"/>
        <v>0</v>
      </c>
      <c r="P22" s="317">
        <f t="shared" si="4"/>
        <v>0</v>
      </c>
      <c r="Q22" s="317">
        <f t="shared" si="4"/>
        <v>0</v>
      </c>
      <c r="R22" s="317">
        <f t="shared" si="4"/>
        <v>0</v>
      </c>
      <c r="S22" s="317">
        <f t="shared" si="4"/>
        <v>0</v>
      </c>
      <c r="T22" s="317">
        <f t="shared" si="4"/>
        <v>0</v>
      </c>
      <c r="U22" s="317">
        <f t="shared" si="4"/>
        <v>0</v>
      </c>
      <c r="V22" s="318"/>
      <c r="W22" s="318"/>
      <c r="X22" s="4"/>
      <c r="Y22" s="4"/>
    </row>
    <row r="23" spans="1:25" ht="12.75" customHeight="1" x14ac:dyDescent="0.25">
      <c r="A23" s="12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8"/>
      <c r="W23" s="308"/>
      <c r="X23" s="4"/>
      <c r="Y23" s="4"/>
    </row>
    <row r="24" spans="1:25" ht="13.5" customHeight="1" thickBot="1" x14ac:dyDescent="0.3">
      <c r="A24" s="40" t="s">
        <v>188</v>
      </c>
      <c r="B24" s="319">
        <f t="shared" ref="B24:U24" si="5">IF(B19&lt;0,0,(B19-B22))</f>
        <v>8069.8166560005047</v>
      </c>
      <c r="C24" s="319">
        <f t="shared" si="5"/>
        <v>0</v>
      </c>
      <c r="D24" s="319">
        <f t="shared" si="5"/>
        <v>605.45545044180972</v>
      </c>
      <c r="E24" s="319">
        <f t="shared" si="5"/>
        <v>7268.4050837154273</v>
      </c>
      <c r="F24" s="319">
        <f t="shared" si="5"/>
        <v>11679.122507025153</v>
      </c>
      <c r="G24" s="319">
        <f t="shared" si="5"/>
        <v>14566.344592028481</v>
      </c>
      <c r="H24" s="319">
        <f t="shared" si="5"/>
        <v>16571.632602524558</v>
      </c>
      <c r="I24" s="319">
        <f t="shared" si="5"/>
        <v>17699.413345234181</v>
      </c>
      <c r="J24" s="319">
        <f t="shared" si="5"/>
        <v>19003.620875392735</v>
      </c>
      <c r="K24" s="319">
        <f t="shared" si="5"/>
        <v>20293.863783873065</v>
      </c>
      <c r="L24" s="319">
        <f t="shared" si="5"/>
        <v>21586.410201161572</v>
      </c>
      <c r="M24" s="319">
        <f t="shared" si="5"/>
        <v>22912.379995701667</v>
      </c>
      <c r="N24" s="319">
        <f t="shared" si="5"/>
        <v>24277.528260104835</v>
      </c>
      <c r="O24" s="319">
        <f t="shared" si="5"/>
        <v>25747.842187651917</v>
      </c>
      <c r="P24" s="319">
        <f t="shared" si="5"/>
        <v>27197.949851415844</v>
      </c>
      <c r="Q24" s="319">
        <f t="shared" si="5"/>
        <v>28891.079047758234</v>
      </c>
      <c r="R24" s="319">
        <f t="shared" si="5"/>
        <v>46097.348800142114</v>
      </c>
      <c r="S24" s="319">
        <f t="shared" si="5"/>
        <v>47793.154321303649</v>
      </c>
      <c r="T24" s="319">
        <f t="shared" si="5"/>
        <v>49593.827962338582</v>
      </c>
      <c r="U24" s="319">
        <f t="shared" si="5"/>
        <v>51508.220116777375</v>
      </c>
      <c r="V24" s="320"/>
      <c r="W24" s="304">
        <f>SUM(B24:U24)</f>
        <v>461363.41564059164</v>
      </c>
      <c r="X24" s="305">
        <f>SUM(Gleason!W49,Wheatland!W49,Wilton!W49)</f>
        <v>-461363.41564059176</v>
      </c>
      <c r="Y24" s="149">
        <f>X24+W24</f>
        <v>0</v>
      </c>
    </row>
    <row r="25" spans="1:25" ht="13.5" customHeight="1" thickTop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4"/>
      <c r="W25" s="4"/>
      <c r="X25" s="4"/>
      <c r="Y25" s="4"/>
    </row>
  </sheetData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85"/>
  <sheetViews>
    <sheetView topLeftCell="A62" workbookViewId="0">
      <selection activeCell="A68" sqref="A68"/>
    </sheetView>
  </sheetViews>
  <sheetFormatPr defaultRowHeight="13.2" x14ac:dyDescent="0.25"/>
  <cols>
    <col min="1" max="1" width="38.44140625" customWidth="1"/>
    <col min="2" max="21" width="10.6640625" customWidth="1"/>
    <col min="23" max="23" width="12.33203125" customWidth="1"/>
  </cols>
  <sheetData>
    <row r="1" spans="1:45" ht="12.75" customHeight="1" x14ac:dyDescent="0.25">
      <c r="A1" s="4"/>
      <c r="B1" s="4"/>
      <c r="C1" s="4"/>
      <c r="D1" s="4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</row>
    <row r="2" spans="1:45" ht="18" customHeight="1" x14ac:dyDescent="0.3">
      <c r="A2" s="146" t="s">
        <v>189</v>
      </c>
      <c r="B2" s="321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</row>
    <row r="3" spans="1:45" ht="12.7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</row>
    <row r="4" spans="1:45" ht="12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</row>
    <row r="5" spans="1:45" ht="13.5" customHeight="1" thickBot="1" x14ac:dyDescent="0.3">
      <c r="A5" s="151" t="s">
        <v>99</v>
      </c>
      <c r="B5" s="152">
        <v>2001</v>
      </c>
      <c r="C5" s="152">
        <v>2002</v>
      </c>
      <c r="D5" s="152">
        <v>2003</v>
      </c>
      <c r="E5" s="152">
        <v>2004</v>
      </c>
      <c r="F5" s="152">
        <v>2005</v>
      </c>
      <c r="G5" s="152">
        <v>2006</v>
      </c>
      <c r="H5" s="152">
        <v>2007</v>
      </c>
      <c r="I5" s="152">
        <v>2008</v>
      </c>
      <c r="J5" s="152">
        <v>2009</v>
      </c>
      <c r="K5" s="152">
        <v>2010</v>
      </c>
      <c r="L5" s="152">
        <v>2011</v>
      </c>
      <c r="M5" s="152">
        <v>2012</v>
      </c>
      <c r="N5" s="152">
        <v>2013</v>
      </c>
      <c r="O5" s="152">
        <v>2014</v>
      </c>
      <c r="P5" s="152">
        <v>2015</v>
      </c>
      <c r="Q5" s="152">
        <v>2016</v>
      </c>
      <c r="R5" s="152">
        <v>2017</v>
      </c>
      <c r="S5" s="152">
        <v>2018</v>
      </c>
      <c r="T5" s="152">
        <v>2019</v>
      </c>
      <c r="U5" s="152">
        <v>2020</v>
      </c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</row>
    <row r="6" spans="1:45" ht="12.75" customHeight="1" x14ac:dyDescent="0.25">
      <c r="A6" s="156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91"/>
      <c r="W6" s="91"/>
      <c r="X6" s="91"/>
      <c r="Y6" s="154">
        <f>SUM(Z6:AS6)-SUM(Z7:AS7)</f>
        <v>0</v>
      </c>
      <c r="Z6" s="155">
        <f t="shared" ref="Z6:AS6" si="0">B9</f>
        <v>1055.222052568736</v>
      </c>
      <c r="AA6" s="155">
        <f t="shared" si="0"/>
        <v>1086.8787141457979</v>
      </c>
      <c r="AB6" s="155">
        <f t="shared" si="0"/>
        <v>1119.4850755701721</v>
      </c>
      <c r="AC6" s="155">
        <f t="shared" si="0"/>
        <v>1153.069627837277</v>
      </c>
      <c r="AD6" s="155">
        <f t="shared" si="0"/>
        <v>1187.6617166723954</v>
      </c>
      <c r="AE6" s="155">
        <f t="shared" si="0"/>
        <v>1223.2915681725672</v>
      </c>
      <c r="AF6" s="155">
        <f t="shared" si="0"/>
        <v>1259.9903152177444</v>
      </c>
      <c r="AG6" s="155">
        <f t="shared" si="0"/>
        <v>1297.7900246742765</v>
      </c>
      <c r="AH6" s="155">
        <f t="shared" si="0"/>
        <v>1336.7237254145048</v>
      </c>
      <c r="AI6" s="155">
        <f t="shared" si="0"/>
        <v>1376.8254371769399</v>
      </c>
      <c r="AJ6" s="155">
        <f t="shared" si="0"/>
        <v>1418.1302002922484</v>
      </c>
      <c r="AK6" s="155">
        <f t="shared" si="0"/>
        <v>1460.6741063010156</v>
      </c>
      <c r="AL6" s="155">
        <f t="shared" si="0"/>
        <v>1504.4943294900459</v>
      </c>
      <c r="AM6" s="155">
        <f t="shared" si="0"/>
        <v>1549.6291593747474</v>
      </c>
      <c r="AN6" s="155">
        <f t="shared" si="0"/>
        <v>1596.1180341559898</v>
      </c>
      <c r="AO6" s="155">
        <f t="shared" si="0"/>
        <v>1644.0015751806695</v>
      </c>
      <c r="AP6" s="155">
        <f t="shared" si="0"/>
        <v>1693.3216224360895</v>
      </c>
      <c r="AQ6" s="155">
        <f t="shared" si="0"/>
        <v>1744.1212711091721</v>
      </c>
      <c r="AR6" s="155">
        <f t="shared" si="0"/>
        <v>1796.444909242447</v>
      </c>
      <c r="AS6" s="155">
        <f t="shared" si="0"/>
        <v>1850.3382565197207</v>
      </c>
    </row>
    <row r="7" spans="1:45" ht="12.75" customHeight="1" x14ac:dyDescent="0.25">
      <c r="A7" s="160" t="s">
        <v>100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322"/>
      <c r="W7" s="322"/>
      <c r="X7" s="322"/>
      <c r="Y7" s="323">
        <v>0</v>
      </c>
      <c r="Z7" s="324">
        <f t="shared" ref="Z7:AS7" si="1">B15+1/3*B16</f>
        <v>1055.2220525687362</v>
      </c>
      <c r="AA7" s="324">
        <f t="shared" si="1"/>
        <v>1086.8787141457983</v>
      </c>
      <c r="AB7" s="324">
        <f t="shared" si="1"/>
        <v>1119.4850755701723</v>
      </c>
      <c r="AC7" s="324">
        <f t="shared" si="1"/>
        <v>1153.069627837277</v>
      </c>
      <c r="AD7" s="324">
        <f t="shared" si="1"/>
        <v>1187.6617166723954</v>
      </c>
      <c r="AE7" s="324">
        <f t="shared" si="1"/>
        <v>1223.2915681725674</v>
      </c>
      <c r="AF7" s="324">
        <f t="shared" si="1"/>
        <v>1259.9903152177444</v>
      </c>
      <c r="AG7" s="324">
        <f t="shared" si="1"/>
        <v>1297.7900246742765</v>
      </c>
      <c r="AH7" s="324">
        <f t="shared" si="1"/>
        <v>1336.7237254145048</v>
      </c>
      <c r="AI7" s="324">
        <f t="shared" si="1"/>
        <v>1376.8254371769401</v>
      </c>
      <c r="AJ7" s="324">
        <f t="shared" si="1"/>
        <v>1418.1302002922484</v>
      </c>
      <c r="AK7" s="324">
        <f t="shared" si="1"/>
        <v>1460.6741063010159</v>
      </c>
      <c r="AL7" s="324">
        <f t="shared" si="1"/>
        <v>1504.4943294900459</v>
      </c>
      <c r="AM7" s="324">
        <f t="shared" si="1"/>
        <v>1549.6291593747474</v>
      </c>
      <c r="AN7" s="324">
        <f t="shared" si="1"/>
        <v>1596.11803415599</v>
      </c>
      <c r="AO7" s="324">
        <f t="shared" si="1"/>
        <v>1644.0015751806695</v>
      </c>
      <c r="AP7" s="324">
        <f t="shared" si="1"/>
        <v>1693.3216224360897</v>
      </c>
      <c r="AQ7" s="324">
        <f t="shared" si="1"/>
        <v>1744.1212711091725</v>
      </c>
      <c r="AR7" s="324">
        <f t="shared" si="1"/>
        <v>1796.4449092424475</v>
      </c>
      <c r="AS7" s="324">
        <f t="shared" si="1"/>
        <v>1850.3382565197212</v>
      </c>
    </row>
    <row r="8" spans="1:45" ht="12.75" customHeight="1" x14ac:dyDescent="0.25">
      <c r="A8" s="166" t="s">
        <v>102</v>
      </c>
      <c r="B8" s="169">
        <f>'Power Curves'!C20*Assumptions!$C$9*12</f>
        <v>35311.821103628805</v>
      </c>
      <c r="C8" s="169">
        <f>'Power Curves'!D20*Assumptions!$C$9*12</f>
        <v>37062.806438906628</v>
      </c>
      <c r="D8" s="169">
        <f>'Power Curves'!E20*Assumptions!$C$9*12</f>
        <v>38900.616796189395</v>
      </c>
      <c r="E8" s="169">
        <f>'Power Curves'!F20*Assumptions!$C$9*12</f>
        <v>40829.557513902466</v>
      </c>
      <c r="F8" s="169">
        <f>'Power Curves'!G20*Assumptions!$C$9*12</f>
        <v>42854.147416612963</v>
      </c>
      <c r="G8" s="169">
        <f>'Power Curves'!H20*Assumptions!$C$9*12</f>
        <v>43403.696415573984</v>
      </c>
      <c r="H8" s="169">
        <f>'Power Curves'!I20*Assumptions!$C$9*12</f>
        <v>43960.292669479182</v>
      </c>
      <c r="I8" s="169">
        <f>'Power Curves'!J20*Assumptions!$C$9*12</f>
        <v>44524.026550255934</v>
      </c>
      <c r="J8" s="169">
        <f>'Power Curves'!K20*Assumptions!$C$9*12</f>
        <v>45094.989588734737</v>
      </c>
      <c r="K8" s="169">
        <f>'Power Curves'!L20*Assumptions!$C$9*12</f>
        <v>45673.274489510542</v>
      </c>
      <c r="L8" s="169">
        <f>'Power Curves'!M20*Assumptions!$C$9*12</f>
        <v>46537.511277512182</v>
      </c>
      <c r="M8" s="169">
        <f>'Power Curves'!N20*Assumptions!$C$9*12</f>
        <v>47418.101288138721</v>
      </c>
      <c r="N8" s="169">
        <f>'Power Curves'!O20*Assumptions!$C$9*12</f>
        <v>48315.353959606568</v>
      </c>
      <c r="O8" s="169">
        <f>'Power Curves'!P20*Assumptions!$C$9*12</f>
        <v>49229.58458537003</v>
      </c>
      <c r="P8" s="169">
        <f>'Power Curves'!Q20*Assumptions!$C$9*12</f>
        <v>50161.114424915184</v>
      </c>
      <c r="Q8" s="169">
        <f>'Power Curves'!R20*Assumptions!$C$9*12</f>
        <v>50876.783898642287</v>
      </c>
      <c r="R8" s="169">
        <f>'Power Curves'!S20*Assumptions!$C$9*12</f>
        <v>51602.664126286982</v>
      </c>
      <c r="S8" s="169">
        <f>'Power Curves'!T20*Assumptions!$C$9*12</f>
        <v>52338.900788920473</v>
      </c>
      <c r="T8" s="169">
        <f>'Power Curves'!U20*Assumptions!$C$9*12</f>
        <v>53085.641646106378</v>
      </c>
      <c r="U8" s="169">
        <f>'Power Curves'!V20*Assumptions!$C$9*12</f>
        <v>53843.036565555478</v>
      </c>
      <c r="V8" s="325"/>
      <c r="W8" s="161">
        <f>SUM(B8:U8)</f>
        <v>921023.92154384893</v>
      </c>
      <c r="X8" s="2"/>
      <c r="Y8" s="154"/>
      <c r="Z8" s="326">
        <f t="shared" ref="Z8:AS8" si="2">Z6-Z7</f>
        <v>0</v>
      </c>
      <c r="AA8" s="326">
        <f t="shared" si="2"/>
        <v>0</v>
      </c>
      <c r="AB8" s="326">
        <f t="shared" si="2"/>
        <v>0</v>
      </c>
      <c r="AC8" s="326">
        <f t="shared" si="2"/>
        <v>0</v>
      </c>
      <c r="AD8" s="326">
        <f t="shared" si="2"/>
        <v>0</v>
      </c>
      <c r="AE8" s="326">
        <f t="shared" si="2"/>
        <v>0</v>
      </c>
      <c r="AF8" s="326">
        <f t="shared" si="2"/>
        <v>0</v>
      </c>
      <c r="AG8" s="326">
        <f t="shared" si="2"/>
        <v>0</v>
      </c>
      <c r="AH8" s="326">
        <f t="shared" si="2"/>
        <v>0</v>
      </c>
      <c r="AI8" s="326">
        <f t="shared" si="2"/>
        <v>0</v>
      </c>
      <c r="AJ8" s="326">
        <f t="shared" si="2"/>
        <v>0</v>
      </c>
      <c r="AK8" s="326">
        <f t="shared" si="2"/>
        <v>0</v>
      </c>
      <c r="AL8" s="326">
        <f t="shared" si="2"/>
        <v>0</v>
      </c>
      <c r="AM8" s="326">
        <f t="shared" si="2"/>
        <v>0</v>
      </c>
      <c r="AN8" s="326">
        <f t="shared" si="2"/>
        <v>0</v>
      </c>
      <c r="AO8" s="326">
        <f t="shared" si="2"/>
        <v>0</v>
      </c>
      <c r="AP8" s="326">
        <f t="shared" si="2"/>
        <v>0</v>
      </c>
      <c r="AQ8" s="326">
        <f t="shared" si="2"/>
        <v>0</v>
      </c>
      <c r="AR8" s="326">
        <f t="shared" si="2"/>
        <v>0</v>
      </c>
      <c r="AS8" s="326">
        <f t="shared" si="2"/>
        <v>0</v>
      </c>
    </row>
    <row r="9" spans="1:45" ht="12.75" customHeight="1" x14ac:dyDescent="0.25">
      <c r="A9" s="166" t="s">
        <v>103</v>
      </c>
      <c r="B9" s="150">
        <f>1/3*Assumptions!$C$17*Assumptions!$C$11*Assumptions!$C$8/1000*(1+Assumptions!$C$24)^(B5-2000)+Assumptions!$C$18*Assumptions!$C$16*(1+Assumptions!$C$24)^(B5-2000)/1000</f>
        <v>1055.222052568736</v>
      </c>
      <c r="C9" s="150">
        <f>1/3*Assumptions!$C$17*Assumptions!$C$11*Assumptions!$C$8/1000*(1+Assumptions!$C$24)^(C5-2000)+Assumptions!$C$18*Assumptions!$C$16*(1+Assumptions!$C$24)^(C5-2000)/1000</f>
        <v>1086.8787141457979</v>
      </c>
      <c r="D9" s="150">
        <f>1/3*Assumptions!$C$17*Assumptions!$C$11*Assumptions!$C$8/1000*(1+Assumptions!$C$24)^(D5-2000)+Assumptions!$C$18*Assumptions!$C$16*(1+Assumptions!$C$24)^(D5-2000)/1000</f>
        <v>1119.4850755701721</v>
      </c>
      <c r="E9" s="150">
        <f>1/3*Assumptions!$C$17*Assumptions!$C$11*Assumptions!$C$8/1000*(1+Assumptions!$C$24)^(E5-2000)+Assumptions!$C$18*Assumptions!$C$16*(1+Assumptions!$C$24)^(E5-2000)/1000</f>
        <v>1153.069627837277</v>
      </c>
      <c r="F9" s="150">
        <f>1/3*Assumptions!$C$17*Assumptions!$C$11*Assumptions!$C$8/1000*(1+Assumptions!$C$24)^(F5-2000)+Assumptions!$C$18*Assumptions!$C$16*(1+Assumptions!$C$24)^(F5-2000)/1000</f>
        <v>1187.6617166723954</v>
      </c>
      <c r="G9" s="150">
        <f>1/3*Assumptions!$C$17*Assumptions!$C$11*Assumptions!$C$8/1000*(1+Assumptions!$C$24)^(G5-2000)+Assumptions!$C$18*Assumptions!$C$16*(1+Assumptions!$C$24)^(G5-2000)/1000</f>
        <v>1223.2915681725672</v>
      </c>
      <c r="H9" s="150">
        <f>1/3*Assumptions!$C$17*Assumptions!$C$11*Assumptions!$C$8/1000*(1+Assumptions!$C$24)^(H5-2000)+Assumptions!$C$18*Assumptions!$C$16*(1+Assumptions!$C$24)^(H5-2000)/1000</f>
        <v>1259.9903152177444</v>
      </c>
      <c r="I9" s="150">
        <f>1/3*Assumptions!$C$17*Assumptions!$C$11*Assumptions!$C$8/1000*(1+Assumptions!$C$24)^(I5-2000)+Assumptions!$C$18*Assumptions!$C$16*(1+Assumptions!$C$24)^(I5-2000)/1000</f>
        <v>1297.7900246742765</v>
      </c>
      <c r="J9" s="150">
        <f>1/3*Assumptions!$C$17*Assumptions!$C$11*Assumptions!$C$8/1000*(1+Assumptions!$C$24)^(J5-2000)+Assumptions!$C$18*Assumptions!$C$16*(1+Assumptions!$C$24)^(J5-2000)/1000</f>
        <v>1336.7237254145048</v>
      </c>
      <c r="K9" s="150">
        <f>1/3*Assumptions!$C$17*Assumptions!$C$11*Assumptions!$C$8/1000*(1+Assumptions!$C$24)^(K5-2000)+Assumptions!$C$18*Assumptions!$C$16*(1+Assumptions!$C$24)^(K5-2000)/1000</f>
        <v>1376.8254371769399</v>
      </c>
      <c r="L9" s="150">
        <f>1/3*Assumptions!$C$17*Assumptions!$C$11*Assumptions!$C$8/1000*(1+Assumptions!$C$24)^(L5-2000)+Assumptions!$C$18*Assumptions!$C$16*(1+Assumptions!$C$24)^(L5-2000)/1000</f>
        <v>1418.1302002922484</v>
      </c>
      <c r="M9" s="150">
        <f>1/3*Assumptions!$C$17*Assumptions!$C$11*Assumptions!$C$8/1000*(1+Assumptions!$C$24)^(M5-2000)+Assumptions!$C$18*Assumptions!$C$16*(1+Assumptions!$C$24)^(M5-2000)/1000</f>
        <v>1460.6741063010156</v>
      </c>
      <c r="N9" s="150">
        <f>1/3*Assumptions!$C$17*Assumptions!$C$11*Assumptions!$C$8/1000*(1+Assumptions!$C$24)^(N5-2000)+Assumptions!$C$18*Assumptions!$C$16*(1+Assumptions!$C$24)^(N5-2000)/1000</f>
        <v>1504.4943294900459</v>
      </c>
      <c r="O9" s="150">
        <f>1/3*Assumptions!$C$17*Assumptions!$C$11*Assumptions!$C$8/1000*(1+Assumptions!$C$24)^(O5-2000)+Assumptions!$C$18*Assumptions!$C$16*(1+Assumptions!$C$24)^(O5-2000)/1000</f>
        <v>1549.6291593747474</v>
      </c>
      <c r="P9" s="150">
        <f>1/3*Assumptions!$C$17*Assumptions!$C$11*Assumptions!$C$8/1000*(1+Assumptions!$C$24)^(P5-2000)+Assumptions!$C$18*Assumptions!$C$16*(1+Assumptions!$C$24)^(P5-2000)/1000</f>
        <v>1596.1180341559898</v>
      </c>
      <c r="Q9" s="150">
        <f>1/3*Assumptions!$C$17*Assumptions!$C$11*Assumptions!$C$8/1000*(1+Assumptions!$C$24)^(Q5-2000)+Assumptions!$C$18*Assumptions!$C$16*(1+Assumptions!$C$24)^(Q5-2000)/1000</f>
        <v>1644.0015751806695</v>
      </c>
      <c r="R9" s="150">
        <f>1/3*Assumptions!$C$17*Assumptions!$C$11*Assumptions!$C$8/1000*(1+Assumptions!$C$24)^(R5-2000)+Assumptions!$C$18*Assumptions!$C$16*(1+Assumptions!$C$24)^(R5-2000)/1000</f>
        <v>1693.3216224360895</v>
      </c>
      <c r="S9" s="150">
        <f>1/3*Assumptions!$C$17*Assumptions!$C$11*Assumptions!$C$8/1000*(1+Assumptions!$C$24)^(S5-2000)+Assumptions!$C$18*Assumptions!$C$16*(1+Assumptions!$C$24)^(S5-2000)/1000</f>
        <v>1744.1212711091721</v>
      </c>
      <c r="T9" s="150">
        <f>1/3*Assumptions!$C$17*Assumptions!$C$11*Assumptions!$C$8/1000*(1+Assumptions!$C$24)^(T5-2000)+Assumptions!$C$18*Assumptions!$C$16*(1+Assumptions!$C$24)^(T5-2000)/1000</f>
        <v>1796.444909242447</v>
      </c>
      <c r="U9" s="150">
        <f>1/3*Assumptions!$C$17*Assumptions!$C$11*Assumptions!$C$8/1000*(1+Assumptions!$C$24)^(U5-2000)+Assumptions!$C$18*Assumptions!$C$16*(1+Assumptions!$C$24)^(U5-2000)/1000</f>
        <v>1850.3382565197207</v>
      </c>
      <c r="V9" s="325"/>
      <c r="W9" s="161">
        <f>SUM(B9:U9)</f>
        <v>28354.211721552554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ht="12.75" customHeight="1" x14ac:dyDescent="0.25">
      <c r="A10" s="166" t="s">
        <v>104</v>
      </c>
      <c r="B10" s="257">
        <f>(SUM(B8:B9)-SUM(B14:B19))*'Summary Output'!$B$24/4</f>
        <v>406.02512559692036</v>
      </c>
      <c r="C10" s="257">
        <f>(SUM(C8:C9)-SUM(C14:C19))*'Summary Output'!$B$24/4</f>
        <v>425.23317705476359</v>
      </c>
      <c r="D10" s="257">
        <f>(SUM(D8:D9)-SUM(D14:D19))*'Summary Output'!$B$24/4</f>
        <v>446.53642270571629</v>
      </c>
      <c r="E10" s="257">
        <f>(SUM(E8:E9)-SUM(E14:E19))*'Summary Output'!$B$24/4</f>
        <v>470.04512677355638</v>
      </c>
      <c r="F10" s="257">
        <f>(SUM(F8:F9)-SUM(F14:F19))*'Summary Output'!$B$24/4</f>
        <v>494.72467818271781</v>
      </c>
      <c r="G10" s="257">
        <f>(SUM(G8:G9)-SUM(G14:G19))*'Summary Output'!$B$24/4</f>
        <v>499.85033279973015</v>
      </c>
      <c r="H10" s="257">
        <f>(SUM(H8:H9)-SUM(H14:H19))*'Summary Output'!$B$24/4</f>
        <v>506.12817729340554</v>
      </c>
      <c r="I10" s="257">
        <f>(SUM(I8:I9)-SUM(I14:I19))*'Summary Output'!$B$24/4</f>
        <v>512.46817803853196</v>
      </c>
      <c r="J10" s="257">
        <f>(SUM(J8:J9)-SUM(J14:J19))*'Summary Output'!$B$24/4</f>
        <v>518.87066724795739</v>
      </c>
      <c r="K10" s="257">
        <f>(SUM(K8:K9)-SUM(K14:K19))*'Summary Output'!$B$24/4</f>
        <v>525.3359674489094</v>
      </c>
      <c r="L10" s="257">
        <f>(SUM(L8:L9)-SUM(L14:L19))*'Summary Output'!$B$24/4</f>
        <v>535.34609258438275</v>
      </c>
      <c r="M10" s="257">
        <f>(SUM(M8:M9)-SUM(M14:M19))*'Summary Output'!$B$24/4</f>
        <v>545.53017213719181</v>
      </c>
      <c r="N10" s="257">
        <f>(SUM(N8:N9)-SUM(N14:N19))*'Summary Output'!$B$24/4</f>
        <v>551.52966025907745</v>
      </c>
      <c r="O10" s="257">
        <f>(SUM(O8:O9)-SUM(O14:O19))*'Summary Output'!$B$24/4</f>
        <v>562.07055687747516</v>
      </c>
      <c r="P10" s="257">
        <f>(SUM(P8:P9)-SUM(P14:P19))*'Summary Output'!$B$24/4</f>
        <v>567.34253325799557</v>
      </c>
      <c r="Q10" s="257">
        <f>(SUM(Q8:Q9)-SUM(Q14:Q19))*'Summary Output'!$B$24/4</f>
        <v>582.3903330308375</v>
      </c>
      <c r="R10" s="257">
        <f>(SUM(R8:R9)-SUM(R14:R19))*'Summary Output'!$B$24/4</f>
        <v>590.28798503727251</v>
      </c>
      <c r="S10" s="257">
        <f>(SUM(S8:S9)-SUM(S14:S19))*'Summary Output'!$B$24/4</f>
        <v>598.27500095946721</v>
      </c>
      <c r="T10" s="257">
        <f>(SUM(T8:T9)-SUM(T14:T19))*'Summary Output'!$B$24/4</f>
        <v>606.35206224287094</v>
      </c>
      <c r="U10" s="257">
        <f>(SUM(U8:U9)-SUM(U14:U19))*'Summary Output'!$B$24/4</f>
        <v>614.51984246223105</v>
      </c>
      <c r="V10" s="325"/>
      <c r="W10" s="161">
        <f>SUM(B10:U10)</f>
        <v>10558.862091991012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</row>
    <row r="11" spans="1:45" ht="12.75" customHeight="1" x14ac:dyDescent="0.25">
      <c r="A11" s="166" t="s">
        <v>105</v>
      </c>
      <c r="B11" s="193">
        <f t="shared" ref="B11:U11" si="3">SUM(B8:B10)</f>
        <v>36773.068281794462</v>
      </c>
      <c r="C11" s="193">
        <f t="shared" si="3"/>
        <v>38574.91833010719</v>
      </c>
      <c r="D11" s="193">
        <f t="shared" si="3"/>
        <v>40466.63829446528</v>
      </c>
      <c r="E11" s="193">
        <f t="shared" si="3"/>
        <v>42452.672268513299</v>
      </c>
      <c r="F11" s="193">
        <f t="shared" si="3"/>
        <v>44536.533811468078</v>
      </c>
      <c r="G11" s="193">
        <f t="shared" si="3"/>
        <v>45126.83831654628</v>
      </c>
      <c r="H11" s="193">
        <f t="shared" si="3"/>
        <v>45726.411161990334</v>
      </c>
      <c r="I11" s="193">
        <f t="shared" si="3"/>
        <v>46334.284752968742</v>
      </c>
      <c r="J11" s="193">
        <f t="shared" si="3"/>
        <v>46950.583981397205</v>
      </c>
      <c r="K11" s="193">
        <f t="shared" si="3"/>
        <v>47575.435894136397</v>
      </c>
      <c r="L11" s="193">
        <f t="shared" si="3"/>
        <v>48490.98757038881</v>
      </c>
      <c r="M11" s="193">
        <f t="shared" si="3"/>
        <v>49424.305566576928</v>
      </c>
      <c r="N11" s="193">
        <f t="shared" si="3"/>
        <v>50371.377949355687</v>
      </c>
      <c r="O11" s="193">
        <f t="shared" si="3"/>
        <v>51341.284301622247</v>
      </c>
      <c r="P11" s="193">
        <f t="shared" si="3"/>
        <v>52324.574992329166</v>
      </c>
      <c r="Q11" s="193">
        <f t="shared" si="3"/>
        <v>53103.175806853797</v>
      </c>
      <c r="R11" s="193">
        <f t="shared" si="3"/>
        <v>53886.273733760339</v>
      </c>
      <c r="S11" s="193">
        <f t="shared" si="3"/>
        <v>54681.297060989113</v>
      </c>
      <c r="T11" s="193">
        <f t="shared" si="3"/>
        <v>55488.438617591695</v>
      </c>
      <c r="U11" s="193">
        <f t="shared" si="3"/>
        <v>56307.894664537431</v>
      </c>
      <c r="V11" s="325"/>
      <c r="W11" s="161">
        <f>SUM(B11:U11)</f>
        <v>959936.99535739236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ht="12.75" customHeight="1" x14ac:dyDescent="0.25">
      <c r="A12" s="327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325"/>
      <c r="W12" s="161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ht="12.75" customHeight="1" x14ac:dyDescent="0.25">
      <c r="A13" s="160" t="s">
        <v>106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91"/>
      <c r="W13" s="161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ht="12.75" customHeight="1" x14ac:dyDescent="0.25">
      <c r="A14" s="166" t="s">
        <v>69</v>
      </c>
      <c r="B14" s="150">
        <f>Assumptions!C27*(1+Assumptions!$C$24)</f>
        <v>1279.7561657142855</v>
      </c>
      <c r="C14" s="161">
        <f>B14*(1+Assumptions!$C$24)</f>
        <v>1318.1488506857143</v>
      </c>
      <c r="D14" s="161">
        <f>C14*(1+Assumptions!$C$24)</f>
        <v>1357.6933162062858</v>
      </c>
      <c r="E14" s="161">
        <f>D14*(1+Assumptions!$C$24)</f>
        <v>1398.4241156924743</v>
      </c>
      <c r="F14" s="161">
        <f>E14*(1+Assumptions!$C$24)</f>
        <v>1440.3768391632486</v>
      </c>
      <c r="G14" s="161">
        <f>F14*(1+Assumptions!$C$24)</f>
        <v>1483.5881443381461</v>
      </c>
      <c r="H14" s="161">
        <f>G14*(1+Assumptions!$C$24)</f>
        <v>1528.0957886682904</v>
      </c>
      <c r="I14" s="161">
        <f>H14*(1+Assumptions!$C$24)</f>
        <v>1573.9386623283392</v>
      </c>
      <c r="J14" s="161">
        <f>I14*(1+Assumptions!$C$24)</f>
        <v>1621.1568221981895</v>
      </c>
      <c r="K14" s="161">
        <f>J14*(1+Assumptions!$C$24)</f>
        <v>1669.7915268641352</v>
      </c>
      <c r="L14" s="161">
        <f>K14*(1+Assumptions!$C$24)</f>
        <v>1719.8852726700593</v>
      </c>
      <c r="M14" s="161">
        <f>L14*(1+Assumptions!$C$24)</f>
        <v>1771.481830850161</v>
      </c>
      <c r="N14" s="161">
        <f>M14*(1+Assumptions!$C$24)</f>
        <v>1824.626285775666</v>
      </c>
      <c r="O14" s="161">
        <f>N14*(1+Assumptions!$C$24)</f>
        <v>1879.3650743489361</v>
      </c>
      <c r="P14" s="161">
        <f>O14*(1+Assumptions!$C$24)</f>
        <v>1935.7460265794043</v>
      </c>
      <c r="Q14" s="161">
        <f>P14*(1+Assumptions!$C$24)</f>
        <v>1993.8184073767866</v>
      </c>
      <c r="R14" s="161">
        <f>Q14*(1+Assumptions!$C$24)</f>
        <v>2053.6329595980901</v>
      </c>
      <c r="S14" s="161">
        <f>R14*(1+Assumptions!$C$24)</f>
        <v>2115.2419483860331</v>
      </c>
      <c r="T14" s="161">
        <f>S14*(1+Assumptions!$C$24)</f>
        <v>2178.6992068376139</v>
      </c>
      <c r="U14" s="161">
        <f>T14*(1+Assumptions!$C$24)</f>
        <v>2244.0601830427422</v>
      </c>
      <c r="V14" s="91"/>
      <c r="W14" s="161">
        <f t="shared" ref="W14:W20" si="4">SUM(B14:U14)</f>
        <v>34387.527427324596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ht="12.75" customHeight="1" x14ac:dyDescent="0.25">
      <c r="A15" s="166" t="s">
        <v>70</v>
      </c>
      <c r="B15" s="150">
        <f>Assumptions!$C$28*(1+Assumptions!$C$24)</f>
        <v>823.4720525687361</v>
      </c>
      <c r="C15" s="193">
        <f>B15*(1+Assumptions!$C$24)</f>
        <v>848.17621414579821</v>
      </c>
      <c r="D15" s="193">
        <f>C15*(1+Assumptions!$C$24)</f>
        <v>873.6215005701722</v>
      </c>
      <c r="E15" s="150">
        <f>Assumptions!$C$18*Assumptions!$C$22*(1+Assumptions!$C$24)^(E5-2000)/1000</f>
        <v>899.83014558727712</v>
      </c>
      <c r="F15" s="150">
        <f>Assumptions!$C$18*Assumptions!$C$22*(1+Assumptions!$C$24)^(F5-2000)/1000</f>
        <v>926.82504995489535</v>
      </c>
      <c r="G15" s="150">
        <f>Assumptions!$C$18*Assumptions!$C$22*(1+Assumptions!$C$24)^(G5-2000)/1000</f>
        <v>954.62980145354231</v>
      </c>
      <c r="H15" s="150">
        <f>Assumptions!$C$18*Assumptions!$C$22*(1+Assumptions!$C$24)^(H5-2000)/1000</f>
        <v>983.26869549714854</v>
      </c>
      <c r="I15" s="150">
        <f>Assumptions!$C$18*Assumptions!$C$22*(1+Assumptions!$C$24)^(I5-2000)/1000</f>
        <v>1012.7667563620629</v>
      </c>
      <c r="J15" s="150">
        <f>Assumptions!$C$18*Assumptions!$C$22*(1+Assumptions!$C$24)^(J5-2000)/1000</f>
        <v>1043.1497590529248</v>
      </c>
      <c r="K15" s="150">
        <f>Assumptions!$C$18*Assumptions!$C$22*(1+Assumptions!$C$24)^(K5-2000)/1000</f>
        <v>1074.4442518245125</v>
      </c>
      <c r="L15" s="150">
        <f>Assumptions!$C$18*Assumptions!$C$22*(1+Assumptions!$C$24)^(L5-2000)/1000</f>
        <v>1106.6775793792481</v>
      </c>
      <c r="M15" s="150">
        <f>Assumptions!$C$18*Assumptions!$C$22*(1+Assumptions!$C$24)^(M5-2000)/1000</f>
        <v>1139.8779067606254</v>
      </c>
      <c r="N15" s="150">
        <f>Assumptions!$C$18*Assumptions!$C$22*(1+Assumptions!$C$24)^(N5-2000)/1000</f>
        <v>1174.0742439634439</v>
      </c>
      <c r="O15" s="150">
        <f>Assumptions!$C$18*Assumptions!$C$22*(1+Assumptions!$C$24)^(O5-2000)/1000</f>
        <v>1209.2964712823473</v>
      </c>
      <c r="P15" s="150">
        <f>Assumptions!$C$18*Assumptions!$C$22*(1+Assumptions!$C$24)^(P5-2000)/1000</f>
        <v>1245.5753654208179</v>
      </c>
      <c r="Q15" s="150">
        <f>Assumptions!$C$18*Assumptions!$C$22*(1+Assumptions!$C$24)^(Q5-2000)/1000</f>
        <v>1282.9426263834423</v>
      </c>
      <c r="R15" s="150">
        <f>Assumptions!$C$18*Assumptions!$C$22*(1+Assumptions!$C$24)^(R5-2000)/1000</f>
        <v>1321.4309051749456</v>
      </c>
      <c r="S15" s="150">
        <f>Assumptions!$C$18*Assumptions!$C$22*(1+Assumptions!$C$24)^(S5-2000)/1000</f>
        <v>1361.0738323301939</v>
      </c>
      <c r="T15" s="150">
        <f>Assumptions!$C$18*Assumptions!$C$22*(1+Assumptions!$C$24)^(T5-2000)/1000</f>
        <v>1401.9060473000995</v>
      </c>
      <c r="U15" s="150">
        <f>Assumptions!$C$18*Assumptions!$C$22*(1+Assumptions!$C$24)^(U5-2000)/1000</f>
        <v>1443.9632287191027</v>
      </c>
      <c r="V15" s="91"/>
      <c r="W15" s="161">
        <f t="shared" si="4"/>
        <v>22127.002433731333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ht="12.75" customHeight="1" x14ac:dyDescent="0.25">
      <c r="A16" s="166" t="s">
        <v>107</v>
      </c>
      <c r="B16" s="150">
        <f>Assumptions!$C$23*Assumptions!$C$11*Assumptions!$C$8/1000*(1+Assumptions!$C$24)</f>
        <v>695.25</v>
      </c>
      <c r="C16" s="161">
        <f>B16*(1+Assumptions!$C$24)</f>
        <v>716.10750000000007</v>
      </c>
      <c r="D16" s="161">
        <f>C16*(1+Assumptions!$C$24)</f>
        <v>737.59072500000013</v>
      </c>
      <c r="E16" s="161">
        <f>D16*(1+Assumptions!$C$24)</f>
        <v>759.71844675000011</v>
      </c>
      <c r="F16" s="161">
        <f>E16*(1+Assumptions!$C$24)</f>
        <v>782.51000015250008</v>
      </c>
      <c r="G16" s="161">
        <f>F16*(1+Assumptions!$C$24)</f>
        <v>805.98530015707513</v>
      </c>
      <c r="H16" s="161">
        <f>G16*(1+Assumptions!$C$24)</f>
        <v>830.16485916178738</v>
      </c>
      <c r="I16" s="161">
        <f>H16*(1+Assumptions!$C$24)</f>
        <v>855.06980493664105</v>
      </c>
      <c r="J16" s="161">
        <f>I16*(1+Assumptions!$C$24)</f>
        <v>880.72189908474036</v>
      </c>
      <c r="K16" s="161">
        <f>J16*(1+Assumptions!$C$24)</f>
        <v>907.14355605728258</v>
      </c>
      <c r="L16" s="161">
        <f>K16*(1+Assumptions!$C$24)</f>
        <v>934.35786273900112</v>
      </c>
      <c r="M16" s="161">
        <f>L16*(1+Assumptions!$C$24)</f>
        <v>962.38859862117113</v>
      </c>
      <c r="N16" s="161">
        <f>M16*(1+Assumptions!$C$24)</f>
        <v>991.26025657980631</v>
      </c>
      <c r="O16" s="161">
        <f>N16*(1+Assumptions!$C$24)</f>
        <v>1020.9980642772006</v>
      </c>
      <c r="P16" s="161">
        <f>O16*(1+Assumptions!$C$24)</f>
        <v>1051.6280062055166</v>
      </c>
      <c r="Q16" s="161">
        <f>P16*(1+Assumptions!$C$24)</f>
        <v>1083.1768463916821</v>
      </c>
      <c r="R16" s="161">
        <f>Q16*(1+Assumptions!$C$24)</f>
        <v>1115.6721517834326</v>
      </c>
      <c r="S16" s="161">
        <f>R16*(1+Assumptions!$C$24)</f>
        <v>1149.1423163369357</v>
      </c>
      <c r="T16" s="161">
        <f>S16*(1+Assumptions!$C$24)</f>
        <v>1183.6165858270438</v>
      </c>
      <c r="U16" s="161">
        <f>T16*(1+Assumptions!$C$24)</f>
        <v>1219.1250834018551</v>
      </c>
      <c r="V16" s="91"/>
      <c r="W16" s="161">
        <f t="shared" si="4"/>
        <v>18681.627863463673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ht="12.75" customHeight="1" x14ac:dyDescent="0.25">
      <c r="A17" s="166" t="s">
        <v>72</v>
      </c>
      <c r="B17" s="150">
        <f>Assumptions!C30*(1+Assumptions!$C$24)</f>
        <v>331.91867714285718</v>
      </c>
      <c r="C17" s="161">
        <f>B17*(1+Assumptions!$C$24)</f>
        <v>341.87623745714291</v>
      </c>
      <c r="D17" s="161">
        <f>C17*(1+Assumptions!$C$24)</f>
        <v>352.13252458085719</v>
      </c>
      <c r="E17" s="161">
        <f>D17*(1+Assumptions!$C$24)</f>
        <v>362.69650031828292</v>
      </c>
      <c r="F17" s="161">
        <f>E17*(1+Assumptions!$C$24)</f>
        <v>373.57739532783143</v>
      </c>
      <c r="G17" s="161">
        <f>F17*(1+Assumptions!$C$24)</f>
        <v>384.78471718766639</v>
      </c>
      <c r="H17" s="161">
        <f>G17*(1+Assumptions!$C$24)</f>
        <v>396.3282587032964</v>
      </c>
      <c r="I17" s="161">
        <f>H17*(1+Assumptions!$C$24)</f>
        <v>408.21810646439531</v>
      </c>
      <c r="J17" s="161">
        <f>I17*(1+Assumptions!$C$24)</f>
        <v>420.46464965832718</v>
      </c>
      <c r="K17" s="161">
        <f>J17*(1+Assumptions!$C$24)</f>
        <v>433.07858914807701</v>
      </c>
      <c r="L17" s="161">
        <f>K17*(1+Assumptions!$C$24)</f>
        <v>446.07094682251932</v>
      </c>
      <c r="M17" s="161">
        <f>L17*(1+Assumptions!$C$24)</f>
        <v>459.45307522719492</v>
      </c>
      <c r="N17" s="161">
        <f>M17*(1+Assumptions!$C$24)</f>
        <v>473.23666748401075</v>
      </c>
      <c r="O17" s="161">
        <f>N17*(1+Assumptions!$C$24)</f>
        <v>487.4337675085311</v>
      </c>
      <c r="P17" s="161">
        <f>O17*(1+Assumptions!$C$24)</f>
        <v>502.05678053378705</v>
      </c>
      <c r="Q17" s="161">
        <f>P17*(1+Assumptions!$C$24)</f>
        <v>517.11848394980063</v>
      </c>
      <c r="R17" s="161">
        <f>Q17*(1+Assumptions!$C$24)</f>
        <v>532.6320384682947</v>
      </c>
      <c r="S17" s="161">
        <f>R17*(1+Assumptions!$C$24)</f>
        <v>548.61099962234357</v>
      </c>
      <c r="T17" s="161">
        <f>S17*(1+Assumptions!$C$24)</f>
        <v>565.06932961101393</v>
      </c>
      <c r="U17" s="161">
        <f>T17*(1+Assumptions!$C$24)</f>
        <v>582.02140949934437</v>
      </c>
      <c r="V17" s="91"/>
      <c r="W17" s="161">
        <f t="shared" si="4"/>
        <v>8918.7791547155739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ht="12.75" customHeight="1" x14ac:dyDescent="0.25">
      <c r="A18" s="166" t="s">
        <v>190</v>
      </c>
      <c r="B18" s="328">
        <v>174.46</v>
      </c>
      <c r="C18" s="328">
        <v>348.92</v>
      </c>
      <c r="D18" s="328">
        <v>436.15</v>
      </c>
      <c r="E18" s="328">
        <v>436.15</v>
      </c>
      <c r="F18" s="328">
        <v>436.15</v>
      </c>
      <c r="G18" s="328">
        <v>523.38</v>
      </c>
      <c r="H18" s="328">
        <v>523.38</v>
      </c>
      <c r="I18" s="328">
        <v>523.38</v>
      </c>
      <c r="J18" s="328">
        <v>523.38</v>
      </c>
      <c r="K18" s="328">
        <v>523.38</v>
      </c>
      <c r="L18" s="328">
        <v>523.38</v>
      </c>
      <c r="M18" s="328">
        <v>523.38</v>
      </c>
      <c r="N18" s="328">
        <v>872.3</v>
      </c>
      <c r="O18" s="328">
        <v>872.3</v>
      </c>
      <c r="P18" s="328">
        <v>1308.45</v>
      </c>
      <c r="Q18" s="328">
        <v>743.93104499999993</v>
      </c>
      <c r="R18" s="328">
        <v>758.80966589999991</v>
      </c>
      <c r="S18" s="328">
        <v>773.98585921799997</v>
      </c>
      <c r="T18" s="328">
        <v>789.46557640235994</v>
      </c>
      <c r="U18" s="328">
        <v>805.25488793040722</v>
      </c>
      <c r="V18" s="91"/>
      <c r="W18" s="161">
        <f t="shared" si="4"/>
        <v>12419.987034450767</v>
      </c>
      <c r="X18" s="325"/>
      <c r="Y18" s="325"/>
      <c r="Z18" s="325"/>
      <c r="AA18" s="325"/>
      <c r="AB18" s="325"/>
      <c r="AC18" s="325"/>
      <c r="AD18" s="325"/>
      <c r="AE18" s="325"/>
      <c r="AF18" s="325"/>
      <c r="AG18" s="325"/>
      <c r="AH18" s="325"/>
      <c r="AI18" s="325"/>
      <c r="AJ18" s="325"/>
      <c r="AK18" s="325"/>
      <c r="AL18" s="325"/>
      <c r="AM18" s="325"/>
      <c r="AN18" s="325"/>
      <c r="AO18" s="325"/>
      <c r="AP18" s="325"/>
      <c r="AQ18" s="325"/>
      <c r="AR18" s="325"/>
      <c r="AS18" s="325"/>
    </row>
    <row r="19" spans="1:45" ht="12.75" customHeight="1" x14ac:dyDescent="0.25">
      <c r="A19" s="166" t="s">
        <v>191</v>
      </c>
      <c r="B19" s="168">
        <f t="shared" ref="B19:U19" si="5">B67</f>
        <v>580.17621301803638</v>
      </c>
      <c r="C19" s="168">
        <f t="shared" si="5"/>
        <v>557.80218638269139</v>
      </c>
      <c r="D19" s="168">
        <f t="shared" si="5"/>
        <v>539.99998894494593</v>
      </c>
      <c r="E19" s="168">
        <f t="shared" si="5"/>
        <v>522.19779150720035</v>
      </c>
      <c r="F19" s="168">
        <f t="shared" si="5"/>
        <v>504.39559406945489</v>
      </c>
      <c r="G19" s="168">
        <f t="shared" si="5"/>
        <v>486.59339663170942</v>
      </c>
      <c r="H19" s="168">
        <f t="shared" si="5"/>
        <v>468.79119919396391</v>
      </c>
      <c r="I19" s="168">
        <f t="shared" si="5"/>
        <v>450.98900175621844</v>
      </c>
      <c r="J19" s="168">
        <f t="shared" si="5"/>
        <v>433.18680431847292</v>
      </c>
      <c r="K19" s="168">
        <f t="shared" si="5"/>
        <v>415.38460688072746</v>
      </c>
      <c r="L19" s="168">
        <f t="shared" si="5"/>
        <v>397.58240944298194</v>
      </c>
      <c r="M19" s="168">
        <f t="shared" si="5"/>
        <v>379.78021200523648</v>
      </c>
      <c r="N19" s="168">
        <f t="shared" si="5"/>
        <v>361.97801456749096</v>
      </c>
      <c r="O19" s="168">
        <f t="shared" si="5"/>
        <v>344.1758171297455</v>
      </c>
      <c r="P19" s="168">
        <f t="shared" si="5"/>
        <v>326.37361969199998</v>
      </c>
      <c r="Q19" s="168">
        <f t="shared" si="5"/>
        <v>308.57142225425451</v>
      </c>
      <c r="R19" s="168">
        <f t="shared" si="5"/>
        <v>290.76922481650899</v>
      </c>
      <c r="S19" s="168">
        <f t="shared" si="5"/>
        <v>272.96702737876353</v>
      </c>
      <c r="T19" s="168">
        <f t="shared" si="5"/>
        <v>255.16482994101804</v>
      </c>
      <c r="U19" s="168">
        <f t="shared" si="5"/>
        <v>237.36263250327255</v>
      </c>
      <c r="V19" s="161"/>
      <c r="W19" s="161">
        <f t="shared" si="4"/>
        <v>8134.241992434695</v>
      </c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</row>
    <row r="20" spans="1:45" ht="12.75" customHeight="1" x14ac:dyDescent="0.25">
      <c r="A20" s="166" t="s">
        <v>110</v>
      </c>
      <c r="B20" s="150">
        <f t="shared" ref="B20:U20" si="6">SUM(B14:B19)</f>
        <v>3885.0331084439154</v>
      </c>
      <c r="C20" s="150">
        <f t="shared" si="6"/>
        <v>4131.0309886713467</v>
      </c>
      <c r="D20" s="150">
        <f t="shared" si="6"/>
        <v>4297.1880553022611</v>
      </c>
      <c r="E20" s="150">
        <f t="shared" si="6"/>
        <v>4379.0169998552356</v>
      </c>
      <c r="F20" s="150">
        <f t="shared" si="6"/>
        <v>4463.8348786679308</v>
      </c>
      <c r="G20" s="150">
        <f t="shared" si="6"/>
        <v>4638.9613597681391</v>
      </c>
      <c r="H20" s="150">
        <f t="shared" si="6"/>
        <v>4730.0288012244864</v>
      </c>
      <c r="I20" s="150">
        <f t="shared" si="6"/>
        <v>4824.3623318476566</v>
      </c>
      <c r="J20" s="150">
        <f t="shared" si="6"/>
        <v>4922.0599343126551</v>
      </c>
      <c r="K20" s="150">
        <f t="shared" si="6"/>
        <v>5023.222530774734</v>
      </c>
      <c r="L20" s="150">
        <f t="shared" si="6"/>
        <v>5127.9540710538095</v>
      </c>
      <c r="M20" s="150">
        <f t="shared" si="6"/>
        <v>5236.3616234643896</v>
      </c>
      <c r="N20" s="150">
        <f t="shared" si="6"/>
        <v>5697.4754683704177</v>
      </c>
      <c r="O20" s="150">
        <f t="shared" si="6"/>
        <v>5813.5691945467597</v>
      </c>
      <c r="P20" s="150">
        <f t="shared" si="6"/>
        <v>6369.8297984315259</v>
      </c>
      <c r="Q20" s="150">
        <f t="shared" si="6"/>
        <v>5929.5588313559674</v>
      </c>
      <c r="R20" s="150">
        <f t="shared" si="6"/>
        <v>6072.9469457412724</v>
      </c>
      <c r="S20" s="150">
        <f t="shared" si="6"/>
        <v>6221.0219832722696</v>
      </c>
      <c r="T20" s="150">
        <f t="shared" si="6"/>
        <v>6373.9215759191493</v>
      </c>
      <c r="U20" s="150">
        <f t="shared" si="6"/>
        <v>6531.7874250967234</v>
      </c>
      <c r="V20" s="91"/>
      <c r="W20" s="161">
        <f t="shared" si="4"/>
        <v>104669.16590612064</v>
      </c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</row>
    <row r="21" spans="1:45" ht="12.75" customHeight="1" x14ac:dyDescent="0.25">
      <c r="A21" s="172"/>
      <c r="B21" s="329"/>
      <c r="C21" s="330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5"/>
      <c r="W21" s="16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</row>
    <row r="22" spans="1:45" ht="12.75" customHeight="1" x14ac:dyDescent="0.25">
      <c r="A22" s="160" t="s">
        <v>111</v>
      </c>
      <c r="B22" s="157">
        <f t="shared" ref="B22:U22" si="7">B11-B20</f>
        <v>32888.035173350545</v>
      </c>
      <c r="C22" s="157">
        <f t="shared" si="7"/>
        <v>34443.887341435846</v>
      </c>
      <c r="D22" s="157">
        <f t="shared" si="7"/>
        <v>36169.450239163016</v>
      </c>
      <c r="E22" s="157">
        <f t="shared" si="7"/>
        <v>38073.655268658062</v>
      </c>
      <c r="F22" s="157">
        <f t="shared" si="7"/>
        <v>40072.698932800151</v>
      </c>
      <c r="G22" s="157">
        <f t="shared" si="7"/>
        <v>40487.876956778142</v>
      </c>
      <c r="H22" s="157">
        <f t="shared" si="7"/>
        <v>40996.382360765849</v>
      </c>
      <c r="I22" s="157">
        <f t="shared" si="7"/>
        <v>41509.922421121082</v>
      </c>
      <c r="J22" s="157">
        <f t="shared" si="7"/>
        <v>42028.524047084553</v>
      </c>
      <c r="K22" s="157">
        <f t="shared" si="7"/>
        <v>42552.213363361661</v>
      </c>
      <c r="L22" s="157">
        <f t="shared" si="7"/>
        <v>43363.033499334997</v>
      </c>
      <c r="M22" s="157">
        <f t="shared" si="7"/>
        <v>44187.943943112536</v>
      </c>
      <c r="N22" s="157">
        <f t="shared" si="7"/>
        <v>44673.902480985271</v>
      </c>
      <c r="O22" s="157">
        <f t="shared" si="7"/>
        <v>45527.715107075484</v>
      </c>
      <c r="P22" s="157">
        <f t="shared" si="7"/>
        <v>45954.745193897637</v>
      </c>
      <c r="Q22" s="157">
        <f t="shared" si="7"/>
        <v>47173.616975497833</v>
      </c>
      <c r="R22" s="157">
        <f t="shared" si="7"/>
        <v>47813.326788019069</v>
      </c>
      <c r="S22" s="157">
        <f t="shared" si="7"/>
        <v>48460.27507771684</v>
      </c>
      <c r="T22" s="157">
        <f t="shared" si="7"/>
        <v>49114.517041672545</v>
      </c>
      <c r="U22" s="157">
        <f t="shared" si="7"/>
        <v>49776.107239440709</v>
      </c>
      <c r="V22" s="292"/>
      <c r="W22" s="161">
        <f>SUM(B22:U22)</f>
        <v>855267.82945127168</v>
      </c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</row>
    <row r="23" spans="1:45" ht="12.75" customHeight="1" x14ac:dyDescent="0.25">
      <c r="A23" s="160"/>
      <c r="B23" s="331"/>
      <c r="C23" s="332"/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  <c r="Q23" s="331"/>
      <c r="R23" s="331"/>
      <c r="S23" s="331"/>
      <c r="T23" s="331"/>
      <c r="U23" s="331"/>
      <c r="V23" s="292"/>
      <c r="W23" s="16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</row>
    <row r="24" spans="1:45" ht="12.75" customHeight="1" x14ac:dyDescent="0.25">
      <c r="A24" s="166" t="s">
        <v>112</v>
      </c>
      <c r="B24" s="150">
        <f>Depreciation!C13</f>
        <v>7120.8926754848071</v>
      </c>
      <c r="C24" s="150">
        <f>Depreciation!D13</f>
        <v>7120.8926754848071</v>
      </c>
      <c r="D24" s="150">
        <f>Depreciation!E13</f>
        <v>7120.8926754848071</v>
      </c>
      <c r="E24" s="150">
        <f>Depreciation!F13</f>
        <v>7120.8926754848071</v>
      </c>
      <c r="F24" s="150">
        <f>Depreciation!G13</f>
        <v>7120.8926754848071</v>
      </c>
      <c r="G24" s="150">
        <f>Depreciation!H13</f>
        <v>7120.8926754848071</v>
      </c>
      <c r="H24" s="150">
        <f>Depreciation!I13</f>
        <v>7120.8926754848071</v>
      </c>
      <c r="I24" s="150">
        <f>Depreciation!J13</f>
        <v>7120.8926754848071</v>
      </c>
      <c r="J24" s="150">
        <f>Depreciation!K13</f>
        <v>7120.8926754848071</v>
      </c>
      <c r="K24" s="150">
        <f>Depreciation!L13</f>
        <v>7120.8926754848071</v>
      </c>
      <c r="L24" s="150">
        <f>Depreciation!M13</f>
        <v>7120.8926754848071</v>
      </c>
      <c r="M24" s="150">
        <f>Depreciation!N13</f>
        <v>7120.8926754848071</v>
      </c>
      <c r="N24" s="150">
        <f>Depreciation!O13</f>
        <v>7120.8926754848071</v>
      </c>
      <c r="O24" s="150">
        <f>Depreciation!P13</f>
        <v>7120.8926754848071</v>
      </c>
      <c r="P24" s="150">
        <f>Depreciation!Q13</f>
        <v>7120.8926754848071</v>
      </c>
      <c r="Q24" s="150">
        <f>Depreciation!R13</f>
        <v>7120.8926754848071</v>
      </c>
      <c r="R24" s="150">
        <f>Depreciation!S13</f>
        <v>7120.8926754848071</v>
      </c>
      <c r="S24" s="150">
        <f>Depreciation!T13</f>
        <v>7120.8926754848071</v>
      </c>
      <c r="T24" s="150">
        <f>Depreciation!U13</f>
        <v>7120.8926754848071</v>
      </c>
      <c r="U24" s="150">
        <f>Depreciation!V13</f>
        <v>7120.8926754848071</v>
      </c>
      <c r="V24" s="91"/>
      <c r="W24" s="161">
        <f>SUM(B24:U24)</f>
        <v>142417.85350969614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ht="12.75" customHeight="1" x14ac:dyDescent="0.25">
      <c r="A25" s="166"/>
      <c r="B25" s="150"/>
      <c r="C25" s="161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91"/>
      <c r="W25" s="16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</row>
    <row r="26" spans="1:45" ht="12.75" customHeight="1" x14ac:dyDescent="0.25">
      <c r="A26" s="160" t="s">
        <v>113</v>
      </c>
      <c r="B26" s="331">
        <f t="shared" ref="B26:U26" si="8">B22-B24</f>
        <v>25767.142497865738</v>
      </c>
      <c r="C26" s="331">
        <f t="shared" si="8"/>
        <v>27322.994665951039</v>
      </c>
      <c r="D26" s="331">
        <f t="shared" si="8"/>
        <v>29048.557563678209</v>
      </c>
      <c r="E26" s="331">
        <f t="shared" si="8"/>
        <v>30952.762593173255</v>
      </c>
      <c r="F26" s="331">
        <f t="shared" si="8"/>
        <v>32951.806257315344</v>
      </c>
      <c r="G26" s="331">
        <f t="shared" si="8"/>
        <v>33366.984281293335</v>
      </c>
      <c r="H26" s="331">
        <f t="shared" si="8"/>
        <v>33875.489685281042</v>
      </c>
      <c r="I26" s="331">
        <f t="shared" si="8"/>
        <v>34389.029745636275</v>
      </c>
      <c r="J26" s="331">
        <f t="shared" si="8"/>
        <v>34907.631371599746</v>
      </c>
      <c r="K26" s="331">
        <f t="shared" si="8"/>
        <v>35431.320687876854</v>
      </c>
      <c r="L26" s="331">
        <f t="shared" si="8"/>
        <v>36242.14082385019</v>
      </c>
      <c r="M26" s="331">
        <f t="shared" si="8"/>
        <v>37067.051267627729</v>
      </c>
      <c r="N26" s="331">
        <f t="shared" si="8"/>
        <v>37553.009805500464</v>
      </c>
      <c r="O26" s="331">
        <f t="shared" si="8"/>
        <v>38406.822431590677</v>
      </c>
      <c r="P26" s="331">
        <f t="shared" si="8"/>
        <v>38833.85251841283</v>
      </c>
      <c r="Q26" s="331">
        <f t="shared" si="8"/>
        <v>40052.724300013026</v>
      </c>
      <c r="R26" s="331">
        <f t="shared" si="8"/>
        <v>40692.434112534262</v>
      </c>
      <c r="S26" s="331">
        <f t="shared" si="8"/>
        <v>41339.382402232033</v>
      </c>
      <c r="T26" s="331">
        <f t="shared" si="8"/>
        <v>41993.624366187738</v>
      </c>
      <c r="U26" s="331">
        <f t="shared" si="8"/>
        <v>42655.214563955902</v>
      </c>
      <c r="V26" s="292"/>
      <c r="W26" s="161">
        <f>SUM(B26:U26)</f>
        <v>712849.97594157571</v>
      </c>
      <c r="X26" s="325"/>
      <c r="Y26" s="325"/>
      <c r="Z26" s="325"/>
      <c r="AA26" s="325"/>
      <c r="AB26" s="325"/>
      <c r="AC26" s="325"/>
      <c r="AD26" s="325"/>
      <c r="AE26" s="325"/>
      <c r="AF26" s="325"/>
      <c r="AG26" s="325"/>
      <c r="AH26" s="325"/>
      <c r="AI26" s="325"/>
      <c r="AJ26" s="325"/>
      <c r="AK26" s="325"/>
      <c r="AL26" s="325"/>
      <c r="AM26" s="325"/>
      <c r="AN26" s="325"/>
      <c r="AO26" s="325"/>
      <c r="AP26" s="325"/>
      <c r="AQ26" s="325"/>
      <c r="AR26" s="325"/>
      <c r="AS26" s="325"/>
    </row>
    <row r="27" spans="1:45" ht="12.75" customHeight="1" x14ac:dyDescent="0.25">
      <c r="A27" s="160"/>
      <c r="B27" s="331"/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  <c r="Q27" s="331"/>
      <c r="R27" s="331"/>
      <c r="S27" s="331"/>
      <c r="T27" s="331"/>
      <c r="U27" s="331"/>
      <c r="V27" s="292"/>
      <c r="W27" s="161"/>
      <c r="X27" s="325"/>
      <c r="Y27" s="325"/>
      <c r="Z27" s="325"/>
      <c r="AA27" s="325"/>
      <c r="AB27" s="325"/>
      <c r="AC27" s="325"/>
      <c r="AD27" s="325"/>
      <c r="AE27" s="325"/>
      <c r="AF27" s="325"/>
      <c r="AG27" s="325"/>
      <c r="AH27" s="325"/>
      <c r="AI27" s="325"/>
      <c r="AJ27" s="325"/>
      <c r="AK27" s="325"/>
      <c r="AL27" s="325"/>
      <c r="AM27" s="325"/>
      <c r="AN27" s="325"/>
      <c r="AO27" s="325"/>
      <c r="AP27" s="325"/>
      <c r="AQ27" s="325"/>
      <c r="AR27" s="325"/>
      <c r="AS27" s="325"/>
    </row>
    <row r="28" spans="1:45" ht="12.75" customHeight="1" x14ac:dyDescent="0.25">
      <c r="A28" s="4" t="s">
        <v>114</v>
      </c>
      <c r="B28" s="150">
        <f>IS!B33*Allocation!$E$6</f>
        <v>12050.973294113131</v>
      </c>
      <c r="C28" s="150">
        <f>IS!C33*Allocation!$E$6</f>
        <v>11838.648789739429</v>
      </c>
      <c r="D28" s="150">
        <f>IS!D33*Allocation!$E$6</f>
        <v>11559.655536160069</v>
      </c>
      <c r="E28" s="150">
        <f>IS!E33*Allocation!$E$6</f>
        <v>11271.115885220628</v>
      </c>
      <c r="F28" s="150">
        <f>IS!F33*Allocation!$E$6</f>
        <v>10870.403110526717</v>
      </c>
      <c r="G28" s="150">
        <f>IS!G33*Allocation!$E$6</f>
        <v>10456.57258319143</v>
      </c>
      <c r="H28" s="150">
        <f>IS!H33*Allocation!$E$6</f>
        <v>10032.055641959063</v>
      </c>
      <c r="I28" s="150">
        <f>IS!I33*Allocation!$E$6</f>
        <v>9618.4015671688558</v>
      </c>
      <c r="J28" s="150">
        <f>IS!J33*Allocation!$E$6</f>
        <v>9131.1679780486666</v>
      </c>
      <c r="K28" s="150">
        <f>IS!K33*Allocation!$E$6</f>
        <v>8643.7322225098451</v>
      </c>
      <c r="L28" s="150">
        <f>IS!L33*Allocation!$E$6</f>
        <v>8122.6886861594467</v>
      </c>
      <c r="M28" s="150">
        <f>IS!M33*Allocation!$E$6</f>
        <v>7579.8269886946555</v>
      </c>
      <c r="N28" s="150">
        <f>IS!N33*Allocation!$E$6</f>
        <v>6952.1655042628645</v>
      </c>
      <c r="O28" s="150">
        <f>IS!O33*Allocation!$E$6</f>
        <v>6297.2726537210692</v>
      </c>
      <c r="P28" s="150">
        <f>IS!P33*Allocation!$E$6</f>
        <v>5586.599643272144</v>
      </c>
      <c r="Q28" s="150">
        <f>IS!Q33*Allocation!$E$6</f>
        <v>4826.8649013961003</v>
      </c>
      <c r="R28" s="150">
        <f>IS!R33*Allocation!$E$6</f>
        <v>3965.6565369116338</v>
      </c>
      <c r="S28" s="150">
        <f>IS!S33*Allocation!$E$6</f>
        <v>3038.0425734077903</v>
      </c>
      <c r="T28" s="150">
        <f>IS!T33*Allocation!$E$6</f>
        <v>2019.9335513548376</v>
      </c>
      <c r="U28" s="150">
        <f>IS!U33*Allocation!$E$6</f>
        <v>903.05819795427487</v>
      </c>
      <c r="V28" s="91"/>
      <c r="W28" s="161">
        <f>SUM(B28:U28)</f>
        <v>154764.83584577264</v>
      </c>
      <c r="X28" s="292"/>
      <c r="Y28" s="292"/>
      <c r="Z28" s="292"/>
      <c r="AA28" s="292"/>
      <c r="AB28" s="292"/>
      <c r="AC28" s="292"/>
      <c r="AD28" s="292"/>
      <c r="AE28" s="292"/>
      <c r="AF28" s="292"/>
      <c r="AG28" s="292"/>
      <c r="AH28" s="292"/>
      <c r="AI28" s="292"/>
      <c r="AJ28" s="292"/>
      <c r="AK28" s="292"/>
      <c r="AL28" s="292"/>
      <c r="AM28" s="292"/>
      <c r="AN28" s="292"/>
      <c r="AO28" s="292"/>
      <c r="AP28" s="292"/>
      <c r="AQ28" s="292"/>
      <c r="AR28" s="292"/>
      <c r="AS28" s="292"/>
    </row>
    <row r="29" spans="1:45" ht="12.75" customHeight="1" x14ac:dyDescent="0.25">
      <c r="A29" s="4"/>
      <c r="B29" s="25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  <c r="R29" s="333"/>
      <c r="S29" s="333"/>
      <c r="T29" s="333"/>
      <c r="U29" s="333"/>
      <c r="V29" s="91"/>
      <c r="W29" s="161"/>
      <c r="X29" s="292"/>
      <c r="Y29" s="292"/>
      <c r="Z29" s="292"/>
      <c r="AA29" s="292"/>
      <c r="AB29" s="292"/>
      <c r="AC29" s="292"/>
      <c r="AD29" s="292"/>
      <c r="AE29" s="292"/>
      <c r="AF29" s="292"/>
      <c r="AG29" s="292"/>
      <c r="AH29" s="292"/>
      <c r="AI29" s="292"/>
      <c r="AJ29" s="292"/>
      <c r="AK29" s="292"/>
      <c r="AL29" s="292"/>
      <c r="AM29" s="292"/>
      <c r="AN29" s="292"/>
      <c r="AO29" s="292"/>
      <c r="AP29" s="292"/>
      <c r="AQ29" s="292"/>
      <c r="AR29" s="292"/>
      <c r="AS29" s="292"/>
    </row>
    <row r="30" spans="1:45" ht="12.75" customHeight="1" x14ac:dyDescent="0.25">
      <c r="A30" s="160" t="s">
        <v>115</v>
      </c>
      <c r="B30" s="331">
        <f t="shared" ref="B30:U30" si="9">B26-B28</f>
        <v>13716.169203752606</v>
      </c>
      <c r="C30" s="331">
        <f t="shared" si="9"/>
        <v>15484.34587621161</v>
      </c>
      <c r="D30" s="331">
        <f t="shared" si="9"/>
        <v>17488.902027518139</v>
      </c>
      <c r="E30" s="331">
        <f t="shared" si="9"/>
        <v>19681.646707952626</v>
      </c>
      <c r="F30" s="331">
        <f t="shared" si="9"/>
        <v>22081.403146788627</v>
      </c>
      <c r="G30" s="331">
        <f t="shared" si="9"/>
        <v>22910.411698101903</v>
      </c>
      <c r="H30" s="331">
        <f t="shared" si="9"/>
        <v>23843.434043321977</v>
      </c>
      <c r="I30" s="331">
        <f t="shared" si="9"/>
        <v>24770.628178467421</v>
      </c>
      <c r="J30" s="331">
        <f t="shared" si="9"/>
        <v>25776.463393551079</v>
      </c>
      <c r="K30" s="331">
        <f t="shared" si="9"/>
        <v>26787.588465367007</v>
      </c>
      <c r="L30" s="331">
        <f t="shared" si="9"/>
        <v>28119.452137690743</v>
      </c>
      <c r="M30" s="331">
        <f t="shared" si="9"/>
        <v>29487.224278933074</v>
      </c>
      <c r="N30" s="331">
        <f t="shared" si="9"/>
        <v>30600.844301237601</v>
      </c>
      <c r="O30" s="331">
        <f t="shared" si="9"/>
        <v>32109.549777869608</v>
      </c>
      <c r="P30" s="331">
        <f t="shared" si="9"/>
        <v>33247.252875140686</v>
      </c>
      <c r="Q30" s="331">
        <f t="shared" si="9"/>
        <v>35225.859398616929</v>
      </c>
      <c r="R30" s="331">
        <f t="shared" si="9"/>
        <v>36726.777575622626</v>
      </c>
      <c r="S30" s="331">
        <f t="shared" si="9"/>
        <v>38301.339828824246</v>
      </c>
      <c r="T30" s="331">
        <f t="shared" si="9"/>
        <v>39973.690814832902</v>
      </c>
      <c r="U30" s="331">
        <f t="shared" si="9"/>
        <v>41752.156366001625</v>
      </c>
      <c r="V30" s="292"/>
      <c r="W30" s="161">
        <f>SUM(B30:U30)</f>
        <v>558085.14009580296</v>
      </c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</row>
    <row r="31" spans="1:45" ht="12.75" customHeight="1" x14ac:dyDescent="0.25">
      <c r="A31" s="160"/>
      <c r="B31" s="331"/>
      <c r="C31" s="331"/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1"/>
      <c r="Q31" s="331"/>
      <c r="R31" s="331"/>
      <c r="S31" s="331"/>
      <c r="T31" s="331"/>
      <c r="U31" s="331"/>
      <c r="V31" s="292"/>
      <c r="W31" s="16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</row>
    <row r="32" spans="1:45" ht="12.75" customHeight="1" x14ac:dyDescent="0.25">
      <c r="A32" s="166" t="s">
        <v>192</v>
      </c>
      <c r="B32" s="150">
        <f>B30*-Assumptions!$C$37</f>
        <v>-822.97015222515631</v>
      </c>
      <c r="C32" s="150">
        <f>C30*-Assumptions!$C$37</f>
        <v>-929.06075257269652</v>
      </c>
      <c r="D32" s="150">
        <f>D30*-Assumptions!$C$37</f>
        <v>-1049.3341216510883</v>
      </c>
      <c r="E32" s="150">
        <f>E30*-Assumptions!$C$37</f>
        <v>-1180.8988024771575</v>
      </c>
      <c r="F32" s="150">
        <f>F30*-Assumptions!$C$37</f>
        <v>-1324.8841888073175</v>
      </c>
      <c r="G32" s="150">
        <f>G30*-Assumptions!$C$37</f>
        <v>-1374.6247018861141</v>
      </c>
      <c r="H32" s="150">
        <f>H30*-Assumptions!$C$37</f>
        <v>-1430.6060425993185</v>
      </c>
      <c r="I32" s="150">
        <f>I30*-Assumptions!$C$37</f>
        <v>-1486.2376907080452</v>
      </c>
      <c r="J32" s="150">
        <f>J30*-Assumptions!$C$37</f>
        <v>-1546.5878036130648</v>
      </c>
      <c r="K32" s="150">
        <f>K30*-Assumptions!$C$37</f>
        <v>-1607.2553079220204</v>
      </c>
      <c r="L32" s="150">
        <f>L30*-Assumptions!$C$37</f>
        <v>-1687.1671282614445</v>
      </c>
      <c r="M32" s="150">
        <f>M30*-Assumptions!$C$37</f>
        <v>-1769.2334567359844</v>
      </c>
      <c r="N32" s="150">
        <f>N30*-Assumptions!$C$37</f>
        <v>-1836.050658074256</v>
      </c>
      <c r="O32" s="150">
        <f>O30*-Assumptions!$C$37</f>
        <v>-1926.5729866721765</v>
      </c>
      <c r="P32" s="150">
        <f>P30*-Assumptions!$C$37</f>
        <v>-1994.835172508441</v>
      </c>
      <c r="Q32" s="150">
        <f>Q30*-Assumptions!$C$37</f>
        <v>-2113.5515639170158</v>
      </c>
      <c r="R32" s="150">
        <f>R30*-Assumptions!$C$37</f>
        <v>-2203.6066545373574</v>
      </c>
      <c r="S32" s="150">
        <f>S30*-Assumptions!$C$37</f>
        <v>-2298.0803897294545</v>
      </c>
      <c r="T32" s="150">
        <f>T30*-Assumptions!$C$37</f>
        <v>-2398.4214488899738</v>
      </c>
      <c r="U32" s="150">
        <f>U30*-Assumptions!$C$37</f>
        <v>-2505.1293819600974</v>
      </c>
      <c r="V32" s="91"/>
      <c r="W32" s="161">
        <f>SUM(B32:U32)</f>
        <v>-33485.108405748178</v>
      </c>
      <c r="X32" s="292"/>
      <c r="Y32" s="292"/>
      <c r="Z32" s="292"/>
      <c r="AA32" s="292"/>
      <c r="AB32" s="292"/>
      <c r="AC32" s="292"/>
      <c r="AD32" s="292"/>
      <c r="AE32" s="292"/>
      <c r="AF32" s="292"/>
      <c r="AG32" s="292"/>
      <c r="AH32" s="292"/>
      <c r="AI32" s="292"/>
      <c r="AJ32" s="292"/>
      <c r="AK32" s="292"/>
      <c r="AL32" s="292"/>
      <c r="AM32" s="292"/>
      <c r="AN32" s="292"/>
      <c r="AO32" s="292"/>
      <c r="AP32" s="292"/>
      <c r="AQ32" s="292"/>
      <c r="AR32" s="292"/>
      <c r="AS32" s="292"/>
    </row>
    <row r="33" spans="1:45" ht="12.75" customHeight="1" x14ac:dyDescent="0.25">
      <c r="A33" s="166" t="s">
        <v>193</v>
      </c>
      <c r="B33" s="334">
        <f>(B30+B32)*-Assumptions!$C$36</f>
        <v>-4512.6196680346075</v>
      </c>
      <c r="C33" s="334">
        <f>(C30+C32)*-Assumptions!$C$36</f>
        <v>-5094.3497932736191</v>
      </c>
      <c r="D33" s="334">
        <f>(D30+D32)*-Assumptions!$C$36</f>
        <v>-5753.8487670534669</v>
      </c>
      <c r="E33" s="334">
        <f>(E30+E32)*-Assumptions!$C$36</f>
        <v>-6475.2617669164138</v>
      </c>
      <c r="F33" s="334">
        <f>(F30+F32)*-Assumptions!$C$36</f>
        <v>-7264.7816352934578</v>
      </c>
      <c r="G33" s="334">
        <f>(G30+G32)*-Assumptions!$C$36</f>
        <v>-7537.5254486755257</v>
      </c>
      <c r="H33" s="334">
        <f>(H30+H32)*-Assumptions!$C$36</f>
        <v>-7844.4898002529289</v>
      </c>
      <c r="I33" s="334">
        <f>(I30+I32)*-Assumptions!$C$36</f>
        <v>-8149.53667071578</v>
      </c>
      <c r="J33" s="334">
        <f>(J30+J32)*-Assumptions!$C$36</f>
        <v>-8480.456456478305</v>
      </c>
      <c r="K33" s="334">
        <f>(K30+K32)*-Assumptions!$C$36</f>
        <v>-8813.1166051057444</v>
      </c>
      <c r="L33" s="334">
        <f>(L30+L32)*-Assumptions!$C$36</f>
        <v>-9251.2997533002545</v>
      </c>
      <c r="M33" s="334">
        <f>(M30+M32)*-Assumptions!$C$36</f>
        <v>-9701.2967877689807</v>
      </c>
      <c r="N33" s="334">
        <f>(N30+N32)*-Assumptions!$C$36</f>
        <v>-10067.677775107171</v>
      </c>
      <c r="O33" s="334">
        <f>(O30+O32)*-Assumptions!$C$36</f>
        <v>-10564.0418769191</v>
      </c>
      <c r="P33" s="334">
        <f>(P30+P32)*-Assumptions!$C$36</f>
        <v>-10938.346195921285</v>
      </c>
      <c r="Q33" s="334">
        <f>(Q30+Q32)*-Assumptions!$C$36</f>
        <v>-11589.307742144967</v>
      </c>
      <c r="R33" s="334">
        <f>(R30+R32)*-Assumptions!$C$36</f>
        <v>-12083.109822379844</v>
      </c>
      <c r="S33" s="334">
        <f>(S30+S32)*-Assumptions!$C$36</f>
        <v>-12601.140803683176</v>
      </c>
      <c r="T33" s="334">
        <f>(T30+T32)*-Assumptions!$C$36</f>
        <v>-13151.344278080023</v>
      </c>
      <c r="U33" s="334">
        <f>(U30+U32)*-Assumptions!$C$36</f>
        <v>-13736.459444414533</v>
      </c>
      <c r="V33" s="91"/>
      <c r="W33" s="161">
        <f>SUM(B33:U33)</f>
        <v>-183610.01109151915</v>
      </c>
      <c r="X33" s="292"/>
      <c r="Y33" s="292"/>
      <c r="Z33" s="292"/>
      <c r="AA33" s="292"/>
      <c r="AB33" s="292"/>
      <c r="AC33" s="292"/>
      <c r="AD33" s="292"/>
      <c r="AE33" s="292"/>
      <c r="AF33" s="292"/>
      <c r="AG33" s="292"/>
      <c r="AH33" s="292"/>
      <c r="AI33" s="292"/>
      <c r="AJ33" s="292"/>
      <c r="AK33" s="292"/>
      <c r="AL33" s="292"/>
      <c r="AM33" s="292"/>
      <c r="AN33" s="292"/>
      <c r="AO33" s="292"/>
      <c r="AP33" s="292"/>
      <c r="AQ33" s="292"/>
      <c r="AR33" s="292"/>
      <c r="AS33" s="292"/>
    </row>
    <row r="34" spans="1:45" ht="12.75" customHeight="1" x14ac:dyDescent="0.25">
      <c r="A34" s="4"/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91"/>
      <c r="W34" s="16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</row>
    <row r="35" spans="1:45" ht="15.75" customHeight="1" x14ac:dyDescent="0.3">
      <c r="A35" s="175" t="s">
        <v>194</v>
      </c>
      <c r="B35" s="335">
        <f t="shared" ref="B35:U35" si="10">SUM(B30:B33)</f>
        <v>8380.5793834928427</v>
      </c>
      <c r="C35" s="335">
        <f t="shared" si="10"/>
        <v>9460.9353303652933</v>
      </c>
      <c r="D35" s="335">
        <f t="shared" si="10"/>
        <v>10685.719138813583</v>
      </c>
      <c r="E35" s="335">
        <f t="shared" si="10"/>
        <v>12025.486138559056</v>
      </c>
      <c r="F35" s="335">
        <f t="shared" si="10"/>
        <v>13491.737322687852</v>
      </c>
      <c r="G35" s="335">
        <f t="shared" si="10"/>
        <v>13998.261547540264</v>
      </c>
      <c r="H35" s="335">
        <f t="shared" si="10"/>
        <v>14568.338200469727</v>
      </c>
      <c r="I35" s="335">
        <f t="shared" si="10"/>
        <v>15134.853817043593</v>
      </c>
      <c r="J35" s="335">
        <f t="shared" si="10"/>
        <v>15749.419133459711</v>
      </c>
      <c r="K35" s="335">
        <f t="shared" si="10"/>
        <v>16367.216552339243</v>
      </c>
      <c r="L35" s="335">
        <f t="shared" si="10"/>
        <v>17180.985256129046</v>
      </c>
      <c r="M35" s="335">
        <f t="shared" si="10"/>
        <v>18016.69403442811</v>
      </c>
      <c r="N35" s="335">
        <f t="shared" si="10"/>
        <v>18697.115868056175</v>
      </c>
      <c r="O35" s="335">
        <f t="shared" si="10"/>
        <v>19618.934914278332</v>
      </c>
      <c r="P35" s="335">
        <f t="shared" si="10"/>
        <v>20314.071506710963</v>
      </c>
      <c r="Q35" s="335">
        <f t="shared" si="10"/>
        <v>21523.000092554943</v>
      </c>
      <c r="R35" s="335">
        <f t="shared" si="10"/>
        <v>22440.061098705428</v>
      </c>
      <c r="S35" s="335">
        <f t="shared" si="10"/>
        <v>23402.118635411614</v>
      </c>
      <c r="T35" s="335">
        <f t="shared" si="10"/>
        <v>24423.925087862903</v>
      </c>
      <c r="U35" s="335">
        <f t="shared" si="10"/>
        <v>25510.567539626994</v>
      </c>
      <c r="V35" s="336"/>
      <c r="W35" s="161">
        <f>SUM(B35:U35)</f>
        <v>340990.02059853566</v>
      </c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</row>
    <row r="36" spans="1:45" ht="12.75" customHeight="1" x14ac:dyDescent="0.25">
      <c r="A36" s="251"/>
      <c r="B36" s="193"/>
      <c r="C36" s="197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</row>
    <row r="37" spans="1:45" ht="18" customHeight="1" x14ac:dyDescent="0.3">
      <c r="A37" s="337" t="s">
        <v>195</v>
      </c>
      <c r="B37" s="193"/>
      <c r="C37" s="197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</row>
    <row r="38" spans="1:45" ht="12.75" customHeight="1" x14ac:dyDescent="0.25">
      <c r="A38" s="160"/>
      <c r="B38" s="193"/>
      <c r="C38" s="197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</row>
    <row r="39" spans="1:45" ht="13.5" customHeight="1" thickBot="1" x14ac:dyDescent="0.3">
      <c r="A39" s="151" t="s">
        <v>99</v>
      </c>
      <c r="B39" s="152">
        <v>2001</v>
      </c>
      <c r="C39" s="152">
        <f t="shared" ref="C39:U39" si="11">B39+1</f>
        <v>2002</v>
      </c>
      <c r="D39" s="152">
        <f t="shared" si="11"/>
        <v>2003</v>
      </c>
      <c r="E39" s="152">
        <f t="shared" si="11"/>
        <v>2004</v>
      </c>
      <c r="F39" s="152">
        <f t="shared" si="11"/>
        <v>2005</v>
      </c>
      <c r="G39" s="152">
        <f t="shared" si="11"/>
        <v>2006</v>
      </c>
      <c r="H39" s="152">
        <f t="shared" si="11"/>
        <v>2007</v>
      </c>
      <c r="I39" s="152">
        <f t="shared" si="11"/>
        <v>2008</v>
      </c>
      <c r="J39" s="152">
        <f t="shared" si="11"/>
        <v>2009</v>
      </c>
      <c r="K39" s="152">
        <f t="shared" si="11"/>
        <v>2010</v>
      </c>
      <c r="L39" s="152">
        <f t="shared" si="11"/>
        <v>2011</v>
      </c>
      <c r="M39" s="152">
        <f t="shared" si="11"/>
        <v>2012</v>
      </c>
      <c r="N39" s="152">
        <f t="shared" si="11"/>
        <v>2013</v>
      </c>
      <c r="O39" s="152">
        <f t="shared" si="11"/>
        <v>2014</v>
      </c>
      <c r="P39" s="152">
        <f t="shared" si="11"/>
        <v>2015</v>
      </c>
      <c r="Q39" s="152">
        <f t="shared" si="11"/>
        <v>2016</v>
      </c>
      <c r="R39" s="152">
        <f t="shared" si="11"/>
        <v>2017</v>
      </c>
      <c r="S39" s="152">
        <f t="shared" si="11"/>
        <v>2018</v>
      </c>
      <c r="T39" s="152">
        <f t="shared" si="11"/>
        <v>2019</v>
      </c>
      <c r="U39" s="152">
        <f t="shared" si="11"/>
        <v>2020</v>
      </c>
      <c r="V39" s="91"/>
      <c r="W39" s="288" t="s">
        <v>121</v>
      </c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</row>
    <row r="40" spans="1:45" ht="12.75" customHeight="1" x14ac:dyDescent="0.25">
      <c r="A40" s="247"/>
      <c r="B40" s="193"/>
      <c r="C40" s="197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91"/>
      <c r="W40" s="165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</row>
    <row r="41" spans="1:45" ht="12.75" customHeight="1" x14ac:dyDescent="0.25">
      <c r="A41" s="251" t="s">
        <v>111</v>
      </c>
      <c r="B41" s="253">
        <f t="shared" ref="B41:U41" si="12">B22</f>
        <v>32888.035173350545</v>
      </c>
      <c r="C41" s="253">
        <f t="shared" si="12"/>
        <v>34443.887341435846</v>
      </c>
      <c r="D41" s="253">
        <f t="shared" si="12"/>
        <v>36169.450239163016</v>
      </c>
      <c r="E41" s="193">
        <f t="shared" si="12"/>
        <v>38073.655268658062</v>
      </c>
      <c r="F41" s="193">
        <f t="shared" si="12"/>
        <v>40072.698932800151</v>
      </c>
      <c r="G41" s="193">
        <f t="shared" si="12"/>
        <v>40487.876956778142</v>
      </c>
      <c r="H41" s="193">
        <f t="shared" si="12"/>
        <v>40996.382360765849</v>
      </c>
      <c r="I41" s="193">
        <f t="shared" si="12"/>
        <v>41509.922421121082</v>
      </c>
      <c r="J41" s="193">
        <f t="shared" si="12"/>
        <v>42028.524047084553</v>
      </c>
      <c r="K41" s="193">
        <f t="shared" si="12"/>
        <v>42552.213363361661</v>
      </c>
      <c r="L41" s="193">
        <f t="shared" si="12"/>
        <v>43363.033499334997</v>
      </c>
      <c r="M41" s="193">
        <f t="shared" si="12"/>
        <v>44187.943943112536</v>
      </c>
      <c r="N41" s="193">
        <f t="shared" si="12"/>
        <v>44673.902480985271</v>
      </c>
      <c r="O41" s="193">
        <f t="shared" si="12"/>
        <v>45527.715107075484</v>
      </c>
      <c r="P41" s="193">
        <f t="shared" si="12"/>
        <v>45954.745193897637</v>
      </c>
      <c r="Q41" s="193">
        <f t="shared" si="12"/>
        <v>47173.616975497833</v>
      </c>
      <c r="R41" s="193">
        <f t="shared" si="12"/>
        <v>47813.326788019069</v>
      </c>
      <c r="S41" s="193">
        <f t="shared" si="12"/>
        <v>48460.27507771684</v>
      </c>
      <c r="T41" s="193">
        <f t="shared" si="12"/>
        <v>49114.517041672545</v>
      </c>
      <c r="U41" s="193">
        <f t="shared" si="12"/>
        <v>49776.107239440709</v>
      </c>
      <c r="V41" s="91"/>
      <c r="W41" s="167">
        <f>SUM(B41:U41)</f>
        <v>855267.82945127168</v>
      </c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</row>
    <row r="42" spans="1:45" ht="12.75" customHeight="1" x14ac:dyDescent="0.25">
      <c r="A42" s="251" t="s">
        <v>144</v>
      </c>
      <c r="B42" s="253">
        <f t="shared" ref="B42:U42" si="13">B18</f>
        <v>174.46</v>
      </c>
      <c r="C42" s="253">
        <f t="shared" si="13"/>
        <v>348.92</v>
      </c>
      <c r="D42" s="253">
        <f t="shared" si="13"/>
        <v>436.15</v>
      </c>
      <c r="E42" s="253">
        <f t="shared" si="13"/>
        <v>436.15</v>
      </c>
      <c r="F42" s="253">
        <f t="shared" si="13"/>
        <v>436.15</v>
      </c>
      <c r="G42" s="253">
        <f t="shared" si="13"/>
        <v>523.38</v>
      </c>
      <c r="H42" s="253">
        <f t="shared" si="13"/>
        <v>523.38</v>
      </c>
      <c r="I42" s="253">
        <f t="shared" si="13"/>
        <v>523.38</v>
      </c>
      <c r="J42" s="253">
        <f t="shared" si="13"/>
        <v>523.38</v>
      </c>
      <c r="K42" s="253">
        <f t="shared" si="13"/>
        <v>523.38</v>
      </c>
      <c r="L42" s="253">
        <f t="shared" si="13"/>
        <v>523.38</v>
      </c>
      <c r="M42" s="253">
        <f t="shared" si="13"/>
        <v>523.38</v>
      </c>
      <c r="N42" s="253">
        <f t="shared" si="13"/>
        <v>872.3</v>
      </c>
      <c r="O42" s="253">
        <f t="shared" si="13"/>
        <v>872.3</v>
      </c>
      <c r="P42" s="253">
        <f t="shared" si="13"/>
        <v>1308.45</v>
      </c>
      <c r="Q42" s="253">
        <f t="shared" si="13"/>
        <v>743.93104499999993</v>
      </c>
      <c r="R42" s="253">
        <f t="shared" si="13"/>
        <v>758.80966589999991</v>
      </c>
      <c r="S42" s="253">
        <f t="shared" si="13"/>
        <v>773.98585921799997</v>
      </c>
      <c r="T42" s="253">
        <f t="shared" si="13"/>
        <v>789.46557640235994</v>
      </c>
      <c r="U42" s="253">
        <f t="shared" si="13"/>
        <v>805.25488793040722</v>
      </c>
      <c r="V42" s="91"/>
      <c r="W42" s="167">
        <f>SUM(B42:U42)</f>
        <v>12419.987034450767</v>
      </c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</row>
    <row r="43" spans="1:45" ht="12.75" customHeight="1" x14ac:dyDescent="0.25">
      <c r="A43" s="251" t="s">
        <v>145</v>
      </c>
      <c r="B43" s="338">
        <v>-92.2251014</v>
      </c>
      <c r="C43" s="253">
        <f t="shared" ref="C43:U43" si="14">-B42</f>
        <v>-174.46</v>
      </c>
      <c r="D43" s="253">
        <f t="shared" si="14"/>
        <v>-348.92</v>
      </c>
      <c r="E43" s="253">
        <f t="shared" si="14"/>
        <v>-436.15</v>
      </c>
      <c r="F43" s="253">
        <f t="shared" si="14"/>
        <v>-436.15</v>
      </c>
      <c r="G43" s="253">
        <f t="shared" si="14"/>
        <v>-436.15</v>
      </c>
      <c r="H43" s="253">
        <f t="shared" si="14"/>
        <v>-523.38</v>
      </c>
      <c r="I43" s="253">
        <f t="shared" si="14"/>
        <v>-523.38</v>
      </c>
      <c r="J43" s="253">
        <f t="shared" si="14"/>
        <v>-523.38</v>
      </c>
      <c r="K43" s="253">
        <f t="shared" si="14"/>
        <v>-523.38</v>
      </c>
      <c r="L43" s="253">
        <f t="shared" si="14"/>
        <v>-523.38</v>
      </c>
      <c r="M43" s="253">
        <f t="shared" si="14"/>
        <v>-523.38</v>
      </c>
      <c r="N43" s="253">
        <f t="shared" si="14"/>
        <v>-523.38</v>
      </c>
      <c r="O43" s="253">
        <f t="shared" si="14"/>
        <v>-872.3</v>
      </c>
      <c r="P43" s="253">
        <f t="shared" si="14"/>
        <v>-872.3</v>
      </c>
      <c r="Q43" s="253">
        <f t="shared" si="14"/>
        <v>-1308.45</v>
      </c>
      <c r="R43" s="253">
        <f t="shared" si="14"/>
        <v>-743.93104499999993</v>
      </c>
      <c r="S43" s="253">
        <f t="shared" si="14"/>
        <v>-758.80966589999991</v>
      </c>
      <c r="T43" s="253">
        <f t="shared" si="14"/>
        <v>-773.98585921799997</v>
      </c>
      <c r="U43" s="253">
        <f t="shared" si="14"/>
        <v>-789.46557640235994</v>
      </c>
      <c r="V43" s="91"/>
      <c r="W43" s="167">
        <f>SUM(B43:U43)</f>
        <v>-11706.957247920362</v>
      </c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</row>
    <row r="44" spans="1:45" ht="12.75" customHeight="1" x14ac:dyDescent="0.25">
      <c r="A44" s="251" t="s">
        <v>196</v>
      </c>
      <c r="B44" s="339">
        <f>-Debt!B77*Allocation!$E$6</f>
        <v>-14212.204979890455</v>
      </c>
      <c r="C44" s="339">
        <f>-Debt!C77*Allocation!$E$6</f>
        <v>-14289.457270016324</v>
      </c>
      <c r="D44" s="339">
        <f>-Debt!D77*Allocation!$E$6</f>
        <v>-14356.543600107192</v>
      </c>
      <c r="E44" s="339">
        <f>-Debt!E77*Allocation!$E$6</f>
        <v>-14505.900565240281</v>
      </c>
      <c r="F44" s="339">
        <f>-Debt!F77*Allocation!$E$6</f>
        <v>-14613.712893082205</v>
      </c>
      <c r="G44" s="339">
        <f>-Debt!G77*Allocation!$E$6</f>
        <v>-14284.636549502897</v>
      </c>
      <c r="H44" s="339">
        <f>-Debt!H77*Allocation!$E$6</f>
        <v>-13994.31373255082</v>
      </c>
      <c r="I44" s="339">
        <f>-Debt!I77*Allocation!$E$6</f>
        <v>-13750.168025272558</v>
      </c>
      <c r="J44" s="339">
        <f>-Debt!J77*Allocation!$E$6</f>
        <v>-13496.008441481297</v>
      </c>
      <c r="K44" s="339">
        <f>-Debt!K77*Allocation!$E$6</f>
        <v>-13284.023783149391</v>
      </c>
      <c r="L44" s="339">
        <f>-Debt!L77*Allocation!$E$6</f>
        <v>-13068.651039224098</v>
      </c>
      <c r="M44" s="339">
        <f>-Debt!M77*Allocation!$E$6</f>
        <v>-12894.89100989846</v>
      </c>
      <c r="N44" s="339">
        <f>-Debt!N77*Allocation!$E$6</f>
        <v>-12680.623393782518</v>
      </c>
      <c r="O44" s="339">
        <f>-Debt!O77*Allocation!$E$6</f>
        <v>-12512.944745184404</v>
      </c>
      <c r="P44" s="339">
        <f>-Debt!P77*Allocation!$E$6</f>
        <v>-12333.778136855861</v>
      </c>
      <c r="Q44" s="339">
        <f>-Debt!Q77*Allocation!$E$6</f>
        <v>-12223.662330904728</v>
      </c>
      <c r="R44" s="339">
        <f>-Debt!R77*Allocation!$E$6</f>
        <v>-12056.365102521868</v>
      </c>
      <c r="S44" s="339">
        <f>-Debt!S77*Allocation!$E$6</f>
        <v>-11911.24667547303</v>
      </c>
      <c r="T44" s="339">
        <f>-Debt!T77*Allocation!$E$6</f>
        <v>-11778.981656954045</v>
      </c>
      <c r="U44" s="339">
        <f>-Debt!U77*Allocation!$E$6</f>
        <v>-11651.298774166413</v>
      </c>
      <c r="V44" s="91"/>
      <c r="W44" s="167">
        <f>SUM(B44:U44)</f>
        <v>-263899.41270525887</v>
      </c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</row>
    <row r="45" spans="1:45" ht="12.75" customHeight="1" x14ac:dyDescent="0.25">
      <c r="A45" s="251"/>
      <c r="B45" s="340"/>
      <c r="C45" s="340"/>
      <c r="D45" s="340"/>
      <c r="E45" s="340"/>
      <c r="F45" s="340"/>
      <c r="G45" s="340"/>
      <c r="H45" s="340"/>
      <c r="I45" s="340"/>
      <c r="J45" s="340"/>
      <c r="K45" s="340"/>
      <c r="L45" s="340"/>
      <c r="M45" s="340"/>
      <c r="N45" s="340"/>
      <c r="O45" s="340"/>
      <c r="P45" s="340"/>
      <c r="Q45" s="340"/>
      <c r="R45" s="340"/>
      <c r="S45" s="340"/>
      <c r="T45" s="340"/>
      <c r="U45" s="340"/>
      <c r="V45" s="91"/>
      <c r="W45" s="244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</row>
    <row r="46" spans="1:45" ht="12.75" customHeight="1" x14ac:dyDescent="0.25">
      <c r="A46" s="247" t="s">
        <v>197</v>
      </c>
      <c r="B46" s="341">
        <f t="shared" ref="B46:U46" si="15">SUM(B41:B44)</f>
        <v>18758.065092060089</v>
      </c>
      <c r="C46" s="341">
        <f t="shared" si="15"/>
        <v>20328.890071419519</v>
      </c>
      <c r="D46" s="341">
        <f t="shared" si="15"/>
        <v>21900.136639055825</v>
      </c>
      <c r="E46" s="341">
        <f t="shared" si="15"/>
        <v>23567.754703417781</v>
      </c>
      <c r="F46" s="341">
        <f t="shared" si="15"/>
        <v>25458.986039717944</v>
      </c>
      <c r="G46" s="341">
        <f t="shared" si="15"/>
        <v>26290.470407275243</v>
      </c>
      <c r="H46" s="341">
        <f t="shared" si="15"/>
        <v>27002.068628215027</v>
      </c>
      <c r="I46" s="341">
        <f t="shared" si="15"/>
        <v>27759.754395848526</v>
      </c>
      <c r="J46" s="341">
        <f t="shared" si="15"/>
        <v>28532.515605603257</v>
      </c>
      <c r="K46" s="341">
        <f t="shared" si="15"/>
        <v>29268.189580212271</v>
      </c>
      <c r="L46" s="341">
        <f t="shared" si="15"/>
        <v>30294.382460110901</v>
      </c>
      <c r="M46" s="341">
        <f t="shared" si="15"/>
        <v>31293.052933214076</v>
      </c>
      <c r="N46" s="341">
        <f t="shared" si="15"/>
        <v>32342.19908720276</v>
      </c>
      <c r="O46" s="341">
        <f t="shared" si="15"/>
        <v>33014.770361891082</v>
      </c>
      <c r="P46" s="341">
        <f t="shared" si="15"/>
        <v>34057.117057041774</v>
      </c>
      <c r="Q46" s="341">
        <f t="shared" si="15"/>
        <v>34385.435689593105</v>
      </c>
      <c r="R46" s="341">
        <f t="shared" si="15"/>
        <v>35771.840306397207</v>
      </c>
      <c r="S46" s="341">
        <f t="shared" si="15"/>
        <v>36564.204595561809</v>
      </c>
      <c r="T46" s="341">
        <f t="shared" si="15"/>
        <v>37351.015101902856</v>
      </c>
      <c r="U46" s="341">
        <f t="shared" si="15"/>
        <v>38140.597776802344</v>
      </c>
      <c r="V46" s="292"/>
      <c r="W46" s="167">
        <f>SUM(B46:U46)</f>
        <v>592081.4465325434</v>
      </c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</row>
    <row r="47" spans="1:45" ht="12.75" customHeight="1" x14ac:dyDescent="0.25">
      <c r="A47" s="247"/>
      <c r="B47" s="333"/>
      <c r="C47" s="333"/>
      <c r="D47" s="333"/>
      <c r="E47" s="333"/>
      <c r="F47" s="333"/>
      <c r="G47" s="333"/>
      <c r="H47" s="333"/>
      <c r="I47" s="333"/>
      <c r="J47" s="333"/>
      <c r="K47" s="333"/>
      <c r="L47" s="333"/>
      <c r="M47" s="333"/>
      <c r="N47" s="333"/>
      <c r="O47" s="333"/>
      <c r="P47" s="333"/>
      <c r="Q47" s="333"/>
      <c r="R47" s="333"/>
      <c r="S47" s="333"/>
      <c r="T47" s="333"/>
      <c r="U47" s="333"/>
      <c r="V47" s="91"/>
      <c r="W47" s="244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</row>
    <row r="48" spans="1:45" ht="15" customHeight="1" x14ac:dyDescent="0.4">
      <c r="A48" s="251" t="s">
        <v>198</v>
      </c>
      <c r="B48" s="342">
        <f t="shared" ref="B48:U48" si="16">-B85</f>
        <v>-538.13444520576411</v>
      </c>
      <c r="C48" s="342">
        <f t="shared" si="16"/>
        <v>-3.344704759671731</v>
      </c>
      <c r="D48" s="342">
        <f t="shared" si="16"/>
        <v>-258.9150346722746</v>
      </c>
      <c r="E48" s="342">
        <f t="shared" si="16"/>
        <v>-511.5348909815857</v>
      </c>
      <c r="F48" s="342">
        <f t="shared" si="16"/>
        <v>-765.18202451421189</v>
      </c>
      <c r="G48" s="342">
        <f t="shared" si="16"/>
        <v>-914.61503504979567</v>
      </c>
      <c r="H48" s="342">
        <f t="shared" si="16"/>
        <v>-1017.5942674211999</v>
      </c>
      <c r="I48" s="342">
        <f t="shared" si="16"/>
        <v>-1071.8017369948295</v>
      </c>
      <c r="J48" s="342">
        <f t="shared" si="16"/>
        <v>-1133.576028434946</v>
      </c>
      <c r="K48" s="342">
        <f t="shared" si="16"/>
        <v>-1192.8193542088047</v>
      </c>
      <c r="L48" s="342">
        <f t="shared" si="16"/>
        <v>-1274.155353083326</v>
      </c>
      <c r="M48" s="342">
        <f t="shared" si="16"/>
        <v>-1354.797503022769</v>
      </c>
      <c r="N48" s="342">
        <f t="shared" si="16"/>
        <v>-1423.0388828961372</v>
      </c>
      <c r="O48" s="342">
        <f t="shared" si="16"/>
        <v>-1512.1370329589606</v>
      </c>
      <c r="P48" s="342">
        <f t="shared" si="16"/>
        <v>-1581.8233973303225</v>
      </c>
      <c r="Q48" s="342">
        <f t="shared" si="16"/>
        <v>-1700.539788738897</v>
      </c>
      <c r="R48" s="342">
        <f t="shared" si="16"/>
        <v>-2630.860215066446</v>
      </c>
      <c r="S48" s="342">
        <f t="shared" si="16"/>
        <v>-2725.3339502585432</v>
      </c>
      <c r="T48" s="342">
        <f t="shared" si="16"/>
        <v>-2825.6750094190625</v>
      </c>
      <c r="U48" s="342">
        <f t="shared" si="16"/>
        <v>-2932.382942489186</v>
      </c>
      <c r="V48" s="91"/>
      <c r="W48" s="167">
        <f>SUM(B48:U48)</f>
        <v>-27368.261597506731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1:45" ht="12.75" customHeight="1" x14ac:dyDescent="0.25">
      <c r="A49" s="251" t="s">
        <v>199</v>
      </c>
      <c r="B49" s="343">
        <f>-Allocation!$E$6*Tax!B24</f>
        <v>-2478.3624951069892</v>
      </c>
      <c r="C49" s="343">
        <f>-Allocation!$E$6*Tax!C24</f>
        <v>0</v>
      </c>
      <c r="D49" s="343">
        <f>-Allocation!$E$6*Tax!D24</f>
        <v>-185.94450714283931</v>
      </c>
      <c r="E49" s="343">
        <f>-Allocation!$E$6*Tax!E24</f>
        <v>-2232.2369053243287</v>
      </c>
      <c r="F49" s="343">
        <f>-Allocation!$E$6*Tax!F24</f>
        <v>-3586.8347982414484</v>
      </c>
      <c r="G49" s="343">
        <f>-Allocation!$E$6*Tax!G24</f>
        <v>-4473.5442782140999</v>
      </c>
      <c r="H49" s="343">
        <f>-Allocation!$E$6*Tax!H24</f>
        <v>-5089.3984926225221</v>
      </c>
      <c r="I49" s="343">
        <f>-Allocation!$E$6*Tax!I24</f>
        <v>-5435.7569806257297</v>
      </c>
      <c r="J49" s="343">
        <f>-Allocation!$E$6*Tax!J24</f>
        <v>-5836.2987979144309</v>
      </c>
      <c r="K49" s="343">
        <f>-Allocation!$E$6*Tax!K24</f>
        <v>-6232.551869113724</v>
      </c>
      <c r="L49" s="343">
        <f>-Allocation!$E$6*Tax!L24</f>
        <v>-6629.5123826355257</v>
      </c>
      <c r="M49" s="343">
        <f>-Allocation!$E$6*Tax!M24</f>
        <v>-7036.7377197798751</v>
      </c>
      <c r="N49" s="343">
        <f>-Allocation!$E$6*Tax!N24</f>
        <v>-7455.9953563510171</v>
      </c>
      <c r="O49" s="343">
        <f>-Allocation!$E$6*Tax!O24</f>
        <v>-7907.5509553690672</v>
      </c>
      <c r="P49" s="343">
        <f>-Allocation!$E$6*Tax!P24</f>
        <v>-8352.9009058003958</v>
      </c>
      <c r="Q49" s="343">
        <f>-Allocation!$E$6*Tax!Q24</f>
        <v>-8872.8864368800187</v>
      </c>
      <c r="R49" s="343">
        <f>-Allocation!$E$6*Tax!R24</f>
        <v>-14157.191576984227</v>
      </c>
      <c r="S49" s="343">
        <f>-Allocation!$E$6*Tax!S24</f>
        <v>-14677.999047810346</v>
      </c>
      <c r="T49" s="343">
        <f>-Allocation!$E$6*Tax!T24</f>
        <v>-15231.013101054092</v>
      </c>
      <c r="U49" s="343">
        <f>-Allocation!$E$6*Tax!U24</f>
        <v>-15818.951826150187</v>
      </c>
      <c r="V49" s="91"/>
      <c r="W49" s="167">
        <f>SUM(B49:U49)</f>
        <v>-141691.66843312088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1:45" ht="12.75" customHeight="1" x14ac:dyDescent="0.25">
      <c r="A50" s="251"/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91"/>
      <c r="W50" s="244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</row>
    <row r="51" spans="1:45" ht="15.75" customHeight="1" x14ac:dyDescent="0.3">
      <c r="A51" s="344" t="s">
        <v>200</v>
      </c>
      <c r="B51" s="345">
        <f t="shared" ref="B51:U51" si="17">B46+B49+B48</f>
        <v>15741.568151747337</v>
      </c>
      <c r="C51" s="345">
        <f t="shared" si="17"/>
        <v>20325.545366659848</v>
      </c>
      <c r="D51" s="345">
        <f t="shared" si="17"/>
        <v>21455.277097240712</v>
      </c>
      <c r="E51" s="345">
        <f t="shared" si="17"/>
        <v>20823.982907111866</v>
      </c>
      <c r="F51" s="345">
        <f t="shared" si="17"/>
        <v>21106.969216962283</v>
      </c>
      <c r="G51" s="345">
        <f t="shared" si="17"/>
        <v>20902.311094011347</v>
      </c>
      <c r="H51" s="345">
        <f t="shared" si="17"/>
        <v>20895.075868171305</v>
      </c>
      <c r="I51" s="345">
        <f t="shared" si="17"/>
        <v>21252.195678227967</v>
      </c>
      <c r="J51" s="345">
        <f t="shared" si="17"/>
        <v>21562.640779253881</v>
      </c>
      <c r="K51" s="345">
        <f t="shared" si="17"/>
        <v>21842.818356889744</v>
      </c>
      <c r="L51" s="345">
        <f t="shared" si="17"/>
        <v>22390.714724392048</v>
      </c>
      <c r="M51" s="345">
        <f t="shared" si="17"/>
        <v>22901.517710411434</v>
      </c>
      <c r="N51" s="345">
        <f t="shared" si="17"/>
        <v>23463.164847955606</v>
      </c>
      <c r="O51" s="345">
        <f t="shared" si="17"/>
        <v>23595.082373563055</v>
      </c>
      <c r="P51" s="345">
        <f t="shared" si="17"/>
        <v>24122.392753911059</v>
      </c>
      <c r="Q51" s="345">
        <f t="shared" si="17"/>
        <v>23812.009463974187</v>
      </c>
      <c r="R51" s="345">
        <f t="shared" si="17"/>
        <v>18983.788514346536</v>
      </c>
      <c r="S51" s="345">
        <f t="shared" si="17"/>
        <v>19160.871597492918</v>
      </c>
      <c r="T51" s="345">
        <f t="shared" si="17"/>
        <v>19294.326991429702</v>
      </c>
      <c r="U51" s="345">
        <f t="shared" si="17"/>
        <v>19389.263008162972</v>
      </c>
      <c r="V51" s="336"/>
      <c r="W51" s="167">
        <f>SUM(B51:U51)</f>
        <v>423021.51650191582</v>
      </c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</row>
    <row r="52" spans="1:45" ht="12.75" customHeight="1" x14ac:dyDescent="0.25">
      <c r="A52" s="346"/>
      <c r="B52" s="197"/>
      <c r="C52" s="197"/>
      <c r="D52" s="197"/>
      <c r="E52" s="197"/>
      <c r="F52" s="197"/>
      <c r="G52" s="197"/>
      <c r="H52" s="197"/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97"/>
      <c r="T52" s="197"/>
      <c r="U52" s="197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</row>
    <row r="53" spans="1:45" ht="18" customHeight="1" x14ac:dyDescent="0.3">
      <c r="A53" s="337" t="s">
        <v>201</v>
      </c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</row>
    <row r="54" spans="1:45" ht="12.75" customHeight="1" x14ac:dyDescent="0.25">
      <c r="A54" s="292"/>
      <c r="B54" s="293"/>
      <c r="C54" s="293"/>
      <c r="D54" s="293"/>
      <c r="E54" s="293"/>
      <c r="F54" s="293"/>
      <c r="G54" s="294"/>
      <c r="H54" s="293"/>
      <c r="I54" s="293"/>
      <c r="J54" s="293"/>
      <c r="K54" s="293"/>
      <c r="L54" s="293"/>
      <c r="M54" s="294"/>
      <c r="N54" s="293"/>
      <c r="O54" s="293"/>
      <c r="P54" s="293"/>
      <c r="Q54" s="293"/>
      <c r="R54" s="293"/>
      <c r="S54" s="294"/>
      <c r="T54" s="293"/>
      <c r="U54" s="293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</row>
    <row r="55" spans="1:45" ht="13.5" customHeight="1" thickBot="1" x14ac:dyDescent="0.3">
      <c r="A55" s="151" t="s">
        <v>99</v>
      </c>
      <c r="B55" s="152">
        <v>2001</v>
      </c>
      <c r="C55" s="152">
        <v>2002</v>
      </c>
      <c r="D55" s="152">
        <v>2003</v>
      </c>
      <c r="E55" s="152">
        <v>2004</v>
      </c>
      <c r="F55" s="152">
        <v>2005</v>
      </c>
      <c r="G55" s="152">
        <v>2006</v>
      </c>
      <c r="H55" s="152">
        <v>2007</v>
      </c>
      <c r="I55" s="152">
        <v>2008</v>
      </c>
      <c r="J55" s="152">
        <v>2009</v>
      </c>
      <c r="K55" s="152">
        <v>2010</v>
      </c>
      <c r="L55" s="152">
        <v>2011</v>
      </c>
      <c r="M55" s="152">
        <v>2012</v>
      </c>
      <c r="N55" s="152">
        <v>2013</v>
      </c>
      <c r="O55" s="152">
        <v>2014</v>
      </c>
      <c r="P55" s="152">
        <v>2015</v>
      </c>
      <c r="Q55" s="152">
        <v>2016</v>
      </c>
      <c r="R55" s="152">
        <v>2017</v>
      </c>
      <c r="S55" s="152">
        <v>2018</v>
      </c>
      <c r="T55" s="152">
        <v>2019</v>
      </c>
      <c r="U55" s="152">
        <v>2020</v>
      </c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1"/>
    </row>
    <row r="56" spans="1:45" ht="12.75" customHeight="1" x14ac:dyDescent="0.25">
      <c r="A56" s="241"/>
      <c r="B56" s="299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91"/>
    </row>
    <row r="57" spans="1:45" ht="12.75" customHeight="1" x14ac:dyDescent="0.25">
      <c r="A57" s="300" t="s">
        <v>202</v>
      </c>
      <c r="B57" s="299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</row>
    <row r="58" spans="1:45" ht="12.75" customHeight="1" x14ac:dyDescent="0.25">
      <c r="A58" s="241"/>
      <c r="B58" s="299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91"/>
    </row>
    <row r="59" spans="1:45" ht="12.75" customHeight="1" x14ac:dyDescent="0.25">
      <c r="A59" s="292" t="s">
        <v>203</v>
      </c>
      <c r="B59" s="347">
        <f>Depreciation!C14</f>
        <v>230242.1965073421</v>
      </c>
      <c r="C59" s="347">
        <f>Depreciation!D14</f>
        <v>223121.30383185728</v>
      </c>
      <c r="D59" s="347">
        <f>Depreciation!E14</f>
        <v>216000.41115637246</v>
      </c>
      <c r="E59" s="347">
        <f>Depreciation!F14</f>
        <v>208879.51848088764</v>
      </c>
      <c r="F59" s="347">
        <f>Depreciation!G14</f>
        <v>201758.62580540281</v>
      </c>
      <c r="G59" s="347">
        <f>Depreciation!H14</f>
        <v>194637.73312991799</v>
      </c>
      <c r="H59" s="347">
        <f>Depreciation!I14</f>
        <v>187516.84045443317</v>
      </c>
      <c r="I59" s="347">
        <f>Depreciation!J14</f>
        <v>180395.94777894835</v>
      </c>
      <c r="J59" s="347">
        <f>Depreciation!K14</f>
        <v>173275.05510346353</v>
      </c>
      <c r="K59" s="347">
        <f>Depreciation!L14</f>
        <v>166154.16242797871</v>
      </c>
      <c r="L59" s="347">
        <f>Depreciation!M14</f>
        <v>159033.26975249388</v>
      </c>
      <c r="M59" s="347">
        <f>Depreciation!N14</f>
        <v>151912.37707700906</v>
      </c>
      <c r="N59" s="347">
        <f>Depreciation!O14</f>
        <v>144791.48440152424</v>
      </c>
      <c r="O59" s="347">
        <f>Depreciation!P14</f>
        <v>137670.59172603942</v>
      </c>
      <c r="P59" s="347">
        <f>Depreciation!Q14</f>
        <v>130549.69905055461</v>
      </c>
      <c r="Q59" s="347">
        <f>Depreciation!R14</f>
        <v>123428.80637506981</v>
      </c>
      <c r="R59" s="347">
        <f>Depreciation!S14</f>
        <v>116307.913699585</v>
      </c>
      <c r="S59" s="347">
        <f>Depreciation!T14</f>
        <v>109187.02102410019</v>
      </c>
      <c r="T59" s="347">
        <f>Depreciation!U14</f>
        <v>102066.12834861538</v>
      </c>
      <c r="U59" s="347">
        <f>Depreciation!V14</f>
        <v>94945.235673130577</v>
      </c>
      <c r="V59" s="91"/>
      <c r="W59" s="348">
        <f>SUM(B59:U59)</f>
        <v>3251874.3218047265</v>
      </c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91"/>
    </row>
    <row r="60" spans="1:45" ht="12.75" customHeight="1" x14ac:dyDescent="0.25">
      <c r="A60" s="91" t="s">
        <v>204</v>
      </c>
      <c r="B60" s="347">
        <f>Allocation!$C$6*'Summary Output'!$C$7</f>
        <v>132460.83516954185</v>
      </c>
      <c r="C60" s="347">
        <f>Allocation!$C$6*'Summary Output'!$C$7</f>
        <v>132460.83516954185</v>
      </c>
      <c r="D60" s="347">
        <f>Allocation!$C$6*'Summary Output'!$C$7</f>
        <v>132460.83516954185</v>
      </c>
      <c r="E60" s="347">
        <f>Allocation!$C$6*'Summary Output'!$C$7</f>
        <v>132460.83516954185</v>
      </c>
      <c r="F60" s="347">
        <f>Allocation!$C$6*'Summary Output'!$C$7</f>
        <v>132460.83516954185</v>
      </c>
      <c r="G60" s="347">
        <f>Allocation!$C$6*'Summary Output'!$C$7</f>
        <v>132460.83516954185</v>
      </c>
      <c r="H60" s="347">
        <f>Allocation!$C$6*'Summary Output'!$C$7</f>
        <v>132460.83516954185</v>
      </c>
      <c r="I60" s="347">
        <f>Allocation!$C$6*'Summary Output'!$C$7</f>
        <v>132460.83516954185</v>
      </c>
      <c r="J60" s="347">
        <f>Allocation!$C$6*'Summary Output'!$C$7</f>
        <v>132460.83516954185</v>
      </c>
      <c r="K60" s="347">
        <f>Allocation!$C$6*'Summary Output'!$C$7</f>
        <v>132460.83516954185</v>
      </c>
      <c r="L60" s="347">
        <f>Allocation!$C$6*'Summary Output'!$C$7</f>
        <v>132460.83516954185</v>
      </c>
      <c r="M60" s="347">
        <f>Allocation!$C$6*'Summary Output'!$C$7</f>
        <v>132460.83516954185</v>
      </c>
      <c r="N60" s="347">
        <f>Allocation!$C$6*'Summary Output'!$C$7</f>
        <v>132460.83516954185</v>
      </c>
      <c r="O60" s="347">
        <f>Allocation!$C$6*'Summary Output'!$C$7</f>
        <v>132460.83516954185</v>
      </c>
      <c r="P60" s="347">
        <f>Allocation!$C$6*'Summary Output'!$C$7</f>
        <v>132460.83516954185</v>
      </c>
      <c r="Q60" s="347">
        <f>Allocation!$C$6*'Summary Output'!$C$7</f>
        <v>132460.83516954185</v>
      </c>
      <c r="R60" s="347">
        <f>Allocation!$C$6*'Summary Output'!$C$7</f>
        <v>132460.83516954185</v>
      </c>
      <c r="S60" s="347">
        <f>Allocation!$C$6*'Summary Output'!$C$7</f>
        <v>132460.83516954185</v>
      </c>
      <c r="T60" s="347">
        <f>Allocation!$C$6*'Summary Output'!$C$7</f>
        <v>132460.83516954185</v>
      </c>
      <c r="U60" s="347">
        <f>Allocation!$C$6*'Summary Output'!$C$7</f>
        <v>132460.83516954185</v>
      </c>
      <c r="V60" s="91"/>
      <c r="W60" s="348">
        <f>SUM(B60:U60)</f>
        <v>2649216.7033908363</v>
      </c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91"/>
    </row>
    <row r="61" spans="1:45" ht="12.75" customHeight="1" x14ac:dyDescent="0.25">
      <c r="A61" s="349" t="s">
        <v>205</v>
      </c>
      <c r="B61" s="350">
        <f>B35-B51</f>
        <v>-7360.9887682544941</v>
      </c>
      <c r="C61" s="350">
        <f t="shared" ref="C61:U61" si="18">C35-C51+B61</f>
        <v>-18225.598804549049</v>
      </c>
      <c r="D61" s="350">
        <f t="shared" si="18"/>
        <v>-28995.156762976178</v>
      </c>
      <c r="E61" s="350">
        <f t="shared" si="18"/>
        <v>-37793.653531528988</v>
      </c>
      <c r="F61" s="350">
        <f t="shared" si="18"/>
        <v>-45408.885425803419</v>
      </c>
      <c r="G61" s="350">
        <f t="shared" si="18"/>
        <v>-52312.934972274503</v>
      </c>
      <c r="H61" s="350">
        <f t="shared" si="18"/>
        <v>-58639.672639976081</v>
      </c>
      <c r="I61" s="350">
        <f t="shared" si="18"/>
        <v>-64757.014501160455</v>
      </c>
      <c r="J61" s="350">
        <f t="shared" si="18"/>
        <v>-70570.23614695463</v>
      </c>
      <c r="K61" s="350">
        <f t="shared" si="18"/>
        <v>-76045.837951505135</v>
      </c>
      <c r="L61" s="350">
        <f t="shared" si="18"/>
        <v>-81255.567419768136</v>
      </c>
      <c r="M61" s="350">
        <f t="shared" si="18"/>
        <v>-86140.39109575146</v>
      </c>
      <c r="N61" s="350">
        <f t="shared" si="18"/>
        <v>-90906.440075650899</v>
      </c>
      <c r="O61" s="350">
        <f t="shared" si="18"/>
        <v>-94882.587534935621</v>
      </c>
      <c r="P61" s="350">
        <f t="shared" si="18"/>
        <v>-98690.908782135724</v>
      </c>
      <c r="Q61" s="350">
        <f t="shared" si="18"/>
        <v>-100979.91815355497</v>
      </c>
      <c r="R61" s="350">
        <f t="shared" si="18"/>
        <v>-97523.645569196087</v>
      </c>
      <c r="S61" s="350">
        <f t="shared" si="18"/>
        <v>-93282.398531277388</v>
      </c>
      <c r="T61" s="350">
        <f t="shared" si="18"/>
        <v>-88152.80043484419</v>
      </c>
      <c r="U61" s="350">
        <f t="shared" si="18"/>
        <v>-82031.495903380172</v>
      </c>
      <c r="V61" s="91"/>
      <c r="W61" s="348">
        <f>SUM(B61:U61)</f>
        <v>-1373956.1330054775</v>
      </c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91"/>
    </row>
    <row r="62" spans="1:45" ht="12.75" customHeight="1" x14ac:dyDescent="0.25">
      <c r="A62" s="349" t="s">
        <v>206</v>
      </c>
      <c r="B62" s="351">
        <f>Debt!B73*Allocation!$E$6</f>
        <v>106973.34517370888</v>
      </c>
      <c r="C62" s="351">
        <f>Debt!C73*Allocation!$E$6</f>
        <v>104522.53669343199</v>
      </c>
      <c r="D62" s="351">
        <f>Debt!D73*Allocation!$E$6</f>
        <v>101725.64862948486</v>
      </c>
      <c r="E62" s="351">
        <f>Debt!E73*Allocation!$E$6</f>
        <v>98490.863949465231</v>
      </c>
      <c r="F62" s="351">
        <f>Debt!F73*Allocation!$E$6</f>
        <v>94747.554166909729</v>
      </c>
      <c r="G62" s="351">
        <f>Debt!G73*Allocation!$E$6</f>
        <v>90919.490200598259</v>
      </c>
      <c r="H62" s="351">
        <f>Debt!H73*Allocation!$E$6</f>
        <v>86957.232110006502</v>
      </c>
      <c r="I62" s="351">
        <f>Debt!I73*Allocation!$E$6</f>
        <v>82825.465651902807</v>
      </c>
      <c r="J62" s="351">
        <f>Debt!J73*Allocation!$E$6</f>
        <v>78460.625188470163</v>
      </c>
      <c r="K62" s="351">
        <f>Debt!K73*Allocation!$E$6</f>
        <v>73820.333627830623</v>
      </c>
      <c r="L62" s="351">
        <f>Debt!L73*Allocation!$E$6</f>
        <v>68874.371274765974</v>
      </c>
      <c r="M62" s="351">
        <f>Debt!M73*Allocation!$E$6</f>
        <v>63559.307253562169</v>
      </c>
      <c r="N62" s="351">
        <f>Debt!N73*Allocation!$E$6</f>
        <v>57830.849364042515</v>
      </c>
      <c r="O62" s="351">
        <f>Debt!O73*Allocation!$E$6</f>
        <v>51615.177272579189</v>
      </c>
      <c r="P62" s="351">
        <f>Debt!P73*Allocation!$E$6</f>
        <v>44867.998778995476</v>
      </c>
      <c r="Q62" s="351">
        <f>Debt!Q73*Allocation!$E$6</f>
        <v>37471.201349486844</v>
      </c>
      <c r="R62" s="351">
        <f>Debt!R73*Allocation!$E$6</f>
        <v>29380.492783876609</v>
      </c>
      <c r="S62" s="351">
        <f>Debt!S73*Allocation!$E$6</f>
        <v>20507.288681811366</v>
      </c>
      <c r="T62" s="351">
        <f>Debt!T73*Allocation!$E$6</f>
        <v>10748.240576212156</v>
      </c>
      <c r="U62" s="351">
        <f>Debt!U73*Allocation!$E$6</f>
        <v>2.1228285813523744E-11</v>
      </c>
      <c r="V62" s="91"/>
      <c r="W62" s="348">
        <f>SUM(B62:U62)</f>
        <v>1304298.0227271414</v>
      </c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91"/>
    </row>
    <row r="63" spans="1:45" ht="12.75" customHeight="1" x14ac:dyDescent="0.25">
      <c r="A63" s="292" t="s">
        <v>207</v>
      </c>
      <c r="B63" s="352">
        <f t="shared" ref="B63:U63" si="19">SUM(B60:B62)</f>
        <v>232073.19157499622</v>
      </c>
      <c r="C63" s="352">
        <f t="shared" si="19"/>
        <v>218757.77305842479</v>
      </c>
      <c r="D63" s="352">
        <f t="shared" si="19"/>
        <v>205191.32703605056</v>
      </c>
      <c r="E63" s="352">
        <f t="shared" si="19"/>
        <v>193158.04558747809</v>
      </c>
      <c r="F63" s="352">
        <f t="shared" si="19"/>
        <v>181799.50391064817</v>
      </c>
      <c r="G63" s="352">
        <f t="shared" si="19"/>
        <v>171067.39039786562</v>
      </c>
      <c r="H63" s="352">
        <f t="shared" si="19"/>
        <v>160778.39463957227</v>
      </c>
      <c r="I63" s="352">
        <f t="shared" si="19"/>
        <v>150529.28632028421</v>
      </c>
      <c r="J63" s="352">
        <f t="shared" si="19"/>
        <v>140351.22421105739</v>
      </c>
      <c r="K63" s="352">
        <f t="shared" si="19"/>
        <v>130235.33084586734</v>
      </c>
      <c r="L63" s="352">
        <f t="shared" si="19"/>
        <v>120079.63902453969</v>
      </c>
      <c r="M63" s="352">
        <f t="shared" si="19"/>
        <v>109879.75132735257</v>
      </c>
      <c r="N63" s="352">
        <f t="shared" si="19"/>
        <v>99385.24445793347</v>
      </c>
      <c r="O63" s="352">
        <f t="shared" si="19"/>
        <v>89193.424907185428</v>
      </c>
      <c r="P63" s="352">
        <f t="shared" si="19"/>
        <v>78637.925166401605</v>
      </c>
      <c r="Q63" s="352">
        <f t="shared" si="19"/>
        <v>68952.118365473725</v>
      </c>
      <c r="R63" s="352">
        <f t="shared" si="19"/>
        <v>64317.682384222375</v>
      </c>
      <c r="S63" s="352">
        <f t="shared" si="19"/>
        <v>59685.725320075828</v>
      </c>
      <c r="T63" s="352">
        <f t="shared" si="19"/>
        <v>55056.275310909819</v>
      </c>
      <c r="U63" s="352">
        <f t="shared" si="19"/>
        <v>50429.339266161704</v>
      </c>
      <c r="V63" s="91"/>
      <c r="W63" s="348">
        <f>SUM(B63:U63)</f>
        <v>2579558.5931125009</v>
      </c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91"/>
    </row>
    <row r="64" spans="1:45" ht="12.75" customHeight="1" x14ac:dyDescent="0.25">
      <c r="A64" s="241"/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91"/>
      <c r="W64" s="348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91"/>
    </row>
    <row r="65" spans="1:45" ht="12.75" customHeight="1" x14ac:dyDescent="0.25">
      <c r="A65" s="292" t="s">
        <v>208</v>
      </c>
      <c r="B65" s="352">
        <f t="shared" ref="B65:U65" si="20">MAX(B63,B59)</f>
        <v>232073.19157499622</v>
      </c>
      <c r="C65" s="352">
        <f t="shared" si="20"/>
        <v>223121.30383185728</v>
      </c>
      <c r="D65" s="352">
        <f t="shared" si="20"/>
        <v>216000.41115637246</v>
      </c>
      <c r="E65" s="352">
        <f t="shared" si="20"/>
        <v>208879.51848088764</v>
      </c>
      <c r="F65" s="352">
        <f t="shared" si="20"/>
        <v>201758.62580540281</v>
      </c>
      <c r="G65" s="352">
        <f t="shared" si="20"/>
        <v>194637.73312991799</v>
      </c>
      <c r="H65" s="352">
        <f t="shared" si="20"/>
        <v>187516.84045443317</v>
      </c>
      <c r="I65" s="352">
        <f t="shared" si="20"/>
        <v>180395.94777894835</v>
      </c>
      <c r="J65" s="352">
        <f t="shared" si="20"/>
        <v>173275.05510346353</v>
      </c>
      <c r="K65" s="352">
        <f t="shared" si="20"/>
        <v>166154.16242797871</v>
      </c>
      <c r="L65" s="352">
        <f t="shared" si="20"/>
        <v>159033.26975249388</v>
      </c>
      <c r="M65" s="352">
        <f t="shared" si="20"/>
        <v>151912.37707700906</v>
      </c>
      <c r="N65" s="352">
        <f t="shared" si="20"/>
        <v>144791.48440152424</v>
      </c>
      <c r="O65" s="352">
        <f t="shared" si="20"/>
        <v>137670.59172603942</v>
      </c>
      <c r="P65" s="352">
        <f t="shared" si="20"/>
        <v>130549.69905055461</v>
      </c>
      <c r="Q65" s="352">
        <f t="shared" si="20"/>
        <v>123428.80637506981</v>
      </c>
      <c r="R65" s="352">
        <f t="shared" si="20"/>
        <v>116307.913699585</v>
      </c>
      <c r="S65" s="352">
        <f t="shared" si="20"/>
        <v>109187.02102410019</v>
      </c>
      <c r="T65" s="352">
        <f t="shared" si="20"/>
        <v>102066.12834861538</v>
      </c>
      <c r="U65" s="352">
        <f t="shared" si="20"/>
        <v>94945.235673130577</v>
      </c>
      <c r="V65" s="91"/>
      <c r="W65" s="348">
        <f>SUM(B65:U65)</f>
        <v>3253705.3168723807</v>
      </c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91"/>
    </row>
    <row r="66" spans="1:45" ht="12.75" customHeight="1" x14ac:dyDescent="0.25">
      <c r="A66" s="349" t="s">
        <v>209</v>
      </c>
      <c r="B66" s="353">
        <f>Assumptions!$C$40</f>
        <v>2.5000000000000001E-3</v>
      </c>
      <c r="C66" s="353">
        <f>Assumptions!$C$41</f>
        <v>2.5000000000000001E-3</v>
      </c>
      <c r="D66" s="353">
        <f>Assumptions!$C$41</f>
        <v>2.5000000000000001E-3</v>
      </c>
      <c r="E66" s="353">
        <f>Assumptions!$C$41</f>
        <v>2.5000000000000001E-3</v>
      </c>
      <c r="F66" s="353">
        <f>Assumptions!$C$41</f>
        <v>2.5000000000000001E-3</v>
      </c>
      <c r="G66" s="353">
        <f>Assumptions!$C$41</f>
        <v>2.5000000000000001E-3</v>
      </c>
      <c r="H66" s="353">
        <f>Assumptions!$C$41</f>
        <v>2.5000000000000001E-3</v>
      </c>
      <c r="I66" s="353">
        <f>Assumptions!$C$41</f>
        <v>2.5000000000000001E-3</v>
      </c>
      <c r="J66" s="353">
        <f>Assumptions!$C$41</f>
        <v>2.5000000000000001E-3</v>
      </c>
      <c r="K66" s="353">
        <f>Assumptions!$C$41</f>
        <v>2.5000000000000001E-3</v>
      </c>
      <c r="L66" s="353">
        <f>Assumptions!$C$41</f>
        <v>2.5000000000000001E-3</v>
      </c>
      <c r="M66" s="353">
        <f>Assumptions!$C$41</f>
        <v>2.5000000000000001E-3</v>
      </c>
      <c r="N66" s="353">
        <f>Assumptions!$C$41</f>
        <v>2.5000000000000001E-3</v>
      </c>
      <c r="O66" s="353">
        <f>Assumptions!$C$41</f>
        <v>2.5000000000000001E-3</v>
      </c>
      <c r="P66" s="353">
        <f>Assumptions!$C$41</f>
        <v>2.5000000000000001E-3</v>
      </c>
      <c r="Q66" s="353">
        <f>Assumptions!$C$41</f>
        <v>2.5000000000000001E-3</v>
      </c>
      <c r="R66" s="353">
        <f>Assumptions!$C$41</f>
        <v>2.5000000000000001E-3</v>
      </c>
      <c r="S66" s="353">
        <f>Assumptions!$C$41</f>
        <v>2.5000000000000001E-3</v>
      </c>
      <c r="T66" s="353">
        <f>Assumptions!$C$41</f>
        <v>2.5000000000000001E-3</v>
      </c>
      <c r="U66" s="353">
        <f>Assumptions!$C$41</f>
        <v>2.5000000000000001E-3</v>
      </c>
      <c r="V66" s="91"/>
      <c r="W66" s="348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</row>
    <row r="67" spans="1:45" ht="12.75" customHeight="1" x14ac:dyDescent="0.25">
      <c r="A67" s="241" t="s">
        <v>210</v>
      </c>
      <c r="B67" s="354">
        <v>580.17621301803638</v>
      </c>
      <c r="C67" s="354">
        <v>557.80218638269139</v>
      </c>
      <c r="D67" s="354">
        <v>539.99998894494593</v>
      </c>
      <c r="E67" s="354">
        <v>522.19779150720035</v>
      </c>
      <c r="F67" s="354">
        <v>504.39559406945489</v>
      </c>
      <c r="G67" s="354">
        <v>486.59339663170942</v>
      </c>
      <c r="H67" s="354">
        <v>468.79119919396391</v>
      </c>
      <c r="I67" s="354">
        <v>450.98900175621844</v>
      </c>
      <c r="J67" s="354">
        <v>433.18680431847292</v>
      </c>
      <c r="K67" s="354">
        <v>415.38460688072746</v>
      </c>
      <c r="L67" s="354">
        <v>397.58240944298194</v>
      </c>
      <c r="M67" s="354">
        <v>379.78021200523648</v>
      </c>
      <c r="N67" s="354">
        <v>361.97801456749096</v>
      </c>
      <c r="O67" s="354">
        <v>344.1758171297455</v>
      </c>
      <c r="P67" s="354">
        <v>326.37361969199998</v>
      </c>
      <c r="Q67" s="354">
        <v>308.57142225425451</v>
      </c>
      <c r="R67" s="354">
        <v>290.76922481650899</v>
      </c>
      <c r="S67" s="354">
        <v>272.96702737876353</v>
      </c>
      <c r="T67" s="354">
        <v>255.16482994101804</v>
      </c>
      <c r="U67" s="354">
        <v>237.36263250327255</v>
      </c>
      <c r="V67" s="91"/>
      <c r="W67" s="348">
        <f>SUM(B67:U67)</f>
        <v>8134.241992434695</v>
      </c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91"/>
    </row>
    <row r="68" spans="1:45" ht="12.75" customHeight="1" x14ac:dyDescent="0.25">
      <c r="A68" s="241"/>
      <c r="B68" s="299"/>
      <c r="C68" s="299"/>
      <c r="D68" s="299"/>
      <c r="E68" s="299"/>
      <c r="F68" s="299"/>
      <c r="G68" s="299"/>
      <c r="H68" s="299"/>
      <c r="I68" s="299"/>
      <c r="J68" s="299"/>
      <c r="K68" s="299"/>
      <c r="L68" s="299"/>
      <c r="M68" s="299"/>
      <c r="N68" s="299"/>
      <c r="O68" s="299"/>
      <c r="P68" s="299"/>
      <c r="Q68" s="299"/>
      <c r="R68" s="299"/>
      <c r="S68" s="299"/>
      <c r="T68" s="299"/>
      <c r="U68" s="299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91"/>
    </row>
    <row r="69" spans="1:45" ht="12.75" customHeight="1" x14ac:dyDescent="0.25">
      <c r="A69" s="300" t="s">
        <v>176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91"/>
    </row>
    <row r="70" spans="1:45" ht="12.75" customHeight="1" x14ac:dyDescent="0.25">
      <c r="A70" s="300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91"/>
    </row>
    <row r="71" spans="1:45" ht="12.75" customHeight="1" x14ac:dyDescent="0.25">
      <c r="A71" s="24" t="s">
        <v>179</v>
      </c>
      <c r="B71" s="307">
        <f t="shared" ref="B71:U71" si="21">B30</f>
        <v>13716.169203752606</v>
      </c>
      <c r="C71" s="307">
        <f t="shared" si="21"/>
        <v>15484.34587621161</v>
      </c>
      <c r="D71" s="307">
        <f t="shared" si="21"/>
        <v>17488.902027518139</v>
      </c>
      <c r="E71" s="307">
        <f t="shared" si="21"/>
        <v>19681.646707952626</v>
      </c>
      <c r="F71" s="307">
        <f t="shared" si="21"/>
        <v>22081.403146788627</v>
      </c>
      <c r="G71" s="307">
        <f t="shared" si="21"/>
        <v>22910.411698101903</v>
      </c>
      <c r="H71" s="307">
        <f t="shared" si="21"/>
        <v>23843.434043321977</v>
      </c>
      <c r="I71" s="307">
        <f t="shared" si="21"/>
        <v>24770.628178467421</v>
      </c>
      <c r="J71" s="307">
        <f t="shared" si="21"/>
        <v>25776.463393551079</v>
      </c>
      <c r="K71" s="307">
        <f t="shared" si="21"/>
        <v>26787.588465367007</v>
      </c>
      <c r="L71" s="307">
        <f t="shared" si="21"/>
        <v>28119.452137690743</v>
      </c>
      <c r="M71" s="307">
        <f t="shared" si="21"/>
        <v>29487.224278933074</v>
      </c>
      <c r="N71" s="307">
        <f t="shared" si="21"/>
        <v>30600.844301237601</v>
      </c>
      <c r="O71" s="307">
        <f t="shared" si="21"/>
        <v>32109.549777869608</v>
      </c>
      <c r="P71" s="307">
        <f t="shared" si="21"/>
        <v>33247.252875140686</v>
      </c>
      <c r="Q71" s="307">
        <f t="shared" si="21"/>
        <v>35225.859398616929</v>
      </c>
      <c r="R71" s="307">
        <f t="shared" si="21"/>
        <v>36726.777575622626</v>
      </c>
      <c r="S71" s="307">
        <f t="shared" si="21"/>
        <v>38301.339828824246</v>
      </c>
      <c r="T71" s="307">
        <f t="shared" si="21"/>
        <v>39973.690814832902</v>
      </c>
      <c r="U71" s="307">
        <f t="shared" si="21"/>
        <v>41752.156366001625</v>
      </c>
      <c r="V71" s="91"/>
      <c r="W71" s="348">
        <f>SUM(B71:U71)</f>
        <v>558085.14009580296</v>
      </c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</row>
    <row r="72" spans="1:45" ht="12.75" customHeight="1" x14ac:dyDescent="0.25">
      <c r="A72" s="24" t="s">
        <v>180</v>
      </c>
      <c r="B72" s="307">
        <f t="shared" ref="B72:U72" si="22">B24</f>
        <v>7120.8926754848071</v>
      </c>
      <c r="C72" s="307">
        <f t="shared" si="22"/>
        <v>7120.8926754848071</v>
      </c>
      <c r="D72" s="307">
        <f t="shared" si="22"/>
        <v>7120.8926754848071</v>
      </c>
      <c r="E72" s="307">
        <f t="shared" si="22"/>
        <v>7120.8926754848071</v>
      </c>
      <c r="F72" s="307">
        <f t="shared" si="22"/>
        <v>7120.8926754848071</v>
      </c>
      <c r="G72" s="307">
        <f t="shared" si="22"/>
        <v>7120.8926754848071</v>
      </c>
      <c r="H72" s="307">
        <f t="shared" si="22"/>
        <v>7120.8926754848071</v>
      </c>
      <c r="I72" s="307">
        <f t="shared" si="22"/>
        <v>7120.8926754848071</v>
      </c>
      <c r="J72" s="307">
        <f t="shared" si="22"/>
        <v>7120.8926754848071</v>
      </c>
      <c r="K72" s="307">
        <f t="shared" si="22"/>
        <v>7120.8926754848071</v>
      </c>
      <c r="L72" s="307">
        <f t="shared" si="22"/>
        <v>7120.8926754848071</v>
      </c>
      <c r="M72" s="307">
        <f t="shared" si="22"/>
        <v>7120.8926754848071</v>
      </c>
      <c r="N72" s="307">
        <f t="shared" si="22"/>
        <v>7120.8926754848071</v>
      </c>
      <c r="O72" s="307">
        <f t="shared" si="22"/>
        <v>7120.8926754848071</v>
      </c>
      <c r="P72" s="307">
        <f t="shared" si="22"/>
        <v>7120.8926754848071</v>
      </c>
      <c r="Q72" s="307">
        <f t="shared" si="22"/>
        <v>7120.8926754848071</v>
      </c>
      <c r="R72" s="307">
        <f t="shared" si="22"/>
        <v>7120.8926754848071</v>
      </c>
      <c r="S72" s="307">
        <f t="shared" si="22"/>
        <v>7120.8926754848071</v>
      </c>
      <c r="T72" s="307">
        <f t="shared" si="22"/>
        <v>7120.8926754848071</v>
      </c>
      <c r="U72" s="307">
        <f t="shared" si="22"/>
        <v>7120.8926754848071</v>
      </c>
      <c r="V72" s="91"/>
      <c r="W72" s="348">
        <f>SUM(B72:U72)</f>
        <v>142417.85350969614</v>
      </c>
      <c r="X72" s="91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91"/>
    </row>
    <row r="73" spans="1:45" ht="15" customHeight="1" x14ac:dyDescent="0.4">
      <c r="A73" s="24" t="s">
        <v>211</v>
      </c>
      <c r="B73" s="355">
        <f>-Depreciation!C44</f>
        <v>-11868.154459141346</v>
      </c>
      <c r="C73" s="355">
        <f>-Depreciation!D44</f>
        <v>-22549.493472368555</v>
      </c>
      <c r="D73" s="355">
        <f>-Depreciation!E44</f>
        <v>-20294.544125131702</v>
      </c>
      <c r="E73" s="355">
        <f>-Depreciation!F44</f>
        <v>-18276.957867077672</v>
      </c>
      <c r="F73" s="355">
        <f>-Depreciation!G44</f>
        <v>-16449.262080369903</v>
      </c>
      <c r="G73" s="355">
        <f>-Depreciation!H44</f>
        <v>-14787.720456090115</v>
      </c>
      <c r="H73" s="355">
        <f>-Depreciation!I44</f>
        <v>-14004.422261786785</v>
      </c>
      <c r="I73" s="355">
        <f>-Depreciation!J44</f>
        <v>-14028.158570705069</v>
      </c>
      <c r="J73" s="355">
        <f>-Depreciation!K44</f>
        <v>-14004.422261786785</v>
      </c>
      <c r="K73" s="355">
        <f>-Depreciation!L44</f>
        <v>-14028.158570705069</v>
      </c>
      <c r="L73" s="355">
        <f>-Depreciation!M44</f>
        <v>-14004.422261786785</v>
      </c>
      <c r="M73" s="355">
        <f>-Depreciation!N44</f>
        <v>-14028.158570705069</v>
      </c>
      <c r="N73" s="355">
        <f>-Depreciation!O44</f>
        <v>-14004.422261786785</v>
      </c>
      <c r="O73" s="355">
        <f>-Depreciation!P44</f>
        <v>-14028.158570705069</v>
      </c>
      <c r="P73" s="355">
        <f>-Depreciation!Q44</f>
        <v>-14004.422261786785</v>
      </c>
      <c r="Q73" s="355">
        <f>-Depreciation!R44</f>
        <v>-14004.422261786785</v>
      </c>
      <c r="R73" s="355">
        <f>-Depreciation!S44</f>
        <v>0</v>
      </c>
      <c r="S73" s="355">
        <f>-Depreciation!T44</f>
        <v>0</v>
      </c>
      <c r="T73" s="355">
        <f>-Depreciation!U44</f>
        <v>0</v>
      </c>
      <c r="U73" s="355">
        <f>-Depreciation!V44</f>
        <v>0</v>
      </c>
      <c r="V73" s="91"/>
      <c r="W73" s="356">
        <f>SUM(B73:U73)</f>
        <v>-244365.30031372033</v>
      </c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</row>
    <row r="74" spans="1:45" ht="12.75" customHeight="1" x14ac:dyDescent="0.25">
      <c r="A74" s="312" t="s">
        <v>212</v>
      </c>
      <c r="B74" s="252">
        <f t="shared" ref="B74:U74" si="23">SUM(B71:B73)</f>
        <v>8968.9074200960695</v>
      </c>
      <c r="C74" s="252">
        <f t="shared" si="23"/>
        <v>55.745079327862186</v>
      </c>
      <c r="D74" s="252">
        <f t="shared" si="23"/>
        <v>4315.2505778712439</v>
      </c>
      <c r="E74" s="252">
        <f t="shared" si="23"/>
        <v>8525.5815163597617</v>
      </c>
      <c r="F74" s="252">
        <f t="shared" si="23"/>
        <v>12753.033741903531</v>
      </c>
      <c r="G74" s="252">
        <f t="shared" si="23"/>
        <v>15243.583917496595</v>
      </c>
      <c r="H74" s="252">
        <f t="shared" si="23"/>
        <v>16959.904457019999</v>
      </c>
      <c r="I74" s="252">
        <f t="shared" si="23"/>
        <v>17863.362283247159</v>
      </c>
      <c r="J74" s="252">
        <f t="shared" si="23"/>
        <v>18892.933807249101</v>
      </c>
      <c r="K74" s="252">
        <f t="shared" si="23"/>
        <v>19880.322570146745</v>
      </c>
      <c r="L74" s="252">
        <f t="shared" si="23"/>
        <v>21235.922551388765</v>
      </c>
      <c r="M74" s="252">
        <f t="shared" si="23"/>
        <v>22579.958383712816</v>
      </c>
      <c r="N74" s="252">
        <f t="shared" si="23"/>
        <v>23717.314714935623</v>
      </c>
      <c r="O74" s="252">
        <f t="shared" si="23"/>
        <v>25202.283882649346</v>
      </c>
      <c r="P74" s="252">
        <f t="shared" si="23"/>
        <v>26363.723288838708</v>
      </c>
      <c r="Q74" s="252">
        <f t="shared" si="23"/>
        <v>28342.329812314951</v>
      </c>
      <c r="R74" s="252">
        <f t="shared" si="23"/>
        <v>43847.670251107433</v>
      </c>
      <c r="S74" s="252">
        <f t="shared" si="23"/>
        <v>45422.232504309053</v>
      </c>
      <c r="T74" s="252">
        <f t="shared" si="23"/>
        <v>47094.583490317709</v>
      </c>
      <c r="U74" s="252">
        <f t="shared" si="23"/>
        <v>48873.049041486433</v>
      </c>
      <c r="V74" s="91"/>
      <c r="W74" s="348">
        <f>SUM(B74:U74)</f>
        <v>456137.69329177891</v>
      </c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</row>
    <row r="75" spans="1:45" ht="12.75" customHeight="1" x14ac:dyDescent="0.25">
      <c r="A75" s="24"/>
      <c r="B75" s="252"/>
      <c r="C75" s="252"/>
      <c r="D75" s="252"/>
      <c r="E75" s="252"/>
      <c r="F75" s="252"/>
      <c r="G75" s="252"/>
      <c r="H75" s="252"/>
      <c r="I75" s="252"/>
      <c r="J75" s="252"/>
      <c r="K75" s="252"/>
      <c r="L75" s="252"/>
      <c r="M75" s="252"/>
      <c r="N75" s="252"/>
      <c r="O75" s="252"/>
      <c r="P75" s="252"/>
      <c r="Q75" s="252"/>
      <c r="R75" s="252"/>
      <c r="S75" s="252"/>
      <c r="T75" s="252"/>
      <c r="U75" s="252"/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1"/>
      <c r="AN75" s="91"/>
      <c r="AO75" s="91"/>
      <c r="AP75" s="91"/>
      <c r="AQ75" s="91"/>
      <c r="AR75" s="91"/>
      <c r="AS75" s="91"/>
    </row>
    <row r="76" spans="1:45" ht="12.75" customHeight="1" x14ac:dyDescent="0.25">
      <c r="A76" s="24" t="s">
        <v>77</v>
      </c>
      <c r="B76" s="357">
        <f>Assumptions!$C$37</f>
        <v>0.06</v>
      </c>
      <c r="C76" s="357">
        <f>Assumptions!$C$37</f>
        <v>0.06</v>
      </c>
      <c r="D76" s="357">
        <f>Assumptions!$C$37</f>
        <v>0.06</v>
      </c>
      <c r="E76" s="357">
        <f>Assumptions!$C$37</f>
        <v>0.06</v>
      </c>
      <c r="F76" s="357">
        <f>Assumptions!$C$37</f>
        <v>0.06</v>
      </c>
      <c r="G76" s="357">
        <f>Assumptions!$C$37</f>
        <v>0.06</v>
      </c>
      <c r="H76" s="357">
        <f>Assumptions!$C$37</f>
        <v>0.06</v>
      </c>
      <c r="I76" s="357">
        <f>Assumptions!$C$37</f>
        <v>0.06</v>
      </c>
      <c r="J76" s="357">
        <f>Assumptions!$C$37</f>
        <v>0.06</v>
      </c>
      <c r="K76" s="357">
        <f>Assumptions!$C$37</f>
        <v>0.06</v>
      </c>
      <c r="L76" s="357">
        <f>Assumptions!$C$37</f>
        <v>0.06</v>
      </c>
      <c r="M76" s="357">
        <f>Assumptions!$C$37</f>
        <v>0.06</v>
      </c>
      <c r="N76" s="357">
        <f>Assumptions!$C$37</f>
        <v>0.06</v>
      </c>
      <c r="O76" s="357">
        <f>Assumptions!$C$37</f>
        <v>0.06</v>
      </c>
      <c r="P76" s="357">
        <f>Assumptions!$C$37</f>
        <v>0.06</v>
      </c>
      <c r="Q76" s="357">
        <f>Assumptions!$C$37</f>
        <v>0.06</v>
      </c>
      <c r="R76" s="357">
        <f>Assumptions!$C$37</f>
        <v>0.06</v>
      </c>
      <c r="S76" s="357">
        <f>Assumptions!$C$37</f>
        <v>0.06</v>
      </c>
      <c r="T76" s="357">
        <f>Assumptions!$C$37</f>
        <v>0.06</v>
      </c>
      <c r="U76" s="357">
        <f>Assumptions!$C$37</f>
        <v>0.06</v>
      </c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/>
      <c r="AP76" s="91"/>
      <c r="AQ76" s="91"/>
      <c r="AR76" s="91"/>
      <c r="AS76" s="91"/>
    </row>
    <row r="77" spans="1:45" ht="12.75" customHeight="1" x14ac:dyDescent="0.25">
      <c r="A77" s="24" t="s">
        <v>213</v>
      </c>
      <c r="B77" s="307">
        <f t="shared" ref="B77:U77" si="24">B74*B76</f>
        <v>538.13444520576411</v>
      </c>
      <c r="C77" s="307">
        <f t="shared" si="24"/>
        <v>3.344704759671731</v>
      </c>
      <c r="D77" s="307">
        <f t="shared" si="24"/>
        <v>258.9150346722746</v>
      </c>
      <c r="E77" s="307">
        <f t="shared" si="24"/>
        <v>511.5348909815857</v>
      </c>
      <c r="F77" s="307">
        <f t="shared" si="24"/>
        <v>765.18202451421189</v>
      </c>
      <c r="G77" s="307">
        <f t="shared" si="24"/>
        <v>914.61503504979567</v>
      </c>
      <c r="H77" s="307">
        <f t="shared" si="24"/>
        <v>1017.5942674211999</v>
      </c>
      <c r="I77" s="307">
        <f t="shared" si="24"/>
        <v>1071.8017369948295</v>
      </c>
      <c r="J77" s="307">
        <f t="shared" si="24"/>
        <v>1133.576028434946</v>
      </c>
      <c r="K77" s="307">
        <f t="shared" si="24"/>
        <v>1192.8193542088047</v>
      </c>
      <c r="L77" s="307">
        <f t="shared" si="24"/>
        <v>1274.155353083326</v>
      </c>
      <c r="M77" s="307">
        <f t="shared" si="24"/>
        <v>1354.797503022769</v>
      </c>
      <c r="N77" s="307">
        <f t="shared" si="24"/>
        <v>1423.0388828961372</v>
      </c>
      <c r="O77" s="307">
        <f t="shared" si="24"/>
        <v>1512.1370329589606</v>
      </c>
      <c r="P77" s="307">
        <f t="shared" si="24"/>
        <v>1581.8233973303225</v>
      </c>
      <c r="Q77" s="307">
        <f t="shared" si="24"/>
        <v>1700.539788738897</v>
      </c>
      <c r="R77" s="307">
        <f t="shared" si="24"/>
        <v>2630.860215066446</v>
      </c>
      <c r="S77" s="307">
        <f t="shared" si="24"/>
        <v>2725.3339502585432</v>
      </c>
      <c r="T77" s="307">
        <f t="shared" si="24"/>
        <v>2825.6750094190625</v>
      </c>
      <c r="U77" s="307">
        <f t="shared" si="24"/>
        <v>2932.382942489186</v>
      </c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</row>
    <row r="78" spans="1:45" ht="12.75" customHeight="1" x14ac:dyDescent="0.25">
      <c r="A78" s="24"/>
      <c r="B78" s="252"/>
      <c r="C78" s="252"/>
      <c r="D78" s="252"/>
      <c r="E78" s="252"/>
      <c r="F78" s="252"/>
      <c r="G78" s="252"/>
      <c r="H78" s="252"/>
      <c r="I78" s="252"/>
      <c r="J78" s="252"/>
      <c r="K78" s="252"/>
      <c r="L78" s="252"/>
      <c r="M78" s="252"/>
      <c r="N78" s="252"/>
      <c r="O78" s="252"/>
      <c r="P78" s="252"/>
      <c r="Q78" s="252"/>
      <c r="R78" s="252"/>
      <c r="S78" s="252"/>
      <c r="T78" s="252"/>
      <c r="U78" s="252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</row>
    <row r="79" spans="1:45" ht="12.75" customHeight="1" x14ac:dyDescent="0.25">
      <c r="A79" s="24" t="s">
        <v>214</v>
      </c>
      <c r="B79" s="307">
        <v>0</v>
      </c>
      <c r="C79" s="307">
        <f t="shared" ref="C79:Q79" si="25">B83</f>
        <v>0</v>
      </c>
      <c r="D79" s="307">
        <f t="shared" si="25"/>
        <v>0</v>
      </c>
      <c r="E79" s="307">
        <f t="shared" si="25"/>
        <v>0</v>
      </c>
      <c r="F79" s="307">
        <f t="shared" si="25"/>
        <v>0</v>
      </c>
      <c r="G79" s="307">
        <f t="shared" si="25"/>
        <v>0</v>
      </c>
      <c r="H79" s="307">
        <f t="shared" si="25"/>
        <v>0</v>
      </c>
      <c r="I79" s="307">
        <f t="shared" si="25"/>
        <v>0</v>
      </c>
      <c r="J79" s="307">
        <f t="shared" si="25"/>
        <v>0</v>
      </c>
      <c r="K79" s="307">
        <f t="shared" si="25"/>
        <v>0</v>
      </c>
      <c r="L79" s="307">
        <f t="shared" si="25"/>
        <v>0</v>
      </c>
      <c r="M79" s="307">
        <f t="shared" si="25"/>
        <v>0</v>
      </c>
      <c r="N79" s="307">
        <f t="shared" si="25"/>
        <v>0</v>
      </c>
      <c r="O79" s="307">
        <f t="shared" si="25"/>
        <v>0</v>
      </c>
      <c r="P79" s="307">
        <f t="shared" si="25"/>
        <v>0</v>
      </c>
      <c r="Q79" s="307">
        <f t="shared" si="25"/>
        <v>0</v>
      </c>
      <c r="R79" s="307">
        <v>0</v>
      </c>
      <c r="S79" s="307">
        <f>R83</f>
        <v>0</v>
      </c>
      <c r="T79" s="307">
        <f>S83</f>
        <v>0</v>
      </c>
      <c r="U79" s="307">
        <f>T83</f>
        <v>0</v>
      </c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</row>
    <row r="80" spans="1:45" ht="12.75" customHeight="1" x14ac:dyDescent="0.25">
      <c r="A80" s="24" t="s">
        <v>215</v>
      </c>
      <c r="B80" s="317">
        <f t="shared" ref="B80:U80" si="26">IF(B53&gt;2020,0,IF(B77&lt;0,-B77,0))</f>
        <v>0</v>
      </c>
      <c r="C80" s="317">
        <f t="shared" si="26"/>
        <v>0</v>
      </c>
      <c r="D80" s="317">
        <f t="shared" si="26"/>
        <v>0</v>
      </c>
      <c r="E80" s="317">
        <f t="shared" si="26"/>
        <v>0</v>
      </c>
      <c r="F80" s="317">
        <f t="shared" si="26"/>
        <v>0</v>
      </c>
      <c r="G80" s="317">
        <f t="shared" si="26"/>
        <v>0</v>
      </c>
      <c r="H80" s="317">
        <f t="shared" si="26"/>
        <v>0</v>
      </c>
      <c r="I80" s="317">
        <f t="shared" si="26"/>
        <v>0</v>
      </c>
      <c r="J80" s="317">
        <f t="shared" si="26"/>
        <v>0</v>
      </c>
      <c r="K80" s="317">
        <f t="shared" si="26"/>
        <v>0</v>
      </c>
      <c r="L80" s="317">
        <f t="shared" si="26"/>
        <v>0</v>
      </c>
      <c r="M80" s="317">
        <f t="shared" si="26"/>
        <v>0</v>
      </c>
      <c r="N80" s="317">
        <f t="shared" si="26"/>
        <v>0</v>
      </c>
      <c r="O80" s="317">
        <f t="shared" si="26"/>
        <v>0</v>
      </c>
      <c r="P80" s="317">
        <f t="shared" si="26"/>
        <v>0</v>
      </c>
      <c r="Q80" s="317">
        <f t="shared" si="26"/>
        <v>0</v>
      </c>
      <c r="R80" s="317">
        <f t="shared" si="26"/>
        <v>0</v>
      </c>
      <c r="S80" s="317">
        <f t="shared" si="26"/>
        <v>0</v>
      </c>
      <c r="T80" s="317">
        <f t="shared" si="26"/>
        <v>0</v>
      </c>
      <c r="U80" s="317">
        <f t="shared" si="26"/>
        <v>0</v>
      </c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</row>
    <row r="81" spans="1:45" ht="12.75" customHeight="1" x14ac:dyDescent="0.25">
      <c r="A81" s="24" t="s">
        <v>216</v>
      </c>
      <c r="B81" s="358">
        <v>0</v>
      </c>
      <c r="C81" s="358">
        <v>0</v>
      </c>
      <c r="D81" s="358">
        <v>0</v>
      </c>
      <c r="E81" s="358">
        <v>0</v>
      </c>
      <c r="F81" s="358">
        <v>0</v>
      </c>
      <c r="G81" s="358">
        <v>0</v>
      </c>
      <c r="H81" s="358">
        <v>0</v>
      </c>
      <c r="I81" s="358">
        <v>0</v>
      </c>
      <c r="J81" s="358">
        <v>0</v>
      </c>
      <c r="K81" s="358">
        <v>0</v>
      </c>
      <c r="L81" s="358">
        <v>0</v>
      </c>
      <c r="M81" s="358">
        <v>0</v>
      </c>
      <c r="N81" s="358">
        <v>0</v>
      </c>
      <c r="O81" s="358">
        <v>0</v>
      </c>
      <c r="P81" s="358">
        <v>0</v>
      </c>
      <c r="Q81" s="358">
        <v>0</v>
      </c>
      <c r="R81" s="358">
        <v>0</v>
      </c>
      <c r="S81" s="358">
        <v>0</v>
      </c>
      <c r="T81" s="307">
        <f>IF(L80&gt;(SUM(M82:S82)+SUM(L81:S81))*-1,L80-(SUM(L82:S82)+SUM(L81:S81))*-1,0)</f>
        <v>0</v>
      </c>
      <c r="U81" s="307">
        <f>IF(M80&gt;(SUM(N82:T82)+SUM(M81:T81))*-1,M80-(SUM(M82:T82)+SUM(M81:T81))*-1,0)</f>
        <v>0</v>
      </c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</row>
    <row r="82" spans="1:45" ht="12.75" customHeight="1" x14ac:dyDescent="0.25">
      <c r="A82" s="12" t="s">
        <v>187</v>
      </c>
      <c r="B82" s="359">
        <f t="shared" ref="B82:U82" si="27">IF(B77&lt;0,0,IF(B79&gt;B77,-B77,-B79))</f>
        <v>0</v>
      </c>
      <c r="C82" s="359">
        <f t="shared" si="27"/>
        <v>0</v>
      </c>
      <c r="D82" s="359">
        <f t="shared" si="27"/>
        <v>0</v>
      </c>
      <c r="E82" s="359">
        <f t="shared" si="27"/>
        <v>0</v>
      </c>
      <c r="F82" s="359">
        <f t="shared" si="27"/>
        <v>0</v>
      </c>
      <c r="G82" s="359">
        <f t="shared" si="27"/>
        <v>0</v>
      </c>
      <c r="H82" s="359">
        <f t="shared" si="27"/>
        <v>0</v>
      </c>
      <c r="I82" s="359">
        <f t="shared" si="27"/>
        <v>0</v>
      </c>
      <c r="J82" s="359">
        <f t="shared" si="27"/>
        <v>0</v>
      </c>
      <c r="K82" s="359">
        <f t="shared" si="27"/>
        <v>0</v>
      </c>
      <c r="L82" s="359">
        <f t="shared" si="27"/>
        <v>0</v>
      </c>
      <c r="M82" s="359">
        <f t="shared" si="27"/>
        <v>0</v>
      </c>
      <c r="N82" s="359">
        <f t="shared" si="27"/>
        <v>0</v>
      </c>
      <c r="O82" s="359">
        <f t="shared" si="27"/>
        <v>0</v>
      </c>
      <c r="P82" s="359">
        <f t="shared" si="27"/>
        <v>0</v>
      </c>
      <c r="Q82" s="359">
        <f t="shared" si="27"/>
        <v>0</v>
      </c>
      <c r="R82" s="359">
        <f t="shared" si="27"/>
        <v>0</v>
      </c>
      <c r="S82" s="359">
        <f t="shared" si="27"/>
        <v>0</v>
      </c>
      <c r="T82" s="359">
        <f t="shared" si="27"/>
        <v>0</v>
      </c>
      <c r="U82" s="359">
        <f t="shared" si="27"/>
        <v>0</v>
      </c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</row>
    <row r="83" spans="1:45" ht="12.75" customHeight="1" x14ac:dyDescent="0.25">
      <c r="A83" s="12" t="s">
        <v>217</v>
      </c>
      <c r="B83" s="359">
        <f t="shared" ref="B83:U83" si="28">SUM(B79:B82)</f>
        <v>0</v>
      </c>
      <c r="C83" s="359">
        <f t="shared" si="28"/>
        <v>0</v>
      </c>
      <c r="D83" s="359">
        <f t="shared" si="28"/>
        <v>0</v>
      </c>
      <c r="E83" s="359">
        <f t="shared" si="28"/>
        <v>0</v>
      </c>
      <c r="F83" s="359">
        <f t="shared" si="28"/>
        <v>0</v>
      </c>
      <c r="G83" s="359">
        <f t="shared" si="28"/>
        <v>0</v>
      </c>
      <c r="H83" s="359">
        <f t="shared" si="28"/>
        <v>0</v>
      </c>
      <c r="I83" s="359">
        <f t="shared" si="28"/>
        <v>0</v>
      </c>
      <c r="J83" s="359">
        <f t="shared" si="28"/>
        <v>0</v>
      </c>
      <c r="K83" s="359">
        <f t="shared" si="28"/>
        <v>0</v>
      </c>
      <c r="L83" s="359">
        <f t="shared" si="28"/>
        <v>0</v>
      </c>
      <c r="M83" s="359">
        <f t="shared" si="28"/>
        <v>0</v>
      </c>
      <c r="N83" s="359">
        <f t="shared" si="28"/>
        <v>0</v>
      </c>
      <c r="O83" s="359">
        <f t="shared" si="28"/>
        <v>0</v>
      </c>
      <c r="P83" s="359">
        <f t="shared" si="28"/>
        <v>0</v>
      </c>
      <c r="Q83" s="359">
        <f t="shared" si="28"/>
        <v>0</v>
      </c>
      <c r="R83" s="359">
        <f t="shared" si="28"/>
        <v>0</v>
      </c>
      <c r="S83" s="359">
        <f t="shared" si="28"/>
        <v>0</v>
      </c>
      <c r="T83" s="359">
        <f t="shared" si="28"/>
        <v>0</v>
      </c>
      <c r="U83" s="359">
        <f t="shared" si="28"/>
        <v>0</v>
      </c>
      <c r="V83" s="91"/>
      <c r="W83" s="91"/>
      <c r="X83" s="91"/>
      <c r="Y83" s="91"/>
      <c r="Z83" s="91"/>
      <c r="AA83" s="91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1"/>
      <c r="AN83" s="91"/>
      <c r="AO83" s="91"/>
      <c r="AP83" s="91"/>
      <c r="AQ83" s="91"/>
      <c r="AR83" s="91"/>
      <c r="AS83" s="91"/>
    </row>
    <row r="84" spans="1:45" ht="12.75" customHeight="1" x14ac:dyDescent="0.25">
      <c r="A84" s="12"/>
      <c r="B84" s="252"/>
      <c r="C84" s="252"/>
      <c r="D84" s="252"/>
      <c r="E84" s="252"/>
      <c r="F84" s="252"/>
      <c r="G84" s="252"/>
      <c r="H84" s="252"/>
      <c r="I84" s="252"/>
      <c r="J84" s="252"/>
      <c r="K84" s="252"/>
      <c r="L84" s="252"/>
      <c r="M84" s="252"/>
      <c r="N84" s="252"/>
      <c r="O84" s="252"/>
      <c r="P84" s="252"/>
      <c r="Q84" s="252"/>
      <c r="R84" s="252"/>
      <c r="S84" s="252"/>
      <c r="T84" s="252"/>
      <c r="U84" s="252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1"/>
      <c r="AN84" s="91"/>
      <c r="AO84" s="91"/>
      <c r="AP84" s="91"/>
      <c r="AQ84" s="91"/>
      <c r="AR84" s="91"/>
      <c r="AS84" s="91"/>
    </row>
    <row r="85" spans="1:45" ht="13.5" customHeight="1" thickBot="1" x14ac:dyDescent="0.3">
      <c r="A85" s="40" t="s">
        <v>177</v>
      </c>
      <c r="B85" s="302">
        <f t="shared" ref="B85:U85" si="29">IF(B77&lt;0,0,B77+B82)</f>
        <v>538.13444520576411</v>
      </c>
      <c r="C85" s="302">
        <f t="shared" si="29"/>
        <v>3.344704759671731</v>
      </c>
      <c r="D85" s="302">
        <f t="shared" si="29"/>
        <v>258.9150346722746</v>
      </c>
      <c r="E85" s="302">
        <f t="shared" si="29"/>
        <v>511.5348909815857</v>
      </c>
      <c r="F85" s="302">
        <f t="shared" si="29"/>
        <v>765.18202451421189</v>
      </c>
      <c r="G85" s="302">
        <f t="shared" si="29"/>
        <v>914.61503504979567</v>
      </c>
      <c r="H85" s="302">
        <f t="shared" si="29"/>
        <v>1017.5942674211999</v>
      </c>
      <c r="I85" s="302">
        <f t="shared" si="29"/>
        <v>1071.8017369948295</v>
      </c>
      <c r="J85" s="302">
        <f t="shared" si="29"/>
        <v>1133.576028434946</v>
      </c>
      <c r="K85" s="302">
        <f t="shared" si="29"/>
        <v>1192.8193542088047</v>
      </c>
      <c r="L85" s="302">
        <f t="shared" si="29"/>
        <v>1274.155353083326</v>
      </c>
      <c r="M85" s="302">
        <f t="shared" si="29"/>
        <v>1354.797503022769</v>
      </c>
      <c r="N85" s="302">
        <f t="shared" si="29"/>
        <v>1423.0388828961372</v>
      </c>
      <c r="O85" s="302">
        <f t="shared" si="29"/>
        <v>1512.1370329589606</v>
      </c>
      <c r="P85" s="302">
        <f t="shared" si="29"/>
        <v>1581.8233973303225</v>
      </c>
      <c r="Q85" s="302">
        <f t="shared" si="29"/>
        <v>1700.539788738897</v>
      </c>
      <c r="R85" s="302">
        <f t="shared" si="29"/>
        <v>2630.860215066446</v>
      </c>
      <c r="S85" s="302">
        <f t="shared" si="29"/>
        <v>2725.3339502585432</v>
      </c>
      <c r="T85" s="302">
        <f t="shared" si="29"/>
        <v>2825.6750094190625</v>
      </c>
      <c r="U85" s="302">
        <f t="shared" si="29"/>
        <v>2932.382942489186</v>
      </c>
      <c r="V85" s="91"/>
      <c r="W85" s="348">
        <f>SUM(B85:U85)</f>
        <v>27368.261597506731</v>
      </c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</row>
  </sheetData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Summary Output</vt:lpstr>
      <vt:lpstr>Assumptions</vt:lpstr>
      <vt:lpstr>Power Curves</vt:lpstr>
      <vt:lpstr>IS</vt:lpstr>
      <vt:lpstr>Debt</vt:lpstr>
      <vt:lpstr>CF</vt:lpstr>
      <vt:lpstr>Depreciation</vt:lpstr>
      <vt:lpstr>Tax</vt:lpstr>
      <vt:lpstr>Gleason</vt:lpstr>
      <vt:lpstr>Wheatland</vt:lpstr>
      <vt:lpstr>Wilton</vt:lpstr>
      <vt:lpstr>Allocation</vt:lpstr>
      <vt:lpstr>Allocation!Print_Area</vt:lpstr>
      <vt:lpstr>Assumptions!Print_Area</vt:lpstr>
      <vt:lpstr>CF!Print_Area</vt:lpstr>
      <vt:lpstr>Debt!Print_Area</vt:lpstr>
      <vt:lpstr>Depreciation!Print_Area</vt:lpstr>
      <vt:lpstr>Gleason!Print_Area</vt:lpstr>
      <vt:lpstr>IS!Print_Area</vt:lpstr>
      <vt:lpstr>Tax!Print_Area</vt:lpstr>
      <vt:lpstr>Wheatland!Print_Area</vt:lpstr>
      <vt:lpstr>Wilton!Print_Area</vt:lpstr>
    </vt:vector>
  </TitlesOfParts>
  <Company>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Havlíček Jan</cp:lastModifiedBy>
  <dcterms:created xsi:type="dcterms:W3CDTF">2000-08-15T16:30:14Z</dcterms:created>
  <dcterms:modified xsi:type="dcterms:W3CDTF">2023-09-10T11:55:00Z</dcterms:modified>
</cp:coreProperties>
</file>