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80" windowHeight="8076"/>
  </bookViews>
  <sheets>
    <sheet name="Summary" sheetId="4" r:id="rId1"/>
    <sheet name="New Unit Financial Profile" sheetId="6" r:id="rId2"/>
    <sheet name="Assumptions" sheetId="1" r:id="rId3"/>
  </sheets>
  <definedNames>
    <definedName name="_xlnm.Print_Area" localSheetId="1">'New Unit Financial Profile'!$B$1:$V$49</definedName>
    <definedName name="_xlnm.Print_Area" localSheetId="0">Summary!$B$1:$W$42</definedName>
  </definedNames>
  <calcPr calcId="0"/>
</workbook>
</file>

<file path=xl/calcChain.xml><?xml version="1.0" encoding="utf-8"?>
<calcChain xmlns="http://schemas.openxmlformats.org/spreadsheetml/2006/main">
  <c r="D7" i="1" l="1"/>
  <c r="D10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C30" i="6"/>
  <c r="C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C36" i="6"/>
  <c r="D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C11" i="4"/>
  <c r="C12" i="4"/>
  <c r="D12" i="4"/>
  <c r="E12" i="4"/>
  <c r="F12" i="4"/>
  <c r="G12" i="4"/>
  <c r="H12" i="4"/>
  <c r="C15" i="4"/>
  <c r="D15" i="4"/>
  <c r="E15" i="4"/>
  <c r="F15" i="4"/>
  <c r="G15" i="4"/>
  <c r="H15" i="4"/>
  <c r="D16" i="4"/>
  <c r="E16" i="4"/>
  <c r="F16" i="4"/>
  <c r="G16" i="4"/>
  <c r="H16" i="4"/>
  <c r="D17" i="4"/>
  <c r="E17" i="4"/>
  <c r="F17" i="4"/>
  <c r="G17" i="4"/>
  <c r="H17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</calcChain>
</file>

<file path=xl/sharedStrings.xml><?xml version="1.0" encoding="utf-8"?>
<sst xmlns="http://schemas.openxmlformats.org/spreadsheetml/2006/main" count="81" uniqueCount="69">
  <si>
    <t>Capital Cost</t>
  </si>
  <si>
    <t>$/kW</t>
  </si>
  <si>
    <t>COD</t>
  </si>
  <si>
    <t>CT del</t>
  </si>
  <si>
    <t>Break Grd</t>
  </si>
  <si>
    <t>Project Timeline</t>
  </si>
  <si>
    <t>CT Timeline</t>
  </si>
  <si>
    <t>Default Plant Plant</t>
  </si>
  <si>
    <t>MW</t>
  </si>
  <si>
    <t>Total Capital Cost</t>
  </si>
  <si>
    <t>Project Milestones</t>
  </si>
  <si>
    <t>Assumes no escalation on capital cost</t>
  </si>
  <si>
    <t>Assumes IDC is included in the capital cost.</t>
  </si>
  <si>
    <t>Equity</t>
  </si>
  <si>
    <t>Debt</t>
  </si>
  <si>
    <t>EPC Payment %</t>
  </si>
  <si>
    <t>EPC Cash Flow</t>
  </si>
  <si>
    <t>Two month lag; delivery v. ship date</t>
  </si>
  <si>
    <t>Net Income</t>
  </si>
  <si>
    <t>Cash Flow %</t>
  </si>
  <si>
    <t>Assume Year 1 is half-year</t>
  </si>
  <si>
    <t>Add: Net Income</t>
  </si>
  <si>
    <t>Ending Balance</t>
  </si>
  <si>
    <t>Beginning Balance</t>
  </si>
  <si>
    <t>Less:  AT Cash Flow</t>
  </si>
  <si>
    <t>Aftertax Cash Flow</t>
  </si>
  <si>
    <t>Debt Amort %</t>
  </si>
  <si>
    <t>Less:  Principal</t>
  </si>
  <si>
    <t>IRR</t>
  </si>
  <si>
    <t>NPV @ 14%</t>
  </si>
  <si>
    <t>Year</t>
  </si>
  <si>
    <t>Return Summary</t>
  </si>
  <si>
    <t>Financial Profile</t>
  </si>
  <si>
    <t>500 MW Combined Cycle Facility - Generic</t>
  </si>
  <si>
    <t>Implied Financials</t>
  </si>
  <si>
    <t>Implied EBITDA</t>
  </si>
  <si>
    <t>Equity Percentage</t>
  </si>
  <si>
    <t>Interest Rate</t>
  </si>
  <si>
    <t>Aftertax Interest Rate</t>
  </si>
  <si>
    <t>Net Income per MW</t>
  </si>
  <si>
    <t>EBITDA per MW</t>
  </si>
  <si>
    <t>ABN-AMRO</t>
  </si>
  <si>
    <t>DLJ</t>
  </si>
  <si>
    <t>Aftertax Cash</t>
  </si>
  <si>
    <t>2001 Projects</t>
  </si>
  <si>
    <t>2002 Projects</t>
  </si>
  <si>
    <t>2003 Projects</t>
  </si>
  <si>
    <t>2004 Projects</t>
  </si>
  <si>
    <t>2005 Projects</t>
  </si>
  <si>
    <t xml:space="preserve">   Total</t>
  </si>
  <si>
    <t>PP&amp;E</t>
  </si>
  <si>
    <t xml:space="preserve">  Cumulative MW</t>
  </si>
  <si>
    <t>Existing - Newco</t>
  </si>
  <si>
    <t>New Capacity - FPLE</t>
  </si>
  <si>
    <t>New Capacity - Enron</t>
  </si>
  <si>
    <t>Newco</t>
  </si>
  <si>
    <t>Development - Financial Summary</t>
  </si>
  <si>
    <t>(All values in 000s)</t>
  </si>
  <si>
    <t>First year is half year.</t>
  </si>
  <si>
    <t>Construction loan is done off-balance sheet; convert to term at COD.</t>
  </si>
  <si>
    <t>Add:  Taxes</t>
  </si>
  <si>
    <t>MSDW</t>
  </si>
  <si>
    <t>Net Income per MW Metrics</t>
  </si>
  <si>
    <t>Add:  Bk Depreciation</t>
  </si>
  <si>
    <t>Add: Interest Expense</t>
  </si>
  <si>
    <t>Includes Rhode Island Project (2002 in-service); utilizes Reliant's CTs</t>
  </si>
  <si>
    <t>Includes all advanced stage development projects except wind.</t>
  </si>
  <si>
    <t>Utilizes generic combined cycle financial information - 2 x 1 configuration (500 MW), $550/kW capital cost, 20 yr 14% aftertax equity return, 60/40 debt to equity capital structure.</t>
  </si>
  <si>
    <t>Net Income - ROE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</si>
</sst>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%"/>
    <numFmt numFmtId="165" formatCode="_(* #,##0.0_);_(* \(#,##0.0\);_(* &quot;-&quot;??_);_(@_)"/>
    <numFmt numFmtId="166" formatCode="_(* #,##0_);_(* \(#,##0\);_(* &quot;-&quot;??_);_(@_)"/>
    <numFmt numFmtId="170" formatCode="_(* #,##0.0000_);_(* \(#,##0.0000\);_(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sz val="10"/>
      <color indexed="4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quotePrefix="1"/>
    <xf numFmtId="9" fontId="0" fillId="0" borderId="0" xfId="2" applyFont="1"/>
    <xf numFmtId="0" fontId="2" fillId="0" borderId="0" xfId="0" applyFont="1"/>
    <xf numFmtId="164" fontId="0" fillId="0" borderId="0" xfId="2" applyNumberFormat="1" applyFont="1"/>
    <xf numFmtId="166" fontId="0" fillId="0" borderId="0" xfId="1" applyNumberFormat="1" applyFont="1"/>
    <xf numFmtId="166" fontId="0" fillId="0" borderId="0" xfId="0" applyNumberFormat="1"/>
    <xf numFmtId="166" fontId="0" fillId="0" borderId="1" xfId="0" applyNumberFormat="1" applyBorder="1"/>
    <xf numFmtId="165" fontId="0" fillId="0" borderId="0" xfId="1" applyNumberFormat="1" applyFont="1"/>
    <xf numFmtId="166" fontId="4" fillId="0" borderId="0" xfId="1" applyNumberFormat="1" applyFont="1"/>
    <xf numFmtId="9" fontId="2" fillId="0" borderId="0" xfId="2" applyFont="1"/>
    <xf numFmtId="164" fontId="2" fillId="0" borderId="0" xfId="2" applyNumberFormat="1" applyFont="1"/>
    <xf numFmtId="166" fontId="0" fillId="0" borderId="0" xfId="1" applyNumberFormat="1" applyFont="1" applyAlignment="1">
      <alignment horizontal="left"/>
    </xf>
    <xf numFmtId="166" fontId="0" fillId="0" borderId="1" xfId="1" applyNumberFormat="1" applyFont="1" applyBorder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5" fillId="0" borderId="0" xfId="0" applyFont="1"/>
    <xf numFmtId="166" fontId="5" fillId="0" borderId="0" xfId="1" applyNumberFormat="1" applyFont="1"/>
    <xf numFmtId="166" fontId="3" fillId="0" borderId="0" xfId="1" applyNumberFormat="1" applyFont="1"/>
    <xf numFmtId="0" fontId="5" fillId="0" borderId="0" xfId="0" applyFont="1" applyAlignment="1">
      <alignment horizontal="center"/>
    </xf>
    <xf numFmtId="9" fontId="4" fillId="0" borderId="0" xfId="2" applyFont="1"/>
    <xf numFmtId="170" fontId="0" fillId="0" borderId="0" xfId="1" applyNumberFormat="1" applyFont="1" applyAlignment="1">
      <alignment horizontal="left"/>
    </xf>
    <xf numFmtId="166" fontId="6" fillId="0" borderId="0" xfId="1" applyNumberFormat="1" applyFont="1"/>
    <xf numFmtId="166" fontId="3" fillId="0" borderId="0" xfId="0" applyNumberFormat="1" applyFont="1"/>
    <xf numFmtId="166" fontId="2" fillId="0" borderId="0" xfId="1" applyNumberFormat="1" applyFont="1"/>
    <xf numFmtId="0" fontId="7" fillId="0" borderId="0" xfId="0" quotePrefix="1" applyFont="1"/>
    <xf numFmtId="166" fontId="8" fillId="0" borderId="0" xfId="0" applyNumberFormat="1" applyFont="1"/>
    <xf numFmtId="0" fontId="8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W41"/>
  <sheetViews>
    <sheetView tabSelected="1" workbookViewId="0">
      <selection activeCell="B11" sqref="B11"/>
    </sheetView>
  </sheetViews>
  <sheetFormatPr defaultRowHeight="13.2" x14ac:dyDescent="0.25"/>
  <cols>
    <col min="2" max="2" width="20.6640625" customWidth="1"/>
    <col min="3" max="23" width="10.6640625" customWidth="1"/>
  </cols>
  <sheetData>
    <row r="2" spans="2:23" x14ac:dyDescent="0.25">
      <c r="B2" s="16" t="s">
        <v>55</v>
      </c>
    </row>
    <row r="3" spans="2:23" x14ac:dyDescent="0.25">
      <c r="B3" s="16" t="s">
        <v>56</v>
      </c>
    </row>
    <row r="4" spans="2:23" x14ac:dyDescent="0.25">
      <c r="B4" s="26" t="s">
        <v>57</v>
      </c>
    </row>
    <row r="7" spans="2:23" s="20" customFormat="1" x14ac:dyDescent="0.25">
      <c r="C7" s="20">
        <v>2000</v>
      </c>
      <c r="D7" s="20">
        <f>+C7+1</f>
        <v>2001</v>
      </c>
      <c r="E7" s="20">
        <f>+D7+1</f>
        <v>2002</v>
      </c>
      <c r="F7" s="20">
        <f t="shared" ref="F7:W7" si="0">+E7+1</f>
        <v>2003</v>
      </c>
      <c r="G7" s="20">
        <f t="shared" si="0"/>
        <v>2004</v>
      </c>
      <c r="H7" s="20">
        <f t="shared" si="0"/>
        <v>2005</v>
      </c>
      <c r="I7" s="20">
        <f t="shared" si="0"/>
        <v>2006</v>
      </c>
      <c r="J7" s="20">
        <f t="shared" si="0"/>
        <v>2007</v>
      </c>
      <c r="K7" s="20">
        <f t="shared" si="0"/>
        <v>2008</v>
      </c>
      <c r="L7" s="20">
        <f t="shared" si="0"/>
        <v>2009</v>
      </c>
      <c r="M7" s="20">
        <f t="shared" si="0"/>
        <v>2010</v>
      </c>
      <c r="N7" s="20">
        <f t="shared" si="0"/>
        <v>2011</v>
      </c>
      <c r="O7" s="20">
        <f t="shared" si="0"/>
        <v>2012</v>
      </c>
      <c r="P7" s="20">
        <f t="shared" si="0"/>
        <v>2013</v>
      </c>
      <c r="Q7" s="20">
        <f t="shared" si="0"/>
        <v>2014</v>
      </c>
      <c r="R7" s="20">
        <f t="shared" si="0"/>
        <v>2015</v>
      </c>
      <c r="S7" s="20">
        <f t="shared" si="0"/>
        <v>2016</v>
      </c>
      <c r="T7" s="20">
        <f t="shared" si="0"/>
        <v>2017</v>
      </c>
      <c r="U7" s="20">
        <f t="shared" si="0"/>
        <v>2018</v>
      </c>
      <c r="V7" s="20">
        <f t="shared" si="0"/>
        <v>2019</v>
      </c>
      <c r="W7" s="20">
        <f t="shared" si="0"/>
        <v>2020</v>
      </c>
    </row>
    <row r="9" spans="2:23" x14ac:dyDescent="0.25">
      <c r="B9" t="s">
        <v>53</v>
      </c>
      <c r="D9" s="25">
        <v>170</v>
      </c>
      <c r="E9" s="25">
        <v>1500</v>
      </c>
      <c r="F9" s="25">
        <v>3000</v>
      </c>
      <c r="G9" s="25">
        <v>3000</v>
      </c>
      <c r="H9" s="25">
        <v>3000</v>
      </c>
    </row>
    <row r="10" spans="2:23" x14ac:dyDescent="0.25">
      <c r="B10" t="s">
        <v>54</v>
      </c>
      <c r="D10" s="25"/>
      <c r="E10" s="25"/>
      <c r="F10" s="25"/>
      <c r="G10" s="25"/>
      <c r="H10" s="25"/>
    </row>
    <row r="11" spans="2:23" x14ac:dyDescent="0.25">
      <c r="B11" t="s">
        <v>52</v>
      </c>
      <c r="C11" s="25">
        <f>3076+3771</f>
        <v>6847</v>
      </c>
      <c r="D11" s="5"/>
      <c r="E11" s="5"/>
      <c r="F11" s="5"/>
      <c r="G11" s="5"/>
      <c r="H11" s="5"/>
    </row>
    <row r="12" spans="2:23" x14ac:dyDescent="0.25">
      <c r="B12" t="s">
        <v>51</v>
      </c>
      <c r="C12" s="7">
        <f>SUM(C9:C11)</f>
        <v>6847</v>
      </c>
      <c r="D12" s="7">
        <f>+C12+SUM(D9:D11)</f>
        <v>7017</v>
      </c>
      <c r="E12" s="7">
        <f>+D12+SUM(E9:E11)</f>
        <v>8517</v>
      </c>
      <c r="F12" s="7">
        <f>+E12+SUM(F9:F11)</f>
        <v>11517</v>
      </c>
      <c r="G12" s="7">
        <f>+F12+SUM(G9:G11)</f>
        <v>14517</v>
      </c>
      <c r="H12" s="7">
        <f>+G12+SUM(H9:H11)</f>
        <v>17517</v>
      </c>
    </row>
    <row r="13" spans="2:23" ht="12" customHeight="1" x14ac:dyDescent="0.25"/>
    <row r="14" spans="2:23" ht="12" customHeight="1" x14ac:dyDescent="0.25"/>
    <row r="15" spans="2:23" x14ac:dyDescent="0.25">
      <c r="B15" s="17" t="s">
        <v>50</v>
      </c>
      <c r="C15" s="6">
        <f>SUM(D15:H15)</f>
        <v>5826000</v>
      </c>
      <c r="D15" s="9">
        <f>D9*300</f>
        <v>51000</v>
      </c>
      <c r="E15" s="23">
        <f>+E9*Assumptions!$D$6</f>
        <v>825000</v>
      </c>
      <c r="F15" s="23">
        <f>+F9*Assumptions!$D$6</f>
        <v>1650000</v>
      </c>
      <c r="G15" s="23">
        <f>+G9*Assumptions!$D$6</f>
        <v>1650000</v>
      </c>
      <c r="H15" s="23">
        <f>+H9*Assumptions!$D$6</f>
        <v>1650000</v>
      </c>
    </row>
    <row r="16" spans="2:23" x14ac:dyDescent="0.25">
      <c r="B16" t="s">
        <v>13</v>
      </c>
      <c r="D16" s="5">
        <f>+D15*Assumptions!$D$8</f>
        <v>20400</v>
      </c>
      <c r="E16" s="5">
        <f>+E15*Assumptions!$D$8</f>
        <v>330000</v>
      </c>
      <c r="F16" s="5">
        <f>+F15*Assumptions!$D$8</f>
        <v>660000</v>
      </c>
      <c r="G16" s="5">
        <f>+G15*Assumptions!$D$8</f>
        <v>660000</v>
      </c>
      <c r="H16" s="5">
        <f>+H15*Assumptions!$D$8</f>
        <v>660000</v>
      </c>
    </row>
    <row r="17" spans="2:23" x14ac:dyDescent="0.25">
      <c r="B17" t="s">
        <v>14</v>
      </c>
      <c r="D17" s="6">
        <f>+D15-D16</f>
        <v>30600</v>
      </c>
      <c r="E17" s="6">
        <f>+E15-E16</f>
        <v>495000</v>
      </c>
      <c r="F17" s="6">
        <f>+F15-F16</f>
        <v>990000</v>
      </c>
      <c r="G17" s="6">
        <f>+G15-G16</f>
        <v>990000</v>
      </c>
      <c r="H17" s="6">
        <f>+H15-H16</f>
        <v>990000</v>
      </c>
    </row>
    <row r="20" spans="2:23" x14ac:dyDescent="0.25">
      <c r="B20" s="17" t="s">
        <v>18</v>
      </c>
      <c r="F20" s="5"/>
      <c r="G20" s="5"/>
      <c r="H20" s="5"/>
    </row>
    <row r="21" spans="2:23" s="6" customFormat="1" x14ac:dyDescent="0.25">
      <c r="B21" s="6" t="s">
        <v>44</v>
      </c>
      <c r="D21" s="5">
        <f>+'New Unit Financial Profile'!C9+$D$9/500</f>
        <v>6600.34</v>
      </c>
      <c r="E21" s="5">
        <f>+'New Unit Financial Profile'!D9+$D$9/500</f>
        <v>12342.34</v>
      </c>
      <c r="F21" s="5">
        <f>+'New Unit Financial Profile'!E9+$D$9/500</f>
        <v>14148.76</v>
      </c>
      <c r="G21" s="5">
        <f>+'New Unit Financial Profile'!F9+$D$9/500</f>
        <v>15084.732400000003</v>
      </c>
      <c r="H21" s="5">
        <f>+'New Unit Financial Profile'!G9+$D$9/500</f>
        <v>16162.189</v>
      </c>
      <c r="I21" s="5">
        <f>+'New Unit Financial Profile'!H9+$D$9/500</f>
        <v>18500.269822000002</v>
      </c>
      <c r="J21" s="5">
        <f>+'New Unit Financial Profile'!I9+$D$9/500</f>
        <v>21090.259997080004</v>
      </c>
      <c r="K21" s="5">
        <f>+'New Unit Financial Profile'!J9+$D$9/500</f>
        <v>21933.856796963206</v>
      </c>
      <c r="L21" s="5">
        <f>+'New Unit Financial Profile'!K9+$D$9/500</f>
        <v>22811.197468841732</v>
      </c>
      <c r="M21" s="5">
        <f>+'New Unit Financial Profile'!L9+$D$9/500</f>
        <v>23723.631767595401</v>
      </c>
      <c r="N21" s="5">
        <f>+'New Unit Financial Profile'!M9+$D$9/500</f>
        <v>24672.563438299218</v>
      </c>
      <c r="O21" s="5">
        <f>+'New Unit Financial Profile'!N9+$D$9/500</f>
        <v>26893.06354774614</v>
      </c>
      <c r="P21" s="5">
        <f>+'New Unit Financial Profile'!O9+$D$9/500</f>
        <v>29313.408667043292</v>
      </c>
      <c r="Q21" s="5">
        <f>+'New Unit Financial Profile'!P9+$D$9/500</f>
        <v>31951.584847077185</v>
      </c>
      <c r="R21" s="5">
        <f>+'New Unit Financial Profile'!Q9+$D$9/500</f>
        <v>34827.196883314129</v>
      </c>
      <c r="S21" s="5">
        <f>+'New Unit Financial Profile'!R9+$D$9/500</f>
        <v>49949.384740542635</v>
      </c>
      <c r="T21" s="5">
        <f>+'New Unit Financial Profile'!S9+$D$9/500</f>
        <v>47451.932503515505</v>
      </c>
      <c r="U21" s="5">
        <f>+'New Unit Financial Profile'!T9+$D$9/500</f>
        <v>45079.352878339734</v>
      </c>
      <c r="V21" s="5">
        <f>+'New Unit Financial Profile'!U9+$D$9/500</f>
        <v>42825.402234422749</v>
      </c>
      <c r="W21" s="5">
        <f>+'New Unit Financial Profile'!V9+$D$9/500</f>
        <v>40684.149122701609</v>
      </c>
    </row>
    <row r="22" spans="2:23" s="6" customFormat="1" x14ac:dyDescent="0.25">
      <c r="B22" s="6" t="s">
        <v>45</v>
      </c>
      <c r="E22" s="5">
        <f>+'New Unit Financial Profile'!C9*$E$9/500</f>
        <v>19800</v>
      </c>
      <c r="F22" s="5">
        <f>+'New Unit Financial Profile'!D9*$E$9/500</f>
        <v>37026</v>
      </c>
      <c r="G22" s="5">
        <f>+'New Unit Financial Profile'!E9*$E$9/500</f>
        <v>42445.26</v>
      </c>
      <c r="H22" s="5">
        <f>+'New Unit Financial Profile'!F9*$E$9/500</f>
        <v>45253.177200000013</v>
      </c>
      <c r="I22" s="5">
        <f>+'New Unit Financial Profile'!G9*$E$9/500</f>
        <v>48485.546999999999</v>
      </c>
      <c r="J22" s="5">
        <f>+'New Unit Financial Profile'!H9*$E$9/500</f>
        <v>55499.789466000002</v>
      </c>
      <c r="K22" s="5">
        <f>+'New Unit Financial Profile'!I9*$E$9/500</f>
        <v>63269.759991240011</v>
      </c>
      <c r="L22" s="5">
        <f>+'New Unit Financial Profile'!J9*$E$9/500</f>
        <v>65800.550390889621</v>
      </c>
      <c r="M22" s="5">
        <f>+'New Unit Financial Profile'!K9*$E$9/500</f>
        <v>68432.5724065252</v>
      </c>
      <c r="N22" s="5">
        <f>+'New Unit Financial Profile'!L9*$E$9/500</f>
        <v>71169.875302786197</v>
      </c>
      <c r="O22" s="5">
        <f>+'New Unit Financial Profile'!M9*$E$9/500</f>
        <v>74016.670314897652</v>
      </c>
      <c r="P22" s="5">
        <f>+'New Unit Financial Profile'!N9*$E$9/500</f>
        <v>80678.170643238424</v>
      </c>
      <c r="Q22" s="5">
        <f>+'New Unit Financial Profile'!O9*$E$9/500</f>
        <v>87939.206001129874</v>
      </c>
      <c r="R22" s="5">
        <f>+'New Unit Financial Profile'!P9*$E$9/500</f>
        <v>95853.734541231563</v>
      </c>
      <c r="S22" s="5">
        <f>+'New Unit Financial Profile'!Q9*$E$9/500</f>
        <v>104480.5706499424</v>
      </c>
      <c r="T22" s="5">
        <f>+'New Unit Financial Profile'!R9*$E$9/500</f>
        <v>149847.13422162793</v>
      </c>
      <c r="U22" s="5">
        <f>+'New Unit Financial Profile'!S9*$E$9/500</f>
        <v>142354.77751054653</v>
      </c>
      <c r="V22" s="5">
        <f>+'New Unit Financial Profile'!T9*$E$9/500</f>
        <v>135237.03863501921</v>
      </c>
      <c r="W22" s="5">
        <f>+'New Unit Financial Profile'!U9*$E$9/500</f>
        <v>128475.18670326826</v>
      </c>
    </row>
    <row r="23" spans="2:23" s="6" customFormat="1" x14ac:dyDescent="0.25">
      <c r="B23" s="6" t="s">
        <v>46</v>
      </c>
      <c r="F23" s="5">
        <f>+'New Unit Financial Profile'!C9*6</f>
        <v>39600</v>
      </c>
      <c r="G23" s="5">
        <f>+'New Unit Financial Profile'!D9*6</f>
        <v>74052</v>
      </c>
      <c r="H23" s="5">
        <f>+'New Unit Financial Profile'!E9*6</f>
        <v>84890.52</v>
      </c>
      <c r="I23" s="5">
        <f>+'New Unit Financial Profile'!F9*6</f>
        <v>90506.354400000011</v>
      </c>
      <c r="J23" s="5">
        <f>+'New Unit Financial Profile'!G9*6</f>
        <v>96971.093999999997</v>
      </c>
      <c r="K23" s="5">
        <f>+'New Unit Financial Profile'!H9*6</f>
        <v>110999.578932</v>
      </c>
      <c r="L23" s="5">
        <f>+'New Unit Financial Profile'!I9*6</f>
        <v>126539.51998248002</v>
      </c>
      <c r="M23" s="5">
        <f>+'New Unit Financial Profile'!J9*6</f>
        <v>131601.10078177924</v>
      </c>
      <c r="N23" s="5">
        <f>+'New Unit Financial Profile'!K9*6</f>
        <v>136865.1448130504</v>
      </c>
      <c r="O23" s="5">
        <f>+'New Unit Financial Profile'!L9*6</f>
        <v>142339.75060557242</v>
      </c>
      <c r="P23" s="5">
        <f>+'New Unit Financial Profile'!M9*6</f>
        <v>148033.3406297953</v>
      </c>
      <c r="Q23" s="5">
        <f>+'New Unit Financial Profile'!N9*6</f>
        <v>161356.34128647685</v>
      </c>
      <c r="R23" s="5">
        <f>+'New Unit Financial Profile'!O9*6</f>
        <v>175878.41200225975</v>
      </c>
      <c r="S23" s="5">
        <f>+'New Unit Financial Profile'!P9*6</f>
        <v>191707.46908246313</v>
      </c>
      <c r="T23" s="5">
        <f>+'New Unit Financial Profile'!Q9*6</f>
        <v>208961.1412998848</v>
      </c>
      <c r="U23" s="5">
        <f>+'New Unit Financial Profile'!R9*6</f>
        <v>299694.2684432558</v>
      </c>
      <c r="V23" s="5">
        <f>+'New Unit Financial Profile'!S9*6</f>
        <v>284709.55502109305</v>
      </c>
      <c r="W23" s="5">
        <f>+'New Unit Financial Profile'!T9*6</f>
        <v>270474.07727003843</v>
      </c>
    </row>
    <row r="24" spans="2:23" s="6" customFormat="1" x14ac:dyDescent="0.25">
      <c r="B24" s="6" t="s">
        <v>47</v>
      </c>
      <c r="F24" s="5"/>
      <c r="G24" s="5">
        <f>+'New Unit Financial Profile'!C9*6</f>
        <v>39600</v>
      </c>
      <c r="H24" s="5">
        <f>+'New Unit Financial Profile'!D9*6</f>
        <v>74052</v>
      </c>
      <c r="I24" s="5">
        <f>+'New Unit Financial Profile'!E9*6</f>
        <v>84890.52</v>
      </c>
      <c r="J24" s="5">
        <f>+'New Unit Financial Profile'!F9*6</f>
        <v>90506.354400000011</v>
      </c>
      <c r="K24" s="5">
        <f>+'New Unit Financial Profile'!G9*6</f>
        <v>96971.093999999997</v>
      </c>
      <c r="L24" s="5">
        <f>+'New Unit Financial Profile'!H9*6</f>
        <v>110999.578932</v>
      </c>
      <c r="M24" s="5">
        <f>+'New Unit Financial Profile'!I9*6</f>
        <v>126539.51998248002</v>
      </c>
      <c r="N24" s="5">
        <f>+'New Unit Financial Profile'!J9*6</f>
        <v>131601.10078177924</v>
      </c>
      <c r="O24" s="5">
        <f>+'New Unit Financial Profile'!K9*6</f>
        <v>136865.1448130504</v>
      </c>
      <c r="P24" s="5">
        <f>+'New Unit Financial Profile'!L9*6</f>
        <v>142339.75060557242</v>
      </c>
      <c r="Q24" s="5">
        <f>+'New Unit Financial Profile'!M9*6</f>
        <v>148033.3406297953</v>
      </c>
      <c r="R24" s="5">
        <f>+'New Unit Financial Profile'!N9*6</f>
        <v>161356.34128647685</v>
      </c>
      <c r="S24" s="5">
        <f>+'New Unit Financial Profile'!O9*6</f>
        <v>175878.41200225975</v>
      </c>
      <c r="T24" s="5">
        <f>+'New Unit Financial Profile'!P9*6</f>
        <v>191707.46908246313</v>
      </c>
      <c r="U24" s="5">
        <f>+'New Unit Financial Profile'!Q9*6</f>
        <v>208961.1412998848</v>
      </c>
      <c r="V24" s="5">
        <f>+'New Unit Financial Profile'!R9*6</f>
        <v>299694.2684432558</v>
      </c>
      <c r="W24" s="5">
        <f>+'New Unit Financial Profile'!S9*6</f>
        <v>284709.55502109305</v>
      </c>
    </row>
    <row r="25" spans="2:23" s="6" customFormat="1" x14ac:dyDescent="0.25">
      <c r="B25" s="6" t="s">
        <v>48</v>
      </c>
      <c r="F25" s="5"/>
      <c r="G25" s="5"/>
      <c r="H25" s="5">
        <f>+'New Unit Financial Profile'!C9*6</f>
        <v>39600</v>
      </c>
      <c r="I25" s="5">
        <f>+'New Unit Financial Profile'!D9*6</f>
        <v>74052</v>
      </c>
      <c r="J25" s="5">
        <f>+'New Unit Financial Profile'!E9*6</f>
        <v>84890.52</v>
      </c>
      <c r="K25" s="5">
        <f>+'New Unit Financial Profile'!F9*6</f>
        <v>90506.354400000011</v>
      </c>
      <c r="L25" s="5">
        <f>+'New Unit Financial Profile'!G9*6</f>
        <v>96971.093999999997</v>
      </c>
      <c r="M25" s="5">
        <f>+'New Unit Financial Profile'!H9*6</f>
        <v>110999.578932</v>
      </c>
      <c r="N25" s="5">
        <f>+'New Unit Financial Profile'!I9*6</f>
        <v>126539.51998248002</v>
      </c>
      <c r="O25" s="5">
        <f>+'New Unit Financial Profile'!J9*6</f>
        <v>131601.10078177924</v>
      </c>
      <c r="P25" s="5">
        <f>+'New Unit Financial Profile'!K9*6</f>
        <v>136865.1448130504</v>
      </c>
      <c r="Q25" s="5">
        <f>+'New Unit Financial Profile'!L9*6</f>
        <v>142339.75060557242</v>
      </c>
      <c r="R25" s="5">
        <f>+'New Unit Financial Profile'!M9*6</f>
        <v>148033.3406297953</v>
      </c>
      <c r="S25" s="5">
        <f>+'New Unit Financial Profile'!N9*6</f>
        <v>161356.34128647685</v>
      </c>
      <c r="T25" s="5">
        <f>+'New Unit Financial Profile'!O9*6</f>
        <v>175878.41200225975</v>
      </c>
      <c r="U25" s="5">
        <f>+'New Unit Financial Profile'!P9*6</f>
        <v>191707.46908246313</v>
      </c>
      <c r="V25" s="5">
        <f>+'New Unit Financial Profile'!Q9*6</f>
        <v>208961.1412998848</v>
      </c>
      <c r="W25" s="5">
        <f>+'New Unit Financial Profile'!R9*6</f>
        <v>299694.2684432558</v>
      </c>
    </row>
    <row r="26" spans="2:23" s="6" customFormat="1" x14ac:dyDescent="0.25">
      <c r="B26" s="24" t="s">
        <v>49</v>
      </c>
      <c r="D26" s="7">
        <f>SUM(D21:D25)</f>
        <v>6600.34</v>
      </c>
      <c r="E26" s="7">
        <f t="shared" ref="E26:W26" si="1">SUM(E21:E25)</f>
        <v>32142.34</v>
      </c>
      <c r="F26" s="7">
        <f t="shared" si="1"/>
        <v>90774.760000000009</v>
      </c>
      <c r="G26" s="7">
        <f t="shared" si="1"/>
        <v>171181.99239999999</v>
      </c>
      <c r="H26" s="7">
        <f t="shared" si="1"/>
        <v>259957.88620000001</v>
      </c>
      <c r="I26" s="7">
        <f t="shared" si="1"/>
        <v>316434.69122199999</v>
      </c>
      <c r="J26" s="7">
        <f t="shared" si="1"/>
        <v>348958.01786308002</v>
      </c>
      <c r="K26" s="7">
        <f t="shared" si="1"/>
        <v>383680.64412020321</v>
      </c>
      <c r="L26" s="7">
        <f t="shared" si="1"/>
        <v>423121.94077421137</v>
      </c>
      <c r="M26" s="7">
        <f t="shared" si="1"/>
        <v>461296.4038703799</v>
      </c>
      <c r="N26" s="7">
        <f t="shared" si="1"/>
        <v>490848.20431839506</v>
      </c>
      <c r="O26" s="7">
        <f t="shared" si="1"/>
        <v>511715.73006304586</v>
      </c>
      <c r="P26" s="7">
        <f t="shared" si="1"/>
        <v>537229.81535869977</v>
      </c>
      <c r="Q26" s="7">
        <f t="shared" si="1"/>
        <v>571620.22337005171</v>
      </c>
      <c r="R26" s="7">
        <f t="shared" si="1"/>
        <v>615949.02534307761</v>
      </c>
      <c r="S26" s="7">
        <f t="shared" si="1"/>
        <v>683372.17776168475</v>
      </c>
      <c r="T26" s="7">
        <f t="shared" si="1"/>
        <v>773846.08910975105</v>
      </c>
      <c r="U26" s="7">
        <f t="shared" si="1"/>
        <v>887797.00921448995</v>
      </c>
      <c r="V26" s="7">
        <f t="shared" si="1"/>
        <v>971427.40563367563</v>
      </c>
      <c r="W26" s="7">
        <f t="shared" si="1"/>
        <v>1024037.2365603572</v>
      </c>
    </row>
    <row r="27" spans="2:23" x14ac:dyDescent="0.25">
      <c r="F27" s="5"/>
      <c r="G27" s="5"/>
      <c r="H27" s="5"/>
    </row>
    <row r="28" spans="2:23" x14ac:dyDescent="0.25">
      <c r="B28" s="17" t="s">
        <v>43</v>
      </c>
    </row>
    <row r="29" spans="2:23" s="5" customFormat="1" x14ac:dyDescent="0.25">
      <c r="B29" s="5" t="s">
        <v>44</v>
      </c>
      <c r="D29" s="5">
        <f>+'New Unit Financial Profile'!C10*170/500</f>
        <v>1496</v>
      </c>
      <c r="E29" s="5">
        <f>+'New Unit Financial Profile'!D10*170/500</f>
        <v>5340.7200000000012</v>
      </c>
      <c r="F29" s="5">
        <f>+'New Unit Financial Profile'!E10*170/500</f>
        <v>5180.4984000000004</v>
      </c>
      <c r="G29" s="5">
        <f>+'New Unit Financial Profile'!F10*170/500</f>
        <v>5128.693416000001</v>
      </c>
      <c r="H29" s="5">
        <f>+'New Unit Financial Profile'!G10*170/500</f>
        <v>5128.693416000001</v>
      </c>
      <c r="I29" s="5">
        <f>+'New Unit Financial Profile'!H10*170/500</f>
        <v>5549.9789466000002</v>
      </c>
      <c r="J29" s="5">
        <f>+'New Unit Financial Profile'!I10*170/500</f>
        <v>5660.9785255319994</v>
      </c>
      <c r="K29" s="5">
        <f>+'New Unit Financial Profile'!J10*170/500</f>
        <v>5887.4176665532805</v>
      </c>
      <c r="L29" s="5">
        <f>+'New Unit Financial Profile'!K10*170/500</f>
        <v>6122.9143732154125</v>
      </c>
      <c r="M29" s="5">
        <f>+'New Unit Financial Profile'!L10*170/500</f>
        <v>6367.8309481440292</v>
      </c>
      <c r="N29" s="5">
        <f>+'New Unit Financial Profile'!M10*170/500</f>
        <v>4415.0294573798601</v>
      </c>
      <c r="O29" s="5">
        <f>+'New Unit Financial Profile'!N10*170/500</f>
        <v>4812.3821085440459</v>
      </c>
      <c r="P29" s="5">
        <f>+'New Unit Financial Profile'!O10*170/500</f>
        <v>5245.4964983130094</v>
      </c>
      <c r="Q29" s="5">
        <f>+'New Unit Financial Profile'!P10*170/500</f>
        <v>5717.5911831611802</v>
      </c>
      <c r="R29" s="5">
        <f>+'New Unit Financial Profile'!Q10*170/500</f>
        <v>6232.1743896456865</v>
      </c>
      <c r="S29" s="5">
        <f>+'New Unit Financial Profile'!R10*170/500</f>
        <v>20379.210254141399</v>
      </c>
      <c r="T29" s="5">
        <f>+'New Unit Financial Profile'!S10*170/500</f>
        <v>19360.249741434327</v>
      </c>
      <c r="U29" s="5">
        <f>+'New Unit Financial Profile'!T10*170/500</f>
        <v>18392.237254362612</v>
      </c>
      <c r="V29" s="5">
        <f>+'New Unit Financial Profile'!U10*170/500</f>
        <v>17472.62539164448</v>
      </c>
      <c r="W29" s="5">
        <f>+'New Unit Financial Profile'!V10*170/500</f>
        <v>16598.994122062257</v>
      </c>
    </row>
    <row r="30" spans="2:23" s="5" customFormat="1" x14ac:dyDescent="0.25">
      <c r="B30" s="5" t="s">
        <v>45</v>
      </c>
      <c r="E30" s="5">
        <f>+'New Unit Financial Profile'!C10*$E$9/500</f>
        <v>13200</v>
      </c>
      <c r="F30" s="5">
        <f>+'New Unit Financial Profile'!D10*$E$9/500</f>
        <v>47124.000000000007</v>
      </c>
      <c r="G30" s="5">
        <f>+'New Unit Financial Profile'!E10*$E$9/500</f>
        <v>45710.280000000006</v>
      </c>
      <c r="H30" s="5">
        <f>+'New Unit Financial Profile'!F10*$E$9/500</f>
        <v>45253.177200000013</v>
      </c>
      <c r="I30" s="5">
        <f>+'New Unit Financial Profile'!G10*$E$9/500</f>
        <v>45253.177200000013</v>
      </c>
      <c r="J30" s="5">
        <f>+'New Unit Financial Profile'!H10*$E$9/500</f>
        <v>48970.402470000008</v>
      </c>
      <c r="K30" s="5">
        <f>+'New Unit Financial Profile'!I10*$E$9/500</f>
        <v>49949.810519400002</v>
      </c>
      <c r="L30" s="5">
        <f>+'New Unit Financial Profile'!J10*$E$9/500</f>
        <v>51947.802940176</v>
      </c>
      <c r="M30" s="5">
        <f>+'New Unit Financial Profile'!K10*$E$9/500</f>
        <v>54025.715057783054</v>
      </c>
      <c r="N30" s="5">
        <f>+'New Unit Financial Profile'!L10*$E$9/500</f>
        <v>56186.743660094377</v>
      </c>
      <c r="O30" s="5">
        <f>+'New Unit Financial Profile'!M10*$E$9/500</f>
        <v>38956.14227099876</v>
      </c>
      <c r="P30" s="5">
        <f>+'New Unit Financial Profile'!N10*$E$9/500</f>
        <v>42462.195075388649</v>
      </c>
      <c r="Q30" s="5">
        <f>+'New Unit Financial Profile'!O10*$E$9/500</f>
        <v>46283.792632173616</v>
      </c>
      <c r="R30" s="5">
        <f>+'New Unit Financial Profile'!P10*$E$9/500</f>
        <v>50449.333969069237</v>
      </c>
      <c r="S30" s="5">
        <f>+'New Unit Financial Profile'!Q10*$E$9/500</f>
        <v>54989.774026285471</v>
      </c>
      <c r="T30" s="5">
        <f>+'New Unit Financial Profile'!R10*$E$9/500</f>
        <v>179816.56106595349</v>
      </c>
      <c r="U30" s="5">
        <f>+'New Unit Financial Profile'!S10*$E$9/500</f>
        <v>170825.73301265584</v>
      </c>
      <c r="V30" s="5">
        <f>+'New Unit Financial Profile'!T10*$E$9/500</f>
        <v>162284.44636202307</v>
      </c>
      <c r="W30" s="5">
        <f>+'New Unit Financial Profile'!U10*$E$9/500</f>
        <v>154170.22404392189</v>
      </c>
    </row>
    <row r="31" spans="2:23" s="5" customFormat="1" x14ac:dyDescent="0.25">
      <c r="B31" s="5" t="s">
        <v>46</v>
      </c>
      <c r="F31" s="5">
        <f>+'New Unit Financial Profile'!C10*6</f>
        <v>26400</v>
      </c>
      <c r="G31" s="5">
        <f>+'New Unit Financial Profile'!D10*6</f>
        <v>94248.000000000015</v>
      </c>
      <c r="H31" s="5">
        <f>+'New Unit Financial Profile'!E10*6</f>
        <v>91420.560000000012</v>
      </c>
      <c r="I31" s="5">
        <f>+'New Unit Financial Profile'!F10*6</f>
        <v>90506.354400000011</v>
      </c>
      <c r="J31" s="5">
        <f>+'New Unit Financial Profile'!G10*6</f>
        <v>90506.354400000011</v>
      </c>
      <c r="K31" s="5">
        <f>+'New Unit Financial Profile'!H10*6</f>
        <v>97940.804940000002</v>
      </c>
      <c r="L31" s="5">
        <f>+'New Unit Financial Profile'!I10*6</f>
        <v>99899.621038800004</v>
      </c>
      <c r="M31" s="5">
        <f>+'New Unit Financial Profile'!J10*6</f>
        <v>103895.605880352</v>
      </c>
      <c r="N31" s="5">
        <f>+'New Unit Financial Profile'!K10*6</f>
        <v>108051.43011556609</v>
      </c>
      <c r="O31" s="5">
        <f>+'New Unit Financial Profile'!L10*6</f>
        <v>112373.48732018874</v>
      </c>
      <c r="P31" s="5">
        <f>+'New Unit Financial Profile'!M10*6</f>
        <v>77912.284541997535</v>
      </c>
      <c r="Q31" s="5">
        <f>+'New Unit Financial Profile'!N10*6</f>
        <v>84924.390150777297</v>
      </c>
      <c r="R31" s="5">
        <f>+'New Unit Financial Profile'!O10*6</f>
        <v>92567.585264347232</v>
      </c>
      <c r="S31" s="5">
        <f>+'New Unit Financial Profile'!P10*6</f>
        <v>100898.66793813847</v>
      </c>
      <c r="T31" s="5">
        <f>+'New Unit Financial Profile'!Q10*6</f>
        <v>109979.54805257094</v>
      </c>
      <c r="U31" s="5">
        <f>+'New Unit Financial Profile'!R10*6</f>
        <v>359633.12213190697</v>
      </c>
      <c r="V31" s="5">
        <f>+'New Unit Financial Profile'!S10*6</f>
        <v>341651.46602531162</v>
      </c>
      <c r="W31" s="5">
        <f>+'New Unit Financial Profile'!T10*6</f>
        <v>324568.89272404613</v>
      </c>
    </row>
    <row r="32" spans="2:23" s="5" customFormat="1" x14ac:dyDescent="0.25">
      <c r="B32" s="5" t="s">
        <v>47</v>
      </c>
      <c r="G32" s="5">
        <f>+'New Unit Financial Profile'!C10*6</f>
        <v>26400</v>
      </c>
      <c r="H32" s="5">
        <f>+'New Unit Financial Profile'!D10*6</f>
        <v>94248.000000000015</v>
      </c>
      <c r="I32" s="5">
        <f>+'New Unit Financial Profile'!E10*6</f>
        <v>91420.560000000012</v>
      </c>
      <c r="J32" s="5">
        <f>+'New Unit Financial Profile'!F10*6</f>
        <v>90506.354400000011</v>
      </c>
      <c r="K32" s="5">
        <f>+'New Unit Financial Profile'!G10*6</f>
        <v>90506.354400000011</v>
      </c>
      <c r="L32" s="5">
        <f>+'New Unit Financial Profile'!H10*6</f>
        <v>97940.804940000002</v>
      </c>
      <c r="M32" s="5">
        <f>+'New Unit Financial Profile'!I10*6</f>
        <v>99899.621038800004</v>
      </c>
      <c r="N32" s="5">
        <f>+'New Unit Financial Profile'!J10*6</f>
        <v>103895.605880352</v>
      </c>
      <c r="O32" s="5">
        <f>+'New Unit Financial Profile'!K10*6</f>
        <v>108051.43011556609</v>
      </c>
      <c r="P32" s="5">
        <f>+'New Unit Financial Profile'!L10*6</f>
        <v>112373.48732018874</v>
      </c>
      <c r="Q32" s="5">
        <f>+'New Unit Financial Profile'!M10*6</f>
        <v>77912.284541997535</v>
      </c>
      <c r="R32" s="5">
        <f>+'New Unit Financial Profile'!N10*6</f>
        <v>84924.390150777297</v>
      </c>
      <c r="S32" s="5">
        <f>+'New Unit Financial Profile'!O10*6</f>
        <v>92567.585264347232</v>
      </c>
      <c r="T32" s="5">
        <f>+'New Unit Financial Profile'!P10*6</f>
        <v>100898.66793813847</v>
      </c>
      <c r="U32" s="5">
        <f>+'New Unit Financial Profile'!Q10*6</f>
        <v>109979.54805257094</v>
      </c>
      <c r="V32" s="5">
        <f>+'New Unit Financial Profile'!R10*6</f>
        <v>359633.12213190697</v>
      </c>
      <c r="W32" s="5">
        <f>+'New Unit Financial Profile'!S10*6</f>
        <v>341651.46602531162</v>
      </c>
    </row>
    <row r="33" spans="2:23" s="5" customFormat="1" x14ac:dyDescent="0.25">
      <c r="B33" s="5" t="s">
        <v>48</v>
      </c>
      <c r="H33" s="5">
        <f>+'New Unit Financial Profile'!C10*6</f>
        <v>26400</v>
      </c>
      <c r="I33" s="5">
        <f>+'New Unit Financial Profile'!D10*6</f>
        <v>94248.000000000015</v>
      </c>
      <c r="J33" s="5">
        <f>+'New Unit Financial Profile'!E10*6</f>
        <v>91420.560000000012</v>
      </c>
      <c r="K33" s="5">
        <f>+'New Unit Financial Profile'!F10*6</f>
        <v>90506.354400000011</v>
      </c>
      <c r="L33" s="5">
        <f>+'New Unit Financial Profile'!G10*6</f>
        <v>90506.354400000011</v>
      </c>
      <c r="M33" s="5">
        <f>+'New Unit Financial Profile'!H10*6</f>
        <v>97940.804940000002</v>
      </c>
      <c r="N33" s="5">
        <f>+'New Unit Financial Profile'!I10*6</f>
        <v>99899.621038800004</v>
      </c>
      <c r="O33" s="5">
        <f>+'New Unit Financial Profile'!J10*6</f>
        <v>103895.605880352</v>
      </c>
      <c r="P33" s="5">
        <f>+'New Unit Financial Profile'!K10*6</f>
        <v>108051.43011556609</v>
      </c>
      <c r="Q33" s="5">
        <f>+'New Unit Financial Profile'!L10*6</f>
        <v>112373.48732018874</v>
      </c>
      <c r="R33" s="5">
        <f>+'New Unit Financial Profile'!M10*6</f>
        <v>77912.284541997535</v>
      </c>
      <c r="S33" s="5">
        <f>+'New Unit Financial Profile'!N10*6</f>
        <v>84924.390150777297</v>
      </c>
      <c r="T33" s="5">
        <f>+'New Unit Financial Profile'!O10*6</f>
        <v>92567.585264347232</v>
      </c>
      <c r="U33" s="5">
        <f>+'New Unit Financial Profile'!P10*6</f>
        <v>100898.66793813847</v>
      </c>
      <c r="V33" s="5">
        <f>+'New Unit Financial Profile'!Q10*6</f>
        <v>109979.54805257094</v>
      </c>
      <c r="W33" s="5">
        <f>+'New Unit Financial Profile'!R10*6</f>
        <v>359633.12213190697</v>
      </c>
    </row>
    <row r="34" spans="2:23" s="5" customFormat="1" x14ac:dyDescent="0.25">
      <c r="B34" s="19" t="s">
        <v>49</v>
      </c>
      <c r="D34" s="13">
        <f t="shared" ref="D34:W34" si="2">SUM(D29:D33)</f>
        <v>1496</v>
      </c>
      <c r="E34" s="13">
        <f t="shared" si="2"/>
        <v>18540.72</v>
      </c>
      <c r="F34" s="13">
        <f t="shared" si="2"/>
        <v>78704.498400000011</v>
      </c>
      <c r="G34" s="13">
        <f t="shared" si="2"/>
        <v>171486.97341600002</v>
      </c>
      <c r="H34" s="13">
        <f t="shared" si="2"/>
        <v>262450.43061600003</v>
      </c>
      <c r="I34" s="13">
        <f t="shared" si="2"/>
        <v>326978.07054660004</v>
      </c>
      <c r="J34" s="13">
        <f t="shared" si="2"/>
        <v>327064.64979553205</v>
      </c>
      <c r="K34" s="13">
        <f t="shared" si="2"/>
        <v>334790.74192595331</v>
      </c>
      <c r="L34" s="13">
        <f t="shared" si="2"/>
        <v>346417.49769219139</v>
      </c>
      <c r="M34" s="13">
        <f t="shared" si="2"/>
        <v>362129.5778650791</v>
      </c>
      <c r="N34" s="13">
        <f t="shared" si="2"/>
        <v>372448.43015219236</v>
      </c>
      <c r="O34" s="13">
        <f t="shared" si="2"/>
        <v>368089.04769564967</v>
      </c>
      <c r="P34" s="13">
        <f t="shared" si="2"/>
        <v>346044.89355145406</v>
      </c>
      <c r="Q34" s="13">
        <f t="shared" si="2"/>
        <v>327211.54582829837</v>
      </c>
      <c r="R34" s="13">
        <f t="shared" si="2"/>
        <v>312085.76831583702</v>
      </c>
      <c r="S34" s="13">
        <f t="shared" si="2"/>
        <v>353759.6276336899</v>
      </c>
      <c r="T34" s="13">
        <f t="shared" si="2"/>
        <v>502622.61206244444</v>
      </c>
      <c r="U34" s="13">
        <f t="shared" si="2"/>
        <v>759729.30838963483</v>
      </c>
      <c r="V34" s="13">
        <f t="shared" si="2"/>
        <v>991021.20796345698</v>
      </c>
      <c r="W34" s="13">
        <f t="shared" si="2"/>
        <v>1196622.6990472488</v>
      </c>
    </row>
    <row r="37" spans="2:23" x14ac:dyDescent="0.25">
      <c r="B37" t="s">
        <v>58</v>
      </c>
    </row>
    <row r="38" spans="2:23" x14ac:dyDescent="0.25">
      <c r="B38" t="s">
        <v>59</v>
      </c>
    </row>
    <row r="39" spans="2:23" x14ac:dyDescent="0.25">
      <c r="B39" t="s">
        <v>65</v>
      </c>
    </row>
    <row r="40" spans="2:23" x14ac:dyDescent="0.25">
      <c r="B40" t="s">
        <v>66</v>
      </c>
    </row>
    <row r="41" spans="2:23" x14ac:dyDescent="0.25">
      <c r="B41" t="s">
        <v>67</v>
      </c>
    </row>
  </sheetData>
  <pageMargins left="0.25" right="0.25" top="0.25" bottom="0.25" header="0.5" footer="0.5"/>
  <pageSetup scale="5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V52"/>
  <sheetViews>
    <sheetView workbookViewId="0">
      <selection activeCell="B1" sqref="B1"/>
    </sheetView>
  </sheetViews>
  <sheetFormatPr defaultRowHeight="13.2" x14ac:dyDescent="0.25"/>
  <cols>
    <col min="1" max="1" width="2.6640625" customWidth="1"/>
    <col min="2" max="2" width="20.6640625" customWidth="1"/>
    <col min="3" max="22" width="10.6640625" customWidth="1"/>
  </cols>
  <sheetData>
    <row r="3" spans="2:22" x14ac:dyDescent="0.25">
      <c r="B3" s="16" t="s">
        <v>32</v>
      </c>
    </row>
    <row r="4" spans="2:22" x14ac:dyDescent="0.25">
      <c r="B4" s="16" t="s">
        <v>33</v>
      </c>
    </row>
    <row r="5" spans="2:22" x14ac:dyDescent="0.25">
      <c r="B5" s="16"/>
    </row>
    <row r="7" spans="2:22" s="20" customFormat="1" x14ac:dyDescent="0.25">
      <c r="B7" s="20" t="s">
        <v>30</v>
      </c>
      <c r="C7" s="20">
        <v>1</v>
      </c>
      <c r="D7" s="20">
        <f>+C7+1</f>
        <v>2</v>
      </c>
      <c r="E7" s="20">
        <f t="shared" ref="E7:U7" si="0">+D7+1</f>
        <v>3</v>
      </c>
      <c r="F7" s="20">
        <f t="shared" si="0"/>
        <v>4</v>
      </c>
      <c r="G7" s="20">
        <f t="shared" si="0"/>
        <v>5</v>
      </c>
      <c r="H7" s="20">
        <f t="shared" si="0"/>
        <v>6</v>
      </c>
      <c r="I7" s="20">
        <f t="shared" si="0"/>
        <v>7</v>
      </c>
      <c r="J7" s="20">
        <f t="shared" si="0"/>
        <v>8</v>
      </c>
      <c r="K7" s="20">
        <f t="shared" si="0"/>
        <v>9</v>
      </c>
      <c r="L7" s="20">
        <f t="shared" si="0"/>
        <v>10</v>
      </c>
      <c r="M7" s="20">
        <f t="shared" si="0"/>
        <v>11</v>
      </c>
      <c r="N7" s="20">
        <f t="shared" si="0"/>
        <v>12</v>
      </c>
      <c r="O7" s="20">
        <f>+N7+1</f>
        <v>13</v>
      </c>
      <c r="P7" s="20">
        <f t="shared" si="0"/>
        <v>14</v>
      </c>
      <c r="Q7" s="20">
        <f t="shared" si="0"/>
        <v>15</v>
      </c>
      <c r="R7" s="20">
        <f t="shared" si="0"/>
        <v>16</v>
      </c>
      <c r="S7" s="20">
        <f t="shared" si="0"/>
        <v>17</v>
      </c>
      <c r="T7" s="20">
        <f t="shared" si="0"/>
        <v>18</v>
      </c>
      <c r="U7" s="20">
        <f t="shared" si="0"/>
        <v>19</v>
      </c>
      <c r="V7" s="20">
        <f>+U7+1</f>
        <v>20</v>
      </c>
    </row>
    <row r="8" spans="2:22" s="5" customFormat="1" x14ac:dyDescent="0.25"/>
    <row r="9" spans="2:22" s="5" customFormat="1" x14ac:dyDescent="0.25">
      <c r="B9" s="19" t="s">
        <v>18</v>
      </c>
      <c r="C9" s="5">
        <f>+C$13*C24</f>
        <v>6600</v>
      </c>
      <c r="D9" s="5">
        <f t="shared" ref="D9:V9" si="1">+D$13*D24</f>
        <v>12342</v>
      </c>
      <c r="E9" s="5">
        <f t="shared" si="1"/>
        <v>14148.42</v>
      </c>
      <c r="F9" s="5">
        <f t="shared" si="1"/>
        <v>15084.392400000002</v>
      </c>
      <c r="G9" s="5">
        <f t="shared" si="1"/>
        <v>16161.849</v>
      </c>
      <c r="H9" s="5">
        <f t="shared" si="1"/>
        <v>18499.929822000002</v>
      </c>
      <c r="I9" s="5">
        <f t="shared" si="1"/>
        <v>21089.919997080004</v>
      </c>
      <c r="J9" s="5">
        <f t="shared" si="1"/>
        <v>21933.516796963206</v>
      </c>
      <c r="K9" s="5">
        <f t="shared" si="1"/>
        <v>22810.857468841732</v>
      </c>
      <c r="L9" s="5">
        <f t="shared" si="1"/>
        <v>23723.291767595401</v>
      </c>
      <c r="M9" s="5">
        <f t="shared" si="1"/>
        <v>24672.223438299217</v>
      </c>
      <c r="N9" s="5">
        <f t="shared" si="1"/>
        <v>26892.72354774614</v>
      </c>
      <c r="O9" s="5">
        <f t="shared" si="1"/>
        <v>29313.068667043291</v>
      </c>
      <c r="P9" s="5">
        <f t="shared" si="1"/>
        <v>31951.244847077185</v>
      </c>
      <c r="Q9" s="5">
        <f t="shared" si="1"/>
        <v>34826.856883314133</v>
      </c>
      <c r="R9" s="5">
        <f t="shared" si="1"/>
        <v>49949.044740542638</v>
      </c>
      <c r="S9" s="5">
        <f t="shared" si="1"/>
        <v>47451.592503515509</v>
      </c>
      <c r="T9" s="5">
        <f t="shared" si="1"/>
        <v>45079.012878339738</v>
      </c>
      <c r="U9" s="5">
        <f t="shared" si="1"/>
        <v>42825.062234422752</v>
      </c>
      <c r="V9" s="5">
        <f t="shared" si="1"/>
        <v>40683.809122701612</v>
      </c>
    </row>
    <row r="10" spans="2:22" s="5" customFormat="1" x14ac:dyDescent="0.25">
      <c r="B10" s="19" t="s">
        <v>25</v>
      </c>
      <c r="C10" s="5">
        <f>+C$13*C25</f>
        <v>4400</v>
      </c>
      <c r="D10" s="5">
        <f t="shared" ref="D10:V10" si="2">+D$13*D25</f>
        <v>15708.000000000002</v>
      </c>
      <c r="E10" s="5">
        <f t="shared" si="2"/>
        <v>15236.760000000002</v>
      </c>
      <c r="F10" s="5">
        <f t="shared" si="2"/>
        <v>15084.392400000002</v>
      </c>
      <c r="G10" s="5">
        <f t="shared" si="2"/>
        <v>15084.392400000002</v>
      </c>
      <c r="H10" s="5">
        <f t="shared" si="2"/>
        <v>16323.467490000001</v>
      </c>
      <c r="I10" s="5">
        <f t="shared" si="2"/>
        <v>16649.936839800001</v>
      </c>
      <c r="J10" s="5">
        <f t="shared" si="2"/>
        <v>17315.934313392001</v>
      </c>
      <c r="K10" s="5">
        <f t="shared" si="2"/>
        <v>18008.571685927684</v>
      </c>
      <c r="L10" s="5">
        <f t="shared" si="2"/>
        <v>18728.91455336479</v>
      </c>
      <c r="M10" s="5">
        <f t="shared" si="2"/>
        <v>12985.380756999588</v>
      </c>
      <c r="N10" s="5">
        <f t="shared" si="2"/>
        <v>14154.065025129548</v>
      </c>
      <c r="O10" s="5">
        <f t="shared" si="2"/>
        <v>15427.930877391205</v>
      </c>
      <c r="P10" s="5">
        <f t="shared" si="2"/>
        <v>16816.444656356412</v>
      </c>
      <c r="Q10" s="5">
        <f t="shared" si="2"/>
        <v>18329.92467542849</v>
      </c>
      <c r="R10" s="5">
        <f t="shared" si="2"/>
        <v>59938.853688651165</v>
      </c>
      <c r="S10" s="5">
        <f t="shared" si="2"/>
        <v>56941.911004218608</v>
      </c>
      <c r="T10" s="5">
        <f t="shared" si="2"/>
        <v>54094.815454007687</v>
      </c>
      <c r="U10" s="5">
        <f t="shared" si="2"/>
        <v>51390.074681307298</v>
      </c>
      <c r="V10" s="5">
        <f t="shared" si="2"/>
        <v>48820.570947241933</v>
      </c>
    </row>
    <row r="11" spans="2:22" s="5" customFormat="1" x14ac:dyDescent="0.25"/>
    <row r="12" spans="2:22" s="5" customFormat="1" x14ac:dyDescent="0.25">
      <c r="B12" s="18" t="s">
        <v>13</v>
      </c>
    </row>
    <row r="13" spans="2:22" s="5" customFormat="1" x14ac:dyDescent="0.25">
      <c r="B13" s="5" t="s">
        <v>23</v>
      </c>
      <c r="C13" s="9">
        <f>+Assumptions!D7*Assumptions!D8</f>
        <v>110000</v>
      </c>
      <c r="D13" s="5">
        <f>+C16</f>
        <v>112200</v>
      </c>
      <c r="E13" s="5">
        <f t="shared" ref="E13:V13" si="3">+D16</f>
        <v>108834</v>
      </c>
      <c r="F13" s="5">
        <f t="shared" si="3"/>
        <v>107745.66</v>
      </c>
      <c r="G13" s="5">
        <f t="shared" si="3"/>
        <v>107745.66</v>
      </c>
      <c r="H13" s="5">
        <f t="shared" si="3"/>
        <v>108823.11660000001</v>
      </c>
      <c r="I13" s="5">
        <f t="shared" si="3"/>
        <v>110999.57893200002</v>
      </c>
      <c r="J13" s="5">
        <f t="shared" si="3"/>
        <v>115439.56208928002</v>
      </c>
      <c r="K13" s="5">
        <f t="shared" si="3"/>
        <v>120057.14457285122</v>
      </c>
      <c r="L13" s="5">
        <f t="shared" si="3"/>
        <v>124859.43035576527</v>
      </c>
      <c r="M13" s="5">
        <f t="shared" si="3"/>
        <v>129853.80756999587</v>
      </c>
      <c r="N13" s="5">
        <f t="shared" si="3"/>
        <v>141540.65025129548</v>
      </c>
      <c r="O13" s="5">
        <f t="shared" si="3"/>
        <v>154279.30877391205</v>
      </c>
      <c r="P13" s="5">
        <f t="shared" si="3"/>
        <v>168164.44656356412</v>
      </c>
      <c r="Q13" s="5">
        <f t="shared" si="3"/>
        <v>183299.24675428489</v>
      </c>
      <c r="R13" s="5">
        <f t="shared" si="3"/>
        <v>199796.17896217055</v>
      </c>
      <c r="S13" s="5">
        <f t="shared" si="3"/>
        <v>189806.37001406203</v>
      </c>
      <c r="T13" s="5">
        <f t="shared" si="3"/>
        <v>180316.05151335895</v>
      </c>
      <c r="U13" s="5">
        <f t="shared" si="3"/>
        <v>171300.24893769101</v>
      </c>
      <c r="V13" s="5">
        <f t="shared" si="3"/>
        <v>162735.23649080645</v>
      </c>
    </row>
    <row r="14" spans="2:22" s="5" customFormat="1" x14ac:dyDescent="0.25">
      <c r="B14" s="5" t="s">
        <v>21</v>
      </c>
      <c r="C14" s="5">
        <f>+C9</f>
        <v>6600</v>
      </c>
      <c r="D14" s="5">
        <f>+D9</f>
        <v>12342</v>
      </c>
      <c r="E14" s="5">
        <f t="shared" ref="E14:V14" si="4">+E9</f>
        <v>14148.42</v>
      </c>
      <c r="F14" s="5">
        <f t="shared" si="4"/>
        <v>15084.392400000002</v>
      </c>
      <c r="G14" s="5">
        <f t="shared" si="4"/>
        <v>16161.849</v>
      </c>
      <c r="H14" s="5">
        <f t="shared" si="4"/>
        <v>18499.929822000002</v>
      </c>
      <c r="I14" s="5">
        <f t="shared" si="4"/>
        <v>21089.919997080004</v>
      </c>
      <c r="J14" s="5">
        <f t="shared" si="4"/>
        <v>21933.516796963206</v>
      </c>
      <c r="K14" s="5">
        <f t="shared" si="4"/>
        <v>22810.857468841732</v>
      </c>
      <c r="L14" s="5">
        <f t="shared" si="4"/>
        <v>23723.291767595401</v>
      </c>
      <c r="M14" s="5">
        <f t="shared" si="4"/>
        <v>24672.223438299217</v>
      </c>
      <c r="N14" s="5">
        <f t="shared" si="4"/>
        <v>26892.72354774614</v>
      </c>
      <c r="O14" s="5">
        <f t="shared" si="4"/>
        <v>29313.068667043291</v>
      </c>
      <c r="P14" s="5">
        <f t="shared" si="4"/>
        <v>31951.244847077185</v>
      </c>
      <c r="Q14" s="5">
        <f t="shared" si="4"/>
        <v>34826.856883314133</v>
      </c>
      <c r="R14" s="5">
        <f t="shared" si="4"/>
        <v>49949.044740542638</v>
      </c>
      <c r="S14" s="5">
        <f t="shared" si="4"/>
        <v>47451.592503515509</v>
      </c>
      <c r="T14" s="5">
        <f t="shared" si="4"/>
        <v>45079.012878339738</v>
      </c>
      <c r="U14" s="5">
        <f t="shared" si="4"/>
        <v>42825.062234422752</v>
      </c>
      <c r="V14" s="5">
        <f t="shared" si="4"/>
        <v>40683.809122701612</v>
      </c>
    </row>
    <row r="15" spans="2:22" s="5" customFormat="1" x14ac:dyDescent="0.25">
      <c r="B15" s="5" t="s">
        <v>24</v>
      </c>
      <c r="C15" s="5">
        <f>-C10</f>
        <v>-4400</v>
      </c>
      <c r="D15" s="5">
        <f>-D10</f>
        <v>-15708.000000000002</v>
      </c>
      <c r="E15" s="5">
        <f t="shared" ref="E15:V15" si="5">-E10</f>
        <v>-15236.760000000002</v>
      </c>
      <c r="F15" s="5">
        <f t="shared" si="5"/>
        <v>-15084.392400000002</v>
      </c>
      <c r="G15" s="5">
        <f t="shared" si="5"/>
        <v>-15084.392400000002</v>
      </c>
      <c r="H15" s="5">
        <f t="shared" si="5"/>
        <v>-16323.467490000001</v>
      </c>
      <c r="I15" s="5">
        <f t="shared" si="5"/>
        <v>-16649.936839800001</v>
      </c>
      <c r="J15" s="5">
        <f t="shared" si="5"/>
        <v>-17315.934313392001</v>
      </c>
      <c r="K15" s="5">
        <f t="shared" si="5"/>
        <v>-18008.571685927684</v>
      </c>
      <c r="L15" s="5">
        <f t="shared" si="5"/>
        <v>-18728.91455336479</v>
      </c>
      <c r="M15" s="5">
        <f t="shared" si="5"/>
        <v>-12985.380756999588</v>
      </c>
      <c r="N15" s="5">
        <f t="shared" si="5"/>
        <v>-14154.065025129548</v>
      </c>
      <c r="O15" s="5">
        <f t="shared" si="5"/>
        <v>-15427.930877391205</v>
      </c>
      <c r="P15" s="5">
        <f t="shared" si="5"/>
        <v>-16816.444656356412</v>
      </c>
      <c r="Q15" s="5">
        <f t="shared" si="5"/>
        <v>-18329.92467542849</v>
      </c>
      <c r="R15" s="5">
        <f t="shared" si="5"/>
        <v>-59938.853688651165</v>
      </c>
      <c r="S15" s="5">
        <f t="shared" si="5"/>
        <v>-56941.911004218608</v>
      </c>
      <c r="T15" s="5">
        <f t="shared" si="5"/>
        <v>-54094.815454007687</v>
      </c>
      <c r="U15" s="5">
        <f t="shared" si="5"/>
        <v>-51390.074681307298</v>
      </c>
      <c r="V15" s="5">
        <f t="shared" si="5"/>
        <v>-48820.570947241933</v>
      </c>
    </row>
    <row r="16" spans="2:22" s="5" customFormat="1" x14ac:dyDescent="0.25">
      <c r="B16" s="5" t="s">
        <v>22</v>
      </c>
      <c r="C16" s="13">
        <f>SUM(C13:C15)</f>
        <v>112200</v>
      </c>
      <c r="D16" s="13">
        <f>SUM(D13:D15)</f>
        <v>108834</v>
      </c>
      <c r="E16" s="13">
        <f t="shared" ref="E16:V16" si="6">SUM(E13:E15)</f>
        <v>107745.66</v>
      </c>
      <c r="F16" s="13">
        <f t="shared" si="6"/>
        <v>107745.66</v>
      </c>
      <c r="G16" s="13">
        <f t="shared" si="6"/>
        <v>108823.11660000001</v>
      </c>
      <c r="H16" s="13">
        <f t="shared" si="6"/>
        <v>110999.57893200002</v>
      </c>
      <c r="I16" s="13">
        <f t="shared" si="6"/>
        <v>115439.56208928002</v>
      </c>
      <c r="J16" s="13">
        <f t="shared" si="6"/>
        <v>120057.14457285122</v>
      </c>
      <c r="K16" s="13">
        <f t="shared" si="6"/>
        <v>124859.43035576527</v>
      </c>
      <c r="L16" s="13">
        <f t="shared" si="6"/>
        <v>129853.80756999587</v>
      </c>
      <c r="M16" s="13">
        <f t="shared" si="6"/>
        <v>141540.65025129548</v>
      </c>
      <c r="N16" s="13">
        <f t="shared" si="6"/>
        <v>154279.30877391205</v>
      </c>
      <c r="O16" s="13">
        <f t="shared" si="6"/>
        <v>168164.44656356412</v>
      </c>
      <c r="P16" s="13">
        <f t="shared" si="6"/>
        <v>183299.24675428489</v>
      </c>
      <c r="Q16" s="13">
        <f t="shared" si="6"/>
        <v>199796.17896217055</v>
      </c>
      <c r="R16" s="13">
        <f t="shared" si="6"/>
        <v>189806.37001406203</v>
      </c>
      <c r="S16" s="13">
        <f t="shared" si="6"/>
        <v>180316.05151335895</v>
      </c>
      <c r="T16" s="13">
        <f t="shared" si="6"/>
        <v>171300.24893769101</v>
      </c>
      <c r="U16" s="13">
        <f t="shared" si="6"/>
        <v>162735.23649080645</v>
      </c>
      <c r="V16" s="13">
        <f t="shared" si="6"/>
        <v>154598.47466626612</v>
      </c>
    </row>
    <row r="17" spans="2:22" s="5" customFormat="1" x14ac:dyDescent="0.25"/>
    <row r="18" spans="2:22" s="5" customFormat="1" x14ac:dyDescent="0.25">
      <c r="B18" s="18" t="s">
        <v>14</v>
      </c>
    </row>
    <row r="19" spans="2:22" s="5" customFormat="1" x14ac:dyDescent="0.25">
      <c r="B19" s="5" t="s">
        <v>23</v>
      </c>
      <c r="C19" s="9">
        <f>+Assumptions!D7-'New Unit Financial Profile'!C13</f>
        <v>165000</v>
      </c>
      <c r="D19" s="5">
        <f>+C21</f>
        <v>161700</v>
      </c>
      <c r="E19" s="5">
        <f t="shared" ref="E19:V19" si="7">+D21</f>
        <v>151800</v>
      </c>
      <c r="F19" s="5">
        <f t="shared" si="7"/>
        <v>141900</v>
      </c>
      <c r="G19" s="5">
        <f t="shared" si="7"/>
        <v>132000</v>
      </c>
      <c r="H19" s="5">
        <f t="shared" si="7"/>
        <v>122100</v>
      </c>
      <c r="I19" s="5">
        <f t="shared" si="7"/>
        <v>110550</v>
      </c>
      <c r="J19" s="5">
        <f t="shared" si="7"/>
        <v>99000</v>
      </c>
      <c r="K19" s="5">
        <f t="shared" si="7"/>
        <v>87450</v>
      </c>
      <c r="L19" s="5">
        <f t="shared" si="7"/>
        <v>75900</v>
      </c>
      <c r="M19" s="5">
        <f t="shared" si="7"/>
        <v>64350</v>
      </c>
      <c r="N19" s="5">
        <f t="shared" si="7"/>
        <v>52800</v>
      </c>
      <c r="O19" s="5">
        <f t="shared" si="7"/>
        <v>39600</v>
      </c>
      <c r="P19" s="5">
        <f t="shared" si="7"/>
        <v>24750</v>
      </c>
      <c r="Q19" s="5">
        <f t="shared" si="7"/>
        <v>8250</v>
      </c>
      <c r="R19" s="5">
        <f t="shared" si="7"/>
        <v>0</v>
      </c>
      <c r="S19" s="5">
        <f t="shared" si="7"/>
        <v>0</v>
      </c>
      <c r="T19" s="5">
        <f t="shared" si="7"/>
        <v>0</v>
      </c>
      <c r="U19" s="5">
        <f t="shared" si="7"/>
        <v>0</v>
      </c>
      <c r="V19" s="5">
        <f t="shared" si="7"/>
        <v>0</v>
      </c>
    </row>
    <row r="20" spans="2:22" s="5" customFormat="1" x14ac:dyDescent="0.25">
      <c r="B20" s="5" t="s">
        <v>27</v>
      </c>
      <c r="C20" s="5">
        <f>-$C$19*C26</f>
        <v>-3300</v>
      </c>
      <c r="D20" s="5">
        <f>-$C$19*D26</f>
        <v>-9900</v>
      </c>
      <c r="E20" s="5">
        <f t="shared" ref="E20:V20" si="8">-$C$19*E26</f>
        <v>-9900</v>
      </c>
      <c r="F20" s="5">
        <f t="shared" si="8"/>
        <v>-9900</v>
      </c>
      <c r="G20" s="5">
        <f t="shared" si="8"/>
        <v>-9900</v>
      </c>
      <c r="H20" s="5">
        <f t="shared" si="8"/>
        <v>-11550.000000000002</v>
      </c>
      <c r="I20" s="5">
        <f t="shared" si="8"/>
        <v>-11550.000000000002</v>
      </c>
      <c r="J20" s="5">
        <f t="shared" si="8"/>
        <v>-11550.000000000002</v>
      </c>
      <c r="K20" s="5">
        <f t="shared" si="8"/>
        <v>-11550.000000000002</v>
      </c>
      <c r="L20" s="5">
        <f t="shared" si="8"/>
        <v>-11550.000000000002</v>
      </c>
      <c r="M20" s="5">
        <f t="shared" si="8"/>
        <v>-11550.000000000002</v>
      </c>
      <c r="N20" s="5">
        <f t="shared" si="8"/>
        <v>-13200</v>
      </c>
      <c r="O20" s="5">
        <f t="shared" si="8"/>
        <v>-14850</v>
      </c>
      <c r="P20" s="5">
        <f t="shared" si="8"/>
        <v>-16500</v>
      </c>
      <c r="Q20" s="5">
        <f t="shared" si="8"/>
        <v>-8250</v>
      </c>
      <c r="R20" s="5">
        <f t="shared" si="8"/>
        <v>0</v>
      </c>
      <c r="S20" s="5">
        <f t="shared" si="8"/>
        <v>0</v>
      </c>
      <c r="T20" s="5">
        <f t="shared" si="8"/>
        <v>0</v>
      </c>
      <c r="U20" s="5">
        <f t="shared" si="8"/>
        <v>0</v>
      </c>
      <c r="V20" s="5">
        <f t="shared" si="8"/>
        <v>0</v>
      </c>
    </row>
    <row r="21" spans="2:22" s="5" customFormat="1" x14ac:dyDescent="0.25">
      <c r="B21" s="5" t="s">
        <v>22</v>
      </c>
      <c r="C21" s="13">
        <f>SUM(C19:C20)</f>
        <v>161700</v>
      </c>
      <c r="D21" s="13">
        <f>SUM(D19:D20)</f>
        <v>151800</v>
      </c>
      <c r="E21" s="13">
        <f t="shared" ref="E21:V21" si="9">SUM(E19:E20)</f>
        <v>141900</v>
      </c>
      <c r="F21" s="13">
        <f t="shared" si="9"/>
        <v>132000</v>
      </c>
      <c r="G21" s="13">
        <f t="shared" si="9"/>
        <v>122100</v>
      </c>
      <c r="H21" s="13">
        <f t="shared" si="9"/>
        <v>110550</v>
      </c>
      <c r="I21" s="13">
        <f t="shared" si="9"/>
        <v>99000</v>
      </c>
      <c r="J21" s="13">
        <f t="shared" si="9"/>
        <v>87450</v>
      </c>
      <c r="K21" s="13">
        <f t="shared" si="9"/>
        <v>75900</v>
      </c>
      <c r="L21" s="13">
        <f t="shared" si="9"/>
        <v>64350</v>
      </c>
      <c r="M21" s="13">
        <f t="shared" si="9"/>
        <v>52800</v>
      </c>
      <c r="N21" s="13">
        <f t="shared" si="9"/>
        <v>39600</v>
      </c>
      <c r="O21" s="13">
        <f t="shared" si="9"/>
        <v>24750</v>
      </c>
      <c r="P21" s="13">
        <f t="shared" si="9"/>
        <v>8250</v>
      </c>
      <c r="Q21" s="13">
        <f t="shared" si="9"/>
        <v>0</v>
      </c>
      <c r="R21" s="13">
        <f t="shared" si="9"/>
        <v>0</v>
      </c>
      <c r="S21" s="13">
        <f t="shared" si="9"/>
        <v>0</v>
      </c>
      <c r="T21" s="13">
        <f t="shared" si="9"/>
        <v>0</v>
      </c>
      <c r="U21" s="13">
        <f t="shared" si="9"/>
        <v>0</v>
      </c>
      <c r="V21" s="13">
        <f t="shared" si="9"/>
        <v>0</v>
      </c>
    </row>
    <row r="22" spans="2:22" s="5" customFormat="1" x14ac:dyDescent="0.25"/>
    <row r="23" spans="2:22" s="5" customFormat="1" x14ac:dyDescent="0.2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2:22" s="2" customFormat="1" x14ac:dyDescent="0.25">
      <c r="B24" s="2" t="s">
        <v>68</v>
      </c>
      <c r="C24" s="10">
        <v>0.06</v>
      </c>
      <c r="D24" s="10">
        <v>0.11</v>
      </c>
      <c r="E24" s="10">
        <v>0.13</v>
      </c>
      <c r="F24" s="10">
        <v>0.14000000000000001</v>
      </c>
      <c r="G24" s="10">
        <v>0.15</v>
      </c>
      <c r="H24" s="10">
        <v>0.17</v>
      </c>
      <c r="I24" s="10">
        <v>0.19</v>
      </c>
      <c r="J24" s="10">
        <v>0.19</v>
      </c>
      <c r="K24" s="10">
        <v>0.19</v>
      </c>
      <c r="L24" s="10">
        <v>0.19</v>
      </c>
      <c r="M24" s="10">
        <v>0.19</v>
      </c>
      <c r="N24" s="10">
        <v>0.19</v>
      </c>
      <c r="O24" s="10">
        <v>0.19</v>
      </c>
      <c r="P24" s="10">
        <v>0.19</v>
      </c>
      <c r="Q24" s="10">
        <v>0.19</v>
      </c>
      <c r="R24" s="10">
        <v>0.25</v>
      </c>
      <c r="S24" s="10">
        <v>0.25</v>
      </c>
      <c r="T24" s="10">
        <v>0.25</v>
      </c>
      <c r="U24" s="10">
        <v>0.25</v>
      </c>
      <c r="V24" s="10">
        <v>0.25</v>
      </c>
    </row>
    <row r="25" spans="2:22" s="2" customFormat="1" x14ac:dyDescent="0.25">
      <c r="B25" s="2" t="s">
        <v>19</v>
      </c>
      <c r="C25" s="10">
        <v>0.04</v>
      </c>
      <c r="D25" s="10">
        <v>0.14000000000000001</v>
      </c>
      <c r="E25" s="10">
        <v>0.14000000000000001</v>
      </c>
      <c r="F25" s="10">
        <v>0.14000000000000001</v>
      </c>
      <c r="G25" s="10">
        <v>0.14000000000000001</v>
      </c>
      <c r="H25" s="10">
        <v>0.15</v>
      </c>
      <c r="I25" s="10">
        <v>0.15</v>
      </c>
      <c r="J25" s="10">
        <v>0.15</v>
      </c>
      <c r="K25" s="10">
        <v>0.15</v>
      </c>
      <c r="L25" s="10">
        <v>0.15</v>
      </c>
      <c r="M25" s="10">
        <v>0.1</v>
      </c>
      <c r="N25" s="10">
        <v>0.1</v>
      </c>
      <c r="O25" s="10">
        <v>0.1</v>
      </c>
      <c r="P25" s="10">
        <v>0.1</v>
      </c>
      <c r="Q25" s="10">
        <v>0.1</v>
      </c>
      <c r="R25" s="10">
        <v>0.3</v>
      </c>
      <c r="S25" s="10">
        <v>0.3</v>
      </c>
      <c r="T25" s="10">
        <v>0.3</v>
      </c>
      <c r="U25" s="10">
        <v>0.3</v>
      </c>
      <c r="V25" s="10">
        <v>0.3</v>
      </c>
    </row>
    <row r="26" spans="2:22" s="2" customFormat="1" x14ac:dyDescent="0.25">
      <c r="B26" s="2" t="s">
        <v>26</v>
      </c>
      <c r="C26" s="10">
        <v>0.02</v>
      </c>
      <c r="D26" s="10">
        <v>0.06</v>
      </c>
      <c r="E26" s="10">
        <v>0.06</v>
      </c>
      <c r="F26" s="10">
        <v>0.06</v>
      </c>
      <c r="G26" s="10">
        <v>0.06</v>
      </c>
      <c r="H26" s="10">
        <v>7.0000000000000007E-2</v>
      </c>
      <c r="I26" s="10">
        <v>7.0000000000000007E-2</v>
      </c>
      <c r="J26" s="10">
        <v>7.0000000000000007E-2</v>
      </c>
      <c r="K26" s="10">
        <v>7.0000000000000007E-2</v>
      </c>
      <c r="L26" s="10">
        <v>7.0000000000000007E-2</v>
      </c>
      <c r="M26" s="10">
        <v>7.0000000000000007E-2</v>
      </c>
      <c r="N26" s="10">
        <v>0.08</v>
      </c>
      <c r="O26" s="10">
        <v>0.09</v>
      </c>
      <c r="P26" s="10">
        <v>0.1</v>
      </c>
      <c r="Q26" s="10">
        <v>0.05</v>
      </c>
      <c r="R26" s="10"/>
      <c r="S26" s="10"/>
      <c r="T26" s="10"/>
      <c r="U26" s="10"/>
      <c r="V26" s="10"/>
    </row>
    <row r="27" spans="2:22" s="2" customFormat="1" x14ac:dyDescent="0.25"/>
    <row r="28" spans="2:22" s="5" customFormat="1" x14ac:dyDescent="0.25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2:22" x14ac:dyDescent="0.25">
      <c r="B29" s="17" t="s">
        <v>31</v>
      </c>
    </row>
    <row r="30" spans="2:22" s="12" customFormat="1" x14ac:dyDescent="0.25">
      <c r="B30" s="12" t="s">
        <v>29</v>
      </c>
      <c r="C30" s="12">
        <f>NPV(0.14,C10:V10)-C13</f>
        <v>4254.6912953032297</v>
      </c>
    </row>
    <row r="31" spans="2:22" s="14" customFormat="1" x14ac:dyDescent="0.25">
      <c r="B31" s="22" t="s">
        <v>28</v>
      </c>
      <c r="C31" s="15">
        <f>IRR(B32:V32,0.1)</f>
        <v>0.14488740067412184</v>
      </c>
    </row>
    <row r="32" spans="2:22" s="28" customFormat="1" x14ac:dyDescent="0.25">
      <c r="B32" s="27">
        <f>-C13</f>
        <v>-110000</v>
      </c>
      <c r="C32" s="27">
        <f>+C10</f>
        <v>4400</v>
      </c>
      <c r="D32" s="27">
        <f t="shared" ref="D32:V32" si="10">+D10</f>
        <v>15708.000000000002</v>
      </c>
      <c r="E32" s="27">
        <f t="shared" si="10"/>
        <v>15236.760000000002</v>
      </c>
      <c r="F32" s="27">
        <f t="shared" si="10"/>
        <v>15084.392400000002</v>
      </c>
      <c r="G32" s="27">
        <f t="shared" si="10"/>
        <v>15084.392400000002</v>
      </c>
      <c r="H32" s="27">
        <f t="shared" si="10"/>
        <v>16323.467490000001</v>
      </c>
      <c r="I32" s="27">
        <f t="shared" si="10"/>
        <v>16649.936839800001</v>
      </c>
      <c r="J32" s="27">
        <f t="shared" si="10"/>
        <v>17315.934313392001</v>
      </c>
      <c r="K32" s="27">
        <f t="shared" si="10"/>
        <v>18008.571685927684</v>
      </c>
      <c r="L32" s="27">
        <f t="shared" si="10"/>
        <v>18728.91455336479</v>
      </c>
      <c r="M32" s="27">
        <f t="shared" si="10"/>
        <v>12985.380756999588</v>
      </c>
      <c r="N32" s="27">
        <f t="shared" si="10"/>
        <v>14154.065025129548</v>
      </c>
      <c r="O32" s="27">
        <f t="shared" si="10"/>
        <v>15427.930877391205</v>
      </c>
      <c r="P32" s="27">
        <f t="shared" si="10"/>
        <v>16816.444656356412</v>
      </c>
      <c r="Q32" s="27">
        <f t="shared" si="10"/>
        <v>18329.92467542849</v>
      </c>
      <c r="R32" s="27">
        <f t="shared" si="10"/>
        <v>59938.853688651165</v>
      </c>
      <c r="S32" s="27">
        <f t="shared" si="10"/>
        <v>56941.911004218608</v>
      </c>
      <c r="T32" s="27">
        <f t="shared" si="10"/>
        <v>54094.815454007687</v>
      </c>
      <c r="U32" s="27">
        <f t="shared" si="10"/>
        <v>51390.074681307298</v>
      </c>
      <c r="V32" s="27">
        <f t="shared" si="10"/>
        <v>48820.570947241933</v>
      </c>
    </row>
    <row r="33" spans="2:22" s="5" customFormat="1" x14ac:dyDescent="0.25"/>
    <row r="34" spans="2:22" s="5" customFormat="1" x14ac:dyDescent="0.25">
      <c r="B34" s="18" t="s">
        <v>34</v>
      </c>
    </row>
    <row r="35" spans="2:22" s="5" customFormat="1" x14ac:dyDescent="0.25">
      <c r="B35" s="5" t="s">
        <v>18</v>
      </c>
      <c r="C35" s="5">
        <f>+C9</f>
        <v>6600</v>
      </c>
      <c r="D35" s="5">
        <f t="shared" ref="D35:V35" si="11">+D9</f>
        <v>12342</v>
      </c>
      <c r="E35" s="5">
        <f t="shared" si="11"/>
        <v>14148.42</v>
      </c>
      <c r="F35" s="5">
        <f t="shared" si="11"/>
        <v>15084.392400000002</v>
      </c>
      <c r="G35" s="5">
        <f t="shared" si="11"/>
        <v>16161.849</v>
      </c>
      <c r="H35" s="5">
        <f t="shared" si="11"/>
        <v>18499.929822000002</v>
      </c>
      <c r="I35" s="5">
        <f t="shared" si="11"/>
        <v>21089.919997080004</v>
      </c>
      <c r="J35" s="5">
        <f t="shared" si="11"/>
        <v>21933.516796963206</v>
      </c>
      <c r="K35" s="5">
        <f t="shared" si="11"/>
        <v>22810.857468841732</v>
      </c>
      <c r="L35" s="5">
        <f t="shared" si="11"/>
        <v>23723.291767595401</v>
      </c>
      <c r="M35" s="5">
        <f t="shared" si="11"/>
        <v>24672.223438299217</v>
      </c>
      <c r="N35" s="5">
        <f t="shared" si="11"/>
        <v>26892.72354774614</v>
      </c>
      <c r="O35" s="5">
        <f t="shared" si="11"/>
        <v>29313.068667043291</v>
      </c>
      <c r="P35" s="5">
        <f t="shared" si="11"/>
        <v>31951.244847077185</v>
      </c>
      <c r="Q35" s="5">
        <f t="shared" si="11"/>
        <v>34826.856883314133</v>
      </c>
      <c r="R35" s="5">
        <f t="shared" si="11"/>
        <v>49949.044740542638</v>
      </c>
      <c r="S35" s="5">
        <f t="shared" si="11"/>
        <v>47451.592503515509</v>
      </c>
      <c r="T35" s="5">
        <f t="shared" si="11"/>
        <v>45079.012878339738</v>
      </c>
      <c r="U35" s="5">
        <f t="shared" si="11"/>
        <v>42825.062234422752</v>
      </c>
      <c r="V35" s="5">
        <f t="shared" si="11"/>
        <v>40683.809122701612</v>
      </c>
    </row>
    <row r="36" spans="2:22" s="5" customFormat="1" x14ac:dyDescent="0.25">
      <c r="B36" s="5" t="s">
        <v>60</v>
      </c>
      <c r="C36" s="5">
        <f>+C35/(1-0.385)-C35</f>
        <v>4131.707317073171</v>
      </c>
      <c r="D36" s="5">
        <f>+D35/(1-0.385)-D35</f>
        <v>7726.292682926829</v>
      </c>
    </row>
    <row r="37" spans="2:22" s="5" customFormat="1" x14ac:dyDescent="0.25">
      <c r="B37" s="5" t="s">
        <v>64</v>
      </c>
      <c r="C37" s="5">
        <f>+C19*Assumptions!$D$9</f>
        <v>13200</v>
      </c>
      <c r="D37" s="5">
        <f>+D19*Assumptions!$D$10</f>
        <v>7955.64</v>
      </c>
      <c r="E37" s="5">
        <f>+E19*Assumptions!$D$10</f>
        <v>7468.56</v>
      </c>
      <c r="F37" s="5">
        <f>+F19*Assumptions!$D$10</f>
        <v>6981.4800000000005</v>
      </c>
      <c r="G37" s="5">
        <f>+G19*Assumptions!$D$10</f>
        <v>6494.4</v>
      </c>
      <c r="H37" s="5">
        <f>+H19*Assumptions!$D$10</f>
        <v>6007.32</v>
      </c>
      <c r="I37" s="5">
        <f>+I19*Assumptions!$D$10</f>
        <v>5439.06</v>
      </c>
      <c r="J37" s="5">
        <f>+J19*Assumptions!$D$10</f>
        <v>4870.8</v>
      </c>
      <c r="K37" s="5">
        <f>+K19*Assumptions!$D$10</f>
        <v>4302.54</v>
      </c>
      <c r="L37" s="5">
        <f>+L19*Assumptions!$D$10</f>
        <v>3734.28</v>
      </c>
      <c r="M37" s="5">
        <f>+M19*Assumptions!$D$10</f>
        <v>3166.02</v>
      </c>
      <c r="N37" s="5">
        <f>+N19*Assumptions!$D$10</f>
        <v>2597.7600000000002</v>
      </c>
      <c r="O37" s="5">
        <f>+O19*Assumptions!$D$10</f>
        <v>1948.32</v>
      </c>
      <c r="P37" s="5">
        <f>+P19*Assumptions!$D$10</f>
        <v>1217.7</v>
      </c>
      <c r="Q37" s="5">
        <f>+Q19*Assumptions!$D$10</f>
        <v>405.9</v>
      </c>
      <c r="R37" s="5">
        <f>+R19*Assumptions!$D$10</f>
        <v>0</v>
      </c>
      <c r="S37" s="5">
        <f>+S19*Assumptions!$D$10</f>
        <v>0</v>
      </c>
      <c r="T37" s="5">
        <f>+T19*Assumptions!$D$10</f>
        <v>0</v>
      </c>
      <c r="U37" s="5">
        <f>+U19*Assumptions!$D$10</f>
        <v>0</v>
      </c>
      <c r="V37" s="5">
        <f>+V19*Assumptions!$D$10</f>
        <v>0</v>
      </c>
    </row>
    <row r="38" spans="2:22" s="5" customFormat="1" x14ac:dyDescent="0.25">
      <c r="B38" s="5" t="s">
        <v>63</v>
      </c>
      <c r="C38" s="5">
        <f>+Assumptions!$D$7/30</f>
        <v>9166.6666666666661</v>
      </c>
      <c r="D38" s="5">
        <f>+Assumptions!$D$7/30*(1-0.385)</f>
        <v>5637.5</v>
      </c>
      <c r="E38" s="5">
        <f>+Assumptions!$D$7/30</f>
        <v>9166.6666666666661</v>
      </c>
      <c r="F38" s="5">
        <f>+Assumptions!$D$7/30</f>
        <v>9166.6666666666661</v>
      </c>
      <c r="G38" s="5">
        <f>+Assumptions!$D$7/30</f>
        <v>9166.6666666666661</v>
      </c>
      <c r="H38" s="5">
        <f>+Assumptions!$D$7/30</f>
        <v>9166.6666666666661</v>
      </c>
      <c r="I38" s="5">
        <f>+Assumptions!$D$7/30</f>
        <v>9166.6666666666661</v>
      </c>
      <c r="J38" s="5">
        <f>+Assumptions!$D$7/30</f>
        <v>9166.6666666666661</v>
      </c>
      <c r="K38" s="5">
        <f>+Assumptions!$D$7/30</f>
        <v>9166.6666666666661</v>
      </c>
      <c r="L38" s="5">
        <f>+Assumptions!$D$7/30</f>
        <v>9166.6666666666661</v>
      </c>
      <c r="M38" s="5">
        <f>+Assumptions!$D$7/30</f>
        <v>9166.6666666666661</v>
      </c>
      <c r="N38" s="5">
        <f>+Assumptions!$D$7/30</f>
        <v>9166.6666666666661</v>
      </c>
      <c r="O38" s="5">
        <f>+Assumptions!$D$7/30</f>
        <v>9166.6666666666661</v>
      </c>
      <c r="P38" s="5">
        <f>+Assumptions!$D$7/30</f>
        <v>9166.6666666666661</v>
      </c>
      <c r="Q38" s="5">
        <f>+Assumptions!$D$7/30</f>
        <v>9166.6666666666661</v>
      </c>
      <c r="R38" s="5">
        <f>+Assumptions!$D$7/30</f>
        <v>9166.6666666666661</v>
      </c>
      <c r="S38" s="5">
        <f>+Assumptions!$D$7/30</f>
        <v>9166.6666666666661</v>
      </c>
      <c r="T38" s="5">
        <f>+Assumptions!$D$7/30</f>
        <v>9166.6666666666661</v>
      </c>
      <c r="U38" s="5">
        <f>+Assumptions!$D$7/30</f>
        <v>9166.6666666666661</v>
      </c>
      <c r="V38" s="5">
        <f>+Assumptions!$D$7/30</f>
        <v>9166.6666666666661</v>
      </c>
    </row>
    <row r="39" spans="2:22" s="5" customFormat="1" x14ac:dyDescent="0.25">
      <c r="B39" s="5" t="s">
        <v>35</v>
      </c>
      <c r="C39" s="13">
        <f>SUM(C35:C38)</f>
        <v>33098.373983739839</v>
      </c>
      <c r="D39" s="13">
        <f t="shared" ref="D39:V39" si="12">SUM(D35:D38)</f>
        <v>33661.432682926825</v>
      </c>
      <c r="E39" s="13">
        <f t="shared" si="12"/>
        <v>30783.646666666667</v>
      </c>
      <c r="F39" s="13">
        <f t="shared" si="12"/>
        <v>31232.539066666672</v>
      </c>
      <c r="G39" s="13">
        <f t="shared" si="12"/>
        <v>31822.915666666668</v>
      </c>
      <c r="H39" s="13">
        <f t="shared" si="12"/>
        <v>33673.916488666669</v>
      </c>
      <c r="I39" s="13">
        <f t="shared" si="12"/>
        <v>35695.646663746673</v>
      </c>
      <c r="J39" s="13">
        <f t="shared" si="12"/>
        <v>35970.983463629869</v>
      </c>
      <c r="K39" s="13">
        <f t="shared" si="12"/>
        <v>36280.064135508401</v>
      </c>
      <c r="L39" s="13">
        <f t="shared" si="12"/>
        <v>36624.238434262064</v>
      </c>
      <c r="M39" s="13">
        <f t="shared" si="12"/>
        <v>37004.910104965886</v>
      </c>
      <c r="N39" s="13">
        <f t="shared" si="12"/>
        <v>38657.150214412803</v>
      </c>
      <c r="O39" s="13">
        <f t="shared" si="12"/>
        <v>40428.055333709955</v>
      </c>
      <c r="P39" s="13">
        <f t="shared" si="12"/>
        <v>42335.611513743846</v>
      </c>
      <c r="Q39" s="13">
        <f t="shared" si="12"/>
        <v>44399.423549980798</v>
      </c>
      <c r="R39" s="13">
        <f t="shared" si="12"/>
        <v>59115.711407209303</v>
      </c>
      <c r="S39" s="13">
        <f t="shared" si="12"/>
        <v>56618.259170182173</v>
      </c>
      <c r="T39" s="13">
        <f t="shared" si="12"/>
        <v>54245.679545006402</v>
      </c>
      <c r="U39" s="13">
        <f t="shared" si="12"/>
        <v>51991.728901089416</v>
      </c>
      <c r="V39" s="13">
        <f t="shared" si="12"/>
        <v>49850.475789368276</v>
      </c>
    </row>
    <row r="40" spans="2:22" s="8" customFormat="1" x14ac:dyDescent="0.25"/>
    <row r="41" spans="2:22" s="8" customFormat="1" x14ac:dyDescent="0.25">
      <c r="B41" s="8" t="s">
        <v>39</v>
      </c>
      <c r="C41" s="8">
        <f>+C35/Assumptions!$D$5</f>
        <v>13.2</v>
      </c>
      <c r="D41" s="8">
        <f>+D35/Assumptions!$D$5</f>
        <v>24.684000000000001</v>
      </c>
      <c r="E41" s="8">
        <f>+E35/Assumptions!$D$5</f>
        <v>28.29684</v>
      </c>
      <c r="F41" s="8">
        <f>+F35/Assumptions!$D$5</f>
        <v>30.168784800000005</v>
      </c>
      <c r="G41" s="8">
        <f>+G35/Assumptions!$D$5</f>
        <v>32.323698</v>
      </c>
      <c r="H41" s="8">
        <f>+H35/Assumptions!$D$5</f>
        <v>36.999859644000004</v>
      </c>
      <c r="I41" s="8">
        <f>+I35/Assumptions!$D$5</f>
        <v>42.179839994160005</v>
      </c>
      <c r="J41" s="8">
        <f>+J35/Assumptions!$D$5</f>
        <v>43.867033593926415</v>
      </c>
      <c r="K41" s="8">
        <f>+K35/Assumptions!$D$5</f>
        <v>45.621714937683464</v>
      </c>
      <c r="L41" s="8">
        <f>+L35/Assumptions!$D$5</f>
        <v>47.446583535190804</v>
      </c>
      <c r="M41" s="8">
        <f>+M35/Assumptions!$D$5</f>
        <v>49.344446876598433</v>
      </c>
      <c r="N41" s="8">
        <f>+N35/Assumptions!$D$5</f>
        <v>53.78544709549228</v>
      </c>
      <c r="O41" s="8">
        <f>+O35/Assumptions!$D$5</f>
        <v>58.626137334086586</v>
      </c>
      <c r="P41" s="8">
        <f>+P35/Assumptions!$D$5</f>
        <v>63.902489694154369</v>
      </c>
      <c r="Q41" s="8">
        <f>+Q35/Assumptions!$D$5</f>
        <v>69.653713766628272</v>
      </c>
      <c r="R41" s="8">
        <f>+R35/Assumptions!$D$5</f>
        <v>99.898089481085279</v>
      </c>
      <c r="S41" s="8">
        <f>+S35/Assumptions!$D$5</f>
        <v>94.903185007031013</v>
      </c>
      <c r="T41" s="8">
        <f>+T35/Assumptions!$D$5</f>
        <v>90.158025756679478</v>
      </c>
      <c r="U41" s="8">
        <f>+U35/Assumptions!$D$5</f>
        <v>85.650124468845505</v>
      </c>
      <c r="V41" s="8">
        <f>+V35/Assumptions!$D$5</f>
        <v>81.367618245403222</v>
      </c>
    </row>
    <row r="42" spans="2:22" s="8" customFormat="1" x14ac:dyDescent="0.25">
      <c r="B42" s="8" t="s">
        <v>40</v>
      </c>
      <c r="C42" s="8">
        <f>+C39/Assumptions!$D$5</f>
        <v>66.196747967479681</v>
      </c>
      <c r="D42" s="8">
        <f>+D39/Assumptions!$D$5</f>
        <v>67.322865365853644</v>
      </c>
      <c r="E42" s="8">
        <f>+E39/Assumptions!$D$5</f>
        <v>61.567293333333332</v>
      </c>
      <c r="F42" s="8">
        <f>+F39/Assumptions!$D$5</f>
        <v>62.465078133333343</v>
      </c>
      <c r="G42" s="8">
        <f>+G39/Assumptions!$D$5</f>
        <v>63.645831333333334</v>
      </c>
      <c r="H42" s="8">
        <f>+H39/Assumptions!$D$5</f>
        <v>67.34783297733334</v>
      </c>
      <c r="I42" s="8">
        <f>+I39/Assumptions!$D$5</f>
        <v>71.391293327493344</v>
      </c>
      <c r="J42" s="8">
        <f>+J39/Assumptions!$D$5</f>
        <v>71.941966927259742</v>
      </c>
      <c r="K42" s="8">
        <f>+K39/Assumptions!$D$5</f>
        <v>72.560128271016808</v>
      </c>
      <c r="L42" s="8">
        <f>+L39/Assumptions!$D$5</f>
        <v>73.248476868524122</v>
      </c>
      <c r="M42" s="8">
        <f>+M39/Assumptions!$D$5</f>
        <v>74.009820209931775</v>
      </c>
      <c r="N42" s="8">
        <f>+N39/Assumptions!$D$5</f>
        <v>77.314300428825604</v>
      </c>
      <c r="O42" s="8">
        <f>+O39/Assumptions!$D$5</f>
        <v>80.856110667419912</v>
      </c>
      <c r="P42" s="8">
        <f>+P39/Assumptions!$D$5</f>
        <v>84.671223027487699</v>
      </c>
      <c r="Q42" s="8">
        <f>+Q39/Assumptions!$D$5</f>
        <v>88.798847099961591</v>
      </c>
      <c r="R42" s="8">
        <f>+R39/Assumptions!$D$5</f>
        <v>118.23142281441861</v>
      </c>
      <c r="S42" s="8">
        <f>+S39/Assumptions!$D$5</f>
        <v>113.23651834036434</v>
      </c>
      <c r="T42" s="8">
        <f>+T39/Assumptions!$D$5</f>
        <v>108.49135909001281</v>
      </c>
      <c r="U42" s="8">
        <f>+U39/Assumptions!$D$5</f>
        <v>103.98345780217883</v>
      </c>
      <c r="V42" s="8">
        <f>+V39/Assumptions!$D$5</f>
        <v>99.70095157873655</v>
      </c>
    </row>
    <row r="43" spans="2:22" s="8" customFormat="1" x14ac:dyDescent="0.25"/>
    <row r="44" spans="2:22" s="8" customFormat="1" x14ac:dyDescent="0.25"/>
    <row r="45" spans="2:22" x14ac:dyDescent="0.25">
      <c r="B45" s="17" t="s">
        <v>62</v>
      </c>
    </row>
    <row r="46" spans="2:22" x14ac:dyDescent="0.25">
      <c r="B46" s="5" t="s">
        <v>61</v>
      </c>
      <c r="C46" s="5">
        <v>30</v>
      </c>
    </row>
    <row r="47" spans="2:22" x14ac:dyDescent="0.25">
      <c r="B47" s="5" t="s">
        <v>41</v>
      </c>
      <c r="C47" s="5">
        <v>25</v>
      </c>
    </row>
    <row r="48" spans="2:22" s="5" customFormat="1" x14ac:dyDescent="0.25">
      <c r="B48" s="5" t="s">
        <v>42</v>
      </c>
      <c r="C48" s="5">
        <v>20</v>
      </c>
    </row>
    <row r="49" spans="2:3" s="5" customFormat="1" x14ac:dyDescent="0.25">
      <c r="B49"/>
    </row>
    <row r="50" spans="2:3" x14ac:dyDescent="0.25">
      <c r="B50" t="s">
        <v>20</v>
      </c>
    </row>
    <row r="52" spans="2:3" x14ac:dyDescent="0.25">
      <c r="C52" s="5"/>
    </row>
  </sheetData>
  <pageMargins left="0.25" right="0.25" top="0.25" bottom="0.25" header="0.5" footer="0.5"/>
  <pageSetup scale="5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K22"/>
  <sheetViews>
    <sheetView workbookViewId="0">
      <selection activeCell="B5" sqref="B5"/>
    </sheetView>
  </sheetViews>
  <sheetFormatPr defaultRowHeight="13.2" x14ac:dyDescent="0.25"/>
  <cols>
    <col min="4" max="4" width="11.33203125" bestFit="1" customWidth="1"/>
    <col min="7" max="12" width="9.33203125" bestFit="1" customWidth="1"/>
    <col min="13" max="13" width="10.33203125" bestFit="1" customWidth="1"/>
    <col min="14" max="16" width="9.33203125" bestFit="1" customWidth="1"/>
    <col min="17" max="17" width="10.33203125" bestFit="1" customWidth="1"/>
    <col min="18" max="20" width="9.33203125" bestFit="1" customWidth="1"/>
    <col min="21" max="22" width="10.33203125" bestFit="1" customWidth="1"/>
    <col min="23" max="23" width="9.33203125" bestFit="1" customWidth="1"/>
    <col min="24" max="33" width="10.33203125" bestFit="1" customWidth="1"/>
    <col min="34" max="34" width="9.33203125" bestFit="1" customWidth="1"/>
    <col min="35" max="35" width="10.33203125" bestFit="1" customWidth="1"/>
  </cols>
  <sheetData>
    <row r="5" spans="2:37" x14ac:dyDescent="0.25">
      <c r="B5" t="s">
        <v>7</v>
      </c>
      <c r="D5" s="3">
        <v>500</v>
      </c>
      <c r="E5" s="1" t="s">
        <v>8</v>
      </c>
    </row>
    <row r="6" spans="2:37" x14ac:dyDescent="0.25">
      <c r="B6" t="s">
        <v>0</v>
      </c>
      <c r="D6" s="3">
        <v>550</v>
      </c>
      <c r="E6" s="1" t="s">
        <v>1</v>
      </c>
    </row>
    <row r="7" spans="2:37" x14ac:dyDescent="0.25">
      <c r="B7" t="s">
        <v>9</v>
      </c>
      <c r="D7" s="5">
        <f>+D5*D6</f>
        <v>275000</v>
      </c>
      <c r="E7" s="1"/>
    </row>
    <row r="8" spans="2:37" x14ac:dyDescent="0.25">
      <c r="B8" t="s">
        <v>36</v>
      </c>
      <c r="D8" s="10">
        <v>0.4</v>
      </c>
    </row>
    <row r="9" spans="2:37" x14ac:dyDescent="0.25">
      <c r="B9" t="s">
        <v>37</v>
      </c>
      <c r="D9" s="10">
        <v>0.08</v>
      </c>
    </row>
    <row r="10" spans="2:37" x14ac:dyDescent="0.25">
      <c r="B10" t="s">
        <v>38</v>
      </c>
      <c r="D10" s="21">
        <f>+D9*(1-0.385)</f>
        <v>4.9200000000000001E-2</v>
      </c>
    </row>
    <row r="11" spans="2:37" x14ac:dyDescent="0.25">
      <c r="D11" s="2"/>
    </row>
    <row r="12" spans="2:37" x14ac:dyDescent="0.25">
      <c r="B12" t="s">
        <v>6</v>
      </c>
      <c r="K12">
        <f>+L12-1</f>
        <v>-15</v>
      </c>
      <c r="L12">
        <f t="shared" ref="L12:X12" si="0">+M12-1</f>
        <v>-14</v>
      </c>
      <c r="M12">
        <f t="shared" si="0"/>
        <v>-13</v>
      </c>
      <c r="N12">
        <f t="shared" si="0"/>
        <v>-12</v>
      </c>
      <c r="O12">
        <f t="shared" si="0"/>
        <v>-11</v>
      </c>
      <c r="P12">
        <f t="shared" si="0"/>
        <v>-10</v>
      </c>
      <c r="Q12">
        <f t="shared" si="0"/>
        <v>-9</v>
      </c>
      <c r="R12">
        <f t="shared" si="0"/>
        <v>-8</v>
      </c>
      <c r="S12">
        <f t="shared" si="0"/>
        <v>-7</v>
      </c>
      <c r="T12">
        <f t="shared" si="0"/>
        <v>-6</v>
      </c>
      <c r="U12">
        <f t="shared" si="0"/>
        <v>-5</v>
      </c>
      <c r="V12">
        <f t="shared" si="0"/>
        <v>-4</v>
      </c>
      <c r="W12">
        <f t="shared" si="0"/>
        <v>-3</v>
      </c>
      <c r="X12">
        <f t="shared" si="0"/>
        <v>-2</v>
      </c>
      <c r="Y12">
        <f>+Z12-1</f>
        <v>-1</v>
      </c>
      <c r="Z12" s="3">
        <v>0</v>
      </c>
    </row>
    <row r="13" spans="2:37" x14ac:dyDescent="0.25">
      <c r="B13" t="s">
        <v>10</v>
      </c>
      <c r="Q13" t="s">
        <v>4</v>
      </c>
      <c r="Z13" t="s">
        <v>3</v>
      </c>
      <c r="AK13" t="s">
        <v>2</v>
      </c>
    </row>
    <row r="14" spans="2:37" x14ac:dyDescent="0.25">
      <c r="B14" t="s">
        <v>5</v>
      </c>
      <c r="E14" s="3">
        <v>-32</v>
      </c>
      <c r="F14">
        <f>+E14+1</f>
        <v>-31</v>
      </c>
      <c r="G14">
        <f t="shared" ref="G14:AK14" si="1">+F14+1</f>
        <v>-30</v>
      </c>
      <c r="H14">
        <f t="shared" si="1"/>
        <v>-29</v>
      </c>
      <c r="I14">
        <f t="shared" si="1"/>
        <v>-28</v>
      </c>
      <c r="J14">
        <f t="shared" si="1"/>
        <v>-27</v>
      </c>
      <c r="K14">
        <f t="shared" si="1"/>
        <v>-26</v>
      </c>
      <c r="L14">
        <f t="shared" si="1"/>
        <v>-25</v>
      </c>
      <c r="M14">
        <f t="shared" si="1"/>
        <v>-24</v>
      </c>
      <c r="N14">
        <f t="shared" si="1"/>
        <v>-23</v>
      </c>
      <c r="O14">
        <f t="shared" si="1"/>
        <v>-22</v>
      </c>
      <c r="P14">
        <f t="shared" si="1"/>
        <v>-21</v>
      </c>
      <c r="Q14">
        <f t="shared" si="1"/>
        <v>-20</v>
      </c>
      <c r="R14">
        <f t="shared" si="1"/>
        <v>-19</v>
      </c>
      <c r="S14">
        <f t="shared" si="1"/>
        <v>-18</v>
      </c>
      <c r="T14">
        <f t="shared" si="1"/>
        <v>-17</v>
      </c>
      <c r="U14">
        <f t="shared" si="1"/>
        <v>-16</v>
      </c>
      <c r="V14">
        <f t="shared" si="1"/>
        <v>-15</v>
      </c>
      <c r="W14">
        <f t="shared" si="1"/>
        <v>-14</v>
      </c>
      <c r="X14">
        <f t="shared" si="1"/>
        <v>-13</v>
      </c>
      <c r="Y14">
        <f t="shared" si="1"/>
        <v>-12</v>
      </c>
      <c r="Z14">
        <f t="shared" si="1"/>
        <v>-11</v>
      </c>
      <c r="AA14">
        <f t="shared" si="1"/>
        <v>-10</v>
      </c>
      <c r="AB14">
        <f t="shared" si="1"/>
        <v>-9</v>
      </c>
      <c r="AC14">
        <f t="shared" si="1"/>
        <v>-8</v>
      </c>
      <c r="AD14">
        <f t="shared" si="1"/>
        <v>-7</v>
      </c>
      <c r="AE14">
        <f t="shared" si="1"/>
        <v>-6</v>
      </c>
      <c r="AF14">
        <f t="shared" si="1"/>
        <v>-5</v>
      </c>
      <c r="AG14">
        <f t="shared" si="1"/>
        <v>-4</v>
      </c>
      <c r="AH14">
        <f t="shared" si="1"/>
        <v>-3</v>
      </c>
      <c r="AI14">
        <f t="shared" si="1"/>
        <v>-2</v>
      </c>
      <c r="AJ14">
        <f t="shared" si="1"/>
        <v>-1</v>
      </c>
      <c r="AK14">
        <f t="shared" si="1"/>
        <v>0</v>
      </c>
    </row>
    <row r="15" spans="2:37" x14ac:dyDescent="0.25">
      <c r="B15" t="s">
        <v>15</v>
      </c>
      <c r="H15" s="11">
        <v>3.3175973152879874E-3</v>
      </c>
      <c r="I15" s="11">
        <v>2.5360706072204001E-4</v>
      </c>
      <c r="J15" s="11">
        <v>3.2936057344240202E-4</v>
      </c>
      <c r="K15" s="11">
        <v>9.3257305414957813E-3</v>
      </c>
      <c r="L15" s="11">
        <v>8.5642626207027821E-4</v>
      </c>
      <c r="M15" s="11">
        <v>1.0137164227486031E-3</v>
      </c>
      <c r="N15" s="11">
        <v>5.5842023877507842E-2</v>
      </c>
      <c r="O15" s="11">
        <v>3.2594604399295998E-2</v>
      </c>
      <c r="P15" s="11">
        <v>2.1785107282081592E-2</v>
      </c>
      <c r="Q15" s="11">
        <v>2.3438918084138449E-2</v>
      </c>
      <c r="R15" s="11">
        <v>4.2653073830282426E-2</v>
      </c>
      <c r="S15" s="11">
        <v>1.866009088575574E-2</v>
      </c>
      <c r="T15" s="11">
        <v>2.2190347732547879E-2</v>
      </c>
      <c r="U15" s="11">
        <v>2.9103056490693092E-2</v>
      </c>
      <c r="V15" s="11">
        <v>3.8517198442372488E-2</v>
      </c>
      <c r="W15" s="11">
        <v>4.9378839496985155E-2</v>
      </c>
      <c r="X15" s="11">
        <v>3.2537113973008361E-2</v>
      </c>
      <c r="Y15" s="11">
        <v>5.7671707016487037E-2</v>
      </c>
      <c r="Z15" s="11">
        <v>4.4496175081447507E-2</v>
      </c>
      <c r="AA15" s="11">
        <v>5.1773595349949922E-2</v>
      </c>
      <c r="AB15" s="11">
        <v>0.10202135227994749</v>
      </c>
      <c r="AC15" s="11">
        <v>4.6925866865422806E-2</v>
      </c>
      <c r="AD15" s="11">
        <v>3.9101351596280386E-2</v>
      </c>
      <c r="AE15" s="11">
        <v>4.7435786844759013E-2</v>
      </c>
      <c r="AF15" s="11">
        <v>3.7681322243058833E-2</v>
      </c>
      <c r="AG15" s="11">
        <v>4.5543086743942501E-2</v>
      </c>
      <c r="AH15" s="11">
        <v>3.7295714979373965E-2</v>
      </c>
      <c r="AI15" s="11">
        <v>3.0842813419292552E-2</v>
      </c>
      <c r="AJ15" s="11">
        <v>7.7147650641589072E-2</v>
      </c>
    </row>
    <row r="16" spans="2:37" s="5" customFormat="1" x14ac:dyDescent="0.25">
      <c r="B16" s="12" t="s">
        <v>16</v>
      </c>
      <c r="H16" s="5">
        <f>+$D$7*H15</f>
        <v>912.33926170419647</v>
      </c>
      <c r="I16" s="5">
        <f t="shared" ref="I16:AJ16" si="2">+$D$7*I15</f>
        <v>69.741941698561007</v>
      </c>
      <c r="J16" s="5">
        <f t="shared" si="2"/>
        <v>90.574157696660549</v>
      </c>
      <c r="K16" s="5">
        <f t="shared" si="2"/>
        <v>2564.5758989113397</v>
      </c>
      <c r="L16" s="5">
        <f t="shared" si="2"/>
        <v>235.51722206932652</v>
      </c>
      <c r="M16" s="5">
        <f t="shared" si="2"/>
        <v>278.77201625586582</v>
      </c>
      <c r="N16" s="5">
        <f t="shared" si="2"/>
        <v>15356.556566314657</v>
      </c>
      <c r="O16" s="5">
        <f t="shared" si="2"/>
        <v>8963.5162098063993</v>
      </c>
      <c r="P16" s="5">
        <f t="shared" si="2"/>
        <v>5990.9045025724381</v>
      </c>
      <c r="Q16" s="5">
        <f t="shared" si="2"/>
        <v>6445.7024731380734</v>
      </c>
      <c r="R16" s="5">
        <f t="shared" si="2"/>
        <v>11729.595303327667</v>
      </c>
      <c r="S16" s="5">
        <f t="shared" si="2"/>
        <v>5131.5249935828288</v>
      </c>
      <c r="T16" s="5">
        <f t="shared" si="2"/>
        <v>6102.3456264506667</v>
      </c>
      <c r="U16" s="5">
        <f t="shared" si="2"/>
        <v>8003.3405349406003</v>
      </c>
      <c r="V16" s="5">
        <f t="shared" si="2"/>
        <v>10592.229571652435</v>
      </c>
      <c r="W16" s="5">
        <f t="shared" si="2"/>
        <v>13579.180861670917</v>
      </c>
      <c r="X16" s="5">
        <f t="shared" si="2"/>
        <v>8947.7063425772994</v>
      </c>
      <c r="Y16" s="5">
        <f t="shared" si="2"/>
        <v>15859.719429533936</v>
      </c>
      <c r="Z16" s="5">
        <f t="shared" si="2"/>
        <v>12236.448147398065</v>
      </c>
      <c r="AA16" s="5">
        <f t="shared" si="2"/>
        <v>14237.738721236228</v>
      </c>
      <c r="AB16" s="5">
        <f t="shared" si="2"/>
        <v>28055.871876985559</v>
      </c>
      <c r="AC16" s="5">
        <f t="shared" si="2"/>
        <v>12904.613387991272</v>
      </c>
      <c r="AD16" s="5">
        <f t="shared" si="2"/>
        <v>10752.871688977106</v>
      </c>
      <c r="AE16" s="5">
        <f t="shared" si="2"/>
        <v>13044.841382308728</v>
      </c>
      <c r="AF16" s="5">
        <f t="shared" si="2"/>
        <v>10362.363616841179</v>
      </c>
      <c r="AG16" s="5">
        <f t="shared" si="2"/>
        <v>12524.348854584188</v>
      </c>
      <c r="AH16" s="5">
        <f t="shared" si="2"/>
        <v>10256.32161932784</v>
      </c>
      <c r="AI16" s="5">
        <f t="shared" si="2"/>
        <v>8481.773690305452</v>
      </c>
      <c r="AJ16" s="5">
        <f t="shared" si="2"/>
        <v>21215.603926436994</v>
      </c>
    </row>
    <row r="20" spans="2:2" x14ac:dyDescent="0.25">
      <c r="B20" t="s">
        <v>12</v>
      </c>
    </row>
    <row r="21" spans="2:2" x14ac:dyDescent="0.25">
      <c r="B21" t="s">
        <v>17</v>
      </c>
    </row>
    <row r="22" spans="2:2" x14ac:dyDescent="0.25">
      <c r="B22" t="s">
        <v>11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New Unit Financial Profile</vt:lpstr>
      <vt:lpstr>Assumptions</vt:lpstr>
      <vt:lpstr>'New Unit Financial Profile'!Print_Area</vt:lpstr>
      <vt:lpstr>Summary!Print_Area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WDISPATCH</dc:creator>
  <cp:lastModifiedBy>Havlíček Jan</cp:lastModifiedBy>
  <cp:lastPrinted>2000-06-28T16:18:21Z</cp:lastPrinted>
  <dcterms:created xsi:type="dcterms:W3CDTF">2000-06-27T23:36:00Z</dcterms:created>
  <dcterms:modified xsi:type="dcterms:W3CDTF">2023-09-10T11:55:01Z</dcterms:modified>
</cp:coreProperties>
</file>